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style6.xml" ContentType="application/vnd.ms-office.chartstyle+xml"/>
  <Override PartName="/xl/charts/colors6.xml" ContentType="application/vnd.ms-office.chartcolorstyle+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charts/chart4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9.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CG-Confidential\Corporate Research\Community Safety\CSP Analysts Performance Reports\Monthly Report\2024-25\March\"/>
    </mc:Choice>
  </mc:AlternateContent>
  <xr:revisionPtr revIDLastSave="0" documentId="13_ncr:1_{4DBBBA36-CFAD-4EA9-9242-A2889D873523}" xr6:coauthVersionLast="47" xr6:coauthVersionMax="47" xr10:uidLastSave="{00000000-0000-0000-0000-000000000000}"/>
  <bookViews>
    <workbookView xWindow="-28920" yWindow="-120" windowWidth="29040" windowHeight="15720" tabRatio="826" firstSheet="4" activeTab="4" xr2:uid="{00000000-000D-0000-FFFF-FFFF00000000}"/>
  </bookViews>
  <sheets>
    <sheet name="Masterlist" sheetId="2" state="hidden" r:id="rId1"/>
    <sheet name="year end" sheetId="11" state="hidden" r:id="rId2"/>
    <sheet name="New Data Needed" sheetId="17" state="hidden" r:id="rId3"/>
    <sheet name="Monthly Averages" sheetId="18" state="hidden" r:id="rId4"/>
    <sheet name="Guidance" sheetId="12" r:id="rId5"/>
    <sheet name="Graph" sheetId="15" state="hidden" r:id="rId6"/>
    <sheet name="Graph Data" sheetId="14" state="hidden" r:id="rId7"/>
    <sheet name="Warwickshire" sheetId="1" r:id="rId8"/>
    <sheet name="North Warwickshire" sheetId="5" r:id="rId9"/>
    <sheet name="Nuneaton and Bedworth" sheetId="6" r:id="rId10"/>
    <sheet name="Rugby" sheetId="7" r:id="rId11"/>
    <sheet name="Stratford" sheetId="9" r:id="rId12"/>
    <sheet name="Warwick" sheetId="10" r:id="rId13"/>
    <sheet name="South Warwickshire" sheetId="8" r:id="rId14"/>
    <sheet name="Notes" sheetId="13" state="hidden" r:id="rId15"/>
    <sheet name="Data Sources" sheetId="16" state="hidden" r:id="rId16"/>
  </sheets>
  <externalReferences>
    <externalReference r:id="rId17"/>
    <externalReference r:id="rId18"/>
    <externalReference r:id="rId19"/>
  </externalReferences>
  <definedNames>
    <definedName name="chart1">Masterlist!#REF!</definedName>
    <definedName name="chart2">Masterlist!#REF!</definedName>
    <definedName name="chartdata">OFFSET(#REF!,COUNT(#REF!),0,1,-6)</definedName>
    <definedName name="CHARTLABEL" localSheetId="3">OFFSET(chartdata,0,-1)</definedName>
    <definedName name="CHARTLABEL">OFFSET(chartdata,0,-1)</definedName>
    <definedName name="CUMULATIVE2" localSheetId="3">[1]Masterlist!#REF!</definedName>
    <definedName name="CUMULATIVE2">Masterlist!#REF!</definedName>
    <definedName name="Monthlyaveragecumulative">'Monthly Averages'!$R$2:$AD$619</definedName>
    <definedName name="_xlnm.Print_Area" localSheetId="4">Guidance!$C$3:$E$14</definedName>
    <definedName name="_xlnm.Print_Area" localSheetId="8">'North Warwickshire'!$B$1:$R$55</definedName>
    <definedName name="_xlnm.Print_Area" localSheetId="9">'Nuneaton and Bedworth'!$B$1:$R$55</definedName>
    <definedName name="_xlnm.Print_Area" localSheetId="10">Rugby!$B$1:$R$61</definedName>
    <definedName name="_xlnm.Print_Area" localSheetId="13">'South Warwickshire'!$B$3:$R$44</definedName>
    <definedName name="_xlnm.Print_Area" localSheetId="11">Stratford!$B$3:$R$45</definedName>
    <definedName name="_xlnm.Print_Area" localSheetId="12">Warwick!$B$3:$R$44</definedName>
    <definedName name="_xlnm.Print_Area" localSheetId="7">Warwickshire!$B$1:$R$76</definedName>
    <definedName name="_xlnm.Print_Titles" localSheetId="8">'North Warwickshire'!$3:$5</definedName>
    <definedName name="_xlnm.Print_Titles" localSheetId="9">'Nuneaton and Bedworth'!$3:$5</definedName>
    <definedName name="_xlnm.Print_Titles" localSheetId="10">Rugby!$3:$5</definedName>
    <definedName name="_xlnm.Print_Titles" localSheetId="13">'South Warwickshire'!$3:$4</definedName>
    <definedName name="_xlnm.Print_Titles" localSheetId="11">Stratford!$3:$4</definedName>
    <definedName name="_xlnm.Print_Titles" localSheetId="12">Warwick!$3:$4</definedName>
    <definedName name="_xlnm.Print_Titles" localSheetId="7">Warwickshire!$2:$4</definedName>
    <definedName name="Test">OFFSET(#REF!,COUNT(#REF!),0,1,-6)</definedName>
    <definedName name="TEST1">OFFSET(#REF!,0,0,1,-6)</definedName>
    <definedName name="TESTDATA">OFFSET(#REF!,0,COUNT(#REF!,0,-6))</definedName>
    <definedName name="useactualaverage">'Monthly Averages'!$C$347:$O$1048576</definedName>
    <definedName name="VATPinjury" localSheetId="3">OFFSET([1]Warwickshire!$E$5,0,COUNT([1]Warwickshire!$E$5:$P$5),1,-6)</definedName>
    <definedName name="VATPinjury">OFFSET(Warwickshire!$E$5,0,COUNT(Warwickshire!$E$5:$P$5),1,-6)</definedName>
    <definedName name="Violence_With_Injury" localSheetId="3">OFFSET(#REF!,COUNT(#REF!),0,1,-6)</definedName>
    <definedName name="Violence_With_Injury">OFFSET(#REF!,COUNT(#REF!),0,1,-6)</definedName>
    <definedName name="Warks">'Graph Data'!$A$1:$Z$14</definedName>
    <definedName name="yearend" localSheetId="3">'Monthly Averages'!$C$2:$O$432</definedName>
    <definedName name="yearend">'year end'!$C$2:$O$439</definedName>
    <definedName name="yearendcumulative" localSheetId="3">'Monthly Averages'!$Q$2:$AE$434</definedName>
    <definedName name="yearendcumulative">'year end'!$Q$2:$AE$1048576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2" i="1" l="1"/>
  <c r="R11" i="8" l="1"/>
  <c r="R15" i="8"/>
  <c r="R14" i="8"/>
  <c r="R13" i="8"/>
  <c r="R12" i="8"/>
  <c r="P11" i="8"/>
  <c r="Q11" i="8"/>
  <c r="P12" i="8"/>
  <c r="Q12" i="8"/>
  <c r="P13" i="8"/>
  <c r="Q13" i="8"/>
  <c r="P14" i="8"/>
  <c r="Q14" i="8"/>
  <c r="P15" i="8"/>
  <c r="Q15" i="8"/>
  <c r="R22" i="7"/>
  <c r="R21" i="7"/>
  <c r="R20" i="7"/>
  <c r="R19" i="7"/>
  <c r="R18" i="7"/>
  <c r="P18" i="7"/>
  <c r="Q18" i="7"/>
  <c r="P19" i="7"/>
  <c r="Q19" i="7"/>
  <c r="P20" i="7"/>
  <c r="Q20" i="7"/>
  <c r="P21" i="7"/>
  <c r="Q21" i="7"/>
  <c r="P22" i="7"/>
  <c r="Q22" i="7"/>
  <c r="R22" i="6"/>
  <c r="R21" i="6"/>
  <c r="R20" i="6"/>
  <c r="R19" i="6"/>
  <c r="R18" i="6"/>
  <c r="Q18" i="6"/>
  <c r="Q19" i="6"/>
  <c r="Q20" i="6"/>
  <c r="Q21" i="6"/>
  <c r="Q22" i="6"/>
  <c r="P18" i="6"/>
  <c r="P19" i="6"/>
  <c r="P20" i="6"/>
  <c r="P21" i="6"/>
  <c r="P22" i="6"/>
  <c r="R25" i="5"/>
  <c r="R24" i="5"/>
  <c r="R23" i="5"/>
  <c r="R22" i="5"/>
  <c r="R21" i="5"/>
  <c r="R25" i="1"/>
  <c r="R29" i="1"/>
  <c r="R28" i="1"/>
  <c r="R27" i="1"/>
  <c r="R26" i="1"/>
  <c r="Q25" i="5"/>
  <c r="Q24" i="5"/>
  <c r="Q23" i="5"/>
  <c r="Q22" i="5"/>
  <c r="Q21" i="5"/>
  <c r="P25" i="5"/>
  <c r="P24" i="5"/>
  <c r="P23" i="5"/>
  <c r="P22" i="5"/>
  <c r="P21" i="5"/>
  <c r="P27" i="1"/>
  <c r="P28" i="1"/>
  <c r="P29" i="1"/>
  <c r="P26" i="1"/>
  <c r="P25" i="1"/>
  <c r="N12" i="8" l="1"/>
  <c r="N13" i="8"/>
  <c r="N14" i="8"/>
  <c r="N15" i="8"/>
  <c r="N11" i="8"/>
  <c r="N19" i="7"/>
  <c r="N20" i="7"/>
  <c r="N21" i="7"/>
  <c r="N22" i="7"/>
  <c r="N18" i="7"/>
  <c r="N19" i="6"/>
  <c r="N20" i="6"/>
  <c r="N21" i="6"/>
  <c r="N22" i="6"/>
  <c r="N18" i="6"/>
  <c r="N26" i="1"/>
  <c r="N27" i="1"/>
  <c r="N28" i="1"/>
  <c r="N29" i="1"/>
  <c r="N25" i="1"/>
  <c r="N22" i="5"/>
  <c r="N23" i="5"/>
  <c r="N24" i="5"/>
  <c r="N25" i="5"/>
  <c r="N21" i="5"/>
  <c r="E13" i="8" l="1"/>
  <c r="F13" i="8"/>
  <c r="E14" i="8"/>
  <c r="F14" i="8"/>
  <c r="E15" i="8"/>
  <c r="F15" i="8"/>
  <c r="H13" i="8"/>
  <c r="I13" i="8"/>
  <c r="J13" i="8"/>
  <c r="K13" i="8"/>
  <c r="L13" i="8"/>
  <c r="M13" i="8"/>
  <c r="O13" i="8"/>
  <c r="H14" i="8"/>
  <c r="I14" i="8"/>
  <c r="J14" i="8"/>
  <c r="K14" i="8"/>
  <c r="L14" i="8"/>
  <c r="M14" i="8"/>
  <c r="O14" i="8"/>
  <c r="H15" i="8"/>
  <c r="I15" i="8"/>
  <c r="J15" i="8"/>
  <c r="K15" i="8"/>
  <c r="L15" i="8"/>
  <c r="M15" i="8"/>
  <c r="O15" i="8"/>
  <c r="G14" i="8"/>
  <c r="G15" i="8"/>
  <c r="G13" i="8"/>
  <c r="E12" i="8"/>
  <c r="F12" i="8"/>
  <c r="H12" i="8"/>
  <c r="I12" i="8"/>
  <c r="J12" i="8"/>
  <c r="K12" i="8"/>
  <c r="L12" i="8"/>
  <c r="M12" i="8"/>
  <c r="O12" i="8"/>
  <c r="G12" i="8"/>
  <c r="H11" i="8"/>
  <c r="I11" i="8"/>
  <c r="J11" i="8"/>
  <c r="K11" i="8"/>
  <c r="L11" i="8"/>
  <c r="M11" i="8"/>
  <c r="O11" i="8"/>
  <c r="E11" i="8"/>
  <c r="F11" i="8"/>
  <c r="G11" i="8"/>
  <c r="E20" i="7" l="1"/>
  <c r="F20" i="7"/>
  <c r="E21" i="7"/>
  <c r="F21" i="7"/>
  <c r="E22" i="7"/>
  <c r="F22" i="7"/>
  <c r="H20" i="7"/>
  <c r="I20" i="7"/>
  <c r="J20" i="7"/>
  <c r="K20" i="7"/>
  <c r="L20" i="7"/>
  <c r="M20" i="7"/>
  <c r="O20" i="7"/>
  <c r="H21" i="7"/>
  <c r="I21" i="7"/>
  <c r="J21" i="7"/>
  <c r="K21" i="7"/>
  <c r="L21" i="7"/>
  <c r="M21" i="7"/>
  <c r="O21" i="7"/>
  <c r="H22" i="7"/>
  <c r="I22" i="7"/>
  <c r="J22" i="7"/>
  <c r="K22" i="7"/>
  <c r="L22" i="7"/>
  <c r="M22" i="7"/>
  <c r="O22" i="7"/>
  <c r="G21" i="7"/>
  <c r="G22" i="7"/>
  <c r="G20" i="7"/>
  <c r="E19" i="7"/>
  <c r="F19" i="7"/>
  <c r="H19" i="7"/>
  <c r="I19" i="7"/>
  <c r="J19" i="7"/>
  <c r="K19" i="7"/>
  <c r="L19" i="7"/>
  <c r="M19" i="7"/>
  <c r="O19" i="7"/>
  <c r="G19" i="7"/>
  <c r="H18" i="7"/>
  <c r="I18" i="7"/>
  <c r="J18" i="7"/>
  <c r="K18" i="7"/>
  <c r="L18" i="7"/>
  <c r="M18" i="7"/>
  <c r="O18" i="7"/>
  <c r="E18" i="7"/>
  <c r="F18" i="7"/>
  <c r="G18" i="7"/>
  <c r="J18" i="6" l="1"/>
  <c r="J19" i="6"/>
  <c r="J20" i="6"/>
  <c r="J21" i="6"/>
  <c r="J22" i="6"/>
  <c r="J21" i="5"/>
  <c r="J22" i="5"/>
  <c r="J23" i="5"/>
  <c r="J24" i="5"/>
  <c r="J25" i="5"/>
  <c r="J25" i="1"/>
  <c r="J26" i="1"/>
  <c r="J27" i="1"/>
  <c r="J28" i="1"/>
  <c r="J29" i="1"/>
  <c r="I18" i="6" l="1"/>
  <c r="I19" i="6"/>
  <c r="I20" i="6"/>
  <c r="I21" i="6"/>
  <c r="I22" i="6"/>
  <c r="I21" i="5"/>
  <c r="I22" i="5"/>
  <c r="I23" i="5"/>
  <c r="I24" i="5"/>
  <c r="I25" i="5"/>
  <c r="I27" i="1"/>
  <c r="I28" i="1"/>
  <c r="I29" i="1"/>
  <c r="I26" i="1"/>
  <c r="I25" i="1"/>
  <c r="Q27" i="1" l="1"/>
  <c r="Q29" i="1"/>
  <c r="Q28" i="1"/>
  <c r="Q26" i="1"/>
  <c r="Q25" i="1"/>
  <c r="E44" i="10" l="1"/>
  <c r="AU567" i="2" l="1"/>
  <c r="AT567" i="2"/>
  <c r="AR567" i="2"/>
  <c r="AQ567" i="2"/>
  <c r="AO567" i="2"/>
  <c r="AN567" i="2"/>
  <c r="AE483" i="11"/>
  <c r="Q483" i="11"/>
  <c r="B483" i="11"/>
  <c r="AC580" i="2"/>
  <c r="AD580" i="2"/>
  <c r="AE580" i="2"/>
  <c r="AF580" i="2"/>
  <c r="AG580" i="2"/>
  <c r="AH580" i="2"/>
  <c r="AI580" i="2"/>
  <c r="AJ580" i="2"/>
  <c r="AK580" i="2"/>
  <c r="AL580" i="2"/>
  <c r="AM580" i="2"/>
  <c r="AO580" i="2"/>
  <c r="F16" i="1" s="1"/>
  <c r="AP580" i="2"/>
  <c r="G16" i="1" s="1"/>
  <c r="AQ580" i="2"/>
  <c r="H16" i="1" s="1"/>
  <c r="AR580" i="2"/>
  <c r="I16" i="1" s="1"/>
  <c r="AS580" i="2"/>
  <c r="J16" i="1" s="1"/>
  <c r="AT580" i="2"/>
  <c r="K16" i="1" s="1"/>
  <c r="AU580" i="2"/>
  <c r="L16" i="1" s="1"/>
  <c r="AV580" i="2"/>
  <c r="M16" i="1" s="1"/>
  <c r="AW580" i="2"/>
  <c r="N16" i="1" s="1"/>
  <c r="AX580" i="2"/>
  <c r="O16" i="1" s="1"/>
  <c r="AY580" i="2"/>
  <c r="P16" i="1" s="1"/>
  <c r="AB580" i="2"/>
  <c r="AC576" i="2"/>
  <c r="AD576" i="2"/>
  <c r="AE576" i="2"/>
  <c r="AF576" i="2"/>
  <c r="AG576" i="2"/>
  <c r="AH576" i="2"/>
  <c r="AI576" i="2"/>
  <c r="AJ576" i="2"/>
  <c r="AK576" i="2"/>
  <c r="AL576" i="2"/>
  <c r="AM576" i="2"/>
  <c r="AN576" i="2"/>
  <c r="E20" i="5" s="1"/>
  <c r="AO576" i="2"/>
  <c r="F20" i="5" s="1"/>
  <c r="AP576" i="2"/>
  <c r="G20" i="5" s="1"/>
  <c r="AQ576" i="2"/>
  <c r="H20" i="5" s="1"/>
  <c r="AR576" i="2"/>
  <c r="I20" i="5" s="1"/>
  <c r="AS576" i="2"/>
  <c r="J20" i="5" s="1"/>
  <c r="AT576" i="2"/>
  <c r="K20" i="5" s="1"/>
  <c r="AU576" i="2"/>
  <c r="L20" i="5" s="1"/>
  <c r="AV576" i="2"/>
  <c r="M20" i="5" s="1"/>
  <c r="AW576" i="2"/>
  <c r="N20" i="5" s="1"/>
  <c r="AX576" i="2"/>
  <c r="O20" i="5" s="1"/>
  <c r="AY576" i="2"/>
  <c r="P20" i="5" s="1"/>
  <c r="AC577" i="2"/>
  <c r="AD577" i="2"/>
  <c r="AE577" i="2"/>
  <c r="AF577" i="2"/>
  <c r="AG577" i="2"/>
  <c r="AH577" i="2"/>
  <c r="AI577" i="2"/>
  <c r="AJ577" i="2"/>
  <c r="AK577" i="2"/>
  <c r="AL577" i="2"/>
  <c r="AM577" i="2"/>
  <c r="AN577" i="2"/>
  <c r="E17" i="6" s="1"/>
  <c r="AO577" i="2"/>
  <c r="F17" i="6" s="1"/>
  <c r="AP577" i="2"/>
  <c r="G17" i="6" s="1"/>
  <c r="AQ577" i="2"/>
  <c r="H17" i="6" s="1"/>
  <c r="AR577" i="2"/>
  <c r="I17" i="6" s="1"/>
  <c r="AS577" i="2"/>
  <c r="J17" i="6" s="1"/>
  <c r="AT577" i="2"/>
  <c r="K17" i="6" s="1"/>
  <c r="AU577" i="2"/>
  <c r="L17" i="6" s="1"/>
  <c r="AV577" i="2"/>
  <c r="M17" i="6" s="1"/>
  <c r="AW577" i="2"/>
  <c r="N17" i="6" s="1"/>
  <c r="AX577" i="2"/>
  <c r="O17" i="6" s="1"/>
  <c r="AY577" i="2"/>
  <c r="P17" i="6" s="1"/>
  <c r="AC578" i="2"/>
  <c r="AD578" i="2"/>
  <c r="AE578" i="2"/>
  <c r="AF578" i="2"/>
  <c r="AG578" i="2"/>
  <c r="AH578" i="2"/>
  <c r="AI578" i="2"/>
  <c r="AJ578" i="2"/>
  <c r="AK578" i="2"/>
  <c r="AL578" i="2"/>
  <c r="AM578" i="2"/>
  <c r="AN578" i="2"/>
  <c r="E18" i="9" s="1"/>
  <c r="AO578" i="2"/>
  <c r="F18" i="9" s="1"/>
  <c r="AP578" i="2"/>
  <c r="AQ578" i="2"/>
  <c r="AR578" i="2"/>
  <c r="AS578" i="2"/>
  <c r="AT578" i="2"/>
  <c r="AU578" i="2"/>
  <c r="AV578" i="2"/>
  <c r="AW578" i="2"/>
  <c r="AX578" i="2"/>
  <c r="AY578" i="2"/>
  <c r="P18" i="9" s="1"/>
  <c r="AC579" i="2"/>
  <c r="AD579" i="2"/>
  <c r="AE579" i="2"/>
  <c r="AF579" i="2"/>
  <c r="AG579" i="2"/>
  <c r="AH579" i="2"/>
  <c r="AI579" i="2"/>
  <c r="AJ579" i="2"/>
  <c r="AK579" i="2"/>
  <c r="AL579" i="2"/>
  <c r="AM579" i="2"/>
  <c r="AN579" i="2"/>
  <c r="E18" i="10" s="1"/>
  <c r="AO579" i="2"/>
  <c r="F18" i="10" s="1"/>
  <c r="AP579" i="2"/>
  <c r="G18" i="10" s="1"/>
  <c r="AQ579" i="2"/>
  <c r="H18" i="10" s="1"/>
  <c r="AR579" i="2"/>
  <c r="I18" i="10" s="1"/>
  <c r="AS579" i="2"/>
  <c r="J18" i="10" s="1"/>
  <c r="AT579" i="2"/>
  <c r="K18" i="10" s="1"/>
  <c r="AU579" i="2"/>
  <c r="L18" i="10" s="1"/>
  <c r="AV579" i="2"/>
  <c r="M18" i="10" s="1"/>
  <c r="AW579" i="2"/>
  <c r="N18" i="10" s="1"/>
  <c r="AX579" i="2"/>
  <c r="O18" i="10" s="1"/>
  <c r="AY579" i="2"/>
  <c r="P18" i="10" s="1"/>
  <c r="AB577" i="2"/>
  <c r="AB578" i="2"/>
  <c r="AB579" i="2"/>
  <c r="AB576" i="2"/>
  <c r="E482" i="11"/>
  <c r="F482" i="11"/>
  <c r="G482" i="11"/>
  <c r="H482" i="11"/>
  <c r="I482" i="11"/>
  <c r="J482" i="11"/>
  <c r="K482" i="11"/>
  <c r="L482" i="11"/>
  <c r="M482" i="11"/>
  <c r="N482" i="11"/>
  <c r="O482" i="11"/>
  <c r="D482" i="11"/>
  <c r="AE477" i="11"/>
  <c r="AE478" i="11" s="1"/>
  <c r="AE479" i="11" s="1"/>
  <c r="AE480" i="11" s="1"/>
  <c r="AE481" i="11" s="1"/>
  <c r="AE482" i="11" s="1"/>
  <c r="E478" i="11"/>
  <c r="F478" i="11"/>
  <c r="G478" i="11"/>
  <c r="H478" i="11"/>
  <c r="I478" i="11"/>
  <c r="J478" i="11"/>
  <c r="K478" i="11"/>
  <c r="L478" i="11"/>
  <c r="M478" i="11"/>
  <c r="N478" i="11"/>
  <c r="O478" i="11"/>
  <c r="E479" i="11"/>
  <c r="F479" i="11"/>
  <c r="G479" i="11"/>
  <c r="H479" i="11"/>
  <c r="I479" i="11"/>
  <c r="J479" i="11"/>
  <c r="K479" i="11"/>
  <c r="L479" i="11"/>
  <c r="M479" i="11"/>
  <c r="N479" i="11"/>
  <c r="O479" i="11"/>
  <c r="E480" i="11"/>
  <c r="F480" i="11"/>
  <c r="G480" i="11"/>
  <c r="H480" i="11"/>
  <c r="I480" i="11"/>
  <c r="J480" i="11"/>
  <c r="K480" i="11"/>
  <c r="L480" i="11"/>
  <c r="M480" i="11"/>
  <c r="N480" i="11"/>
  <c r="O480" i="11"/>
  <c r="E481" i="11"/>
  <c r="F481" i="11"/>
  <c r="G481" i="11"/>
  <c r="H481" i="11"/>
  <c r="I481" i="11"/>
  <c r="J481" i="11"/>
  <c r="K481" i="11"/>
  <c r="L481" i="11"/>
  <c r="M481" i="11"/>
  <c r="N481" i="11"/>
  <c r="O481" i="11"/>
  <c r="D479" i="11"/>
  <c r="D480" i="11"/>
  <c r="D481" i="11"/>
  <c r="D478" i="11"/>
  <c r="S478" i="11" s="1"/>
  <c r="Q480" i="11"/>
  <c r="Q481" i="11" s="1"/>
  <c r="Q482" i="11" s="1"/>
  <c r="B480" i="11"/>
  <c r="B481" i="11"/>
  <c r="B482" i="11" s="1"/>
  <c r="D29" i="1"/>
  <c r="D28" i="1"/>
  <c r="D27" i="1"/>
  <c r="D26" i="1"/>
  <c r="D25" i="1"/>
  <c r="D25" i="5"/>
  <c r="D24" i="5"/>
  <c r="D23" i="5"/>
  <c r="D22" i="5"/>
  <c r="D21" i="5"/>
  <c r="D22" i="6"/>
  <c r="D21" i="6"/>
  <c r="D20" i="6"/>
  <c r="D19" i="6"/>
  <c r="D18" i="6"/>
  <c r="D22" i="7"/>
  <c r="D21" i="7"/>
  <c r="D20" i="7"/>
  <c r="D19" i="7"/>
  <c r="D18" i="7"/>
  <c r="D15" i="8"/>
  <c r="D14" i="8"/>
  <c r="D13" i="8"/>
  <c r="D12" i="8"/>
  <c r="D11" i="8"/>
  <c r="D483" i="11" l="1"/>
  <c r="S483" i="11" s="1"/>
  <c r="F23" i="8"/>
  <c r="H483" i="11"/>
  <c r="AK581" i="2"/>
  <c r="AU581" i="2"/>
  <c r="AT581" i="2"/>
  <c r="AS581" i="2"/>
  <c r="AE581" i="2"/>
  <c r="AX581" i="2"/>
  <c r="AD581" i="2"/>
  <c r="N483" i="11"/>
  <c r="O483" i="11"/>
  <c r="AF581" i="2"/>
  <c r="G483" i="11"/>
  <c r="Q17" i="6"/>
  <c r="R17" i="6" s="1"/>
  <c r="L18" i="9"/>
  <c r="L23" i="8" s="1"/>
  <c r="AR581" i="2"/>
  <c r="I18" i="9"/>
  <c r="I23" i="8" s="1"/>
  <c r="AQ581" i="2"/>
  <c r="H18" i="9"/>
  <c r="H23" i="8" s="1"/>
  <c r="AL581" i="2"/>
  <c r="AB581" i="2"/>
  <c r="AJ581" i="2"/>
  <c r="F483" i="11"/>
  <c r="AI581" i="2"/>
  <c r="E483" i="11"/>
  <c r="AH581" i="2"/>
  <c r="M483" i="11"/>
  <c r="AG581" i="2"/>
  <c r="K18" i="9"/>
  <c r="K23" i="8" s="1"/>
  <c r="J18" i="9"/>
  <c r="J23" i="8" s="1"/>
  <c r="AP581" i="2"/>
  <c r="G18" i="9"/>
  <c r="AO581" i="2"/>
  <c r="E23" i="8"/>
  <c r="AM581" i="2"/>
  <c r="L483" i="11"/>
  <c r="K483" i="11"/>
  <c r="J483" i="11"/>
  <c r="O18" i="9"/>
  <c r="O23" i="8" s="1"/>
  <c r="I483" i="11"/>
  <c r="AW581" i="2"/>
  <c r="AC581" i="2"/>
  <c r="N18" i="9"/>
  <c r="N23" i="8" s="1"/>
  <c r="AV581" i="2"/>
  <c r="M18" i="9"/>
  <c r="M23" i="8" s="1"/>
  <c r="P23" i="8"/>
  <c r="Q18" i="10"/>
  <c r="AY581" i="2"/>
  <c r="T478" i="11"/>
  <c r="U478" i="11" s="1"/>
  <c r="V478" i="11" s="1"/>
  <c r="W478" i="11" s="1"/>
  <c r="X478" i="11" s="1"/>
  <c r="Y478" i="11" s="1"/>
  <c r="Z478" i="11" s="1"/>
  <c r="AA478" i="11" s="1"/>
  <c r="AB478" i="11" s="1"/>
  <c r="AC478" i="11" s="1"/>
  <c r="AD478" i="11" s="1"/>
  <c r="D20" i="5" s="1"/>
  <c r="AN581" i="2"/>
  <c r="AF480" i="11"/>
  <c r="D18" i="9" s="1"/>
  <c r="Q20" i="5"/>
  <c r="AF482" i="11"/>
  <c r="AF479" i="11"/>
  <c r="AF481" i="11"/>
  <c r="D18" i="10" s="1"/>
  <c r="AF478" i="11"/>
  <c r="S482" i="11"/>
  <c r="T482" i="11" s="1"/>
  <c r="U482" i="11" s="1"/>
  <c r="V482" i="11" s="1"/>
  <c r="W482" i="11" s="1"/>
  <c r="X482" i="11" s="1"/>
  <c r="Y482" i="11" s="1"/>
  <c r="Z482" i="11" s="1"/>
  <c r="AA482" i="11" s="1"/>
  <c r="AB482" i="11" s="1"/>
  <c r="AC482" i="11" s="1"/>
  <c r="AD482" i="11" s="1"/>
  <c r="D16" i="1" s="1"/>
  <c r="S481" i="11"/>
  <c r="T481" i="11" s="1"/>
  <c r="U481" i="11" s="1"/>
  <c r="V481" i="11" s="1"/>
  <c r="W481" i="11" s="1"/>
  <c r="X481" i="11" s="1"/>
  <c r="Y481" i="11" s="1"/>
  <c r="Z481" i="11" s="1"/>
  <c r="AA481" i="11" s="1"/>
  <c r="AB481" i="11" s="1"/>
  <c r="AC481" i="11" s="1"/>
  <c r="AD481" i="11" s="1"/>
  <c r="S480" i="11"/>
  <c r="T480" i="11" s="1"/>
  <c r="U480" i="11" s="1"/>
  <c r="V480" i="11" s="1"/>
  <c r="W480" i="11" s="1"/>
  <c r="X480" i="11" s="1"/>
  <c r="Y480" i="11" s="1"/>
  <c r="Z480" i="11" s="1"/>
  <c r="AA480" i="11" s="1"/>
  <c r="AB480" i="11" s="1"/>
  <c r="AC480" i="11" s="1"/>
  <c r="AD480" i="11" s="1"/>
  <c r="S479" i="11"/>
  <c r="T479" i="11" s="1"/>
  <c r="U479" i="11" s="1"/>
  <c r="V479" i="11" s="1"/>
  <c r="W479" i="11" s="1"/>
  <c r="X479" i="11" s="1"/>
  <c r="Y479" i="11" s="1"/>
  <c r="Z479" i="11" s="1"/>
  <c r="AA479" i="11" s="1"/>
  <c r="AB479" i="11" s="1"/>
  <c r="AC479" i="11" s="1"/>
  <c r="AD479" i="11" s="1"/>
  <c r="D17" i="6" s="1"/>
  <c r="D23" i="8" l="1"/>
  <c r="AF483" i="11"/>
  <c r="Q18" i="9"/>
  <c r="R18" i="9" s="1"/>
  <c r="G23" i="8"/>
  <c r="Q23" i="8" s="1"/>
  <c r="T483" i="11"/>
  <c r="U483" i="11" s="1"/>
  <c r="V483" i="11" s="1"/>
  <c r="W483" i="11" s="1"/>
  <c r="X483" i="11" s="1"/>
  <c r="Y483" i="11" s="1"/>
  <c r="Z483" i="11" s="1"/>
  <c r="AA483" i="11" s="1"/>
  <c r="AB483" i="11" s="1"/>
  <c r="AC483" i="11" s="1"/>
  <c r="AD483" i="11" s="1"/>
  <c r="R20" i="5"/>
  <c r="R18" i="10"/>
  <c r="CO6" i="14"/>
  <c r="CP6" i="14"/>
  <c r="CQ6" i="14"/>
  <c r="CR6" i="14"/>
  <c r="CS6" i="14"/>
  <c r="CO7" i="14"/>
  <c r="CP7" i="14"/>
  <c r="CQ7" i="14"/>
  <c r="CR7" i="14"/>
  <c r="CS7" i="14"/>
  <c r="CO8" i="14"/>
  <c r="CP8" i="14"/>
  <c r="CQ8" i="14"/>
  <c r="CR8" i="14"/>
  <c r="CS8" i="14"/>
  <c r="CO9" i="14"/>
  <c r="CP9" i="14"/>
  <c r="CQ9" i="14"/>
  <c r="CR9" i="14"/>
  <c r="CS9" i="14"/>
  <c r="CO10" i="14"/>
  <c r="CP10" i="14"/>
  <c r="CQ10" i="14"/>
  <c r="CR10" i="14"/>
  <c r="CS10" i="14"/>
  <c r="CS11" i="14"/>
  <c r="CO12" i="14"/>
  <c r="CP12" i="14"/>
  <c r="CQ12" i="14"/>
  <c r="CR12" i="14"/>
  <c r="CS12" i="14"/>
  <c r="CO13" i="14"/>
  <c r="CP13" i="14"/>
  <c r="CQ13" i="14"/>
  <c r="CR13" i="14"/>
  <c r="CS13" i="14"/>
  <c r="CO14" i="14"/>
  <c r="CP14" i="14"/>
  <c r="CQ14" i="14"/>
  <c r="CR14" i="14"/>
  <c r="CS14" i="14"/>
  <c r="CS22" i="14"/>
  <c r="CS23" i="14"/>
  <c r="CS24" i="14"/>
  <c r="CS25" i="14"/>
  <c r="CS26" i="14"/>
  <c r="CS27" i="14"/>
  <c r="CS28" i="14"/>
  <c r="CS29" i="14"/>
  <c r="CS36" i="14"/>
  <c r="CS37" i="14"/>
  <c r="CS38" i="14"/>
  <c r="CS39" i="14"/>
  <c r="CS40" i="14"/>
  <c r="CS41" i="14"/>
  <c r="CS42" i="14"/>
  <c r="CS43" i="14"/>
  <c r="CS44" i="14"/>
  <c r="CS53" i="14"/>
  <c r="CS54" i="14"/>
  <c r="CS55" i="14"/>
  <c r="CS56" i="14"/>
  <c r="CS57" i="14"/>
  <c r="CS58" i="14"/>
  <c r="CS59" i="14"/>
  <c r="CS60" i="14"/>
  <c r="CS67" i="14"/>
  <c r="CS68" i="14"/>
  <c r="CS69" i="14"/>
  <c r="CS70" i="14"/>
  <c r="CS71" i="14"/>
  <c r="CS72" i="14"/>
  <c r="CS73" i="14"/>
  <c r="CS74" i="14"/>
  <c r="CS76" i="14"/>
  <c r="CS83" i="14"/>
  <c r="CS84" i="14"/>
  <c r="CS85" i="14"/>
  <c r="CS86" i="14"/>
  <c r="CS87" i="14"/>
  <c r="CS88" i="14"/>
  <c r="CS89" i="14"/>
  <c r="CS90" i="14"/>
  <c r="CS92" i="14"/>
  <c r="CS99" i="14"/>
  <c r="CS100" i="14"/>
  <c r="CS101" i="14"/>
  <c r="CS102" i="14"/>
  <c r="CS103" i="14"/>
  <c r="CS104" i="14"/>
  <c r="CS105" i="14"/>
  <c r="CS106" i="14"/>
  <c r="CS108" i="14"/>
  <c r="CH22" i="14"/>
  <c r="CI22" i="14"/>
  <c r="CJ22" i="14"/>
  <c r="CK22" i="14"/>
  <c r="CL22" i="14"/>
  <c r="CM22" i="14"/>
  <c r="CN22" i="14"/>
  <c r="CO22" i="14"/>
  <c r="CP22" i="14"/>
  <c r="CQ22" i="14"/>
  <c r="CR22" i="14"/>
  <c r="CH23" i="14"/>
  <c r="CI23" i="14"/>
  <c r="CJ23" i="14"/>
  <c r="CK23" i="14"/>
  <c r="CL23" i="14"/>
  <c r="CM23" i="14"/>
  <c r="CN23" i="14"/>
  <c r="CO23" i="14"/>
  <c r="CP23" i="14"/>
  <c r="CQ23" i="14"/>
  <c r="CR23" i="14"/>
  <c r="CH24" i="14"/>
  <c r="CI24" i="14"/>
  <c r="CJ24" i="14"/>
  <c r="CK24" i="14"/>
  <c r="CL24" i="14"/>
  <c r="CM24" i="14"/>
  <c r="CN24" i="14"/>
  <c r="CO24" i="14"/>
  <c r="CP24" i="14"/>
  <c r="CQ24" i="14"/>
  <c r="CR24" i="14"/>
  <c r="CH25" i="14"/>
  <c r="CI25" i="14"/>
  <c r="CJ25" i="14"/>
  <c r="CK25" i="14"/>
  <c r="CL25" i="14"/>
  <c r="CM25" i="14"/>
  <c r="CN25" i="14"/>
  <c r="CO25" i="14"/>
  <c r="CP25" i="14"/>
  <c r="CQ25" i="14"/>
  <c r="CR25" i="14"/>
  <c r="CH26" i="14"/>
  <c r="CI26" i="14"/>
  <c r="CJ26" i="14"/>
  <c r="CK26" i="14"/>
  <c r="CL26" i="14"/>
  <c r="CM26" i="14"/>
  <c r="CN26" i="14"/>
  <c r="CO26" i="14"/>
  <c r="CP26" i="14"/>
  <c r="CQ26" i="14"/>
  <c r="CR26" i="14"/>
  <c r="CH27" i="14"/>
  <c r="CI27" i="14"/>
  <c r="CJ27" i="14"/>
  <c r="CK27" i="14"/>
  <c r="CL27" i="14"/>
  <c r="CM27" i="14"/>
  <c r="CN27" i="14"/>
  <c r="CO27" i="14"/>
  <c r="CP27" i="14"/>
  <c r="CQ27" i="14"/>
  <c r="CR27" i="14"/>
  <c r="CH28" i="14"/>
  <c r="CI28" i="14"/>
  <c r="CJ28" i="14"/>
  <c r="CK28" i="14"/>
  <c r="CL28" i="14"/>
  <c r="CM28" i="14"/>
  <c r="CN28" i="14"/>
  <c r="CO28" i="14"/>
  <c r="CP28" i="14"/>
  <c r="CQ28" i="14"/>
  <c r="CR28" i="14"/>
  <c r="CH29" i="14"/>
  <c r="CI29" i="14"/>
  <c r="CJ29" i="14"/>
  <c r="CK29" i="14"/>
  <c r="CL29" i="14"/>
  <c r="CM29" i="14"/>
  <c r="CN29" i="14"/>
  <c r="CO29" i="14"/>
  <c r="CP29" i="14"/>
  <c r="CQ29" i="14"/>
  <c r="CR29" i="14"/>
  <c r="CH36" i="14"/>
  <c r="CI36" i="14"/>
  <c r="CJ36" i="14"/>
  <c r="CK36" i="14"/>
  <c r="CL36" i="14"/>
  <c r="CM36" i="14"/>
  <c r="CN36" i="14"/>
  <c r="CO36" i="14"/>
  <c r="CP36" i="14"/>
  <c r="CQ36" i="14"/>
  <c r="CR36" i="14"/>
  <c r="CH37" i="14"/>
  <c r="CI37" i="14"/>
  <c r="CJ37" i="14"/>
  <c r="CK37" i="14"/>
  <c r="CL37" i="14"/>
  <c r="CM37" i="14"/>
  <c r="CN37" i="14"/>
  <c r="CO37" i="14"/>
  <c r="CP37" i="14"/>
  <c r="CQ37" i="14"/>
  <c r="CR37" i="14"/>
  <c r="CH38" i="14"/>
  <c r="CI38" i="14"/>
  <c r="CJ38" i="14"/>
  <c r="CK38" i="14"/>
  <c r="CL38" i="14"/>
  <c r="CM38" i="14"/>
  <c r="CN38" i="14"/>
  <c r="CO38" i="14"/>
  <c r="CP38" i="14"/>
  <c r="CQ38" i="14"/>
  <c r="CR38" i="14"/>
  <c r="CH39" i="14"/>
  <c r="CI39" i="14"/>
  <c r="CJ39" i="14"/>
  <c r="CK39" i="14"/>
  <c r="CL39" i="14"/>
  <c r="CM39" i="14"/>
  <c r="CN39" i="14"/>
  <c r="CO39" i="14"/>
  <c r="CP39" i="14"/>
  <c r="CQ39" i="14"/>
  <c r="CR39" i="14"/>
  <c r="CH40" i="14"/>
  <c r="CI40" i="14"/>
  <c r="CJ40" i="14"/>
  <c r="CK40" i="14"/>
  <c r="CL40" i="14"/>
  <c r="CM40" i="14"/>
  <c r="CN40" i="14"/>
  <c r="CO40" i="14"/>
  <c r="CP40" i="14"/>
  <c r="CQ40" i="14"/>
  <c r="CR40" i="14"/>
  <c r="CH41" i="14"/>
  <c r="CI41" i="14"/>
  <c r="CJ41" i="14"/>
  <c r="CK41" i="14"/>
  <c r="CL41" i="14"/>
  <c r="CM41" i="14"/>
  <c r="CN41" i="14"/>
  <c r="CO41" i="14"/>
  <c r="CP41" i="14"/>
  <c r="CQ41" i="14"/>
  <c r="CR41" i="14"/>
  <c r="CH42" i="14"/>
  <c r="CI42" i="14"/>
  <c r="CJ42" i="14"/>
  <c r="CK42" i="14"/>
  <c r="CL42" i="14"/>
  <c r="CM42" i="14"/>
  <c r="CN42" i="14"/>
  <c r="CO42" i="14"/>
  <c r="CP42" i="14"/>
  <c r="CQ42" i="14"/>
  <c r="CR42" i="14"/>
  <c r="CH43" i="14"/>
  <c r="CI43" i="14"/>
  <c r="CJ43" i="14"/>
  <c r="CK43" i="14"/>
  <c r="CL43" i="14"/>
  <c r="CM43" i="14"/>
  <c r="CN43" i="14"/>
  <c r="CO43" i="14"/>
  <c r="CP43" i="14"/>
  <c r="CQ43" i="14"/>
  <c r="CR43" i="14"/>
  <c r="CH53" i="14"/>
  <c r="CI53" i="14"/>
  <c r="CJ53" i="14"/>
  <c r="CK53" i="14"/>
  <c r="CL53" i="14"/>
  <c r="CM53" i="14"/>
  <c r="CN53" i="14"/>
  <c r="CO53" i="14"/>
  <c r="CP53" i="14"/>
  <c r="CQ53" i="14"/>
  <c r="CR53" i="14"/>
  <c r="CH54" i="14"/>
  <c r="CI54" i="14"/>
  <c r="CJ54" i="14"/>
  <c r="CK54" i="14"/>
  <c r="CL54" i="14"/>
  <c r="CM54" i="14"/>
  <c r="CN54" i="14"/>
  <c r="CO54" i="14"/>
  <c r="CP54" i="14"/>
  <c r="CQ54" i="14"/>
  <c r="CR54" i="14"/>
  <c r="CH55" i="14"/>
  <c r="CI55" i="14"/>
  <c r="CJ55" i="14"/>
  <c r="CK55" i="14"/>
  <c r="CL55" i="14"/>
  <c r="CM55" i="14"/>
  <c r="CN55" i="14"/>
  <c r="CO55" i="14"/>
  <c r="CP55" i="14"/>
  <c r="CQ55" i="14"/>
  <c r="CR55" i="14"/>
  <c r="CH56" i="14"/>
  <c r="CI56" i="14"/>
  <c r="CJ56" i="14"/>
  <c r="CK56" i="14"/>
  <c r="CL56" i="14"/>
  <c r="CM56" i="14"/>
  <c r="CN56" i="14"/>
  <c r="CO56" i="14"/>
  <c r="CP56" i="14"/>
  <c r="CQ56" i="14"/>
  <c r="CR56" i="14"/>
  <c r="CH57" i="14"/>
  <c r="CI57" i="14"/>
  <c r="CJ57" i="14"/>
  <c r="CK57" i="14"/>
  <c r="CL57" i="14"/>
  <c r="CM57" i="14"/>
  <c r="CN57" i="14"/>
  <c r="CO57" i="14"/>
  <c r="CP57" i="14"/>
  <c r="CQ57" i="14"/>
  <c r="CR57" i="14"/>
  <c r="CH58" i="14"/>
  <c r="CI58" i="14"/>
  <c r="CJ58" i="14"/>
  <c r="CK58" i="14"/>
  <c r="CL58" i="14"/>
  <c r="CM58" i="14"/>
  <c r="CN58" i="14"/>
  <c r="CO58" i="14"/>
  <c r="CP58" i="14"/>
  <c r="CQ58" i="14"/>
  <c r="CR58" i="14"/>
  <c r="CH59" i="14"/>
  <c r="CI59" i="14"/>
  <c r="CJ59" i="14"/>
  <c r="CK59" i="14"/>
  <c r="CL59" i="14"/>
  <c r="CM59" i="14"/>
  <c r="CN59" i="14"/>
  <c r="CO59" i="14"/>
  <c r="CP59" i="14"/>
  <c r="CQ59" i="14"/>
  <c r="CR59" i="14"/>
  <c r="CH60" i="14"/>
  <c r="CI60" i="14"/>
  <c r="CJ60" i="14"/>
  <c r="CK60" i="14"/>
  <c r="CL60" i="14"/>
  <c r="CM60" i="14"/>
  <c r="CN60" i="14"/>
  <c r="CO60" i="14"/>
  <c r="CP60" i="14"/>
  <c r="CQ60" i="14"/>
  <c r="CR60" i="14"/>
  <c r="CH67" i="14"/>
  <c r="CI67" i="14"/>
  <c r="CJ67" i="14"/>
  <c r="CK67" i="14"/>
  <c r="CL67" i="14"/>
  <c r="CM67" i="14"/>
  <c r="CN67" i="14"/>
  <c r="CO67" i="14"/>
  <c r="CP67" i="14"/>
  <c r="CQ67" i="14"/>
  <c r="CR67" i="14"/>
  <c r="CH68" i="14"/>
  <c r="CI68" i="14"/>
  <c r="CJ68" i="14"/>
  <c r="CK68" i="14"/>
  <c r="CL68" i="14"/>
  <c r="CM68" i="14"/>
  <c r="CN68" i="14"/>
  <c r="CO68" i="14"/>
  <c r="CP68" i="14"/>
  <c r="CQ68" i="14"/>
  <c r="CR68" i="14"/>
  <c r="CH69" i="14"/>
  <c r="CI69" i="14"/>
  <c r="CJ69" i="14"/>
  <c r="CK69" i="14"/>
  <c r="CL69" i="14"/>
  <c r="CM69" i="14"/>
  <c r="CN69" i="14"/>
  <c r="CO69" i="14"/>
  <c r="CP69" i="14"/>
  <c r="CQ69" i="14"/>
  <c r="CR69" i="14"/>
  <c r="CH70" i="14"/>
  <c r="CI70" i="14"/>
  <c r="CJ70" i="14"/>
  <c r="CK70" i="14"/>
  <c r="CL70" i="14"/>
  <c r="CM70" i="14"/>
  <c r="CN70" i="14"/>
  <c r="CO70" i="14"/>
  <c r="CP70" i="14"/>
  <c r="CQ70" i="14"/>
  <c r="CR70" i="14"/>
  <c r="CH71" i="14"/>
  <c r="CI71" i="14"/>
  <c r="CJ71" i="14"/>
  <c r="CK71" i="14"/>
  <c r="CL71" i="14"/>
  <c r="CM71" i="14"/>
  <c r="CN71" i="14"/>
  <c r="CO71" i="14"/>
  <c r="CP71" i="14"/>
  <c r="CQ71" i="14"/>
  <c r="CR71" i="14"/>
  <c r="CH72" i="14"/>
  <c r="CI72" i="14"/>
  <c r="CJ72" i="14"/>
  <c r="CK72" i="14"/>
  <c r="CL72" i="14"/>
  <c r="CM72" i="14"/>
  <c r="CN72" i="14"/>
  <c r="CO72" i="14"/>
  <c r="CP72" i="14"/>
  <c r="CQ72" i="14"/>
  <c r="CR72" i="14"/>
  <c r="CH73" i="14"/>
  <c r="CI73" i="14"/>
  <c r="CJ73" i="14"/>
  <c r="CK73" i="14"/>
  <c r="CL73" i="14"/>
  <c r="CM73" i="14"/>
  <c r="CN73" i="14"/>
  <c r="CO73" i="14"/>
  <c r="CP73" i="14"/>
  <c r="CQ73" i="14"/>
  <c r="CR73" i="14"/>
  <c r="CH74" i="14"/>
  <c r="CI74" i="14"/>
  <c r="CJ74" i="14"/>
  <c r="CK74" i="14"/>
  <c r="CL74" i="14"/>
  <c r="CM74" i="14"/>
  <c r="CN74" i="14"/>
  <c r="CO74" i="14"/>
  <c r="CP74" i="14"/>
  <c r="CQ74" i="14"/>
  <c r="CR74" i="14"/>
  <c r="CH76" i="14"/>
  <c r="CI76" i="14"/>
  <c r="CJ76" i="14"/>
  <c r="CK76" i="14"/>
  <c r="CL76" i="14"/>
  <c r="CM76" i="14"/>
  <c r="CN76" i="14"/>
  <c r="CO76" i="14"/>
  <c r="CP76" i="14"/>
  <c r="CQ76" i="14"/>
  <c r="CR76" i="14"/>
  <c r="CH83" i="14"/>
  <c r="CI83" i="14"/>
  <c r="CJ83" i="14"/>
  <c r="CK83" i="14"/>
  <c r="CL83" i="14"/>
  <c r="CM83" i="14"/>
  <c r="CN83" i="14"/>
  <c r="CO83" i="14"/>
  <c r="CP83" i="14"/>
  <c r="CQ83" i="14"/>
  <c r="CR83" i="14"/>
  <c r="CH84" i="14"/>
  <c r="CI84" i="14"/>
  <c r="CJ84" i="14"/>
  <c r="CK84" i="14"/>
  <c r="CL84" i="14"/>
  <c r="CM84" i="14"/>
  <c r="CN84" i="14"/>
  <c r="CO84" i="14"/>
  <c r="CP84" i="14"/>
  <c r="CQ84" i="14"/>
  <c r="CR84" i="14"/>
  <c r="CH85" i="14"/>
  <c r="CI85" i="14"/>
  <c r="CJ85" i="14"/>
  <c r="CK85" i="14"/>
  <c r="CL85" i="14"/>
  <c r="CM85" i="14"/>
  <c r="CN85" i="14"/>
  <c r="CO85" i="14"/>
  <c r="CP85" i="14"/>
  <c r="CQ85" i="14"/>
  <c r="CR85" i="14"/>
  <c r="CH86" i="14"/>
  <c r="CI86" i="14"/>
  <c r="CJ86" i="14"/>
  <c r="CK86" i="14"/>
  <c r="CL86" i="14"/>
  <c r="CM86" i="14"/>
  <c r="CN86" i="14"/>
  <c r="CO86" i="14"/>
  <c r="CP86" i="14"/>
  <c r="CQ86" i="14"/>
  <c r="CR86" i="14"/>
  <c r="CH87" i="14"/>
  <c r="CI87" i="14"/>
  <c r="CJ87" i="14"/>
  <c r="CK87" i="14"/>
  <c r="CL87" i="14"/>
  <c r="CM87" i="14"/>
  <c r="CN87" i="14"/>
  <c r="CO87" i="14"/>
  <c r="CP87" i="14"/>
  <c r="CQ87" i="14"/>
  <c r="CR87" i="14"/>
  <c r="CH88" i="14"/>
  <c r="CI88" i="14"/>
  <c r="CJ88" i="14"/>
  <c r="CK88" i="14"/>
  <c r="CL88" i="14"/>
  <c r="CM88" i="14"/>
  <c r="CN88" i="14"/>
  <c r="CO88" i="14"/>
  <c r="CP88" i="14"/>
  <c r="CQ88" i="14"/>
  <c r="CR88" i="14"/>
  <c r="CH89" i="14"/>
  <c r="CI89" i="14"/>
  <c r="CJ89" i="14"/>
  <c r="CK89" i="14"/>
  <c r="CL89" i="14"/>
  <c r="CM89" i="14"/>
  <c r="CN89" i="14"/>
  <c r="CO89" i="14"/>
  <c r="CP89" i="14"/>
  <c r="CQ89" i="14"/>
  <c r="CR89" i="14"/>
  <c r="CH90" i="14"/>
  <c r="CI90" i="14"/>
  <c r="CJ90" i="14"/>
  <c r="CK90" i="14"/>
  <c r="CL90" i="14"/>
  <c r="CM90" i="14"/>
  <c r="CN90" i="14"/>
  <c r="CO90" i="14"/>
  <c r="CP90" i="14"/>
  <c r="CQ90" i="14"/>
  <c r="CR90" i="14"/>
  <c r="CH92" i="14"/>
  <c r="CI92" i="14"/>
  <c r="CJ92" i="14"/>
  <c r="CK92" i="14"/>
  <c r="CL92" i="14"/>
  <c r="CM92" i="14"/>
  <c r="CN92" i="14"/>
  <c r="CO92" i="14"/>
  <c r="CP92" i="14"/>
  <c r="CQ92" i="14"/>
  <c r="CR92" i="14"/>
  <c r="CH99" i="14"/>
  <c r="CI99" i="14"/>
  <c r="CJ99" i="14"/>
  <c r="CK99" i="14"/>
  <c r="CL99" i="14"/>
  <c r="CM99" i="14"/>
  <c r="CN99" i="14"/>
  <c r="CO99" i="14"/>
  <c r="CP99" i="14"/>
  <c r="CQ99" i="14"/>
  <c r="CR99" i="14"/>
  <c r="CH100" i="14"/>
  <c r="CI100" i="14"/>
  <c r="CJ100" i="14"/>
  <c r="CK100" i="14"/>
  <c r="CL100" i="14"/>
  <c r="CM100" i="14"/>
  <c r="CN100" i="14"/>
  <c r="CO100" i="14"/>
  <c r="CP100" i="14"/>
  <c r="CQ100" i="14"/>
  <c r="CR100" i="14"/>
  <c r="CH101" i="14"/>
  <c r="CI101" i="14"/>
  <c r="CJ101" i="14"/>
  <c r="CK101" i="14"/>
  <c r="CL101" i="14"/>
  <c r="CM101" i="14"/>
  <c r="CN101" i="14"/>
  <c r="CO101" i="14"/>
  <c r="CP101" i="14"/>
  <c r="CQ101" i="14"/>
  <c r="CR101" i="14"/>
  <c r="CH102" i="14"/>
  <c r="CI102" i="14"/>
  <c r="CJ102" i="14"/>
  <c r="CK102" i="14"/>
  <c r="CL102" i="14"/>
  <c r="CM102" i="14"/>
  <c r="CN102" i="14"/>
  <c r="CO102" i="14"/>
  <c r="CP102" i="14"/>
  <c r="CQ102" i="14"/>
  <c r="CR102" i="14"/>
  <c r="CH103" i="14"/>
  <c r="CI103" i="14"/>
  <c r="CJ103" i="14"/>
  <c r="CK103" i="14"/>
  <c r="CL103" i="14"/>
  <c r="CM103" i="14"/>
  <c r="CN103" i="14"/>
  <c r="CO103" i="14"/>
  <c r="CP103" i="14"/>
  <c r="CQ103" i="14"/>
  <c r="CR103" i="14"/>
  <c r="CH104" i="14"/>
  <c r="CI104" i="14"/>
  <c r="CJ104" i="14"/>
  <c r="CK104" i="14"/>
  <c r="CL104" i="14"/>
  <c r="CM104" i="14"/>
  <c r="CN104" i="14"/>
  <c r="CO104" i="14"/>
  <c r="CP104" i="14"/>
  <c r="CQ104" i="14"/>
  <c r="CR104" i="14"/>
  <c r="CH105" i="14"/>
  <c r="CI105" i="14"/>
  <c r="CJ105" i="14"/>
  <c r="CK105" i="14"/>
  <c r="CL105" i="14"/>
  <c r="CM105" i="14"/>
  <c r="CN105" i="14"/>
  <c r="CO105" i="14"/>
  <c r="CP105" i="14"/>
  <c r="CQ105" i="14"/>
  <c r="CR105" i="14"/>
  <c r="CH106" i="14"/>
  <c r="CI106" i="14"/>
  <c r="CJ106" i="14"/>
  <c r="CK106" i="14"/>
  <c r="CL106" i="14"/>
  <c r="CM106" i="14"/>
  <c r="CN106" i="14"/>
  <c r="CO106" i="14"/>
  <c r="CP106" i="14"/>
  <c r="CQ106" i="14"/>
  <c r="CR106" i="14"/>
  <c r="CH6" i="14"/>
  <c r="CI6" i="14"/>
  <c r="CJ6" i="14"/>
  <c r="CK6" i="14"/>
  <c r="CL6" i="14"/>
  <c r="CM6" i="14"/>
  <c r="CN6" i="14"/>
  <c r="CH7" i="14"/>
  <c r="CI7" i="14"/>
  <c r="CJ7" i="14"/>
  <c r="CK7" i="14"/>
  <c r="CL7" i="14"/>
  <c r="CM7" i="14"/>
  <c r="CN7" i="14"/>
  <c r="CH8" i="14"/>
  <c r="CI8" i="14"/>
  <c r="CJ8" i="14"/>
  <c r="CK8" i="14"/>
  <c r="CL8" i="14"/>
  <c r="CM8" i="14"/>
  <c r="CN8" i="14"/>
  <c r="CH9" i="14"/>
  <c r="CI9" i="14"/>
  <c r="CJ9" i="14"/>
  <c r="CK9" i="14"/>
  <c r="CL9" i="14"/>
  <c r="CM9" i="14"/>
  <c r="CN9" i="14"/>
  <c r="CH10" i="14"/>
  <c r="CI10" i="14"/>
  <c r="CJ10" i="14"/>
  <c r="CK10" i="14"/>
  <c r="CL10" i="14"/>
  <c r="CM10" i="14"/>
  <c r="CN10" i="14"/>
  <c r="CH12" i="14"/>
  <c r="CI12" i="14"/>
  <c r="CJ12" i="14"/>
  <c r="CK12" i="14"/>
  <c r="CL12" i="14"/>
  <c r="CM12" i="14"/>
  <c r="CN12" i="14"/>
  <c r="CH13" i="14"/>
  <c r="CI13" i="14"/>
  <c r="CJ13" i="14"/>
  <c r="CK13" i="14"/>
  <c r="CL13" i="14"/>
  <c r="CM13" i="14"/>
  <c r="CN13" i="14"/>
  <c r="CH14" i="14"/>
  <c r="CI14" i="14"/>
  <c r="CJ14" i="14"/>
  <c r="CK14" i="14"/>
  <c r="CL14" i="14"/>
  <c r="CM14" i="14"/>
  <c r="CN14" i="14"/>
  <c r="CH107" i="14" l="1"/>
  <c r="CH75" i="14"/>
  <c r="CH63" i="14" s="1"/>
  <c r="CI75" i="14"/>
  <c r="CI63" i="14" s="1"/>
  <c r="CQ107" i="14"/>
  <c r="CP91" i="14"/>
  <c r="CP79" i="14" s="1"/>
  <c r="CL15" i="14"/>
  <c r="CJ107" i="14"/>
  <c r="CI107" i="14"/>
  <c r="R23" i="8"/>
  <c r="CM15" i="14"/>
  <c r="CJ75" i="14"/>
  <c r="CJ63" i="14" s="1"/>
  <c r="CN15" i="14"/>
  <c r="CL107" i="14"/>
  <c r="CK107" i="14"/>
  <c r="CJ91" i="14"/>
  <c r="CJ79" i="14" s="1"/>
  <c r="CP15" i="14"/>
  <c r="CO15" i="14"/>
  <c r="CN91" i="14"/>
  <c r="CN79" i="14" s="1"/>
  <c r="CR15" i="14"/>
  <c r="CQ15" i="14"/>
  <c r="CN75" i="14"/>
  <c r="CN63" i="14" s="1"/>
  <c r="CS15" i="14"/>
  <c r="CQ91" i="14"/>
  <c r="CQ79" i="14" s="1"/>
  <c r="CM75" i="14"/>
  <c r="CM63" i="14" s="1"/>
  <c r="CL75" i="14"/>
  <c r="CL63" i="14" s="1"/>
  <c r="CI91" i="14"/>
  <c r="CI79" i="14" s="1"/>
  <c r="CK75" i="14"/>
  <c r="CK63" i="14" s="1"/>
  <c r="CS91" i="14"/>
  <c r="CS79" i="14" s="1"/>
  <c r="CS78" i="14" s="1"/>
  <c r="CR91" i="14"/>
  <c r="CR79" i="14" s="1"/>
  <c r="CO91" i="14"/>
  <c r="CO79" i="14" s="1"/>
  <c r="CH91" i="14"/>
  <c r="CH79" i="14" s="1"/>
  <c r="CS107" i="14"/>
  <c r="CJ32" i="14"/>
  <c r="CR18" i="14"/>
  <c r="CM91" i="14"/>
  <c r="CM79" i="14" s="1"/>
  <c r="CJ49" i="14"/>
  <c r="CR32" i="14"/>
  <c r="CI32" i="14"/>
  <c r="CQ18" i="14"/>
  <c r="CL91" i="14"/>
  <c r="CL79" i="14" s="1"/>
  <c r="CQ75" i="14"/>
  <c r="CQ63" i="14" s="1"/>
  <c r="CP18" i="14"/>
  <c r="CK91" i="14"/>
  <c r="CK79" i="14" s="1"/>
  <c r="CP75" i="14"/>
  <c r="CP63" i="14" s="1"/>
  <c r="CO18" i="14"/>
  <c r="CO75" i="14"/>
  <c r="CO63" i="14" s="1"/>
  <c r="CJ95" i="14"/>
  <c r="CS75" i="14"/>
  <c r="CS63" i="14" s="1"/>
  <c r="CS62" i="14" s="1"/>
  <c r="CN32" i="14"/>
  <c r="CK18" i="14"/>
  <c r="CJ18" i="14"/>
  <c r="CR107" i="14"/>
  <c r="CK95" i="14"/>
  <c r="CN49" i="14"/>
  <c r="CM49" i="14"/>
  <c r="CL32" i="14"/>
  <c r="CI18" i="14"/>
  <c r="CS32" i="14"/>
  <c r="CS31" i="14" s="1"/>
  <c r="CM32" i="14"/>
  <c r="CR75" i="14"/>
  <c r="CR63" i="14" s="1"/>
  <c r="CL49" i="14"/>
  <c r="CK32" i="14"/>
  <c r="CH18" i="14"/>
  <c r="CO107" i="14"/>
  <c r="CH95" i="14"/>
  <c r="CO49" i="14"/>
  <c r="CR95" i="14"/>
  <c r="CQ95" i="14"/>
  <c r="CR49" i="14"/>
  <c r="CP95" i="14"/>
  <c r="CS2" i="14"/>
  <c r="CS1" i="14" s="1"/>
  <c r="CO95" i="14"/>
  <c r="CS49" i="14"/>
  <c r="CS48" i="14" s="1"/>
  <c r="CP107" i="14"/>
  <c r="CN95" i="14"/>
  <c r="CS95" i="14"/>
  <c r="CS94" i="14" s="1"/>
  <c r="CM95" i="14"/>
  <c r="CQ32" i="14"/>
  <c r="CP32" i="14"/>
  <c r="CI95" i="14"/>
  <c r="CJ15" i="14"/>
  <c r="CL95" i="14"/>
  <c r="CK49" i="14"/>
  <c r="CQ49" i="14"/>
  <c r="CN107" i="14"/>
  <c r="CI15" i="14"/>
  <c r="CN18" i="14"/>
  <c r="CH32" i="14"/>
  <c r="CH15" i="14"/>
  <c r="CM18" i="14"/>
  <c r="CI49" i="14"/>
  <c r="CH49" i="14"/>
  <c r="CP49" i="14"/>
  <c r="CS18" i="14"/>
  <c r="CS17" i="14" s="1"/>
  <c r="CM107" i="14"/>
  <c r="CK15" i="14"/>
  <c r="CO32" i="14"/>
  <c r="CL18" i="14"/>
  <c r="CR48" i="14" l="1"/>
  <c r="CQ48" i="14" s="1"/>
  <c r="CP48" i="14" s="1"/>
  <c r="CO48" i="14" s="1"/>
  <c r="CN48" i="14" s="1"/>
  <c r="CM48" i="14" s="1"/>
  <c r="CL48" i="14" s="1"/>
  <c r="CK48" i="14" s="1"/>
  <c r="CJ48" i="14" s="1"/>
  <c r="CI48" i="14" s="1"/>
  <c r="CH48" i="14" s="1"/>
  <c r="CR31" i="14"/>
  <c r="CQ31" i="14" s="1"/>
  <c r="CP31" i="14" s="1"/>
  <c r="CO31" i="14" s="1"/>
  <c r="CN31" i="14" s="1"/>
  <c r="CM31" i="14" s="1"/>
  <c r="CL31" i="14" s="1"/>
  <c r="CK31" i="14" s="1"/>
  <c r="CJ31" i="14" s="1"/>
  <c r="CI31" i="14" s="1"/>
  <c r="CH31" i="14" s="1"/>
  <c r="CR78" i="14"/>
  <c r="CQ78" i="14" s="1"/>
  <c r="CP78" i="14" s="1"/>
  <c r="CO78" i="14" s="1"/>
  <c r="CN78" i="14" s="1"/>
  <c r="CM78" i="14" s="1"/>
  <c r="CL78" i="14" s="1"/>
  <c r="CK78" i="14" s="1"/>
  <c r="CJ78" i="14" s="1"/>
  <c r="CI78" i="14" s="1"/>
  <c r="CH78" i="14" s="1"/>
  <c r="CR17" i="14"/>
  <c r="CQ17" i="14" s="1"/>
  <c r="CP17" i="14" s="1"/>
  <c r="CO17" i="14" s="1"/>
  <c r="CN17" i="14" s="1"/>
  <c r="CM17" i="14" s="1"/>
  <c r="CL17" i="14" s="1"/>
  <c r="CK17" i="14" s="1"/>
  <c r="CJ17" i="14" s="1"/>
  <c r="CI17" i="14" s="1"/>
  <c r="CH17" i="14" s="1"/>
  <c r="CR94" i="14"/>
  <c r="CQ94" i="14" s="1"/>
  <c r="CP94" i="14" s="1"/>
  <c r="CO94" i="14" s="1"/>
  <c r="CN94" i="14" s="1"/>
  <c r="CM94" i="14" s="1"/>
  <c r="CL94" i="14" s="1"/>
  <c r="CK94" i="14" s="1"/>
  <c r="CJ94" i="14" s="1"/>
  <c r="CI94" i="14" s="1"/>
  <c r="CH94" i="14" s="1"/>
  <c r="CR62" i="14"/>
  <c r="CQ62" i="14" s="1"/>
  <c r="CP62" i="14" s="1"/>
  <c r="CO62" i="14" s="1"/>
  <c r="CN62" i="14" s="1"/>
  <c r="CM62" i="14" s="1"/>
  <c r="CL62" i="14" s="1"/>
  <c r="CK62" i="14" s="1"/>
  <c r="CJ62" i="14" s="1"/>
  <c r="CI62" i="14" s="1"/>
  <c r="CH62" i="14" s="1"/>
  <c r="O22" i="6" l="1"/>
  <c r="M22" i="6"/>
  <c r="L22" i="6"/>
  <c r="K22" i="6"/>
  <c r="H22" i="6"/>
  <c r="G22" i="6"/>
  <c r="O21" i="6"/>
  <c r="M21" i="6"/>
  <c r="L21" i="6"/>
  <c r="K21" i="6"/>
  <c r="H21" i="6"/>
  <c r="G21" i="6"/>
  <c r="O20" i="6"/>
  <c r="M20" i="6"/>
  <c r="L20" i="6"/>
  <c r="K20" i="6"/>
  <c r="H20" i="6"/>
  <c r="G20" i="6"/>
  <c r="O19" i="6"/>
  <c r="M19" i="6"/>
  <c r="L19" i="6"/>
  <c r="K19" i="6"/>
  <c r="H19" i="6"/>
  <c r="G19" i="6"/>
  <c r="O18" i="6"/>
  <c r="M18" i="6"/>
  <c r="L18" i="6"/>
  <c r="K18" i="6"/>
  <c r="H18" i="6"/>
  <c r="G18" i="6"/>
  <c r="O25" i="5"/>
  <c r="M25" i="5"/>
  <c r="L25" i="5"/>
  <c r="K25" i="5"/>
  <c r="H25" i="5"/>
  <c r="G25" i="5"/>
  <c r="O24" i="5"/>
  <c r="M24" i="5"/>
  <c r="L24" i="5"/>
  <c r="K24" i="5"/>
  <c r="H24" i="5"/>
  <c r="G24" i="5"/>
  <c r="O23" i="5"/>
  <c r="M23" i="5"/>
  <c r="L23" i="5"/>
  <c r="K23" i="5"/>
  <c r="H23" i="5"/>
  <c r="G23" i="5"/>
  <c r="O22" i="5"/>
  <c r="M22" i="5"/>
  <c r="L22" i="5"/>
  <c r="K22" i="5"/>
  <c r="H22" i="5"/>
  <c r="G22" i="5"/>
  <c r="O21" i="5"/>
  <c r="M21" i="5"/>
  <c r="L21" i="5"/>
  <c r="K21" i="5"/>
  <c r="H21" i="5"/>
  <c r="G21" i="5"/>
  <c r="O29" i="1"/>
  <c r="M29" i="1"/>
  <c r="L29" i="1"/>
  <c r="K29" i="1"/>
  <c r="H29" i="1"/>
  <c r="O28" i="1"/>
  <c r="M28" i="1"/>
  <c r="L28" i="1"/>
  <c r="K28" i="1"/>
  <c r="H28" i="1"/>
  <c r="O27" i="1"/>
  <c r="M27" i="1"/>
  <c r="L27" i="1"/>
  <c r="K27" i="1"/>
  <c r="H27" i="1"/>
  <c r="O26" i="1"/>
  <c r="M26" i="1"/>
  <c r="L26" i="1"/>
  <c r="K26" i="1"/>
  <c r="H26" i="1"/>
  <c r="O25" i="1"/>
  <c r="M25" i="1"/>
  <c r="L25" i="1"/>
  <c r="K25" i="1"/>
  <c r="H25" i="1"/>
  <c r="G25" i="1"/>
  <c r="Q574" i="2" l="1"/>
  <c r="R574" i="2"/>
  <c r="S574" i="2"/>
  <c r="T574" i="2"/>
  <c r="U574" i="2"/>
  <c r="V574" i="2"/>
  <c r="W574" i="2"/>
  <c r="X574" i="2"/>
  <c r="Y574" i="2"/>
  <c r="Z574" i="2"/>
  <c r="AA574" i="2"/>
  <c r="AB574" i="2"/>
  <c r="AC574" i="2"/>
  <c r="AD574" i="2"/>
  <c r="AE574" i="2"/>
  <c r="AF574" i="2"/>
  <c r="AG574" i="2"/>
  <c r="AH574" i="2"/>
  <c r="AI574" i="2"/>
  <c r="AJ574" i="2"/>
  <c r="AK574" i="2"/>
  <c r="AL574" i="2"/>
  <c r="AM574" i="2"/>
  <c r="AN574" i="2"/>
  <c r="AO574" i="2"/>
  <c r="AQ574" i="2"/>
  <c r="AR574" i="2"/>
  <c r="AS574" i="2"/>
  <c r="AT574" i="2"/>
  <c r="AU574" i="2"/>
  <c r="AV574" i="2"/>
  <c r="AW574" i="2"/>
  <c r="AX574" i="2"/>
  <c r="AY574" i="2"/>
  <c r="P574" i="2"/>
  <c r="E572" i="2"/>
  <c r="F572" i="2"/>
  <c r="G572" i="2"/>
  <c r="H572" i="2"/>
  <c r="I572" i="2"/>
  <c r="J572" i="2"/>
  <c r="K572" i="2"/>
  <c r="L572" i="2"/>
  <c r="M572" i="2"/>
  <c r="N572" i="2"/>
  <c r="O572" i="2"/>
  <c r="P572" i="2"/>
  <c r="Q572" i="2"/>
  <c r="R572" i="2"/>
  <c r="S572" i="2"/>
  <c r="T572" i="2"/>
  <c r="U572" i="2"/>
  <c r="V572" i="2"/>
  <c r="W572" i="2"/>
  <c r="X572" i="2"/>
  <c r="Y572" i="2"/>
  <c r="Z572" i="2"/>
  <c r="AA572" i="2"/>
  <c r="AB572" i="2"/>
  <c r="AC572" i="2"/>
  <c r="AD572" i="2"/>
  <c r="AE572" i="2"/>
  <c r="AF572" i="2"/>
  <c r="AG572" i="2"/>
  <c r="AH572" i="2"/>
  <c r="AI572" i="2"/>
  <c r="AJ572" i="2"/>
  <c r="AK572" i="2"/>
  <c r="AL572" i="2"/>
  <c r="AM572" i="2"/>
  <c r="AN572" i="2"/>
  <c r="AO572" i="2"/>
  <c r="AP572" i="2"/>
  <c r="AQ572" i="2"/>
  <c r="AR572" i="2"/>
  <c r="AS572" i="2"/>
  <c r="AT572" i="2"/>
  <c r="AU572" i="2"/>
  <c r="AV572" i="2"/>
  <c r="AW572" i="2"/>
  <c r="AX572" i="2"/>
  <c r="AY572" i="2"/>
  <c r="P39" i="1" s="1"/>
  <c r="D572" i="2"/>
  <c r="E570" i="2"/>
  <c r="F570" i="2"/>
  <c r="G570" i="2"/>
  <c r="H570" i="2"/>
  <c r="I570" i="2"/>
  <c r="J570" i="2"/>
  <c r="K570" i="2"/>
  <c r="L570" i="2"/>
  <c r="M570" i="2"/>
  <c r="N570" i="2"/>
  <c r="O570" i="2"/>
  <c r="P570" i="2"/>
  <c r="Q570" i="2"/>
  <c r="R570" i="2"/>
  <c r="S570" i="2"/>
  <c r="T570" i="2"/>
  <c r="U570" i="2"/>
  <c r="V570" i="2"/>
  <c r="W570" i="2"/>
  <c r="X570" i="2"/>
  <c r="Y570" i="2"/>
  <c r="Z570" i="2"/>
  <c r="AA570" i="2"/>
  <c r="AB570" i="2"/>
  <c r="AC570" i="2"/>
  <c r="AD570" i="2"/>
  <c r="AE570" i="2"/>
  <c r="AF570" i="2"/>
  <c r="AG570" i="2"/>
  <c r="AH570" i="2"/>
  <c r="AI570" i="2"/>
  <c r="AJ570" i="2"/>
  <c r="AK570" i="2"/>
  <c r="AL570" i="2"/>
  <c r="AM570" i="2"/>
  <c r="AN570" i="2"/>
  <c r="AO570" i="2"/>
  <c r="AP570" i="2"/>
  <c r="AQ570" i="2"/>
  <c r="AR570" i="2"/>
  <c r="AS570" i="2"/>
  <c r="AT570" i="2"/>
  <c r="AU570" i="2"/>
  <c r="AV570" i="2"/>
  <c r="AW570" i="2"/>
  <c r="AX570" i="2"/>
  <c r="AY570" i="2"/>
  <c r="P64" i="1" s="1"/>
  <c r="D570" i="2"/>
  <c r="Q566" i="2"/>
  <c r="R566" i="2"/>
  <c r="S566" i="2"/>
  <c r="T566" i="2"/>
  <c r="U566" i="2"/>
  <c r="V566" i="2"/>
  <c r="W566" i="2"/>
  <c r="X566" i="2"/>
  <c r="Y566" i="2"/>
  <c r="Z566" i="2"/>
  <c r="AA566" i="2"/>
  <c r="AB566" i="2"/>
  <c r="AC566" i="2"/>
  <c r="AD566" i="2"/>
  <c r="AE566" i="2"/>
  <c r="AF566" i="2"/>
  <c r="AG566" i="2"/>
  <c r="AH566" i="2"/>
  <c r="AI566" i="2"/>
  <c r="AJ566" i="2"/>
  <c r="AK566" i="2"/>
  <c r="AL566" i="2"/>
  <c r="AM566" i="2"/>
  <c r="AN566" i="2"/>
  <c r="AO566" i="2"/>
  <c r="AP566" i="2"/>
  <c r="AQ566" i="2"/>
  <c r="AR566" i="2"/>
  <c r="AS566" i="2"/>
  <c r="AT566" i="2"/>
  <c r="AU566" i="2"/>
  <c r="AV566" i="2"/>
  <c r="AW566" i="2"/>
  <c r="AX566" i="2"/>
  <c r="AY566" i="2"/>
  <c r="Q567" i="2"/>
  <c r="R567" i="2"/>
  <c r="S567" i="2"/>
  <c r="T567" i="2"/>
  <c r="U567" i="2"/>
  <c r="V567" i="2"/>
  <c r="W567" i="2"/>
  <c r="X567" i="2"/>
  <c r="Y567" i="2"/>
  <c r="Z567" i="2"/>
  <c r="AA567" i="2"/>
  <c r="AB567" i="2"/>
  <c r="AC567" i="2"/>
  <c r="AD567" i="2"/>
  <c r="AE567" i="2"/>
  <c r="AF567" i="2"/>
  <c r="AG567" i="2"/>
  <c r="AH567" i="2"/>
  <c r="AI567" i="2"/>
  <c r="AJ567" i="2"/>
  <c r="AK567" i="2"/>
  <c r="AL567" i="2"/>
  <c r="AM567" i="2"/>
  <c r="AP567" i="2"/>
  <c r="G53" i="1" s="1"/>
  <c r="AS567" i="2"/>
  <c r="J53" i="1" s="1"/>
  <c r="AV567" i="2"/>
  <c r="AW567" i="2"/>
  <c r="AX567" i="2"/>
  <c r="AY567" i="2"/>
  <c r="P567" i="2"/>
  <c r="P566" i="2"/>
  <c r="E558" i="2"/>
  <c r="F558" i="2"/>
  <c r="G558" i="2"/>
  <c r="H558" i="2"/>
  <c r="I558" i="2"/>
  <c r="J558" i="2"/>
  <c r="K558" i="2"/>
  <c r="L558" i="2"/>
  <c r="M558" i="2"/>
  <c r="N558" i="2"/>
  <c r="O558" i="2"/>
  <c r="P558" i="2"/>
  <c r="Q558" i="2"/>
  <c r="R558" i="2"/>
  <c r="S558" i="2"/>
  <c r="T558" i="2"/>
  <c r="U558" i="2"/>
  <c r="V558" i="2"/>
  <c r="W558" i="2"/>
  <c r="X558" i="2"/>
  <c r="Y558" i="2"/>
  <c r="Z558" i="2"/>
  <c r="AA558" i="2"/>
  <c r="AB558" i="2"/>
  <c r="AC558" i="2"/>
  <c r="AD558" i="2"/>
  <c r="AE558" i="2"/>
  <c r="AF558" i="2"/>
  <c r="AG558" i="2"/>
  <c r="AH558" i="2"/>
  <c r="AI558" i="2"/>
  <c r="AJ558" i="2"/>
  <c r="AK558" i="2"/>
  <c r="AL558" i="2"/>
  <c r="AM558" i="2"/>
  <c r="AN558" i="2"/>
  <c r="AO558" i="2"/>
  <c r="AP558" i="2"/>
  <c r="AQ558" i="2"/>
  <c r="AR558" i="2"/>
  <c r="AS558" i="2"/>
  <c r="AT558" i="2"/>
  <c r="AU558" i="2"/>
  <c r="AV558" i="2"/>
  <c r="AW558" i="2"/>
  <c r="AX558" i="2"/>
  <c r="AY558" i="2"/>
  <c r="P33" i="1" s="1"/>
  <c r="E559" i="2"/>
  <c r="F559" i="2"/>
  <c r="G559" i="2"/>
  <c r="H559" i="2"/>
  <c r="I559" i="2"/>
  <c r="J559" i="2"/>
  <c r="K559" i="2"/>
  <c r="L559" i="2"/>
  <c r="M559" i="2"/>
  <c r="N559" i="2"/>
  <c r="O559" i="2"/>
  <c r="P559" i="2"/>
  <c r="Q559" i="2"/>
  <c r="R559" i="2"/>
  <c r="S559" i="2"/>
  <c r="T559" i="2"/>
  <c r="U559" i="2"/>
  <c r="V559" i="2"/>
  <c r="W559" i="2"/>
  <c r="X559" i="2"/>
  <c r="Y559" i="2"/>
  <c r="Z559" i="2"/>
  <c r="AA559" i="2"/>
  <c r="AB559" i="2"/>
  <c r="AC559" i="2"/>
  <c r="AD559" i="2"/>
  <c r="AE559" i="2"/>
  <c r="AF559" i="2"/>
  <c r="AG559" i="2"/>
  <c r="AH559" i="2"/>
  <c r="AI559" i="2"/>
  <c r="AJ559" i="2"/>
  <c r="AK559" i="2"/>
  <c r="AL559" i="2"/>
  <c r="AM559" i="2"/>
  <c r="AN559" i="2"/>
  <c r="AO559" i="2"/>
  <c r="AP559" i="2"/>
  <c r="AQ559" i="2"/>
  <c r="AR559" i="2"/>
  <c r="AS559" i="2"/>
  <c r="AT559" i="2"/>
  <c r="AU559" i="2"/>
  <c r="AV559" i="2"/>
  <c r="AW559" i="2"/>
  <c r="AX559" i="2"/>
  <c r="AY559" i="2"/>
  <c r="P34" i="1" s="1"/>
  <c r="E560" i="2"/>
  <c r="F560" i="2"/>
  <c r="G560" i="2"/>
  <c r="H560" i="2"/>
  <c r="I560" i="2"/>
  <c r="J560" i="2"/>
  <c r="K560" i="2"/>
  <c r="L560" i="2"/>
  <c r="M560" i="2"/>
  <c r="N560" i="2"/>
  <c r="O560" i="2"/>
  <c r="P560" i="2"/>
  <c r="Q560" i="2"/>
  <c r="R560" i="2"/>
  <c r="S560" i="2"/>
  <c r="T560" i="2"/>
  <c r="U560" i="2"/>
  <c r="V560" i="2"/>
  <c r="W560" i="2"/>
  <c r="X560" i="2"/>
  <c r="Y560" i="2"/>
  <c r="Z560" i="2"/>
  <c r="AA560" i="2"/>
  <c r="AB560" i="2"/>
  <c r="AC560" i="2"/>
  <c r="AD560" i="2"/>
  <c r="AE560" i="2"/>
  <c r="AF560" i="2"/>
  <c r="AG560" i="2"/>
  <c r="AH560" i="2"/>
  <c r="AI560" i="2"/>
  <c r="AJ560" i="2"/>
  <c r="AK560" i="2"/>
  <c r="AL560" i="2"/>
  <c r="AM560" i="2"/>
  <c r="AN560" i="2"/>
  <c r="AO560" i="2"/>
  <c r="AP560" i="2"/>
  <c r="AQ560" i="2"/>
  <c r="AR560" i="2"/>
  <c r="AS560" i="2"/>
  <c r="AT560" i="2"/>
  <c r="AU560" i="2"/>
  <c r="AV560" i="2"/>
  <c r="AW560" i="2"/>
  <c r="AX560" i="2"/>
  <c r="AY560" i="2"/>
  <c r="P35" i="1" s="1"/>
  <c r="E561" i="2"/>
  <c r="F561" i="2"/>
  <c r="G561" i="2"/>
  <c r="H561" i="2"/>
  <c r="I561" i="2"/>
  <c r="J561" i="2"/>
  <c r="K561" i="2"/>
  <c r="L561" i="2"/>
  <c r="M561" i="2"/>
  <c r="N561" i="2"/>
  <c r="O561" i="2"/>
  <c r="P561" i="2"/>
  <c r="Q561" i="2"/>
  <c r="R561" i="2"/>
  <c r="S561" i="2"/>
  <c r="T561" i="2"/>
  <c r="U561" i="2"/>
  <c r="V561" i="2"/>
  <c r="W561" i="2"/>
  <c r="X561" i="2"/>
  <c r="Y561" i="2"/>
  <c r="Z561" i="2"/>
  <c r="AA561" i="2"/>
  <c r="AB561" i="2"/>
  <c r="AC561" i="2"/>
  <c r="AD561" i="2"/>
  <c r="AE561" i="2"/>
  <c r="AF561" i="2"/>
  <c r="AG561" i="2"/>
  <c r="AH561" i="2"/>
  <c r="AI561" i="2"/>
  <c r="AJ561" i="2"/>
  <c r="AK561" i="2"/>
  <c r="AL561" i="2"/>
  <c r="AM561" i="2"/>
  <c r="AN561" i="2"/>
  <c r="AO561" i="2"/>
  <c r="AP561" i="2"/>
  <c r="AQ561" i="2"/>
  <c r="AR561" i="2"/>
  <c r="AS561" i="2"/>
  <c r="AT561" i="2"/>
  <c r="AU561" i="2"/>
  <c r="AV561" i="2"/>
  <c r="AW561" i="2"/>
  <c r="AX561" i="2"/>
  <c r="AY561" i="2"/>
  <c r="P36" i="1" s="1"/>
  <c r="E562" i="2"/>
  <c r="F562" i="2"/>
  <c r="G562" i="2"/>
  <c r="H562" i="2"/>
  <c r="I562" i="2"/>
  <c r="J562" i="2"/>
  <c r="K562" i="2"/>
  <c r="L562" i="2"/>
  <c r="M562" i="2"/>
  <c r="N562" i="2"/>
  <c r="O562" i="2"/>
  <c r="P562" i="2"/>
  <c r="Q562" i="2"/>
  <c r="R562" i="2"/>
  <c r="S562" i="2"/>
  <c r="T562" i="2"/>
  <c r="U562" i="2"/>
  <c r="V562" i="2"/>
  <c r="W562" i="2"/>
  <c r="X562" i="2"/>
  <c r="Y562" i="2"/>
  <c r="Z562" i="2"/>
  <c r="AA562" i="2"/>
  <c r="AB562" i="2"/>
  <c r="AC562" i="2"/>
  <c r="AD562" i="2"/>
  <c r="AE562" i="2"/>
  <c r="AF562" i="2"/>
  <c r="AG562" i="2"/>
  <c r="AH562" i="2"/>
  <c r="AI562" i="2"/>
  <c r="AJ562" i="2"/>
  <c r="AK562" i="2"/>
  <c r="AL562" i="2"/>
  <c r="AM562" i="2"/>
  <c r="AN562" i="2"/>
  <c r="AO562" i="2"/>
  <c r="AP562" i="2"/>
  <c r="AQ562" i="2"/>
  <c r="AR562" i="2"/>
  <c r="AS562" i="2"/>
  <c r="AT562" i="2"/>
  <c r="AU562" i="2"/>
  <c r="AV562" i="2"/>
  <c r="AW562" i="2"/>
  <c r="AX562" i="2"/>
  <c r="AY562" i="2"/>
  <c r="P37" i="1" s="1"/>
  <c r="E563" i="2"/>
  <c r="F563" i="2"/>
  <c r="G563" i="2"/>
  <c r="H563" i="2"/>
  <c r="I563" i="2"/>
  <c r="J563" i="2"/>
  <c r="K563" i="2"/>
  <c r="L563" i="2"/>
  <c r="M563" i="2"/>
  <c r="N563" i="2"/>
  <c r="O563" i="2"/>
  <c r="P563" i="2"/>
  <c r="Q563" i="2"/>
  <c r="R563" i="2"/>
  <c r="S563" i="2"/>
  <c r="T563" i="2"/>
  <c r="U563" i="2"/>
  <c r="V563" i="2"/>
  <c r="W563" i="2"/>
  <c r="X563" i="2"/>
  <c r="Y563" i="2"/>
  <c r="Z563" i="2"/>
  <c r="AA563" i="2"/>
  <c r="AB563" i="2"/>
  <c r="AC563" i="2"/>
  <c r="AD563" i="2"/>
  <c r="AE563" i="2"/>
  <c r="AF563" i="2"/>
  <c r="AG563" i="2"/>
  <c r="AH563" i="2"/>
  <c r="AI563" i="2"/>
  <c r="AJ563" i="2"/>
  <c r="AK563" i="2"/>
  <c r="AL563" i="2"/>
  <c r="AM563" i="2"/>
  <c r="AN563" i="2"/>
  <c r="AO563" i="2"/>
  <c r="AP563" i="2"/>
  <c r="AQ563" i="2"/>
  <c r="AR563" i="2"/>
  <c r="AS563" i="2"/>
  <c r="AT563" i="2"/>
  <c r="AU563" i="2"/>
  <c r="AV563" i="2"/>
  <c r="AW563" i="2"/>
  <c r="AX563" i="2"/>
  <c r="AY563" i="2"/>
  <c r="P38" i="1" s="1"/>
  <c r="D559" i="2"/>
  <c r="D560" i="2"/>
  <c r="D561" i="2"/>
  <c r="D562" i="2"/>
  <c r="D563" i="2"/>
  <c r="D558" i="2"/>
  <c r="E492" i="2"/>
  <c r="F492" i="2"/>
  <c r="G492" i="2"/>
  <c r="H492" i="2"/>
  <c r="I492" i="2"/>
  <c r="J492" i="2"/>
  <c r="K492" i="2"/>
  <c r="L492" i="2"/>
  <c r="M492" i="2"/>
  <c r="N492" i="2"/>
  <c r="O492" i="2"/>
  <c r="P492" i="2"/>
  <c r="Q492" i="2"/>
  <c r="R492" i="2"/>
  <c r="S492" i="2"/>
  <c r="T492" i="2"/>
  <c r="U492" i="2"/>
  <c r="V492" i="2"/>
  <c r="W492" i="2"/>
  <c r="X492" i="2"/>
  <c r="Y492" i="2"/>
  <c r="Z492" i="2"/>
  <c r="AA492" i="2"/>
  <c r="AB492" i="2"/>
  <c r="AC492" i="2"/>
  <c r="AD492" i="2"/>
  <c r="AE492" i="2"/>
  <c r="AF492" i="2"/>
  <c r="AG492" i="2"/>
  <c r="AH492" i="2"/>
  <c r="AI492" i="2"/>
  <c r="AJ492" i="2"/>
  <c r="AK492" i="2"/>
  <c r="AL492" i="2"/>
  <c r="AM492" i="2"/>
  <c r="AN492" i="2"/>
  <c r="AO492" i="2"/>
  <c r="AP492" i="2"/>
  <c r="AQ492" i="2"/>
  <c r="AR492" i="2"/>
  <c r="AS492" i="2"/>
  <c r="AT492" i="2"/>
  <c r="AU492" i="2"/>
  <c r="AV492" i="2"/>
  <c r="AW492" i="2"/>
  <c r="AX492" i="2"/>
  <c r="AY492" i="2"/>
  <c r="E493" i="2"/>
  <c r="F493" i="2"/>
  <c r="G493" i="2"/>
  <c r="H493" i="2"/>
  <c r="I493" i="2"/>
  <c r="J493" i="2"/>
  <c r="K493" i="2"/>
  <c r="L493" i="2"/>
  <c r="M493" i="2"/>
  <c r="N493" i="2"/>
  <c r="O493" i="2"/>
  <c r="P493" i="2"/>
  <c r="Q493" i="2"/>
  <c r="R493" i="2"/>
  <c r="S493" i="2"/>
  <c r="T493" i="2"/>
  <c r="U493" i="2"/>
  <c r="V493" i="2"/>
  <c r="W493" i="2"/>
  <c r="X493" i="2"/>
  <c r="Y493" i="2"/>
  <c r="Z493" i="2"/>
  <c r="AA493" i="2"/>
  <c r="AB493" i="2"/>
  <c r="AC493" i="2"/>
  <c r="AD493" i="2"/>
  <c r="AE493" i="2"/>
  <c r="AF493" i="2"/>
  <c r="AG493" i="2"/>
  <c r="AH493" i="2"/>
  <c r="AI493" i="2"/>
  <c r="AJ493" i="2"/>
  <c r="AK493" i="2"/>
  <c r="AL493" i="2"/>
  <c r="AM493" i="2"/>
  <c r="AN493" i="2"/>
  <c r="AO493" i="2"/>
  <c r="AP493" i="2"/>
  <c r="AQ493" i="2"/>
  <c r="AR493" i="2"/>
  <c r="AS493" i="2"/>
  <c r="AT493" i="2"/>
  <c r="AU493" i="2"/>
  <c r="AV493" i="2"/>
  <c r="AW493" i="2"/>
  <c r="AX493" i="2"/>
  <c r="AY493" i="2"/>
  <c r="E494" i="2"/>
  <c r="F494" i="2"/>
  <c r="G494" i="2"/>
  <c r="H494" i="2"/>
  <c r="I494" i="2"/>
  <c r="J494" i="2"/>
  <c r="K494" i="2"/>
  <c r="L494" i="2"/>
  <c r="M494" i="2"/>
  <c r="N494" i="2"/>
  <c r="O494" i="2"/>
  <c r="P494" i="2"/>
  <c r="Q494" i="2"/>
  <c r="R494" i="2"/>
  <c r="S494" i="2"/>
  <c r="T494" i="2"/>
  <c r="U494" i="2"/>
  <c r="V494" i="2"/>
  <c r="W494" i="2"/>
  <c r="X494" i="2"/>
  <c r="Y494" i="2"/>
  <c r="Z494" i="2"/>
  <c r="AA494" i="2"/>
  <c r="AB494" i="2"/>
  <c r="AC494" i="2"/>
  <c r="AD494" i="2"/>
  <c r="AE494" i="2"/>
  <c r="AF494" i="2"/>
  <c r="AG494" i="2"/>
  <c r="AH494" i="2"/>
  <c r="AI494" i="2"/>
  <c r="AJ494" i="2"/>
  <c r="AK494" i="2"/>
  <c r="AL494" i="2"/>
  <c r="AM494" i="2"/>
  <c r="AN494" i="2"/>
  <c r="AO494" i="2"/>
  <c r="AP494" i="2"/>
  <c r="AQ494" i="2"/>
  <c r="AR494" i="2"/>
  <c r="AS494" i="2"/>
  <c r="AT494" i="2"/>
  <c r="AU494" i="2"/>
  <c r="AV494" i="2"/>
  <c r="AW494" i="2"/>
  <c r="AX494" i="2"/>
  <c r="AY494" i="2"/>
  <c r="E495" i="2"/>
  <c r="F495" i="2"/>
  <c r="G495" i="2"/>
  <c r="H495" i="2"/>
  <c r="I495" i="2"/>
  <c r="J495" i="2"/>
  <c r="K495" i="2"/>
  <c r="L495" i="2"/>
  <c r="M495" i="2"/>
  <c r="N495" i="2"/>
  <c r="O495" i="2"/>
  <c r="P495" i="2"/>
  <c r="Q495" i="2"/>
  <c r="R495" i="2"/>
  <c r="S495" i="2"/>
  <c r="T495" i="2"/>
  <c r="U495" i="2"/>
  <c r="V495" i="2"/>
  <c r="W495" i="2"/>
  <c r="X495" i="2"/>
  <c r="Y495" i="2"/>
  <c r="Z495" i="2"/>
  <c r="AA495" i="2"/>
  <c r="AB495" i="2"/>
  <c r="AC495" i="2"/>
  <c r="AD495" i="2"/>
  <c r="AE495" i="2"/>
  <c r="AF495" i="2"/>
  <c r="AG495" i="2"/>
  <c r="AH495" i="2"/>
  <c r="AI495" i="2"/>
  <c r="AJ495" i="2"/>
  <c r="AK495" i="2"/>
  <c r="AL495" i="2"/>
  <c r="AM495" i="2"/>
  <c r="AN495" i="2"/>
  <c r="AO495" i="2"/>
  <c r="AP495" i="2"/>
  <c r="AQ495" i="2"/>
  <c r="AR495" i="2"/>
  <c r="AS495" i="2"/>
  <c r="AT495" i="2"/>
  <c r="AU495" i="2"/>
  <c r="AV495" i="2"/>
  <c r="AW495" i="2"/>
  <c r="AX495" i="2"/>
  <c r="AY495" i="2"/>
  <c r="E496" i="2"/>
  <c r="F496" i="2"/>
  <c r="G496" i="2"/>
  <c r="H496" i="2"/>
  <c r="I496" i="2"/>
  <c r="J496" i="2"/>
  <c r="K496" i="2"/>
  <c r="L496" i="2"/>
  <c r="M496" i="2"/>
  <c r="N496" i="2"/>
  <c r="O496" i="2"/>
  <c r="P496" i="2"/>
  <c r="Q496" i="2"/>
  <c r="R496" i="2"/>
  <c r="S496" i="2"/>
  <c r="T496" i="2"/>
  <c r="U496" i="2"/>
  <c r="V496" i="2"/>
  <c r="W496" i="2"/>
  <c r="X496" i="2"/>
  <c r="Y496" i="2"/>
  <c r="Z496" i="2"/>
  <c r="AA496" i="2"/>
  <c r="AB496" i="2"/>
  <c r="AC496" i="2"/>
  <c r="AD496" i="2"/>
  <c r="AE496" i="2"/>
  <c r="AF496" i="2"/>
  <c r="AG496" i="2"/>
  <c r="AH496" i="2"/>
  <c r="AI496" i="2"/>
  <c r="AJ496" i="2"/>
  <c r="AK496" i="2"/>
  <c r="AL496" i="2"/>
  <c r="AM496" i="2"/>
  <c r="AN496" i="2"/>
  <c r="AO496" i="2"/>
  <c r="AP496" i="2"/>
  <c r="AQ496" i="2"/>
  <c r="AR496" i="2"/>
  <c r="AS496" i="2"/>
  <c r="AT496" i="2"/>
  <c r="AU496" i="2"/>
  <c r="AV496" i="2"/>
  <c r="AW496" i="2"/>
  <c r="AX496" i="2"/>
  <c r="AY496" i="2"/>
  <c r="E497" i="2"/>
  <c r="F497" i="2"/>
  <c r="G497" i="2"/>
  <c r="H497" i="2"/>
  <c r="I497" i="2"/>
  <c r="J497" i="2"/>
  <c r="K497" i="2"/>
  <c r="L497" i="2"/>
  <c r="M497" i="2"/>
  <c r="N497" i="2"/>
  <c r="O497" i="2"/>
  <c r="P497" i="2"/>
  <c r="Q497" i="2"/>
  <c r="R497" i="2"/>
  <c r="S497" i="2"/>
  <c r="T497" i="2"/>
  <c r="U497" i="2"/>
  <c r="V497" i="2"/>
  <c r="W497" i="2"/>
  <c r="X497" i="2"/>
  <c r="Y497" i="2"/>
  <c r="Z497" i="2"/>
  <c r="AA497" i="2"/>
  <c r="AB497" i="2"/>
  <c r="AC497" i="2"/>
  <c r="AD497" i="2"/>
  <c r="AE497" i="2"/>
  <c r="AF497" i="2"/>
  <c r="AG497" i="2"/>
  <c r="AH497" i="2"/>
  <c r="AI497" i="2"/>
  <c r="AJ497" i="2"/>
  <c r="AK497" i="2"/>
  <c r="AL497" i="2"/>
  <c r="AM497" i="2"/>
  <c r="AY497" i="2"/>
  <c r="E498" i="2"/>
  <c r="F498" i="2"/>
  <c r="G498" i="2"/>
  <c r="H498" i="2"/>
  <c r="I498" i="2"/>
  <c r="J498" i="2"/>
  <c r="K498" i="2"/>
  <c r="L498" i="2"/>
  <c r="M498" i="2"/>
  <c r="N498" i="2"/>
  <c r="O498" i="2"/>
  <c r="P498" i="2"/>
  <c r="Q498" i="2"/>
  <c r="R498" i="2"/>
  <c r="S498" i="2"/>
  <c r="T498" i="2"/>
  <c r="U498" i="2"/>
  <c r="V498" i="2"/>
  <c r="W498" i="2"/>
  <c r="X498" i="2"/>
  <c r="Y498" i="2"/>
  <c r="Z498" i="2"/>
  <c r="AA498" i="2"/>
  <c r="AB498" i="2"/>
  <c r="AC498" i="2"/>
  <c r="AD498" i="2"/>
  <c r="AE498" i="2"/>
  <c r="AF498" i="2"/>
  <c r="AG498" i="2"/>
  <c r="AH498" i="2"/>
  <c r="AI498" i="2"/>
  <c r="AJ498" i="2"/>
  <c r="AK498" i="2"/>
  <c r="AM498" i="2"/>
  <c r="AY498" i="2"/>
  <c r="P17" i="1" s="1"/>
  <c r="E501" i="2"/>
  <c r="F501" i="2"/>
  <c r="G501" i="2"/>
  <c r="H501" i="2"/>
  <c r="I501" i="2"/>
  <c r="J501" i="2"/>
  <c r="K501" i="2"/>
  <c r="L501" i="2"/>
  <c r="M501" i="2"/>
  <c r="N501" i="2"/>
  <c r="O501" i="2"/>
  <c r="P501" i="2"/>
  <c r="Q501" i="2"/>
  <c r="R501" i="2"/>
  <c r="S501" i="2"/>
  <c r="T501" i="2"/>
  <c r="U501" i="2"/>
  <c r="V501" i="2"/>
  <c r="W501" i="2"/>
  <c r="X501" i="2"/>
  <c r="Y501" i="2"/>
  <c r="Z501" i="2"/>
  <c r="AA501" i="2"/>
  <c r="AB501" i="2"/>
  <c r="AC501" i="2"/>
  <c r="AD501" i="2"/>
  <c r="AE501" i="2"/>
  <c r="AF501" i="2"/>
  <c r="AG501" i="2"/>
  <c r="AH501" i="2"/>
  <c r="AI501" i="2"/>
  <c r="AJ501" i="2"/>
  <c r="AK501" i="2"/>
  <c r="AL501" i="2"/>
  <c r="AM501" i="2"/>
  <c r="AN501" i="2"/>
  <c r="AO501" i="2"/>
  <c r="AP501" i="2"/>
  <c r="AQ501" i="2"/>
  <c r="AR501" i="2"/>
  <c r="AS501" i="2"/>
  <c r="AT501" i="2"/>
  <c r="AU501" i="2"/>
  <c r="AV501" i="2"/>
  <c r="AW501" i="2"/>
  <c r="AX501" i="2"/>
  <c r="AY501" i="2"/>
  <c r="E502" i="2"/>
  <c r="F502" i="2"/>
  <c r="G502" i="2"/>
  <c r="H502" i="2"/>
  <c r="I502" i="2"/>
  <c r="J502" i="2"/>
  <c r="K502" i="2"/>
  <c r="L502" i="2"/>
  <c r="M502" i="2"/>
  <c r="N502" i="2"/>
  <c r="O502" i="2"/>
  <c r="P502" i="2"/>
  <c r="Q502" i="2"/>
  <c r="R502" i="2"/>
  <c r="S502" i="2"/>
  <c r="T502" i="2"/>
  <c r="U502" i="2"/>
  <c r="V502" i="2"/>
  <c r="W502" i="2"/>
  <c r="X502" i="2"/>
  <c r="Y502" i="2"/>
  <c r="Z502" i="2"/>
  <c r="AA502" i="2"/>
  <c r="AB502" i="2"/>
  <c r="AC502" i="2"/>
  <c r="AD502" i="2"/>
  <c r="AE502" i="2"/>
  <c r="AF502" i="2"/>
  <c r="AG502" i="2"/>
  <c r="AH502" i="2"/>
  <c r="AI502" i="2"/>
  <c r="AJ502" i="2"/>
  <c r="AK502" i="2"/>
  <c r="AL502" i="2"/>
  <c r="AM502" i="2"/>
  <c r="AN502" i="2"/>
  <c r="AO502" i="2"/>
  <c r="AP502" i="2"/>
  <c r="AQ502" i="2"/>
  <c r="AR502" i="2"/>
  <c r="AS502" i="2"/>
  <c r="AT502" i="2"/>
  <c r="AU502" i="2"/>
  <c r="AV502" i="2"/>
  <c r="AW502" i="2"/>
  <c r="AX502" i="2"/>
  <c r="AY502" i="2"/>
  <c r="E503" i="2"/>
  <c r="F503" i="2"/>
  <c r="G503" i="2"/>
  <c r="H503" i="2"/>
  <c r="I503" i="2"/>
  <c r="J503" i="2"/>
  <c r="K503" i="2"/>
  <c r="L503" i="2"/>
  <c r="M503" i="2"/>
  <c r="N503" i="2"/>
  <c r="O503" i="2"/>
  <c r="P503" i="2"/>
  <c r="Q503" i="2"/>
  <c r="R503" i="2"/>
  <c r="S503" i="2"/>
  <c r="T503" i="2"/>
  <c r="U503" i="2"/>
  <c r="V503" i="2"/>
  <c r="W503" i="2"/>
  <c r="X503" i="2"/>
  <c r="Y503" i="2"/>
  <c r="Z503" i="2"/>
  <c r="AA503" i="2"/>
  <c r="AB503" i="2"/>
  <c r="AC503" i="2"/>
  <c r="AD503" i="2"/>
  <c r="AE503" i="2"/>
  <c r="AF503" i="2"/>
  <c r="AG503" i="2"/>
  <c r="AH503" i="2"/>
  <c r="AI503" i="2"/>
  <c r="AJ503" i="2"/>
  <c r="AK503" i="2"/>
  <c r="AL503" i="2"/>
  <c r="AM503" i="2"/>
  <c r="AN503" i="2"/>
  <c r="AO503" i="2"/>
  <c r="AP503" i="2"/>
  <c r="AQ503" i="2"/>
  <c r="AR503" i="2"/>
  <c r="AS503" i="2"/>
  <c r="AT503" i="2"/>
  <c r="AU503" i="2"/>
  <c r="AV503" i="2"/>
  <c r="AW503" i="2"/>
  <c r="AX503" i="2"/>
  <c r="AY503" i="2"/>
  <c r="E504" i="2"/>
  <c r="F504" i="2"/>
  <c r="G504" i="2"/>
  <c r="H504" i="2"/>
  <c r="I504" i="2"/>
  <c r="J504" i="2"/>
  <c r="K504" i="2"/>
  <c r="L504" i="2"/>
  <c r="M504" i="2"/>
  <c r="N504" i="2"/>
  <c r="O504" i="2"/>
  <c r="P504" i="2"/>
  <c r="Q504" i="2"/>
  <c r="R504" i="2"/>
  <c r="S504" i="2"/>
  <c r="T504" i="2"/>
  <c r="U504" i="2"/>
  <c r="V504" i="2"/>
  <c r="W504" i="2"/>
  <c r="X504" i="2"/>
  <c r="Y504" i="2"/>
  <c r="Z504" i="2"/>
  <c r="AA504" i="2"/>
  <c r="AB504" i="2"/>
  <c r="AC504" i="2"/>
  <c r="AD504" i="2"/>
  <c r="AE504" i="2"/>
  <c r="AF504" i="2"/>
  <c r="AG504" i="2"/>
  <c r="AH504" i="2"/>
  <c r="AI504" i="2"/>
  <c r="AJ504" i="2"/>
  <c r="AK504" i="2"/>
  <c r="AL504" i="2"/>
  <c r="AM504" i="2"/>
  <c r="AN504" i="2"/>
  <c r="AO504" i="2"/>
  <c r="AP504" i="2"/>
  <c r="AQ504" i="2"/>
  <c r="AR504" i="2"/>
  <c r="AS504" i="2"/>
  <c r="AT504" i="2"/>
  <c r="AU504" i="2"/>
  <c r="AV504" i="2"/>
  <c r="AW504" i="2"/>
  <c r="AX504" i="2"/>
  <c r="AY504" i="2"/>
  <c r="E505" i="2"/>
  <c r="F505" i="2"/>
  <c r="G505" i="2"/>
  <c r="H505" i="2"/>
  <c r="I505" i="2"/>
  <c r="J505" i="2"/>
  <c r="K505" i="2"/>
  <c r="L505" i="2"/>
  <c r="M505" i="2"/>
  <c r="N505" i="2"/>
  <c r="O505" i="2"/>
  <c r="P505" i="2"/>
  <c r="Q505" i="2"/>
  <c r="R505" i="2"/>
  <c r="S505" i="2"/>
  <c r="T505" i="2"/>
  <c r="U505" i="2"/>
  <c r="V505" i="2"/>
  <c r="W505" i="2"/>
  <c r="X505" i="2"/>
  <c r="Y505" i="2"/>
  <c r="Z505" i="2"/>
  <c r="AA505" i="2"/>
  <c r="AB505" i="2"/>
  <c r="AC505" i="2"/>
  <c r="AD505" i="2"/>
  <c r="AE505" i="2"/>
  <c r="AF505" i="2"/>
  <c r="AG505" i="2"/>
  <c r="AH505" i="2"/>
  <c r="AI505" i="2"/>
  <c r="AJ505" i="2"/>
  <c r="AK505" i="2"/>
  <c r="AL505" i="2"/>
  <c r="AM505" i="2"/>
  <c r="AN505" i="2"/>
  <c r="AO505" i="2"/>
  <c r="AP505" i="2"/>
  <c r="AQ505" i="2"/>
  <c r="AR505" i="2"/>
  <c r="AS505" i="2"/>
  <c r="AT505" i="2"/>
  <c r="AU505" i="2"/>
  <c r="AV505" i="2"/>
  <c r="AW505" i="2"/>
  <c r="AX505" i="2"/>
  <c r="AY505" i="2"/>
  <c r="E506" i="2"/>
  <c r="F506" i="2"/>
  <c r="G506" i="2"/>
  <c r="H506" i="2"/>
  <c r="I506" i="2"/>
  <c r="J506" i="2"/>
  <c r="K506" i="2"/>
  <c r="L506" i="2"/>
  <c r="M506" i="2"/>
  <c r="N506" i="2"/>
  <c r="O506" i="2"/>
  <c r="P506" i="2"/>
  <c r="Q506" i="2"/>
  <c r="R506" i="2"/>
  <c r="S506" i="2"/>
  <c r="T506" i="2"/>
  <c r="U506" i="2"/>
  <c r="V506" i="2"/>
  <c r="W506" i="2"/>
  <c r="X506" i="2"/>
  <c r="Y506" i="2"/>
  <c r="Z506" i="2"/>
  <c r="AA506" i="2"/>
  <c r="AB506" i="2"/>
  <c r="AC506" i="2"/>
  <c r="AD506" i="2"/>
  <c r="AE506" i="2"/>
  <c r="AF506" i="2"/>
  <c r="AG506" i="2"/>
  <c r="AH506" i="2"/>
  <c r="AI506" i="2"/>
  <c r="AJ506" i="2"/>
  <c r="AK506" i="2"/>
  <c r="AL506" i="2"/>
  <c r="AM506" i="2"/>
  <c r="AY506" i="2"/>
  <c r="E507" i="2"/>
  <c r="F507" i="2"/>
  <c r="G507" i="2"/>
  <c r="H507" i="2"/>
  <c r="I507" i="2"/>
  <c r="J507" i="2"/>
  <c r="K507" i="2"/>
  <c r="L507" i="2"/>
  <c r="M507" i="2"/>
  <c r="N507" i="2"/>
  <c r="O507" i="2"/>
  <c r="P507" i="2"/>
  <c r="Q507" i="2"/>
  <c r="R507" i="2"/>
  <c r="S507" i="2"/>
  <c r="T507" i="2"/>
  <c r="U507" i="2"/>
  <c r="V507" i="2"/>
  <c r="W507" i="2"/>
  <c r="X507" i="2"/>
  <c r="Y507" i="2"/>
  <c r="Z507" i="2"/>
  <c r="AA507" i="2"/>
  <c r="AB507" i="2"/>
  <c r="AC507" i="2"/>
  <c r="AD507" i="2"/>
  <c r="AE507" i="2"/>
  <c r="AF507" i="2"/>
  <c r="AG507" i="2"/>
  <c r="AH507" i="2"/>
  <c r="AI507" i="2"/>
  <c r="AJ507" i="2"/>
  <c r="AK507" i="2"/>
  <c r="AL507" i="2"/>
  <c r="AM507" i="2"/>
  <c r="AY507" i="2"/>
  <c r="P18" i="1" s="1"/>
  <c r="E510" i="2"/>
  <c r="F510" i="2"/>
  <c r="G510" i="2"/>
  <c r="H510" i="2"/>
  <c r="I510" i="2"/>
  <c r="J510" i="2"/>
  <c r="K510" i="2"/>
  <c r="L510" i="2"/>
  <c r="M510" i="2"/>
  <c r="N510" i="2"/>
  <c r="O510" i="2"/>
  <c r="P510" i="2"/>
  <c r="Q510" i="2"/>
  <c r="R510" i="2"/>
  <c r="S510" i="2"/>
  <c r="T510" i="2"/>
  <c r="U510" i="2"/>
  <c r="V510" i="2"/>
  <c r="W510" i="2"/>
  <c r="X510" i="2"/>
  <c r="Y510" i="2"/>
  <c r="Z510" i="2"/>
  <c r="AA510" i="2"/>
  <c r="AB510" i="2"/>
  <c r="AC510" i="2"/>
  <c r="AD510" i="2"/>
  <c r="AE510" i="2"/>
  <c r="AF510" i="2"/>
  <c r="AG510" i="2"/>
  <c r="AH510" i="2"/>
  <c r="AI510" i="2"/>
  <c r="AJ510" i="2"/>
  <c r="AK510" i="2"/>
  <c r="AL510" i="2"/>
  <c r="AM510" i="2"/>
  <c r="AN510" i="2"/>
  <c r="AO510" i="2"/>
  <c r="AP510" i="2"/>
  <c r="AQ510" i="2"/>
  <c r="AR510" i="2"/>
  <c r="AS510" i="2"/>
  <c r="AT510" i="2"/>
  <c r="AU510" i="2"/>
  <c r="AV510" i="2"/>
  <c r="AW510" i="2"/>
  <c r="AX510" i="2"/>
  <c r="AY510" i="2"/>
  <c r="E511" i="2"/>
  <c r="F511" i="2"/>
  <c r="G511" i="2"/>
  <c r="H511" i="2"/>
  <c r="I511" i="2"/>
  <c r="J511" i="2"/>
  <c r="K511" i="2"/>
  <c r="L511" i="2"/>
  <c r="M511" i="2"/>
  <c r="N511" i="2"/>
  <c r="O511" i="2"/>
  <c r="P511" i="2"/>
  <c r="Q511" i="2"/>
  <c r="R511" i="2"/>
  <c r="S511" i="2"/>
  <c r="T511" i="2"/>
  <c r="U511" i="2"/>
  <c r="V511" i="2"/>
  <c r="W511" i="2"/>
  <c r="X511" i="2"/>
  <c r="Y511" i="2"/>
  <c r="Z511" i="2"/>
  <c r="AA511" i="2"/>
  <c r="AB511" i="2"/>
  <c r="AC511" i="2"/>
  <c r="AD511" i="2"/>
  <c r="AE511" i="2"/>
  <c r="AF511" i="2"/>
  <c r="AG511" i="2"/>
  <c r="AH511" i="2"/>
  <c r="AI511" i="2"/>
  <c r="AJ511" i="2"/>
  <c r="AK511" i="2"/>
  <c r="AL511" i="2"/>
  <c r="AM511" i="2"/>
  <c r="AN511" i="2"/>
  <c r="AO511" i="2"/>
  <c r="AP511" i="2"/>
  <c r="AQ511" i="2"/>
  <c r="AR511" i="2"/>
  <c r="AS511" i="2"/>
  <c r="AT511" i="2"/>
  <c r="AU511" i="2"/>
  <c r="AV511" i="2"/>
  <c r="AW511" i="2"/>
  <c r="AX511" i="2"/>
  <c r="AY511" i="2"/>
  <c r="E512" i="2"/>
  <c r="F512" i="2"/>
  <c r="G512" i="2"/>
  <c r="H512" i="2"/>
  <c r="I512" i="2"/>
  <c r="J512" i="2"/>
  <c r="K512" i="2"/>
  <c r="L512" i="2"/>
  <c r="M512" i="2"/>
  <c r="N512" i="2"/>
  <c r="O512" i="2"/>
  <c r="P512" i="2"/>
  <c r="Q512" i="2"/>
  <c r="R512" i="2"/>
  <c r="S512" i="2"/>
  <c r="T512" i="2"/>
  <c r="U512" i="2"/>
  <c r="V512" i="2"/>
  <c r="W512" i="2"/>
  <c r="X512" i="2"/>
  <c r="Y512" i="2"/>
  <c r="Z512" i="2"/>
  <c r="AA512" i="2"/>
  <c r="AB512" i="2"/>
  <c r="AC512" i="2"/>
  <c r="AD512" i="2"/>
  <c r="AE512" i="2"/>
  <c r="AF512" i="2"/>
  <c r="AG512" i="2"/>
  <c r="AH512" i="2"/>
  <c r="AI512" i="2"/>
  <c r="AJ512" i="2"/>
  <c r="AK512" i="2"/>
  <c r="AL512" i="2"/>
  <c r="AM512" i="2"/>
  <c r="AN512" i="2"/>
  <c r="AO512" i="2"/>
  <c r="AP512" i="2"/>
  <c r="AQ512" i="2"/>
  <c r="AR512" i="2"/>
  <c r="AS512" i="2"/>
  <c r="AT512" i="2"/>
  <c r="AU512" i="2"/>
  <c r="AV512" i="2"/>
  <c r="AW512" i="2"/>
  <c r="AX512" i="2"/>
  <c r="AY512" i="2"/>
  <c r="E513" i="2"/>
  <c r="F513" i="2"/>
  <c r="G513" i="2"/>
  <c r="H513" i="2"/>
  <c r="I513" i="2"/>
  <c r="J513" i="2"/>
  <c r="K513" i="2"/>
  <c r="L513" i="2"/>
  <c r="M513" i="2"/>
  <c r="N513" i="2"/>
  <c r="O513" i="2"/>
  <c r="P513" i="2"/>
  <c r="Q513" i="2"/>
  <c r="R513" i="2"/>
  <c r="S513" i="2"/>
  <c r="T513" i="2"/>
  <c r="U513" i="2"/>
  <c r="V513" i="2"/>
  <c r="W513" i="2"/>
  <c r="X513" i="2"/>
  <c r="Y513" i="2"/>
  <c r="Z513" i="2"/>
  <c r="AA513" i="2"/>
  <c r="AB513" i="2"/>
  <c r="AC513" i="2"/>
  <c r="AD513" i="2"/>
  <c r="AE513" i="2"/>
  <c r="AF513" i="2"/>
  <c r="AG513" i="2"/>
  <c r="AH513" i="2"/>
  <c r="AI513" i="2"/>
  <c r="AJ513" i="2"/>
  <c r="AK513" i="2"/>
  <c r="AL513" i="2"/>
  <c r="AM513" i="2"/>
  <c r="AN513" i="2"/>
  <c r="AO513" i="2"/>
  <c r="AP513" i="2"/>
  <c r="AQ513" i="2"/>
  <c r="AR513" i="2"/>
  <c r="AS513" i="2"/>
  <c r="AT513" i="2"/>
  <c r="AU513" i="2"/>
  <c r="AV513" i="2"/>
  <c r="AW513" i="2"/>
  <c r="AX513" i="2"/>
  <c r="AY513" i="2"/>
  <c r="E514" i="2"/>
  <c r="F514" i="2"/>
  <c r="G514" i="2"/>
  <c r="H514" i="2"/>
  <c r="I514" i="2"/>
  <c r="J514" i="2"/>
  <c r="K514" i="2"/>
  <c r="L514" i="2"/>
  <c r="M514" i="2"/>
  <c r="N514" i="2"/>
  <c r="O514" i="2"/>
  <c r="P514" i="2"/>
  <c r="Q514" i="2"/>
  <c r="R514" i="2"/>
  <c r="S514" i="2"/>
  <c r="T514" i="2"/>
  <c r="U514" i="2"/>
  <c r="V514" i="2"/>
  <c r="W514" i="2"/>
  <c r="X514" i="2"/>
  <c r="Y514" i="2"/>
  <c r="Z514" i="2"/>
  <c r="AA514" i="2"/>
  <c r="AB514" i="2"/>
  <c r="AC514" i="2"/>
  <c r="AD514" i="2"/>
  <c r="AE514" i="2"/>
  <c r="AF514" i="2"/>
  <c r="AG514" i="2"/>
  <c r="AH514" i="2"/>
  <c r="AI514" i="2"/>
  <c r="AJ514" i="2"/>
  <c r="AK514" i="2"/>
  <c r="AL514" i="2"/>
  <c r="AM514" i="2"/>
  <c r="AN514" i="2"/>
  <c r="AO514" i="2"/>
  <c r="AP514" i="2"/>
  <c r="AQ514" i="2"/>
  <c r="AR514" i="2"/>
  <c r="AS514" i="2"/>
  <c r="AT514" i="2"/>
  <c r="AU514" i="2"/>
  <c r="AV514" i="2"/>
  <c r="AW514" i="2"/>
  <c r="AX514" i="2"/>
  <c r="AY514" i="2"/>
  <c r="E515" i="2"/>
  <c r="F515" i="2"/>
  <c r="G515" i="2"/>
  <c r="H515" i="2"/>
  <c r="I515" i="2"/>
  <c r="J515" i="2"/>
  <c r="K515" i="2"/>
  <c r="L515" i="2"/>
  <c r="M515" i="2"/>
  <c r="N515" i="2"/>
  <c r="O515" i="2"/>
  <c r="P515" i="2"/>
  <c r="Q515" i="2"/>
  <c r="R515" i="2"/>
  <c r="S515" i="2"/>
  <c r="T515" i="2"/>
  <c r="U515" i="2"/>
  <c r="V515" i="2"/>
  <c r="W515" i="2"/>
  <c r="X515" i="2"/>
  <c r="Y515" i="2"/>
  <c r="Z515" i="2"/>
  <c r="AA515" i="2"/>
  <c r="AB515" i="2"/>
  <c r="AC515" i="2"/>
  <c r="AD515" i="2"/>
  <c r="AE515" i="2"/>
  <c r="AF515" i="2"/>
  <c r="AG515" i="2"/>
  <c r="AH515" i="2"/>
  <c r="AI515" i="2"/>
  <c r="AJ515" i="2"/>
  <c r="AK515" i="2"/>
  <c r="AL515" i="2"/>
  <c r="AM515" i="2"/>
  <c r="AN515" i="2"/>
  <c r="AO515" i="2"/>
  <c r="AP515" i="2"/>
  <c r="AQ515" i="2"/>
  <c r="AR515" i="2"/>
  <c r="AS515" i="2"/>
  <c r="AT515" i="2"/>
  <c r="AU515" i="2"/>
  <c r="AV515" i="2"/>
  <c r="AW515" i="2"/>
  <c r="AX515" i="2"/>
  <c r="AY515" i="2"/>
  <c r="E516" i="2"/>
  <c r="F516" i="2"/>
  <c r="G516" i="2"/>
  <c r="H516" i="2"/>
  <c r="I516" i="2"/>
  <c r="J516" i="2"/>
  <c r="K516" i="2"/>
  <c r="L516" i="2"/>
  <c r="M516" i="2"/>
  <c r="N516" i="2"/>
  <c r="O516" i="2"/>
  <c r="P516" i="2"/>
  <c r="Q516" i="2"/>
  <c r="R516" i="2"/>
  <c r="S516" i="2"/>
  <c r="T516" i="2"/>
  <c r="U516" i="2"/>
  <c r="V516" i="2"/>
  <c r="W516" i="2"/>
  <c r="X516" i="2"/>
  <c r="Y516" i="2"/>
  <c r="Z516" i="2"/>
  <c r="AA516" i="2"/>
  <c r="AB516" i="2"/>
  <c r="AC516" i="2"/>
  <c r="AD516" i="2"/>
  <c r="AE516" i="2"/>
  <c r="AF516" i="2"/>
  <c r="AG516" i="2"/>
  <c r="AH516" i="2"/>
  <c r="AI516" i="2"/>
  <c r="AJ516" i="2"/>
  <c r="AK516" i="2"/>
  <c r="AL516" i="2"/>
  <c r="AM516" i="2"/>
  <c r="AN516" i="2"/>
  <c r="AO516" i="2"/>
  <c r="AP516" i="2"/>
  <c r="AQ516" i="2"/>
  <c r="AR516" i="2"/>
  <c r="AS516" i="2"/>
  <c r="AT516" i="2"/>
  <c r="AU516" i="2"/>
  <c r="AV516" i="2"/>
  <c r="AW516" i="2"/>
  <c r="AX516" i="2"/>
  <c r="AY516" i="2"/>
  <c r="P24" i="1" s="1"/>
  <c r="E519" i="2"/>
  <c r="F519" i="2"/>
  <c r="G519" i="2"/>
  <c r="H519" i="2"/>
  <c r="I519" i="2"/>
  <c r="J519" i="2"/>
  <c r="K519" i="2"/>
  <c r="L519" i="2"/>
  <c r="M519" i="2"/>
  <c r="N519" i="2"/>
  <c r="O519" i="2"/>
  <c r="P519" i="2"/>
  <c r="Q519" i="2"/>
  <c r="R519" i="2"/>
  <c r="S519" i="2"/>
  <c r="T519" i="2"/>
  <c r="U519" i="2"/>
  <c r="V519" i="2"/>
  <c r="W519" i="2"/>
  <c r="X519" i="2"/>
  <c r="Y519" i="2"/>
  <c r="Z519" i="2"/>
  <c r="AA519" i="2"/>
  <c r="AB519" i="2"/>
  <c r="AC519" i="2"/>
  <c r="AD519" i="2"/>
  <c r="AE519" i="2"/>
  <c r="AF519" i="2"/>
  <c r="AG519" i="2"/>
  <c r="AH519" i="2"/>
  <c r="AI519" i="2"/>
  <c r="AJ519" i="2"/>
  <c r="AK519" i="2"/>
  <c r="AL519" i="2"/>
  <c r="AM519" i="2"/>
  <c r="AN519" i="2"/>
  <c r="AO519" i="2"/>
  <c r="AP519" i="2"/>
  <c r="AQ519" i="2"/>
  <c r="AR519" i="2"/>
  <c r="AS519" i="2"/>
  <c r="AT519" i="2"/>
  <c r="AU519" i="2"/>
  <c r="AV519" i="2"/>
  <c r="AW519" i="2"/>
  <c r="AX519" i="2"/>
  <c r="AY519" i="2"/>
  <c r="E520" i="2"/>
  <c r="F520" i="2"/>
  <c r="G520" i="2"/>
  <c r="H520" i="2"/>
  <c r="I520" i="2"/>
  <c r="J520" i="2"/>
  <c r="K520" i="2"/>
  <c r="L520" i="2"/>
  <c r="M520" i="2"/>
  <c r="N520" i="2"/>
  <c r="O520" i="2"/>
  <c r="P520" i="2"/>
  <c r="Q520" i="2"/>
  <c r="R520" i="2"/>
  <c r="S520" i="2"/>
  <c r="T520" i="2"/>
  <c r="U520" i="2"/>
  <c r="V520" i="2"/>
  <c r="W520" i="2"/>
  <c r="X520" i="2"/>
  <c r="Y520" i="2"/>
  <c r="Z520" i="2"/>
  <c r="AA520" i="2"/>
  <c r="AB520" i="2"/>
  <c r="AC520" i="2"/>
  <c r="AD520" i="2"/>
  <c r="AE520" i="2"/>
  <c r="AF520" i="2"/>
  <c r="AG520" i="2"/>
  <c r="AH520" i="2"/>
  <c r="AI520" i="2"/>
  <c r="AJ520" i="2"/>
  <c r="AK520" i="2"/>
  <c r="AL520" i="2"/>
  <c r="AM520" i="2"/>
  <c r="AN520" i="2"/>
  <c r="AO520" i="2"/>
  <c r="AP520" i="2"/>
  <c r="AQ520" i="2"/>
  <c r="AR520" i="2"/>
  <c r="AS520" i="2"/>
  <c r="AT520" i="2"/>
  <c r="AU520" i="2"/>
  <c r="AV520" i="2"/>
  <c r="AW520" i="2"/>
  <c r="AX520" i="2"/>
  <c r="AY520" i="2"/>
  <c r="E521" i="2"/>
  <c r="F521" i="2"/>
  <c r="G521" i="2"/>
  <c r="H521" i="2"/>
  <c r="I521" i="2"/>
  <c r="J521" i="2"/>
  <c r="K521" i="2"/>
  <c r="L521" i="2"/>
  <c r="M521" i="2"/>
  <c r="N521" i="2"/>
  <c r="O521" i="2"/>
  <c r="P521" i="2"/>
  <c r="Q521" i="2"/>
  <c r="R521" i="2"/>
  <c r="S521" i="2"/>
  <c r="T521" i="2"/>
  <c r="U521" i="2"/>
  <c r="V521" i="2"/>
  <c r="W521" i="2"/>
  <c r="X521" i="2"/>
  <c r="Y521" i="2"/>
  <c r="Z521" i="2"/>
  <c r="AA521" i="2"/>
  <c r="AB521" i="2"/>
  <c r="AC521" i="2"/>
  <c r="AD521" i="2"/>
  <c r="AE521" i="2"/>
  <c r="AF521" i="2"/>
  <c r="AG521" i="2"/>
  <c r="AH521" i="2"/>
  <c r="AI521" i="2"/>
  <c r="AJ521" i="2"/>
  <c r="AK521" i="2"/>
  <c r="AL521" i="2"/>
  <c r="AM521" i="2"/>
  <c r="AN521" i="2"/>
  <c r="AO521" i="2"/>
  <c r="AP521" i="2"/>
  <c r="AQ521" i="2"/>
  <c r="AR521" i="2"/>
  <c r="AS521" i="2"/>
  <c r="AT521" i="2"/>
  <c r="AU521" i="2"/>
  <c r="AV521" i="2"/>
  <c r="AW521" i="2"/>
  <c r="AX521" i="2"/>
  <c r="AY521" i="2"/>
  <c r="E522" i="2"/>
  <c r="F522" i="2"/>
  <c r="G522" i="2"/>
  <c r="H522" i="2"/>
  <c r="I522" i="2"/>
  <c r="J522" i="2"/>
  <c r="K522" i="2"/>
  <c r="L522" i="2"/>
  <c r="M522" i="2"/>
  <c r="N522" i="2"/>
  <c r="O522" i="2"/>
  <c r="P522" i="2"/>
  <c r="Q522" i="2"/>
  <c r="R522" i="2"/>
  <c r="S522" i="2"/>
  <c r="T522" i="2"/>
  <c r="U522" i="2"/>
  <c r="V522" i="2"/>
  <c r="W522" i="2"/>
  <c r="X522" i="2"/>
  <c r="Y522" i="2"/>
  <c r="Z522" i="2"/>
  <c r="AA522" i="2"/>
  <c r="AB522" i="2"/>
  <c r="AC522" i="2"/>
  <c r="AD522" i="2"/>
  <c r="AE522" i="2"/>
  <c r="AF522" i="2"/>
  <c r="AG522" i="2"/>
  <c r="AH522" i="2"/>
  <c r="AI522" i="2"/>
  <c r="AJ522" i="2"/>
  <c r="AK522" i="2"/>
  <c r="AL522" i="2"/>
  <c r="AM522" i="2"/>
  <c r="AN522" i="2"/>
  <c r="AO522" i="2"/>
  <c r="AP522" i="2"/>
  <c r="AQ522" i="2"/>
  <c r="AR522" i="2"/>
  <c r="AS522" i="2"/>
  <c r="AT522" i="2"/>
  <c r="AU522" i="2"/>
  <c r="AV522" i="2"/>
  <c r="AW522" i="2"/>
  <c r="AX522" i="2"/>
  <c r="AY522" i="2"/>
  <c r="E523" i="2"/>
  <c r="F523" i="2"/>
  <c r="G523" i="2"/>
  <c r="H523" i="2"/>
  <c r="I523" i="2"/>
  <c r="J523" i="2"/>
  <c r="K523" i="2"/>
  <c r="L523" i="2"/>
  <c r="M523" i="2"/>
  <c r="N523" i="2"/>
  <c r="O523" i="2"/>
  <c r="P523" i="2"/>
  <c r="Q523" i="2"/>
  <c r="R523" i="2"/>
  <c r="S523" i="2"/>
  <c r="T523" i="2"/>
  <c r="U523" i="2"/>
  <c r="V523" i="2"/>
  <c r="W523" i="2"/>
  <c r="X523" i="2"/>
  <c r="Y523" i="2"/>
  <c r="Z523" i="2"/>
  <c r="AA523" i="2"/>
  <c r="AB523" i="2"/>
  <c r="AC523" i="2"/>
  <c r="AD523" i="2"/>
  <c r="AE523" i="2"/>
  <c r="AF523" i="2"/>
  <c r="AG523" i="2"/>
  <c r="AH523" i="2"/>
  <c r="AI523" i="2"/>
  <c r="AJ523" i="2"/>
  <c r="AK523" i="2"/>
  <c r="AL523" i="2"/>
  <c r="AM523" i="2"/>
  <c r="AN523" i="2"/>
  <c r="AO523" i="2"/>
  <c r="AP523" i="2"/>
  <c r="AQ523" i="2"/>
  <c r="AR523" i="2"/>
  <c r="AS523" i="2"/>
  <c r="AT523" i="2"/>
  <c r="AU523" i="2"/>
  <c r="AV523" i="2"/>
  <c r="AW523" i="2"/>
  <c r="AX523" i="2"/>
  <c r="AY523" i="2"/>
  <c r="E524" i="2"/>
  <c r="F524" i="2"/>
  <c r="G524" i="2"/>
  <c r="H524" i="2"/>
  <c r="I524" i="2"/>
  <c r="J524" i="2"/>
  <c r="K524" i="2"/>
  <c r="L524" i="2"/>
  <c r="M524" i="2"/>
  <c r="N524" i="2"/>
  <c r="O524" i="2"/>
  <c r="P524" i="2"/>
  <c r="Q524" i="2"/>
  <c r="R524" i="2"/>
  <c r="S524" i="2"/>
  <c r="T524" i="2"/>
  <c r="U524" i="2"/>
  <c r="V524" i="2"/>
  <c r="W524" i="2"/>
  <c r="X524" i="2"/>
  <c r="Y524" i="2"/>
  <c r="Z524" i="2"/>
  <c r="AA524" i="2"/>
  <c r="AB524" i="2"/>
  <c r="AC524" i="2"/>
  <c r="AD524" i="2"/>
  <c r="AE524" i="2"/>
  <c r="AF524" i="2"/>
  <c r="AG524" i="2"/>
  <c r="AH524" i="2"/>
  <c r="AI524" i="2"/>
  <c r="AJ524" i="2"/>
  <c r="AK524" i="2"/>
  <c r="AL524" i="2"/>
  <c r="AM524" i="2"/>
  <c r="AN524" i="2"/>
  <c r="AO524" i="2"/>
  <c r="AP524" i="2"/>
  <c r="AQ524" i="2"/>
  <c r="AR524" i="2"/>
  <c r="AS524" i="2"/>
  <c r="AT524" i="2"/>
  <c r="AU524" i="2"/>
  <c r="AV524" i="2"/>
  <c r="AW524" i="2"/>
  <c r="AX524" i="2"/>
  <c r="AY524" i="2"/>
  <c r="E525" i="2"/>
  <c r="F525" i="2"/>
  <c r="G525" i="2"/>
  <c r="H525" i="2"/>
  <c r="I525" i="2"/>
  <c r="J525" i="2"/>
  <c r="K525" i="2"/>
  <c r="L525" i="2"/>
  <c r="M525" i="2"/>
  <c r="N525" i="2"/>
  <c r="O525" i="2"/>
  <c r="P525" i="2"/>
  <c r="Q525" i="2"/>
  <c r="R525" i="2"/>
  <c r="S525" i="2"/>
  <c r="T525" i="2"/>
  <c r="U525" i="2"/>
  <c r="V525" i="2"/>
  <c r="W525" i="2"/>
  <c r="X525" i="2"/>
  <c r="Y525" i="2"/>
  <c r="Z525" i="2"/>
  <c r="AA525" i="2"/>
  <c r="AB525" i="2"/>
  <c r="AC525" i="2"/>
  <c r="AD525" i="2"/>
  <c r="AE525" i="2"/>
  <c r="AF525" i="2"/>
  <c r="AG525" i="2"/>
  <c r="AH525" i="2"/>
  <c r="AI525" i="2"/>
  <c r="AJ525" i="2"/>
  <c r="AK525" i="2"/>
  <c r="AL525" i="2"/>
  <c r="AM525" i="2"/>
  <c r="AN525" i="2"/>
  <c r="AO525" i="2"/>
  <c r="AP525" i="2"/>
  <c r="AQ525" i="2"/>
  <c r="AR525" i="2"/>
  <c r="AS525" i="2"/>
  <c r="AT525" i="2"/>
  <c r="AU525" i="2"/>
  <c r="AV525" i="2"/>
  <c r="AW525" i="2"/>
  <c r="AX525" i="2"/>
  <c r="AY525" i="2"/>
  <c r="P63" i="1" s="1"/>
  <c r="E528" i="2"/>
  <c r="F528" i="2"/>
  <c r="G528" i="2"/>
  <c r="H528" i="2"/>
  <c r="I528" i="2"/>
  <c r="J528" i="2"/>
  <c r="K528" i="2"/>
  <c r="L528" i="2"/>
  <c r="M528" i="2"/>
  <c r="N528" i="2"/>
  <c r="O528" i="2"/>
  <c r="P528" i="2"/>
  <c r="Q528" i="2"/>
  <c r="R528" i="2"/>
  <c r="S528" i="2"/>
  <c r="T528" i="2"/>
  <c r="U528" i="2"/>
  <c r="V528" i="2"/>
  <c r="W528" i="2"/>
  <c r="X528" i="2"/>
  <c r="Y528" i="2"/>
  <c r="Z528" i="2"/>
  <c r="AA528" i="2"/>
  <c r="AB528" i="2"/>
  <c r="AC528" i="2"/>
  <c r="AD528" i="2"/>
  <c r="AE528" i="2"/>
  <c r="AF528" i="2"/>
  <c r="AG528" i="2"/>
  <c r="AH528" i="2"/>
  <c r="AI528" i="2"/>
  <c r="AJ528" i="2"/>
  <c r="AK528" i="2"/>
  <c r="AL528" i="2"/>
  <c r="AM528" i="2"/>
  <c r="AN528" i="2"/>
  <c r="AO528" i="2"/>
  <c r="AP528" i="2"/>
  <c r="AQ528" i="2"/>
  <c r="AR528" i="2"/>
  <c r="AS528" i="2"/>
  <c r="AT528" i="2"/>
  <c r="AU528" i="2"/>
  <c r="AV528" i="2"/>
  <c r="AW528" i="2"/>
  <c r="AX528" i="2"/>
  <c r="AY528" i="2"/>
  <c r="E529" i="2"/>
  <c r="F529" i="2"/>
  <c r="G529" i="2"/>
  <c r="H529" i="2"/>
  <c r="I529" i="2"/>
  <c r="J529" i="2"/>
  <c r="K529" i="2"/>
  <c r="L529" i="2"/>
  <c r="M529" i="2"/>
  <c r="N529" i="2"/>
  <c r="O529" i="2"/>
  <c r="P529" i="2"/>
  <c r="Q529" i="2"/>
  <c r="R529" i="2"/>
  <c r="S529" i="2"/>
  <c r="T529" i="2"/>
  <c r="U529" i="2"/>
  <c r="V529" i="2"/>
  <c r="W529" i="2"/>
  <c r="X529" i="2"/>
  <c r="Y529" i="2"/>
  <c r="Z529" i="2"/>
  <c r="AA529" i="2"/>
  <c r="AB529" i="2"/>
  <c r="AC529" i="2"/>
  <c r="AD529" i="2"/>
  <c r="AE529" i="2"/>
  <c r="AF529" i="2"/>
  <c r="AG529" i="2"/>
  <c r="AH529" i="2"/>
  <c r="AI529" i="2"/>
  <c r="AJ529" i="2"/>
  <c r="AK529" i="2"/>
  <c r="AL529" i="2"/>
  <c r="AM529" i="2"/>
  <c r="AN529" i="2"/>
  <c r="AO529" i="2"/>
  <c r="AP529" i="2"/>
  <c r="AQ529" i="2"/>
  <c r="AR529" i="2"/>
  <c r="AS529" i="2"/>
  <c r="AT529" i="2"/>
  <c r="AU529" i="2"/>
  <c r="AV529" i="2"/>
  <c r="AW529" i="2"/>
  <c r="AX529" i="2"/>
  <c r="AY529" i="2"/>
  <c r="E530" i="2"/>
  <c r="F530" i="2"/>
  <c r="G530" i="2"/>
  <c r="H530" i="2"/>
  <c r="I530" i="2"/>
  <c r="J530" i="2"/>
  <c r="K530" i="2"/>
  <c r="L530" i="2"/>
  <c r="M530" i="2"/>
  <c r="N530" i="2"/>
  <c r="O530" i="2"/>
  <c r="P530" i="2"/>
  <c r="Q530" i="2"/>
  <c r="R530" i="2"/>
  <c r="S530" i="2"/>
  <c r="T530" i="2"/>
  <c r="U530" i="2"/>
  <c r="V530" i="2"/>
  <c r="W530" i="2"/>
  <c r="X530" i="2"/>
  <c r="Y530" i="2"/>
  <c r="Z530" i="2"/>
  <c r="AA530" i="2"/>
  <c r="AB530" i="2"/>
  <c r="AC530" i="2"/>
  <c r="AD530" i="2"/>
  <c r="AE530" i="2"/>
  <c r="AF530" i="2"/>
  <c r="AG530" i="2"/>
  <c r="AH530" i="2"/>
  <c r="AI530" i="2"/>
  <c r="AJ530" i="2"/>
  <c r="AK530" i="2"/>
  <c r="AL530" i="2"/>
  <c r="AM530" i="2"/>
  <c r="AN530" i="2"/>
  <c r="AO530" i="2"/>
  <c r="AP530" i="2"/>
  <c r="AQ530" i="2"/>
  <c r="AR530" i="2"/>
  <c r="AS530" i="2"/>
  <c r="AT530" i="2"/>
  <c r="AU530" i="2"/>
  <c r="AV530" i="2"/>
  <c r="AW530" i="2"/>
  <c r="AX530" i="2"/>
  <c r="AY530" i="2"/>
  <c r="E531" i="2"/>
  <c r="F531" i="2"/>
  <c r="G531" i="2"/>
  <c r="H531" i="2"/>
  <c r="I531" i="2"/>
  <c r="J531" i="2"/>
  <c r="K531" i="2"/>
  <c r="L531" i="2"/>
  <c r="M531" i="2"/>
  <c r="N531" i="2"/>
  <c r="O531" i="2"/>
  <c r="P531" i="2"/>
  <c r="Q531" i="2"/>
  <c r="R531" i="2"/>
  <c r="S531" i="2"/>
  <c r="T531" i="2"/>
  <c r="U531" i="2"/>
  <c r="V531" i="2"/>
  <c r="W531" i="2"/>
  <c r="X531" i="2"/>
  <c r="Y531" i="2"/>
  <c r="Z531" i="2"/>
  <c r="AA531" i="2"/>
  <c r="AB531" i="2"/>
  <c r="AC531" i="2"/>
  <c r="AD531" i="2"/>
  <c r="AE531" i="2"/>
  <c r="AF531" i="2"/>
  <c r="AG531" i="2"/>
  <c r="AH531" i="2"/>
  <c r="AI531" i="2"/>
  <c r="AJ531" i="2"/>
  <c r="AK531" i="2"/>
  <c r="AL531" i="2"/>
  <c r="AM531" i="2"/>
  <c r="AN531" i="2"/>
  <c r="AO531" i="2"/>
  <c r="AP531" i="2"/>
  <c r="AQ531" i="2"/>
  <c r="AR531" i="2"/>
  <c r="AS531" i="2"/>
  <c r="AT531" i="2"/>
  <c r="AU531" i="2"/>
  <c r="AV531" i="2"/>
  <c r="AW531" i="2"/>
  <c r="AX531" i="2"/>
  <c r="AY531" i="2"/>
  <c r="E532" i="2"/>
  <c r="F532" i="2"/>
  <c r="G532" i="2"/>
  <c r="H532" i="2"/>
  <c r="I532" i="2"/>
  <c r="J532" i="2"/>
  <c r="K532" i="2"/>
  <c r="L532" i="2"/>
  <c r="M532" i="2"/>
  <c r="N532" i="2"/>
  <c r="O532" i="2"/>
  <c r="P532" i="2"/>
  <c r="Q532" i="2"/>
  <c r="R532" i="2"/>
  <c r="S532" i="2"/>
  <c r="T532" i="2"/>
  <c r="U532" i="2"/>
  <c r="V532" i="2"/>
  <c r="W532" i="2"/>
  <c r="X532" i="2"/>
  <c r="Y532" i="2"/>
  <c r="Z532" i="2"/>
  <c r="AA532" i="2"/>
  <c r="AB532" i="2"/>
  <c r="AC532" i="2"/>
  <c r="AD532" i="2"/>
  <c r="AE532" i="2"/>
  <c r="AF532" i="2"/>
  <c r="AG532" i="2"/>
  <c r="AH532" i="2"/>
  <c r="AI532" i="2"/>
  <c r="AJ532" i="2"/>
  <c r="AK532" i="2"/>
  <c r="AL532" i="2"/>
  <c r="AM532" i="2"/>
  <c r="AN532" i="2"/>
  <c r="AO532" i="2"/>
  <c r="AP532" i="2"/>
  <c r="AQ532" i="2"/>
  <c r="AR532" i="2"/>
  <c r="AS532" i="2"/>
  <c r="AT532" i="2"/>
  <c r="AU532" i="2"/>
  <c r="AV532" i="2"/>
  <c r="AW532" i="2"/>
  <c r="AX532" i="2"/>
  <c r="AY532" i="2"/>
  <c r="E533" i="2"/>
  <c r="F533" i="2"/>
  <c r="G533" i="2"/>
  <c r="H533" i="2"/>
  <c r="I533" i="2"/>
  <c r="J533" i="2"/>
  <c r="K533" i="2"/>
  <c r="L533" i="2"/>
  <c r="M533" i="2"/>
  <c r="N533" i="2"/>
  <c r="O533" i="2"/>
  <c r="P533" i="2"/>
  <c r="Q533" i="2"/>
  <c r="R533" i="2"/>
  <c r="S533" i="2"/>
  <c r="T533" i="2"/>
  <c r="U533" i="2"/>
  <c r="V533" i="2"/>
  <c r="W533" i="2"/>
  <c r="X533" i="2"/>
  <c r="Y533" i="2"/>
  <c r="Z533" i="2"/>
  <c r="AA533" i="2"/>
  <c r="AB533" i="2"/>
  <c r="AC533" i="2"/>
  <c r="AD533" i="2"/>
  <c r="AE533" i="2"/>
  <c r="AF533" i="2"/>
  <c r="AG533" i="2"/>
  <c r="AH533" i="2"/>
  <c r="AI533" i="2"/>
  <c r="AJ533" i="2"/>
  <c r="AK533" i="2"/>
  <c r="AL533" i="2"/>
  <c r="AM533" i="2"/>
  <c r="AY533" i="2"/>
  <c r="E534" i="2"/>
  <c r="F534" i="2"/>
  <c r="G534" i="2"/>
  <c r="H534" i="2"/>
  <c r="I534" i="2"/>
  <c r="J534" i="2"/>
  <c r="K534" i="2"/>
  <c r="L534" i="2"/>
  <c r="M534" i="2"/>
  <c r="N534" i="2"/>
  <c r="O534" i="2"/>
  <c r="P534" i="2"/>
  <c r="Q534" i="2"/>
  <c r="R534" i="2"/>
  <c r="S534" i="2"/>
  <c r="T534" i="2"/>
  <c r="U534" i="2"/>
  <c r="V534" i="2"/>
  <c r="W534" i="2"/>
  <c r="X534" i="2"/>
  <c r="Y534" i="2"/>
  <c r="Z534" i="2"/>
  <c r="AA534" i="2"/>
  <c r="AB534" i="2"/>
  <c r="AC534" i="2"/>
  <c r="AD534" i="2"/>
  <c r="AE534" i="2"/>
  <c r="AF534" i="2"/>
  <c r="AG534" i="2"/>
  <c r="AH534" i="2"/>
  <c r="AI534" i="2"/>
  <c r="AJ534" i="2"/>
  <c r="AK534" i="2"/>
  <c r="AL534" i="2"/>
  <c r="AM534" i="2"/>
  <c r="AY534" i="2"/>
  <c r="P54" i="1" s="1"/>
  <c r="E537" i="2"/>
  <c r="F537" i="2"/>
  <c r="G537" i="2"/>
  <c r="H537" i="2"/>
  <c r="I537" i="2"/>
  <c r="J537" i="2"/>
  <c r="K537" i="2"/>
  <c r="L537" i="2"/>
  <c r="M537" i="2"/>
  <c r="N537" i="2"/>
  <c r="O537" i="2"/>
  <c r="P537" i="2"/>
  <c r="Q537" i="2"/>
  <c r="R537" i="2"/>
  <c r="S537" i="2"/>
  <c r="T537" i="2"/>
  <c r="U537" i="2"/>
  <c r="V537" i="2"/>
  <c r="W537" i="2"/>
  <c r="X537" i="2"/>
  <c r="Y537" i="2"/>
  <c r="Z537" i="2"/>
  <c r="AA537" i="2"/>
  <c r="AB537" i="2"/>
  <c r="AC537" i="2"/>
  <c r="AD537" i="2"/>
  <c r="AE537" i="2"/>
  <c r="AF537" i="2"/>
  <c r="AG537" i="2"/>
  <c r="AH537" i="2"/>
  <c r="AI537" i="2"/>
  <c r="AJ537" i="2"/>
  <c r="AK537" i="2"/>
  <c r="AL537" i="2"/>
  <c r="AM537" i="2"/>
  <c r="AN537" i="2"/>
  <c r="AO537" i="2"/>
  <c r="AP537" i="2"/>
  <c r="AQ537" i="2"/>
  <c r="AR537" i="2"/>
  <c r="AS537" i="2"/>
  <c r="AT537" i="2"/>
  <c r="AU537" i="2"/>
  <c r="AV537" i="2"/>
  <c r="AW537" i="2"/>
  <c r="AX537" i="2"/>
  <c r="AY537" i="2"/>
  <c r="E538" i="2"/>
  <c r="F538" i="2"/>
  <c r="G538" i="2"/>
  <c r="H538" i="2"/>
  <c r="I538" i="2"/>
  <c r="J538" i="2"/>
  <c r="K538" i="2"/>
  <c r="L538" i="2"/>
  <c r="M538" i="2"/>
  <c r="N538" i="2"/>
  <c r="O538" i="2"/>
  <c r="P538" i="2"/>
  <c r="Q538" i="2"/>
  <c r="R538" i="2"/>
  <c r="S538" i="2"/>
  <c r="T538" i="2"/>
  <c r="U538" i="2"/>
  <c r="V538" i="2"/>
  <c r="W538" i="2"/>
  <c r="X538" i="2"/>
  <c r="Y538" i="2"/>
  <c r="Z538" i="2"/>
  <c r="AA538" i="2"/>
  <c r="AB538" i="2"/>
  <c r="AC538" i="2"/>
  <c r="AD538" i="2"/>
  <c r="AE538" i="2"/>
  <c r="AF538" i="2"/>
  <c r="AG538" i="2"/>
  <c r="AH538" i="2"/>
  <c r="AI538" i="2"/>
  <c r="AJ538" i="2"/>
  <c r="AK538" i="2"/>
  <c r="AL538" i="2"/>
  <c r="AM538" i="2"/>
  <c r="AN538" i="2"/>
  <c r="AO538" i="2"/>
  <c r="AP538" i="2"/>
  <c r="AQ538" i="2"/>
  <c r="AR538" i="2"/>
  <c r="AS538" i="2"/>
  <c r="AT538" i="2"/>
  <c r="AU538" i="2"/>
  <c r="AV538" i="2"/>
  <c r="AW538" i="2"/>
  <c r="AX538" i="2"/>
  <c r="AY538" i="2"/>
  <c r="E539" i="2"/>
  <c r="F539" i="2"/>
  <c r="G539" i="2"/>
  <c r="H539" i="2"/>
  <c r="I539" i="2"/>
  <c r="J539" i="2"/>
  <c r="K539" i="2"/>
  <c r="L539" i="2"/>
  <c r="M539" i="2"/>
  <c r="N539" i="2"/>
  <c r="O539" i="2"/>
  <c r="P539" i="2"/>
  <c r="Q539" i="2"/>
  <c r="R539" i="2"/>
  <c r="S539" i="2"/>
  <c r="T539" i="2"/>
  <c r="U539" i="2"/>
  <c r="V539" i="2"/>
  <c r="W539" i="2"/>
  <c r="X539" i="2"/>
  <c r="Y539" i="2"/>
  <c r="Z539" i="2"/>
  <c r="AA539" i="2"/>
  <c r="AB539" i="2"/>
  <c r="AC539" i="2"/>
  <c r="AD539" i="2"/>
  <c r="AE539" i="2"/>
  <c r="AF539" i="2"/>
  <c r="AG539" i="2"/>
  <c r="AH539" i="2"/>
  <c r="AI539" i="2"/>
  <c r="AJ539" i="2"/>
  <c r="AK539" i="2"/>
  <c r="AL539" i="2"/>
  <c r="AM539" i="2"/>
  <c r="AN539" i="2"/>
  <c r="AO539" i="2"/>
  <c r="AP539" i="2"/>
  <c r="AQ539" i="2"/>
  <c r="AR539" i="2"/>
  <c r="AS539" i="2"/>
  <c r="AT539" i="2"/>
  <c r="AU539" i="2"/>
  <c r="AV539" i="2"/>
  <c r="AW539" i="2"/>
  <c r="AX539" i="2"/>
  <c r="AY539" i="2"/>
  <c r="E540" i="2"/>
  <c r="F540" i="2"/>
  <c r="G540" i="2"/>
  <c r="H540" i="2"/>
  <c r="I540" i="2"/>
  <c r="J540" i="2"/>
  <c r="K540" i="2"/>
  <c r="L540" i="2"/>
  <c r="M540" i="2"/>
  <c r="N540" i="2"/>
  <c r="O540" i="2"/>
  <c r="P540" i="2"/>
  <c r="Q540" i="2"/>
  <c r="R540" i="2"/>
  <c r="S540" i="2"/>
  <c r="T540" i="2"/>
  <c r="U540" i="2"/>
  <c r="V540" i="2"/>
  <c r="W540" i="2"/>
  <c r="X540" i="2"/>
  <c r="Y540" i="2"/>
  <c r="Z540" i="2"/>
  <c r="AA540" i="2"/>
  <c r="AB540" i="2"/>
  <c r="AC540" i="2"/>
  <c r="AD540" i="2"/>
  <c r="AE540" i="2"/>
  <c r="AF540" i="2"/>
  <c r="AG540" i="2"/>
  <c r="AH540" i="2"/>
  <c r="AI540" i="2"/>
  <c r="AJ540" i="2"/>
  <c r="AK540" i="2"/>
  <c r="AL540" i="2"/>
  <c r="AM540" i="2"/>
  <c r="AN540" i="2"/>
  <c r="AO540" i="2"/>
  <c r="AP540" i="2"/>
  <c r="AQ540" i="2"/>
  <c r="AR540" i="2"/>
  <c r="AS540" i="2"/>
  <c r="AT540" i="2"/>
  <c r="AU540" i="2"/>
  <c r="AV540" i="2"/>
  <c r="AW540" i="2"/>
  <c r="AX540" i="2"/>
  <c r="AY540" i="2"/>
  <c r="E541" i="2"/>
  <c r="F541" i="2"/>
  <c r="G541" i="2"/>
  <c r="H541" i="2"/>
  <c r="I541" i="2"/>
  <c r="J541" i="2"/>
  <c r="K541" i="2"/>
  <c r="L541" i="2"/>
  <c r="M541" i="2"/>
  <c r="N541" i="2"/>
  <c r="O541" i="2"/>
  <c r="P541" i="2"/>
  <c r="Q541" i="2"/>
  <c r="R541" i="2"/>
  <c r="S541" i="2"/>
  <c r="T541" i="2"/>
  <c r="U541" i="2"/>
  <c r="V541" i="2"/>
  <c r="W541" i="2"/>
  <c r="X541" i="2"/>
  <c r="Y541" i="2"/>
  <c r="Z541" i="2"/>
  <c r="AA541" i="2"/>
  <c r="AB541" i="2"/>
  <c r="AC541" i="2"/>
  <c r="AD541" i="2"/>
  <c r="AE541" i="2"/>
  <c r="AF541" i="2"/>
  <c r="AG541" i="2"/>
  <c r="AH541" i="2"/>
  <c r="AI541" i="2"/>
  <c r="AJ541" i="2"/>
  <c r="AK541" i="2"/>
  <c r="AL541" i="2"/>
  <c r="AM541" i="2"/>
  <c r="AN541" i="2"/>
  <c r="AO541" i="2"/>
  <c r="AP541" i="2"/>
  <c r="AQ541" i="2"/>
  <c r="AR541" i="2"/>
  <c r="AS541" i="2"/>
  <c r="AT541" i="2"/>
  <c r="AU541" i="2"/>
  <c r="AV541" i="2"/>
  <c r="AW541" i="2"/>
  <c r="AX541" i="2"/>
  <c r="AY541" i="2"/>
  <c r="E542" i="2"/>
  <c r="F542" i="2"/>
  <c r="G542" i="2"/>
  <c r="H542" i="2"/>
  <c r="I542" i="2"/>
  <c r="J542" i="2"/>
  <c r="K542" i="2"/>
  <c r="L542" i="2"/>
  <c r="M542" i="2"/>
  <c r="N542" i="2"/>
  <c r="O542" i="2"/>
  <c r="P542" i="2"/>
  <c r="Q542" i="2"/>
  <c r="R542" i="2"/>
  <c r="S542" i="2"/>
  <c r="T542" i="2"/>
  <c r="U542" i="2"/>
  <c r="V542" i="2"/>
  <c r="W542" i="2"/>
  <c r="X542" i="2"/>
  <c r="Y542" i="2"/>
  <c r="Z542" i="2"/>
  <c r="AA542" i="2"/>
  <c r="AB542" i="2"/>
  <c r="AC542" i="2"/>
  <c r="AD542" i="2"/>
  <c r="AE542" i="2"/>
  <c r="AF542" i="2"/>
  <c r="AG542" i="2"/>
  <c r="AH542" i="2"/>
  <c r="AI542" i="2"/>
  <c r="AJ542" i="2"/>
  <c r="AK542" i="2"/>
  <c r="AL542" i="2"/>
  <c r="AM542" i="2"/>
  <c r="AY542" i="2"/>
  <c r="E543" i="2"/>
  <c r="F543" i="2"/>
  <c r="G543" i="2"/>
  <c r="H543" i="2"/>
  <c r="I543" i="2"/>
  <c r="J543" i="2"/>
  <c r="K543" i="2"/>
  <c r="L543" i="2"/>
  <c r="M543" i="2"/>
  <c r="N543" i="2"/>
  <c r="O543" i="2"/>
  <c r="P543" i="2"/>
  <c r="Q543" i="2"/>
  <c r="R543" i="2"/>
  <c r="S543" i="2"/>
  <c r="T543" i="2"/>
  <c r="U543" i="2"/>
  <c r="V543" i="2"/>
  <c r="W543" i="2"/>
  <c r="X543" i="2"/>
  <c r="Y543" i="2"/>
  <c r="Z543" i="2"/>
  <c r="AA543" i="2"/>
  <c r="AB543" i="2"/>
  <c r="AC543" i="2"/>
  <c r="AD543" i="2"/>
  <c r="AE543" i="2"/>
  <c r="AF543" i="2"/>
  <c r="AG543" i="2"/>
  <c r="AH543" i="2"/>
  <c r="AI543" i="2"/>
  <c r="AJ543" i="2"/>
  <c r="AK543" i="2"/>
  <c r="AL543" i="2"/>
  <c r="AM543" i="2"/>
  <c r="AY543" i="2"/>
  <c r="P55" i="1" s="1"/>
  <c r="E546" i="2"/>
  <c r="F546" i="2"/>
  <c r="G546" i="2"/>
  <c r="H546" i="2"/>
  <c r="I546" i="2"/>
  <c r="J546" i="2"/>
  <c r="K546" i="2"/>
  <c r="L546" i="2"/>
  <c r="M546" i="2"/>
  <c r="N546" i="2"/>
  <c r="O546" i="2"/>
  <c r="P546" i="2"/>
  <c r="Q546" i="2"/>
  <c r="R546" i="2"/>
  <c r="S546" i="2"/>
  <c r="T546" i="2"/>
  <c r="U546" i="2"/>
  <c r="V546" i="2"/>
  <c r="W546" i="2"/>
  <c r="X546" i="2"/>
  <c r="Y546" i="2"/>
  <c r="Z546" i="2"/>
  <c r="AA546" i="2"/>
  <c r="AB546" i="2"/>
  <c r="AC546" i="2"/>
  <c r="AD546" i="2"/>
  <c r="AE546" i="2"/>
  <c r="AF546" i="2"/>
  <c r="AG546" i="2"/>
  <c r="AH546" i="2"/>
  <c r="AI546" i="2"/>
  <c r="AJ546" i="2"/>
  <c r="AK546" i="2"/>
  <c r="AL546" i="2"/>
  <c r="AM546" i="2"/>
  <c r="AN546" i="2"/>
  <c r="AO546" i="2"/>
  <c r="AP546" i="2"/>
  <c r="AQ546" i="2"/>
  <c r="AR546" i="2"/>
  <c r="AS546" i="2"/>
  <c r="AT546" i="2"/>
  <c r="AU546" i="2"/>
  <c r="AV546" i="2"/>
  <c r="AW546" i="2"/>
  <c r="AX546" i="2"/>
  <c r="AY546" i="2"/>
  <c r="E547" i="2"/>
  <c r="F547" i="2"/>
  <c r="G547" i="2"/>
  <c r="H547" i="2"/>
  <c r="I547" i="2"/>
  <c r="J547" i="2"/>
  <c r="K547" i="2"/>
  <c r="L547" i="2"/>
  <c r="M547" i="2"/>
  <c r="N547" i="2"/>
  <c r="O547" i="2"/>
  <c r="P547" i="2"/>
  <c r="Q547" i="2"/>
  <c r="R547" i="2"/>
  <c r="S547" i="2"/>
  <c r="T547" i="2"/>
  <c r="U547" i="2"/>
  <c r="V547" i="2"/>
  <c r="W547" i="2"/>
  <c r="X547" i="2"/>
  <c r="Y547" i="2"/>
  <c r="Z547" i="2"/>
  <c r="AA547" i="2"/>
  <c r="AB547" i="2"/>
  <c r="AC547" i="2"/>
  <c r="AD547" i="2"/>
  <c r="AE547" i="2"/>
  <c r="AF547" i="2"/>
  <c r="AG547" i="2"/>
  <c r="AH547" i="2"/>
  <c r="AI547" i="2"/>
  <c r="AJ547" i="2"/>
  <c r="AK547" i="2"/>
  <c r="AL547" i="2"/>
  <c r="AM547" i="2"/>
  <c r="AN547" i="2"/>
  <c r="AO547" i="2"/>
  <c r="AP547" i="2"/>
  <c r="AQ547" i="2"/>
  <c r="AR547" i="2"/>
  <c r="AS547" i="2"/>
  <c r="AT547" i="2"/>
  <c r="AU547" i="2"/>
  <c r="AV547" i="2"/>
  <c r="AW547" i="2"/>
  <c r="AX547" i="2"/>
  <c r="AY547" i="2"/>
  <c r="E548" i="2"/>
  <c r="F548" i="2"/>
  <c r="G548" i="2"/>
  <c r="H548" i="2"/>
  <c r="I548" i="2"/>
  <c r="J548" i="2"/>
  <c r="K548" i="2"/>
  <c r="L548" i="2"/>
  <c r="M548" i="2"/>
  <c r="N548" i="2"/>
  <c r="O548" i="2"/>
  <c r="P548" i="2"/>
  <c r="Q548" i="2"/>
  <c r="R548" i="2"/>
  <c r="S548" i="2"/>
  <c r="T548" i="2"/>
  <c r="U548" i="2"/>
  <c r="V548" i="2"/>
  <c r="W548" i="2"/>
  <c r="X548" i="2"/>
  <c r="Y548" i="2"/>
  <c r="Z548" i="2"/>
  <c r="AA548" i="2"/>
  <c r="AB548" i="2"/>
  <c r="AC548" i="2"/>
  <c r="AD548" i="2"/>
  <c r="AE548" i="2"/>
  <c r="AF548" i="2"/>
  <c r="AG548" i="2"/>
  <c r="AH548" i="2"/>
  <c r="AI548" i="2"/>
  <c r="AJ548" i="2"/>
  <c r="AK548" i="2"/>
  <c r="AL548" i="2"/>
  <c r="AM548" i="2"/>
  <c r="AN548" i="2"/>
  <c r="AO548" i="2"/>
  <c r="AP548" i="2"/>
  <c r="AQ548" i="2"/>
  <c r="AR548" i="2"/>
  <c r="AS548" i="2"/>
  <c r="AT548" i="2"/>
  <c r="AU548" i="2"/>
  <c r="AV548" i="2"/>
  <c r="AW548" i="2"/>
  <c r="AX548" i="2"/>
  <c r="AY548" i="2"/>
  <c r="E549" i="2"/>
  <c r="F549" i="2"/>
  <c r="G549" i="2"/>
  <c r="H549" i="2"/>
  <c r="I549" i="2"/>
  <c r="J549" i="2"/>
  <c r="K549" i="2"/>
  <c r="L549" i="2"/>
  <c r="M549" i="2"/>
  <c r="N549" i="2"/>
  <c r="O549" i="2"/>
  <c r="P549" i="2"/>
  <c r="Q549" i="2"/>
  <c r="R549" i="2"/>
  <c r="S549" i="2"/>
  <c r="T549" i="2"/>
  <c r="U549" i="2"/>
  <c r="V549" i="2"/>
  <c r="W549" i="2"/>
  <c r="X549" i="2"/>
  <c r="Y549" i="2"/>
  <c r="Z549" i="2"/>
  <c r="AA549" i="2"/>
  <c r="AB549" i="2"/>
  <c r="AC549" i="2"/>
  <c r="AD549" i="2"/>
  <c r="AE549" i="2"/>
  <c r="AF549" i="2"/>
  <c r="AG549" i="2"/>
  <c r="AH549" i="2"/>
  <c r="AI549" i="2"/>
  <c r="AJ549" i="2"/>
  <c r="AK549" i="2"/>
  <c r="AL549" i="2"/>
  <c r="AM549" i="2"/>
  <c r="AN549" i="2"/>
  <c r="AO549" i="2"/>
  <c r="AP549" i="2"/>
  <c r="AQ549" i="2"/>
  <c r="AR549" i="2"/>
  <c r="AS549" i="2"/>
  <c r="AT549" i="2"/>
  <c r="AU549" i="2"/>
  <c r="AV549" i="2"/>
  <c r="AW549" i="2"/>
  <c r="AX549" i="2"/>
  <c r="AY549" i="2"/>
  <c r="E550" i="2"/>
  <c r="F550" i="2"/>
  <c r="G550" i="2"/>
  <c r="H550" i="2"/>
  <c r="I550" i="2"/>
  <c r="J550" i="2"/>
  <c r="K550" i="2"/>
  <c r="L550" i="2"/>
  <c r="M550" i="2"/>
  <c r="N550" i="2"/>
  <c r="O550" i="2"/>
  <c r="P550" i="2"/>
  <c r="Q550" i="2"/>
  <c r="R550" i="2"/>
  <c r="S550" i="2"/>
  <c r="T550" i="2"/>
  <c r="U550" i="2"/>
  <c r="V550" i="2"/>
  <c r="W550" i="2"/>
  <c r="X550" i="2"/>
  <c r="Y550" i="2"/>
  <c r="Z550" i="2"/>
  <c r="AA550" i="2"/>
  <c r="AB550" i="2"/>
  <c r="AC550" i="2"/>
  <c r="AD550" i="2"/>
  <c r="AE550" i="2"/>
  <c r="AF550" i="2"/>
  <c r="AG550" i="2"/>
  <c r="AH550" i="2"/>
  <c r="AI550" i="2"/>
  <c r="AJ550" i="2"/>
  <c r="AK550" i="2"/>
  <c r="AL550" i="2"/>
  <c r="AM550" i="2"/>
  <c r="AN550" i="2"/>
  <c r="AO550" i="2"/>
  <c r="AP550" i="2"/>
  <c r="AQ550" i="2"/>
  <c r="AR550" i="2"/>
  <c r="AS550" i="2"/>
  <c r="AT550" i="2"/>
  <c r="AU550" i="2"/>
  <c r="AV550" i="2"/>
  <c r="AW550" i="2"/>
  <c r="AX550" i="2"/>
  <c r="AY550" i="2"/>
  <c r="E551" i="2"/>
  <c r="F551" i="2"/>
  <c r="G551" i="2"/>
  <c r="H551" i="2"/>
  <c r="I551" i="2"/>
  <c r="J551" i="2"/>
  <c r="K551" i="2"/>
  <c r="L551" i="2"/>
  <c r="M551" i="2"/>
  <c r="N551" i="2"/>
  <c r="O551" i="2"/>
  <c r="P551" i="2"/>
  <c r="Q551" i="2"/>
  <c r="R551" i="2"/>
  <c r="S551" i="2"/>
  <c r="T551" i="2"/>
  <c r="U551" i="2"/>
  <c r="V551" i="2"/>
  <c r="W551" i="2"/>
  <c r="X551" i="2"/>
  <c r="Y551" i="2"/>
  <c r="Z551" i="2"/>
  <c r="AA551" i="2"/>
  <c r="AB551" i="2"/>
  <c r="AC551" i="2"/>
  <c r="AD551" i="2"/>
  <c r="AE551" i="2"/>
  <c r="AF551" i="2"/>
  <c r="AG551" i="2"/>
  <c r="AH551" i="2"/>
  <c r="AI551" i="2"/>
  <c r="AJ551" i="2"/>
  <c r="AK551" i="2"/>
  <c r="AL551" i="2"/>
  <c r="AM551" i="2"/>
  <c r="AY551" i="2"/>
  <c r="E552" i="2"/>
  <c r="F552" i="2"/>
  <c r="G552" i="2"/>
  <c r="H552" i="2"/>
  <c r="I552" i="2"/>
  <c r="J552" i="2"/>
  <c r="K552" i="2"/>
  <c r="L552" i="2"/>
  <c r="M552" i="2"/>
  <c r="N552" i="2"/>
  <c r="O552" i="2"/>
  <c r="P552" i="2"/>
  <c r="Q552" i="2"/>
  <c r="R552" i="2"/>
  <c r="S552" i="2"/>
  <c r="T552" i="2"/>
  <c r="U552" i="2"/>
  <c r="V552" i="2"/>
  <c r="W552" i="2"/>
  <c r="X552" i="2"/>
  <c r="Y552" i="2"/>
  <c r="Z552" i="2"/>
  <c r="AA552" i="2"/>
  <c r="AB552" i="2"/>
  <c r="AC552" i="2"/>
  <c r="AD552" i="2"/>
  <c r="AE552" i="2"/>
  <c r="AF552" i="2"/>
  <c r="AG552" i="2"/>
  <c r="AH552" i="2"/>
  <c r="AI552" i="2"/>
  <c r="AJ552" i="2"/>
  <c r="AK552" i="2"/>
  <c r="AL552" i="2"/>
  <c r="AM552" i="2"/>
  <c r="AY552" i="2"/>
  <c r="P56" i="1" s="1"/>
  <c r="E555" i="2"/>
  <c r="F555" i="2"/>
  <c r="G555" i="2"/>
  <c r="H555" i="2"/>
  <c r="I555" i="2"/>
  <c r="J555" i="2"/>
  <c r="K555" i="2"/>
  <c r="L555" i="2"/>
  <c r="M555" i="2"/>
  <c r="N555" i="2"/>
  <c r="O555" i="2"/>
  <c r="P555" i="2"/>
  <c r="Q555" i="2"/>
  <c r="R555" i="2"/>
  <c r="S555" i="2"/>
  <c r="T555" i="2"/>
  <c r="U555" i="2"/>
  <c r="V555" i="2"/>
  <c r="W555" i="2"/>
  <c r="X555" i="2"/>
  <c r="Y555" i="2"/>
  <c r="Z555" i="2"/>
  <c r="AA555" i="2"/>
  <c r="AB555" i="2"/>
  <c r="AC555" i="2"/>
  <c r="AD555" i="2"/>
  <c r="AE555" i="2"/>
  <c r="AF555" i="2"/>
  <c r="AG555" i="2"/>
  <c r="AH555" i="2"/>
  <c r="AI555" i="2"/>
  <c r="AJ555" i="2"/>
  <c r="AK555" i="2"/>
  <c r="AL555" i="2"/>
  <c r="AM555" i="2"/>
  <c r="AN555" i="2"/>
  <c r="AO555" i="2"/>
  <c r="F15" i="7" s="1"/>
  <c r="AP555" i="2"/>
  <c r="AQ555" i="2"/>
  <c r="AR555" i="2"/>
  <c r="AS555" i="2"/>
  <c r="AT555" i="2"/>
  <c r="AU555" i="2"/>
  <c r="AV555" i="2"/>
  <c r="AW555" i="2"/>
  <c r="AX555" i="2"/>
  <c r="AY555" i="2"/>
  <c r="D555" i="2"/>
  <c r="D552" i="2"/>
  <c r="D551" i="2"/>
  <c r="D550" i="2"/>
  <c r="D549" i="2"/>
  <c r="D548" i="2"/>
  <c r="D547" i="2"/>
  <c r="D546" i="2"/>
  <c r="D543" i="2"/>
  <c r="D542" i="2"/>
  <c r="D541" i="2"/>
  <c r="D540" i="2"/>
  <c r="D539" i="2"/>
  <c r="D538" i="2"/>
  <c r="D537" i="2"/>
  <c r="D534" i="2"/>
  <c r="D533" i="2"/>
  <c r="D532" i="2"/>
  <c r="D531" i="2"/>
  <c r="D530" i="2"/>
  <c r="D529" i="2"/>
  <c r="D528" i="2"/>
  <c r="D525" i="2"/>
  <c r="D524" i="2"/>
  <c r="D523" i="2"/>
  <c r="D522" i="2"/>
  <c r="D521" i="2"/>
  <c r="D520" i="2"/>
  <c r="D519" i="2"/>
  <c r="D516" i="2"/>
  <c r="D515" i="2"/>
  <c r="D514" i="2"/>
  <c r="D513" i="2"/>
  <c r="D512" i="2"/>
  <c r="D511" i="2"/>
  <c r="D510" i="2"/>
  <c r="D507" i="2"/>
  <c r="D506" i="2"/>
  <c r="D505" i="2"/>
  <c r="D504" i="2"/>
  <c r="D503" i="2"/>
  <c r="D502" i="2"/>
  <c r="D501" i="2"/>
  <c r="D498" i="2"/>
  <c r="D497" i="2"/>
  <c r="D496" i="2"/>
  <c r="D495" i="2"/>
  <c r="D494" i="2"/>
  <c r="D493" i="2"/>
  <c r="D492" i="2"/>
  <c r="E489" i="2"/>
  <c r="F489" i="2"/>
  <c r="G489" i="2"/>
  <c r="H489" i="2"/>
  <c r="I489" i="2"/>
  <c r="J489" i="2"/>
  <c r="K489" i="2"/>
  <c r="L489" i="2"/>
  <c r="M489" i="2"/>
  <c r="N489" i="2"/>
  <c r="O489" i="2"/>
  <c r="P489" i="2"/>
  <c r="Q489" i="2"/>
  <c r="R489" i="2"/>
  <c r="S489" i="2"/>
  <c r="T489" i="2"/>
  <c r="U489" i="2"/>
  <c r="V489" i="2"/>
  <c r="W489" i="2"/>
  <c r="X489" i="2"/>
  <c r="Y489" i="2"/>
  <c r="Z489" i="2"/>
  <c r="AA489" i="2"/>
  <c r="AB489" i="2"/>
  <c r="AC489" i="2"/>
  <c r="AD489" i="2"/>
  <c r="AE489" i="2"/>
  <c r="AF489" i="2"/>
  <c r="AG489" i="2"/>
  <c r="AH489" i="2"/>
  <c r="AI489" i="2"/>
  <c r="AJ489" i="2"/>
  <c r="AK489" i="2"/>
  <c r="AL489" i="2"/>
  <c r="AM489" i="2"/>
  <c r="AN489" i="2"/>
  <c r="AO489" i="2"/>
  <c r="AP489" i="2"/>
  <c r="AQ489" i="2"/>
  <c r="AR489" i="2"/>
  <c r="AS489" i="2"/>
  <c r="AT489" i="2"/>
  <c r="AU489" i="2"/>
  <c r="AV489" i="2"/>
  <c r="AW489" i="2"/>
  <c r="AX489" i="2"/>
  <c r="AY489" i="2"/>
  <c r="D489" i="2"/>
  <c r="E480" i="2"/>
  <c r="F480" i="2"/>
  <c r="G480" i="2"/>
  <c r="H480" i="2"/>
  <c r="I480" i="2"/>
  <c r="J480" i="2"/>
  <c r="K480" i="2"/>
  <c r="L480" i="2"/>
  <c r="M480" i="2"/>
  <c r="N480" i="2"/>
  <c r="O480" i="2"/>
  <c r="P480" i="2"/>
  <c r="Q480" i="2"/>
  <c r="R480" i="2"/>
  <c r="S480" i="2"/>
  <c r="T480" i="2"/>
  <c r="U480" i="2"/>
  <c r="V480" i="2"/>
  <c r="W480" i="2"/>
  <c r="X480" i="2"/>
  <c r="Y480" i="2"/>
  <c r="Z480" i="2"/>
  <c r="AA480" i="2"/>
  <c r="AB480" i="2"/>
  <c r="AC480" i="2"/>
  <c r="AD480" i="2"/>
  <c r="AE480" i="2"/>
  <c r="AF480" i="2"/>
  <c r="AG480" i="2"/>
  <c r="AH480" i="2"/>
  <c r="AI480" i="2"/>
  <c r="AJ480" i="2"/>
  <c r="AK480" i="2"/>
  <c r="AL480" i="2"/>
  <c r="AM480" i="2"/>
  <c r="AN480" i="2"/>
  <c r="AO480" i="2"/>
  <c r="AP480" i="2"/>
  <c r="AQ480" i="2"/>
  <c r="AR480" i="2"/>
  <c r="AS480" i="2"/>
  <c r="AT480" i="2"/>
  <c r="AU480" i="2"/>
  <c r="AV480" i="2"/>
  <c r="AW480" i="2"/>
  <c r="AX480" i="2"/>
  <c r="AY480" i="2"/>
  <c r="E481" i="2"/>
  <c r="F481" i="2"/>
  <c r="G481" i="2"/>
  <c r="H481" i="2"/>
  <c r="I481" i="2"/>
  <c r="J481" i="2"/>
  <c r="K481" i="2"/>
  <c r="L481" i="2"/>
  <c r="M481" i="2"/>
  <c r="N481" i="2"/>
  <c r="O481" i="2"/>
  <c r="P481" i="2"/>
  <c r="Q481" i="2"/>
  <c r="R481" i="2"/>
  <c r="S481" i="2"/>
  <c r="T481" i="2"/>
  <c r="U481" i="2"/>
  <c r="V481" i="2"/>
  <c r="W481" i="2"/>
  <c r="X481" i="2"/>
  <c r="Y481" i="2"/>
  <c r="Z481" i="2"/>
  <c r="AA481" i="2"/>
  <c r="AB481" i="2"/>
  <c r="AC481" i="2"/>
  <c r="AD481" i="2"/>
  <c r="AE481" i="2"/>
  <c r="AF481" i="2"/>
  <c r="AG481" i="2"/>
  <c r="AH481" i="2"/>
  <c r="AI481" i="2"/>
  <c r="AJ481" i="2"/>
  <c r="AK481" i="2"/>
  <c r="AL481" i="2"/>
  <c r="AM481" i="2"/>
  <c r="AN481" i="2"/>
  <c r="AO481" i="2"/>
  <c r="AP481" i="2"/>
  <c r="AQ481" i="2"/>
  <c r="AR481" i="2"/>
  <c r="AS481" i="2"/>
  <c r="AT481" i="2"/>
  <c r="AU481" i="2"/>
  <c r="AV481" i="2"/>
  <c r="AW481" i="2"/>
  <c r="AX481" i="2"/>
  <c r="AY481" i="2"/>
  <c r="E482" i="2"/>
  <c r="F482" i="2"/>
  <c r="G482" i="2"/>
  <c r="H482" i="2"/>
  <c r="I482" i="2"/>
  <c r="J482" i="2"/>
  <c r="K482" i="2"/>
  <c r="L482" i="2"/>
  <c r="M482" i="2"/>
  <c r="N482" i="2"/>
  <c r="O482" i="2"/>
  <c r="P482" i="2"/>
  <c r="Q482" i="2"/>
  <c r="R482" i="2"/>
  <c r="S482" i="2"/>
  <c r="T482" i="2"/>
  <c r="U482" i="2"/>
  <c r="V482" i="2"/>
  <c r="W482" i="2"/>
  <c r="X482" i="2"/>
  <c r="Y482" i="2"/>
  <c r="Z482" i="2"/>
  <c r="AA482" i="2"/>
  <c r="AB482" i="2"/>
  <c r="AC482" i="2"/>
  <c r="AD482" i="2"/>
  <c r="AE482" i="2"/>
  <c r="AF482" i="2"/>
  <c r="AG482" i="2"/>
  <c r="AH482" i="2"/>
  <c r="AI482" i="2"/>
  <c r="AJ482" i="2"/>
  <c r="AK482" i="2"/>
  <c r="AL482" i="2"/>
  <c r="AM482" i="2"/>
  <c r="AN482" i="2"/>
  <c r="AO482" i="2"/>
  <c r="AP482" i="2"/>
  <c r="AQ482" i="2"/>
  <c r="AR482" i="2"/>
  <c r="AS482" i="2"/>
  <c r="AT482" i="2"/>
  <c r="AU482" i="2"/>
  <c r="AV482" i="2"/>
  <c r="AW482" i="2"/>
  <c r="AX482" i="2"/>
  <c r="AY482" i="2"/>
  <c r="E483" i="2"/>
  <c r="F483" i="2"/>
  <c r="G483" i="2"/>
  <c r="H483" i="2"/>
  <c r="I483" i="2"/>
  <c r="J483" i="2"/>
  <c r="K483" i="2"/>
  <c r="L483" i="2"/>
  <c r="M483" i="2"/>
  <c r="N483" i="2"/>
  <c r="O483" i="2"/>
  <c r="P483" i="2"/>
  <c r="Q483" i="2"/>
  <c r="R483" i="2"/>
  <c r="S483" i="2"/>
  <c r="T483" i="2"/>
  <c r="U483" i="2"/>
  <c r="V483" i="2"/>
  <c r="W483" i="2"/>
  <c r="X483" i="2"/>
  <c r="Y483" i="2"/>
  <c r="Z483" i="2"/>
  <c r="AA483" i="2"/>
  <c r="AB483" i="2"/>
  <c r="AC483" i="2"/>
  <c r="AD483" i="2"/>
  <c r="AE483" i="2"/>
  <c r="AF483" i="2"/>
  <c r="AG483" i="2"/>
  <c r="AH483" i="2"/>
  <c r="AI483" i="2"/>
  <c r="AJ483" i="2"/>
  <c r="AK483" i="2"/>
  <c r="AL483" i="2"/>
  <c r="AM483" i="2"/>
  <c r="AN483" i="2"/>
  <c r="AO483" i="2"/>
  <c r="F39" i="9" s="1"/>
  <c r="AP483" i="2"/>
  <c r="AQ483" i="2"/>
  <c r="AR483" i="2"/>
  <c r="AS483" i="2"/>
  <c r="AT483" i="2"/>
  <c r="AU483" i="2"/>
  <c r="AV483" i="2"/>
  <c r="AW483" i="2"/>
  <c r="AX483" i="2"/>
  <c r="AY483" i="2"/>
  <c r="E484" i="2"/>
  <c r="F484" i="2"/>
  <c r="G484" i="2"/>
  <c r="H484" i="2"/>
  <c r="I484" i="2"/>
  <c r="J484" i="2"/>
  <c r="K484" i="2"/>
  <c r="L484" i="2"/>
  <c r="M484" i="2"/>
  <c r="N484" i="2"/>
  <c r="O484" i="2"/>
  <c r="P484" i="2"/>
  <c r="Q484" i="2"/>
  <c r="R484" i="2"/>
  <c r="S484" i="2"/>
  <c r="T484" i="2"/>
  <c r="U484" i="2"/>
  <c r="V484" i="2"/>
  <c r="W484" i="2"/>
  <c r="X484" i="2"/>
  <c r="Y484" i="2"/>
  <c r="Z484" i="2"/>
  <c r="AA484" i="2"/>
  <c r="AB484" i="2"/>
  <c r="AC484" i="2"/>
  <c r="AD484" i="2"/>
  <c r="AE484" i="2"/>
  <c r="AF484" i="2"/>
  <c r="AG484" i="2"/>
  <c r="AH484" i="2"/>
  <c r="AI484" i="2"/>
  <c r="AJ484" i="2"/>
  <c r="AK484" i="2"/>
  <c r="AL484" i="2"/>
  <c r="AM484" i="2"/>
  <c r="AN484" i="2"/>
  <c r="AO484" i="2"/>
  <c r="F38" i="10" s="1"/>
  <c r="AP484" i="2"/>
  <c r="AQ484" i="2"/>
  <c r="AR484" i="2"/>
  <c r="AS484" i="2"/>
  <c r="AT484" i="2"/>
  <c r="AU484" i="2"/>
  <c r="AV484" i="2"/>
  <c r="AW484" i="2"/>
  <c r="AX484" i="2"/>
  <c r="AY484" i="2"/>
  <c r="E485" i="2"/>
  <c r="F485" i="2"/>
  <c r="G485" i="2"/>
  <c r="H485" i="2"/>
  <c r="I485" i="2"/>
  <c r="J485" i="2"/>
  <c r="K485" i="2"/>
  <c r="L485" i="2"/>
  <c r="M485" i="2"/>
  <c r="N485" i="2"/>
  <c r="O485" i="2"/>
  <c r="P485" i="2"/>
  <c r="Q485" i="2"/>
  <c r="R485" i="2"/>
  <c r="S485" i="2"/>
  <c r="T485" i="2"/>
  <c r="U485" i="2"/>
  <c r="V485" i="2"/>
  <c r="W485" i="2"/>
  <c r="X485" i="2"/>
  <c r="Y485" i="2"/>
  <c r="Z485" i="2"/>
  <c r="AA485" i="2"/>
  <c r="AB485" i="2"/>
  <c r="AC485" i="2"/>
  <c r="AD485" i="2"/>
  <c r="AE485" i="2"/>
  <c r="AF485" i="2"/>
  <c r="AG485" i="2"/>
  <c r="AH485" i="2"/>
  <c r="AI485" i="2"/>
  <c r="AJ485" i="2"/>
  <c r="AK485" i="2"/>
  <c r="AL485" i="2"/>
  <c r="AM485" i="2"/>
  <c r="AY485" i="2"/>
  <c r="E486" i="2"/>
  <c r="F486" i="2"/>
  <c r="G486" i="2"/>
  <c r="H486" i="2"/>
  <c r="I486" i="2"/>
  <c r="J486" i="2"/>
  <c r="K486" i="2"/>
  <c r="L486" i="2"/>
  <c r="M486" i="2"/>
  <c r="N486" i="2"/>
  <c r="O486" i="2"/>
  <c r="P486" i="2"/>
  <c r="Q486" i="2"/>
  <c r="R486" i="2"/>
  <c r="S486" i="2"/>
  <c r="T486" i="2"/>
  <c r="U486" i="2"/>
  <c r="V486" i="2"/>
  <c r="W486" i="2"/>
  <c r="X486" i="2"/>
  <c r="Y486" i="2"/>
  <c r="Z486" i="2"/>
  <c r="AA486" i="2"/>
  <c r="AB486" i="2"/>
  <c r="AC486" i="2"/>
  <c r="AD486" i="2"/>
  <c r="AE486" i="2"/>
  <c r="AF486" i="2"/>
  <c r="AG486" i="2"/>
  <c r="AH486" i="2"/>
  <c r="AI486" i="2"/>
  <c r="AJ486" i="2"/>
  <c r="AK486" i="2"/>
  <c r="AL486" i="2"/>
  <c r="AM486" i="2"/>
  <c r="AY486" i="2"/>
  <c r="P62" i="1" s="1"/>
  <c r="D486" i="2"/>
  <c r="D485" i="2"/>
  <c r="D484" i="2"/>
  <c r="D483" i="2"/>
  <c r="D482" i="2"/>
  <c r="D481" i="2"/>
  <c r="D480" i="2"/>
  <c r="E470" i="2"/>
  <c r="F470" i="2"/>
  <c r="G470" i="2"/>
  <c r="H470" i="2"/>
  <c r="I470" i="2"/>
  <c r="J470" i="2"/>
  <c r="K470" i="2"/>
  <c r="L470" i="2"/>
  <c r="M470" i="2"/>
  <c r="N470" i="2"/>
  <c r="O470" i="2"/>
  <c r="P470" i="2"/>
  <c r="Q470" i="2"/>
  <c r="R470" i="2"/>
  <c r="S470" i="2"/>
  <c r="T470" i="2"/>
  <c r="U470" i="2"/>
  <c r="V470" i="2"/>
  <c r="W470" i="2"/>
  <c r="X470" i="2"/>
  <c r="Y470" i="2"/>
  <c r="Z470" i="2"/>
  <c r="AA470" i="2"/>
  <c r="AB470" i="2"/>
  <c r="AC470" i="2"/>
  <c r="AD470" i="2"/>
  <c r="AE470" i="2"/>
  <c r="AF470" i="2"/>
  <c r="AG470" i="2"/>
  <c r="AH470" i="2"/>
  <c r="AI470" i="2"/>
  <c r="AJ470" i="2"/>
  <c r="AK470" i="2"/>
  <c r="AL470" i="2"/>
  <c r="AM470" i="2"/>
  <c r="AN470" i="2"/>
  <c r="AO470" i="2"/>
  <c r="AP470" i="2"/>
  <c r="AQ470" i="2"/>
  <c r="AR470" i="2"/>
  <c r="AS470" i="2"/>
  <c r="AT470" i="2"/>
  <c r="AU470" i="2"/>
  <c r="AV470" i="2"/>
  <c r="AW470" i="2"/>
  <c r="AX470" i="2"/>
  <c r="AY470" i="2"/>
  <c r="E471" i="2"/>
  <c r="F471" i="2"/>
  <c r="G471" i="2"/>
  <c r="H471" i="2"/>
  <c r="I471" i="2"/>
  <c r="J471" i="2"/>
  <c r="K471" i="2"/>
  <c r="L471" i="2"/>
  <c r="M471" i="2"/>
  <c r="N471" i="2"/>
  <c r="O471" i="2"/>
  <c r="P471" i="2"/>
  <c r="Q471" i="2"/>
  <c r="R471" i="2"/>
  <c r="S471" i="2"/>
  <c r="T471" i="2"/>
  <c r="U471" i="2"/>
  <c r="V471" i="2"/>
  <c r="W471" i="2"/>
  <c r="X471" i="2"/>
  <c r="Y471" i="2"/>
  <c r="Z471" i="2"/>
  <c r="AA471" i="2"/>
  <c r="AB471" i="2"/>
  <c r="AC471" i="2"/>
  <c r="AD471" i="2"/>
  <c r="AE471" i="2"/>
  <c r="AF471" i="2"/>
  <c r="AG471" i="2"/>
  <c r="AH471" i="2"/>
  <c r="AI471" i="2"/>
  <c r="AJ471" i="2"/>
  <c r="AK471" i="2"/>
  <c r="AL471" i="2"/>
  <c r="AM471" i="2"/>
  <c r="AN471" i="2"/>
  <c r="AO471" i="2"/>
  <c r="AP471" i="2"/>
  <c r="AQ471" i="2"/>
  <c r="AR471" i="2"/>
  <c r="AS471" i="2"/>
  <c r="AT471" i="2"/>
  <c r="AU471" i="2"/>
  <c r="AV471" i="2"/>
  <c r="AW471" i="2"/>
  <c r="AX471" i="2"/>
  <c r="AY471" i="2"/>
  <c r="E472" i="2"/>
  <c r="F472" i="2"/>
  <c r="G472" i="2"/>
  <c r="H472" i="2"/>
  <c r="I472" i="2"/>
  <c r="J472" i="2"/>
  <c r="K472" i="2"/>
  <c r="L472" i="2"/>
  <c r="M472" i="2"/>
  <c r="N472" i="2"/>
  <c r="O472" i="2"/>
  <c r="P472" i="2"/>
  <c r="Q472" i="2"/>
  <c r="R472" i="2"/>
  <c r="S472" i="2"/>
  <c r="T472" i="2"/>
  <c r="U472" i="2"/>
  <c r="V472" i="2"/>
  <c r="W472" i="2"/>
  <c r="X472" i="2"/>
  <c r="Y472" i="2"/>
  <c r="Z472" i="2"/>
  <c r="AA472" i="2"/>
  <c r="AB472" i="2"/>
  <c r="AC472" i="2"/>
  <c r="AD472" i="2"/>
  <c r="AE472" i="2"/>
  <c r="AF472" i="2"/>
  <c r="AG472" i="2"/>
  <c r="AH472" i="2"/>
  <c r="AI472" i="2"/>
  <c r="AJ472" i="2"/>
  <c r="AK472" i="2"/>
  <c r="AL472" i="2"/>
  <c r="AM472" i="2"/>
  <c r="AN472" i="2"/>
  <c r="AO472" i="2"/>
  <c r="F14" i="7" s="1"/>
  <c r="AP472" i="2"/>
  <c r="AQ472" i="2"/>
  <c r="AR472" i="2"/>
  <c r="AS472" i="2"/>
  <c r="AT472" i="2"/>
  <c r="AU472" i="2"/>
  <c r="AV472" i="2"/>
  <c r="AW472" i="2"/>
  <c r="AX472" i="2"/>
  <c r="AY472" i="2"/>
  <c r="E473" i="2"/>
  <c r="F473" i="2"/>
  <c r="G473" i="2"/>
  <c r="H473" i="2"/>
  <c r="I473" i="2"/>
  <c r="J473" i="2"/>
  <c r="K473" i="2"/>
  <c r="L473" i="2"/>
  <c r="M473" i="2"/>
  <c r="N473" i="2"/>
  <c r="O473" i="2"/>
  <c r="P473" i="2"/>
  <c r="Q473" i="2"/>
  <c r="R473" i="2"/>
  <c r="S473" i="2"/>
  <c r="T473" i="2"/>
  <c r="U473" i="2"/>
  <c r="V473" i="2"/>
  <c r="W473" i="2"/>
  <c r="X473" i="2"/>
  <c r="Y473" i="2"/>
  <c r="Z473" i="2"/>
  <c r="AA473" i="2"/>
  <c r="AB473" i="2"/>
  <c r="AC473" i="2"/>
  <c r="AD473" i="2"/>
  <c r="AE473" i="2"/>
  <c r="AF473" i="2"/>
  <c r="AG473" i="2"/>
  <c r="AH473" i="2"/>
  <c r="AI473" i="2"/>
  <c r="AJ473" i="2"/>
  <c r="AK473" i="2"/>
  <c r="AL473" i="2"/>
  <c r="AM473" i="2"/>
  <c r="AN473" i="2"/>
  <c r="AO473" i="2"/>
  <c r="AP473" i="2"/>
  <c r="AQ473" i="2"/>
  <c r="AR473" i="2"/>
  <c r="AS473" i="2"/>
  <c r="AT473" i="2"/>
  <c r="AU473" i="2"/>
  <c r="AV473" i="2"/>
  <c r="AW473" i="2"/>
  <c r="AX473" i="2"/>
  <c r="AY473" i="2"/>
  <c r="E474" i="2"/>
  <c r="F474" i="2"/>
  <c r="G474" i="2"/>
  <c r="H474" i="2"/>
  <c r="I474" i="2"/>
  <c r="J474" i="2"/>
  <c r="K474" i="2"/>
  <c r="L474" i="2"/>
  <c r="M474" i="2"/>
  <c r="N474" i="2"/>
  <c r="O474" i="2"/>
  <c r="P474" i="2"/>
  <c r="Q474" i="2"/>
  <c r="R474" i="2"/>
  <c r="S474" i="2"/>
  <c r="T474" i="2"/>
  <c r="U474" i="2"/>
  <c r="V474" i="2"/>
  <c r="W474" i="2"/>
  <c r="X474" i="2"/>
  <c r="Y474" i="2"/>
  <c r="Z474" i="2"/>
  <c r="AA474" i="2"/>
  <c r="AB474" i="2"/>
  <c r="AC474" i="2"/>
  <c r="AD474" i="2"/>
  <c r="AE474" i="2"/>
  <c r="AF474" i="2"/>
  <c r="AG474" i="2"/>
  <c r="AH474" i="2"/>
  <c r="AI474" i="2"/>
  <c r="AJ474" i="2"/>
  <c r="AK474" i="2"/>
  <c r="AL474" i="2"/>
  <c r="AM474" i="2"/>
  <c r="AN474" i="2"/>
  <c r="AO474" i="2"/>
  <c r="AP474" i="2"/>
  <c r="AQ474" i="2"/>
  <c r="AR474" i="2"/>
  <c r="AS474" i="2"/>
  <c r="AT474" i="2"/>
  <c r="AU474" i="2"/>
  <c r="AV474" i="2"/>
  <c r="AW474" i="2"/>
  <c r="AX474" i="2"/>
  <c r="AY474" i="2"/>
  <c r="D474" i="2"/>
  <c r="D473" i="2"/>
  <c r="D472" i="2"/>
  <c r="D471" i="2"/>
  <c r="D470" i="2"/>
  <c r="E415" i="2"/>
  <c r="F415" i="2"/>
  <c r="G415" i="2"/>
  <c r="H415" i="2"/>
  <c r="I415" i="2"/>
  <c r="J415" i="2"/>
  <c r="K415" i="2"/>
  <c r="L415" i="2"/>
  <c r="M415" i="2"/>
  <c r="N415" i="2"/>
  <c r="O415" i="2"/>
  <c r="P415" i="2"/>
  <c r="Q415" i="2"/>
  <c r="R415" i="2"/>
  <c r="S415" i="2"/>
  <c r="T415" i="2"/>
  <c r="U415" i="2"/>
  <c r="V415" i="2"/>
  <c r="W415" i="2"/>
  <c r="X415" i="2"/>
  <c r="Y415" i="2"/>
  <c r="Z415" i="2"/>
  <c r="AA415" i="2"/>
  <c r="AB415" i="2"/>
  <c r="AC415" i="2"/>
  <c r="AD415" i="2"/>
  <c r="AE415" i="2"/>
  <c r="AF415" i="2"/>
  <c r="AG415" i="2"/>
  <c r="AH415" i="2"/>
  <c r="AI415" i="2"/>
  <c r="AJ415" i="2"/>
  <c r="AK415" i="2"/>
  <c r="AL415" i="2"/>
  <c r="AM415" i="2"/>
  <c r="AN415" i="2"/>
  <c r="AO415" i="2"/>
  <c r="AP415" i="2"/>
  <c r="AQ415" i="2"/>
  <c r="AR415" i="2"/>
  <c r="AS415" i="2"/>
  <c r="AT415" i="2"/>
  <c r="AU415" i="2"/>
  <c r="AV415" i="2"/>
  <c r="AW415" i="2"/>
  <c r="AX415" i="2"/>
  <c r="AY415" i="2"/>
  <c r="P51" i="1" s="1"/>
  <c r="E416" i="2"/>
  <c r="F416" i="2"/>
  <c r="G416" i="2"/>
  <c r="H416" i="2"/>
  <c r="I416" i="2"/>
  <c r="J416" i="2"/>
  <c r="K416" i="2"/>
  <c r="L416" i="2"/>
  <c r="M416" i="2"/>
  <c r="N416" i="2"/>
  <c r="O416" i="2"/>
  <c r="P416" i="2"/>
  <c r="Q416" i="2"/>
  <c r="R416" i="2"/>
  <c r="S416" i="2"/>
  <c r="T416" i="2"/>
  <c r="U416" i="2"/>
  <c r="V416" i="2"/>
  <c r="W416" i="2"/>
  <c r="X416" i="2"/>
  <c r="Y416" i="2"/>
  <c r="Z416" i="2"/>
  <c r="AA416" i="2"/>
  <c r="AB416" i="2"/>
  <c r="AC416" i="2"/>
  <c r="AD416" i="2"/>
  <c r="AE416" i="2"/>
  <c r="AF416" i="2"/>
  <c r="AG416" i="2"/>
  <c r="AH416" i="2"/>
  <c r="AI416" i="2"/>
  <c r="AJ416" i="2"/>
  <c r="AK416" i="2"/>
  <c r="AL416" i="2"/>
  <c r="AM416" i="2"/>
  <c r="AN416" i="2"/>
  <c r="AO416" i="2"/>
  <c r="AP416" i="2"/>
  <c r="AQ416" i="2"/>
  <c r="AR416" i="2"/>
  <c r="AS416" i="2"/>
  <c r="AT416" i="2"/>
  <c r="AU416" i="2"/>
  <c r="AV416" i="2"/>
  <c r="AW416" i="2"/>
  <c r="AX416" i="2"/>
  <c r="AY416" i="2"/>
  <c r="E417" i="2"/>
  <c r="F417" i="2"/>
  <c r="G417" i="2"/>
  <c r="H417" i="2"/>
  <c r="I417" i="2"/>
  <c r="J417" i="2"/>
  <c r="K417" i="2"/>
  <c r="L417" i="2"/>
  <c r="M417" i="2"/>
  <c r="N417" i="2"/>
  <c r="O417" i="2"/>
  <c r="P417" i="2"/>
  <c r="Q417" i="2"/>
  <c r="R417" i="2"/>
  <c r="S417" i="2"/>
  <c r="T417" i="2"/>
  <c r="U417" i="2"/>
  <c r="V417" i="2"/>
  <c r="W417" i="2"/>
  <c r="X417" i="2"/>
  <c r="Y417" i="2"/>
  <c r="Z417" i="2"/>
  <c r="AA417" i="2"/>
  <c r="AB417" i="2"/>
  <c r="AC417" i="2"/>
  <c r="AD417" i="2"/>
  <c r="AE417" i="2"/>
  <c r="AF417" i="2"/>
  <c r="AG417" i="2"/>
  <c r="AH417" i="2"/>
  <c r="AI417" i="2"/>
  <c r="AJ417" i="2"/>
  <c r="AK417" i="2"/>
  <c r="AL417" i="2"/>
  <c r="AM417" i="2"/>
  <c r="AN417" i="2"/>
  <c r="AO417" i="2"/>
  <c r="AP417" i="2"/>
  <c r="AQ417" i="2"/>
  <c r="AR417" i="2"/>
  <c r="AS417" i="2"/>
  <c r="AT417" i="2"/>
  <c r="AU417" i="2"/>
  <c r="AV417" i="2"/>
  <c r="AW417" i="2"/>
  <c r="AX417" i="2"/>
  <c r="AY417" i="2"/>
  <c r="E418" i="2"/>
  <c r="F418" i="2"/>
  <c r="G418" i="2"/>
  <c r="H418" i="2"/>
  <c r="I418" i="2"/>
  <c r="J418" i="2"/>
  <c r="K418" i="2"/>
  <c r="L418" i="2"/>
  <c r="M418" i="2"/>
  <c r="N418" i="2"/>
  <c r="O418" i="2"/>
  <c r="P418" i="2"/>
  <c r="Q418" i="2"/>
  <c r="R418" i="2"/>
  <c r="S418" i="2"/>
  <c r="T418" i="2"/>
  <c r="U418" i="2"/>
  <c r="V418" i="2"/>
  <c r="W418" i="2"/>
  <c r="X418" i="2"/>
  <c r="Y418" i="2"/>
  <c r="Z418" i="2"/>
  <c r="AA418" i="2"/>
  <c r="AB418" i="2"/>
  <c r="AC418" i="2"/>
  <c r="AD418" i="2"/>
  <c r="AE418" i="2"/>
  <c r="AF418" i="2"/>
  <c r="AG418" i="2"/>
  <c r="AH418" i="2"/>
  <c r="AI418" i="2"/>
  <c r="AJ418" i="2"/>
  <c r="AK418" i="2"/>
  <c r="AL418" i="2"/>
  <c r="AM418" i="2"/>
  <c r="AN418" i="2"/>
  <c r="AO418" i="2"/>
  <c r="AP418" i="2"/>
  <c r="AQ418" i="2"/>
  <c r="AR418" i="2"/>
  <c r="AS418" i="2"/>
  <c r="AT418" i="2"/>
  <c r="AU418" i="2"/>
  <c r="AV418" i="2"/>
  <c r="AW418" i="2"/>
  <c r="AX418" i="2"/>
  <c r="AY418" i="2"/>
  <c r="E423" i="2"/>
  <c r="F423" i="2"/>
  <c r="G423" i="2"/>
  <c r="H423" i="2"/>
  <c r="I423" i="2"/>
  <c r="J423" i="2"/>
  <c r="K423" i="2"/>
  <c r="L423" i="2"/>
  <c r="M423" i="2"/>
  <c r="N423" i="2"/>
  <c r="O423" i="2"/>
  <c r="P423" i="2"/>
  <c r="Q423" i="2"/>
  <c r="R423" i="2"/>
  <c r="S423" i="2"/>
  <c r="T423" i="2"/>
  <c r="U423" i="2"/>
  <c r="V423" i="2"/>
  <c r="W423" i="2"/>
  <c r="X423" i="2"/>
  <c r="Y423" i="2"/>
  <c r="Z423" i="2"/>
  <c r="AA423" i="2"/>
  <c r="AB423" i="2"/>
  <c r="AC423" i="2"/>
  <c r="AD423" i="2"/>
  <c r="AE423" i="2"/>
  <c r="AF423" i="2"/>
  <c r="AG423" i="2"/>
  <c r="AH423" i="2"/>
  <c r="AI423" i="2"/>
  <c r="AJ423" i="2"/>
  <c r="AK423" i="2"/>
  <c r="AL423" i="2"/>
  <c r="AM423" i="2"/>
  <c r="AN423" i="2"/>
  <c r="AO423" i="2"/>
  <c r="AP423" i="2"/>
  <c r="AQ423" i="2"/>
  <c r="AR423" i="2"/>
  <c r="AS423" i="2"/>
  <c r="AT423" i="2"/>
  <c r="AU423" i="2"/>
  <c r="AV423" i="2"/>
  <c r="AW423" i="2"/>
  <c r="AX423" i="2"/>
  <c r="AY423" i="2"/>
  <c r="E424" i="2"/>
  <c r="F424" i="2"/>
  <c r="G424" i="2"/>
  <c r="H424" i="2"/>
  <c r="I424" i="2"/>
  <c r="J424" i="2"/>
  <c r="K424" i="2"/>
  <c r="L424" i="2"/>
  <c r="M424" i="2"/>
  <c r="N424" i="2"/>
  <c r="O424" i="2"/>
  <c r="P424" i="2"/>
  <c r="Q424" i="2"/>
  <c r="R424" i="2"/>
  <c r="S424" i="2"/>
  <c r="T424" i="2"/>
  <c r="U424" i="2"/>
  <c r="V424" i="2"/>
  <c r="W424" i="2"/>
  <c r="X424" i="2"/>
  <c r="Y424" i="2"/>
  <c r="Z424" i="2"/>
  <c r="AA424" i="2"/>
  <c r="AB424" i="2"/>
  <c r="AC424" i="2"/>
  <c r="AD424" i="2"/>
  <c r="AE424" i="2"/>
  <c r="AF424" i="2"/>
  <c r="AG424" i="2"/>
  <c r="AH424" i="2"/>
  <c r="AI424" i="2"/>
  <c r="AJ424" i="2"/>
  <c r="AK424" i="2"/>
  <c r="AL424" i="2"/>
  <c r="AM424" i="2"/>
  <c r="AN424" i="2"/>
  <c r="AO424" i="2"/>
  <c r="AP424" i="2"/>
  <c r="AQ424" i="2"/>
  <c r="AR424" i="2"/>
  <c r="AS424" i="2"/>
  <c r="AT424" i="2"/>
  <c r="AU424" i="2"/>
  <c r="AV424" i="2"/>
  <c r="AW424" i="2"/>
  <c r="AX424" i="2"/>
  <c r="AY424" i="2"/>
  <c r="E425" i="2"/>
  <c r="F425" i="2"/>
  <c r="G425" i="2"/>
  <c r="H425" i="2"/>
  <c r="I425" i="2"/>
  <c r="J425" i="2"/>
  <c r="K425" i="2"/>
  <c r="L425" i="2"/>
  <c r="M425" i="2"/>
  <c r="N425" i="2"/>
  <c r="O425" i="2"/>
  <c r="P425" i="2"/>
  <c r="Q425" i="2"/>
  <c r="R425" i="2"/>
  <c r="S425" i="2"/>
  <c r="T425" i="2"/>
  <c r="U425" i="2"/>
  <c r="V425" i="2"/>
  <c r="W425" i="2"/>
  <c r="X425" i="2"/>
  <c r="Y425" i="2"/>
  <c r="Z425" i="2"/>
  <c r="AA425" i="2"/>
  <c r="AB425" i="2"/>
  <c r="AC425" i="2"/>
  <c r="AD425" i="2"/>
  <c r="AE425" i="2"/>
  <c r="AF425" i="2"/>
  <c r="AG425" i="2"/>
  <c r="AH425" i="2"/>
  <c r="AI425" i="2"/>
  <c r="AJ425" i="2"/>
  <c r="AK425" i="2"/>
  <c r="AL425" i="2"/>
  <c r="AM425" i="2"/>
  <c r="AN425" i="2"/>
  <c r="AO425" i="2"/>
  <c r="AP425" i="2"/>
  <c r="AQ425" i="2"/>
  <c r="AR425" i="2"/>
  <c r="AS425" i="2"/>
  <c r="AT425" i="2"/>
  <c r="AU425" i="2"/>
  <c r="AV425" i="2"/>
  <c r="AW425" i="2"/>
  <c r="AX425" i="2"/>
  <c r="AY425" i="2"/>
  <c r="E426" i="2"/>
  <c r="F426" i="2"/>
  <c r="G426" i="2"/>
  <c r="H426" i="2"/>
  <c r="I426" i="2"/>
  <c r="J426" i="2"/>
  <c r="K426" i="2"/>
  <c r="L426" i="2"/>
  <c r="M426" i="2"/>
  <c r="N426" i="2"/>
  <c r="O426" i="2"/>
  <c r="P426" i="2"/>
  <c r="Q426" i="2"/>
  <c r="R426" i="2"/>
  <c r="S426" i="2"/>
  <c r="T426" i="2"/>
  <c r="U426" i="2"/>
  <c r="V426" i="2"/>
  <c r="W426" i="2"/>
  <c r="X426" i="2"/>
  <c r="Y426" i="2"/>
  <c r="Z426" i="2"/>
  <c r="AA426" i="2"/>
  <c r="AB426" i="2"/>
  <c r="AC426" i="2"/>
  <c r="AD426" i="2"/>
  <c r="AE426" i="2"/>
  <c r="AF426" i="2"/>
  <c r="AG426" i="2"/>
  <c r="AH426" i="2"/>
  <c r="AI426" i="2"/>
  <c r="AJ426" i="2"/>
  <c r="AK426" i="2"/>
  <c r="AL426" i="2"/>
  <c r="AM426" i="2"/>
  <c r="AN426" i="2"/>
  <c r="AO426" i="2"/>
  <c r="AP426" i="2"/>
  <c r="AQ426" i="2"/>
  <c r="AR426" i="2"/>
  <c r="AS426" i="2"/>
  <c r="AT426" i="2"/>
  <c r="AU426" i="2"/>
  <c r="AV426" i="2"/>
  <c r="AW426" i="2"/>
  <c r="AX426" i="2"/>
  <c r="AY426" i="2"/>
  <c r="E431" i="2"/>
  <c r="F431" i="2"/>
  <c r="G431" i="2"/>
  <c r="H431" i="2"/>
  <c r="I431" i="2"/>
  <c r="J431" i="2"/>
  <c r="K431" i="2"/>
  <c r="L431" i="2"/>
  <c r="M431" i="2"/>
  <c r="N431" i="2"/>
  <c r="O431" i="2"/>
  <c r="P431" i="2"/>
  <c r="Q431" i="2"/>
  <c r="R431" i="2"/>
  <c r="S431" i="2"/>
  <c r="T431" i="2"/>
  <c r="U431" i="2"/>
  <c r="V431" i="2"/>
  <c r="W431" i="2"/>
  <c r="X431" i="2"/>
  <c r="Y431" i="2"/>
  <c r="Z431" i="2"/>
  <c r="AA431" i="2"/>
  <c r="AB431" i="2"/>
  <c r="AC431" i="2"/>
  <c r="AD431" i="2"/>
  <c r="AE431" i="2"/>
  <c r="AF431" i="2"/>
  <c r="AG431" i="2"/>
  <c r="AH431" i="2"/>
  <c r="AI431" i="2"/>
  <c r="AJ431" i="2"/>
  <c r="AK431" i="2"/>
  <c r="AL431" i="2"/>
  <c r="AM431" i="2"/>
  <c r="AN431" i="2"/>
  <c r="AO431" i="2"/>
  <c r="AP431" i="2"/>
  <c r="AQ431" i="2"/>
  <c r="AR431" i="2"/>
  <c r="AS431" i="2"/>
  <c r="AT431" i="2"/>
  <c r="AU431" i="2"/>
  <c r="AV431" i="2"/>
  <c r="AW431" i="2"/>
  <c r="AX431" i="2"/>
  <c r="AY431" i="2"/>
  <c r="E432" i="2"/>
  <c r="F432" i="2"/>
  <c r="G432" i="2"/>
  <c r="H432" i="2"/>
  <c r="I432" i="2"/>
  <c r="J432" i="2"/>
  <c r="K432" i="2"/>
  <c r="L432" i="2"/>
  <c r="M432" i="2"/>
  <c r="N432" i="2"/>
  <c r="O432" i="2"/>
  <c r="P432" i="2"/>
  <c r="Q432" i="2"/>
  <c r="R432" i="2"/>
  <c r="S432" i="2"/>
  <c r="T432" i="2"/>
  <c r="U432" i="2"/>
  <c r="V432" i="2"/>
  <c r="W432" i="2"/>
  <c r="X432" i="2"/>
  <c r="Y432" i="2"/>
  <c r="Z432" i="2"/>
  <c r="AA432" i="2"/>
  <c r="AB432" i="2"/>
  <c r="AC432" i="2"/>
  <c r="AD432" i="2"/>
  <c r="AE432" i="2"/>
  <c r="AF432" i="2"/>
  <c r="AG432" i="2"/>
  <c r="AH432" i="2"/>
  <c r="AI432" i="2"/>
  <c r="AJ432" i="2"/>
  <c r="AK432" i="2"/>
  <c r="AL432" i="2"/>
  <c r="AM432" i="2"/>
  <c r="AN432" i="2"/>
  <c r="AO432" i="2"/>
  <c r="AP432" i="2"/>
  <c r="AQ432" i="2"/>
  <c r="AR432" i="2"/>
  <c r="AS432" i="2"/>
  <c r="AT432" i="2"/>
  <c r="AU432" i="2"/>
  <c r="AV432" i="2"/>
  <c r="AW432" i="2"/>
  <c r="AX432" i="2"/>
  <c r="AY432" i="2"/>
  <c r="E433" i="2"/>
  <c r="F433" i="2"/>
  <c r="G433" i="2"/>
  <c r="H433" i="2"/>
  <c r="I433" i="2"/>
  <c r="J433" i="2"/>
  <c r="K433" i="2"/>
  <c r="L433" i="2"/>
  <c r="M433" i="2"/>
  <c r="N433" i="2"/>
  <c r="O433" i="2"/>
  <c r="P433" i="2"/>
  <c r="Q433" i="2"/>
  <c r="R433" i="2"/>
  <c r="S433" i="2"/>
  <c r="T433" i="2"/>
  <c r="U433" i="2"/>
  <c r="V433" i="2"/>
  <c r="W433" i="2"/>
  <c r="X433" i="2"/>
  <c r="Y433" i="2"/>
  <c r="Z433" i="2"/>
  <c r="AA433" i="2"/>
  <c r="AB433" i="2"/>
  <c r="AC433" i="2"/>
  <c r="AD433" i="2"/>
  <c r="AE433" i="2"/>
  <c r="AF433" i="2"/>
  <c r="AG433" i="2"/>
  <c r="AH433" i="2"/>
  <c r="AI433" i="2"/>
  <c r="AJ433" i="2"/>
  <c r="AK433" i="2"/>
  <c r="AL433" i="2"/>
  <c r="AM433" i="2"/>
  <c r="AN433" i="2"/>
  <c r="AO433" i="2"/>
  <c r="AP433" i="2"/>
  <c r="AQ433" i="2"/>
  <c r="AR433" i="2"/>
  <c r="AS433" i="2"/>
  <c r="AT433" i="2"/>
  <c r="AU433" i="2"/>
  <c r="AV433" i="2"/>
  <c r="AW433" i="2"/>
  <c r="AX433" i="2"/>
  <c r="AY433" i="2"/>
  <c r="E434" i="2"/>
  <c r="F434" i="2"/>
  <c r="G434" i="2"/>
  <c r="H434" i="2"/>
  <c r="I434" i="2"/>
  <c r="J434" i="2"/>
  <c r="K434" i="2"/>
  <c r="L434" i="2"/>
  <c r="M434" i="2"/>
  <c r="N434" i="2"/>
  <c r="O434" i="2"/>
  <c r="P434" i="2"/>
  <c r="Q434" i="2"/>
  <c r="R434" i="2"/>
  <c r="S434" i="2"/>
  <c r="T434" i="2"/>
  <c r="U434" i="2"/>
  <c r="V434" i="2"/>
  <c r="W434" i="2"/>
  <c r="X434" i="2"/>
  <c r="Y434" i="2"/>
  <c r="Z434" i="2"/>
  <c r="AA434" i="2"/>
  <c r="AB434" i="2"/>
  <c r="AC434" i="2"/>
  <c r="AD434" i="2"/>
  <c r="AE434" i="2"/>
  <c r="AF434" i="2"/>
  <c r="AG434" i="2"/>
  <c r="AH434" i="2"/>
  <c r="AI434" i="2"/>
  <c r="AJ434" i="2"/>
  <c r="AK434" i="2"/>
  <c r="AL434" i="2"/>
  <c r="AM434" i="2"/>
  <c r="AN434" i="2"/>
  <c r="AO434" i="2"/>
  <c r="AP434" i="2"/>
  <c r="AQ434" i="2"/>
  <c r="AR434" i="2"/>
  <c r="AS434" i="2"/>
  <c r="AT434" i="2"/>
  <c r="AU434" i="2"/>
  <c r="AV434" i="2"/>
  <c r="AW434" i="2"/>
  <c r="AX434" i="2"/>
  <c r="AY434" i="2"/>
  <c r="E439" i="2"/>
  <c r="F439" i="2"/>
  <c r="G439" i="2"/>
  <c r="H439" i="2"/>
  <c r="I439" i="2"/>
  <c r="J439" i="2"/>
  <c r="K439" i="2"/>
  <c r="L439" i="2"/>
  <c r="M439" i="2"/>
  <c r="N439" i="2"/>
  <c r="O439" i="2"/>
  <c r="P439" i="2"/>
  <c r="Q439" i="2"/>
  <c r="R439" i="2"/>
  <c r="S439" i="2"/>
  <c r="T439" i="2"/>
  <c r="U439" i="2"/>
  <c r="V439" i="2"/>
  <c r="W439" i="2"/>
  <c r="X439" i="2"/>
  <c r="Y439" i="2"/>
  <c r="Z439" i="2"/>
  <c r="AA439" i="2"/>
  <c r="AB439" i="2"/>
  <c r="AC439" i="2"/>
  <c r="AD439" i="2"/>
  <c r="AE439" i="2"/>
  <c r="AF439" i="2"/>
  <c r="AG439" i="2"/>
  <c r="AH439" i="2"/>
  <c r="AI439" i="2"/>
  <c r="AJ439" i="2"/>
  <c r="AK439" i="2"/>
  <c r="AL439" i="2"/>
  <c r="AM439" i="2"/>
  <c r="AN439" i="2"/>
  <c r="AO439" i="2"/>
  <c r="AP439" i="2"/>
  <c r="AQ439" i="2"/>
  <c r="AR439" i="2"/>
  <c r="AS439" i="2"/>
  <c r="AT439" i="2"/>
  <c r="AU439" i="2"/>
  <c r="AV439" i="2"/>
  <c r="AW439" i="2"/>
  <c r="AX439" i="2"/>
  <c r="AY439" i="2"/>
  <c r="E440" i="2"/>
  <c r="F440" i="2"/>
  <c r="G440" i="2"/>
  <c r="H440" i="2"/>
  <c r="I440" i="2"/>
  <c r="J440" i="2"/>
  <c r="K440" i="2"/>
  <c r="L440" i="2"/>
  <c r="M440" i="2"/>
  <c r="N440" i="2"/>
  <c r="O440" i="2"/>
  <c r="P440" i="2"/>
  <c r="Q440" i="2"/>
  <c r="R440" i="2"/>
  <c r="S440" i="2"/>
  <c r="T440" i="2"/>
  <c r="U440" i="2"/>
  <c r="V440" i="2"/>
  <c r="W440" i="2"/>
  <c r="X440" i="2"/>
  <c r="Y440" i="2"/>
  <c r="Z440" i="2"/>
  <c r="AA440" i="2"/>
  <c r="AB440" i="2"/>
  <c r="AC440" i="2"/>
  <c r="AD440" i="2"/>
  <c r="AE440" i="2"/>
  <c r="AF440" i="2"/>
  <c r="AG440" i="2"/>
  <c r="AH440" i="2"/>
  <c r="AI440" i="2"/>
  <c r="AJ440" i="2"/>
  <c r="AK440" i="2"/>
  <c r="AL440" i="2"/>
  <c r="AM440" i="2"/>
  <c r="AN440" i="2"/>
  <c r="AO440" i="2"/>
  <c r="AP440" i="2"/>
  <c r="AQ440" i="2"/>
  <c r="AR440" i="2"/>
  <c r="AS440" i="2"/>
  <c r="AT440" i="2"/>
  <c r="AU440" i="2"/>
  <c r="AV440" i="2"/>
  <c r="AW440" i="2"/>
  <c r="AX440" i="2"/>
  <c r="AY440" i="2"/>
  <c r="E441" i="2"/>
  <c r="F441" i="2"/>
  <c r="G441" i="2"/>
  <c r="H441" i="2"/>
  <c r="I441" i="2"/>
  <c r="J441" i="2"/>
  <c r="K441" i="2"/>
  <c r="L441" i="2"/>
  <c r="M441" i="2"/>
  <c r="N441" i="2"/>
  <c r="O441" i="2"/>
  <c r="P441" i="2"/>
  <c r="Q441" i="2"/>
  <c r="R441" i="2"/>
  <c r="S441" i="2"/>
  <c r="T441" i="2"/>
  <c r="U441" i="2"/>
  <c r="V441" i="2"/>
  <c r="W441" i="2"/>
  <c r="X441" i="2"/>
  <c r="Y441" i="2"/>
  <c r="Z441" i="2"/>
  <c r="AA441" i="2"/>
  <c r="AB441" i="2"/>
  <c r="AC441" i="2"/>
  <c r="AD441" i="2"/>
  <c r="AE441" i="2"/>
  <c r="AF441" i="2"/>
  <c r="AG441" i="2"/>
  <c r="AH441" i="2"/>
  <c r="AI441" i="2"/>
  <c r="AJ441" i="2"/>
  <c r="AK441" i="2"/>
  <c r="AL441" i="2"/>
  <c r="AM441" i="2"/>
  <c r="AN441" i="2"/>
  <c r="AO441" i="2"/>
  <c r="AP441" i="2"/>
  <c r="AQ441" i="2"/>
  <c r="AR441" i="2"/>
  <c r="AS441" i="2"/>
  <c r="AT441" i="2"/>
  <c r="AU441" i="2"/>
  <c r="AV441" i="2"/>
  <c r="AW441" i="2"/>
  <c r="AX441" i="2"/>
  <c r="AY441" i="2"/>
  <c r="E442" i="2"/>
  <c r="F442" i="2"/>
  <c r="G442" i="2"/>
  <c r="H442" i="2"/>
  <c r="I442" i="2"/>
  <c r="J442" i="2"/>
  <c r="K442" i="2"/>
  <c r="L442" i="2"/>
  <c r="M442" i="2"/>
  <c r="N442" i="2"/>
  <c r="O442" i="2"/>
  <c r="P442" i="2"/>
  <c r="Q442" i="2"/>
  <c r="R442" i="2"/>
  <c r="S442" i="2"/>
  <c r="T442" i="2"/>
  <c r="U442" i="2"/>
  <c r="V442" i="2"/>
  <c r="W442" i="2"/>
  <c r="X442" i="2"/>
  <c r="Y442" i="2"/>
  <c r="Z442" i="2"/>
  <c r="AA442" i="2"/>
  <c r="AB442" i="2"/>
  <c r="AC442" i="2"/>
  <c r="AD442" i="2"/>
  <c r="AE442" i="2"/>
  <c r="AF442" i="2"/>
  <c r="AG442" i="2"/>
  <c r="AH442" i="2"/>
  <c r="AI442" i="2"/>
  <c r="AJ442" i="2"/>
  <c r="AK442" i="2"/>
  <c r="AL442" i="2"/>
  <c r="AM442" i="2"/>
  <c r="AN442" i="2"/>
  <c r="AO442" i="2"/>
  <c r="AP442" i="2"/>
  <c r="AQ442" i="2"/>
  <c r="AR442" i="2"/>
  <c r="AS442" i="2"/>
  <c r="AT442" i="2"/>
  <c r="AU442" i="2"/>
  <c r="AV442" i="2"/>
  <c r="AW442" i="2"/>
  <c r="AX442" i="2"/>
  <c r="AY442" i="2"/>
  <c r="E447" i="2"/>
  <c r="F447" i="2"/>
  <c r="G447" i="2"/>
  <c r="H447" i="2"/>
  <c r="I447" i="2"/>
  <c r="J447" i="2"/>
  <c r="K447" i="2"/>
  <c r="L447" i="2"/>
  <c r="M447" i="2"/>
  <c r="N447" i="2"/>
  <c r="O447" i="2"/>
  <c r="P447" i="2"/>
  <c r="Q447" i="2"/>
  <c r="R447" i="2"/>
  <c r="S447" i="2"/>
  <c r="T447" i="2"/>
  <c r="U447" i="2"/>
  <c r="V447" i="2"/>
  <c r="W447" i="2"/>
  <c r="X447" i="2"/>
  <c r="Y447" i="2"/>
  <c r="Z447" i="2"/>
  <c r="AA447" i="2"/>
  <c r="AB447" i="2"/>
  <c r="AC447" i="2"/>
  <c r="AD447" i="2"/>
  <c r="AE447" i="2"/>
  <c r="AF447" i="2"/>
  <c r="AG447" i="2"/>
  <c r="AH447" i="2"/>
  <c r="AI447" i="2"/>
  <c r="AJ447" i="2"/>
  <c r="AK447" i="2"/>
  <c r="AL447" i="2"/>
  <c r="AM447" i="2"/>
  <c r="AN447" i="2"/>
  <c r="AO447" i="2"/>
  <c r="AP447" i="2"/>
  <c r="AQ447" i="2"/>
  <c r="AR447" i="2"/>
  <c r="AS447" i="2"/>
  <c r="AT447" i="2"/>
  <c r="AU447" i="2"/>
  <c r="AV447" i="2"/>
  <c r="AW447" i="2"/>
  <c r="AX447" i="2"/>
  <c r="AY447" i="2"/>
  <c r="E448" i="2"/>
  <c r="F448" i="2"/>
  <c r="G448" i="2"/>
  <c r="H448" i="2"/>
  <c r="I448" i="2"/>
  <c r="J448" i="2"/>
  <c r="K448" i="2"/>
  <c r="L448" i="2"/>
  <c r="M448" i="2"/>
  <c r="N448" i="2"/>
  <c r="O448" i="2"/>
  <c r="P448" i="2"/>
  <c r="Q448" i="2"/>
  <c r="R448" i="2"/>
  <c r="S448" i="2"/>
  <c r="T448" i="2"/>
  <c r="U448" i="2"/>
  <c r="V448" i="2"/>
  <c r="W448" i="2"/>
  <c r="X448" i="2"/>
  <c r="Y448" i="2"/>
  <c r="Z448" i="2"/>
  <c r="AA448" i="2"/>
  <c r="AB448" i="2"/>
  <c r="AC448" i="2"/>
  <c r="AD448" i="2"/>
  <c r="AE448" i="2"/>
  <c r="AF448" i="2"/>
  <c r="AG448" i="2"/>
  <c r="AH448" i="2"/>
  <c r="AI448" i="2"/>
  <c r="AJ448" i="2"/>
  <c r="AK448" i="2"/>
  <c r="AL448" i="2"/>
  <c r="AM448" i="2"/>
  <c r="AN448" i="2"/>
  <c r="AO448" i="2"/>
  <c r="AP448" i="2"/>
  <c r="AQ448" i="2"/>
  <c r="AR448" i="2"/>
  <c r="AS448" i="2"/>
  <c r="AT448" i="2"/>
  <c r="AU448" i="2"/>
  <c r="AV448" i="2"/>
  <c r="AW448" i="2"/>
  <c r="AX448" i="2"/>
  <c r="AY448" i="2"/>
  <c r="E449" i="2"/>
  <c r="F449" i="2"/>
  <c r="G449" i="2"/>
  <c r="H449" i="2"/>
  <c r="I449" i="2"/>
  <c r="J449" i="2"/>
  <c r="K449" i="2"/>
  <c r="L449" i="2"/>
  <c r="M449" i="2"/>
  <c r="N449" i="2"/>
  <c r="O449" i="2"/>
  <c r="P449" i="2"/>
  <c r="Q449" i="2"/>
  <c r="R449" i="2"/>
  <c r="S449" i="2"/>
  <c r="T449" i="2"/>
  <c r="U449" i="2"/>
  <c r="V449" i="2"/>
  <c r="W449" i="2"/>
  <c r="X449" i="2"/>
  <c r="Y449" i="2"/>
  <c r="Z449" i="2"/>
  <c r="AA449" i="2"/>
  <c r="AB449" i="2"/>
  <c r="AC449" i="2"/>
  <c r="AD449" i="2"/>
  <c r="AE449" i="2"/>
  <c r="AF449" i="2"/>
  <c r="AG449" i="2"/>
  <c r="AH449" i="2"/>
  <c r="AI449" i="2"/>
  <c r="AJ449" i="2"/>
  <c r="AK449" i="2"/>
  <c r="AL449" i="2"/>
  <c r="AM449" i="2"/>
  <c r="AN449" i="2"/>
  <c r="AO449" i="2"/>
  <c r="AP449" i="2"/>
  <c r="AQ449" i="2"/>
  <c r="AR449" i="2"/>
  <c r="AS449" i="2"/>
  <c r="AT449" i="2"/>
  <c r="AU449" i="2"/>
  <c r="AV449" i="2"/>
  <c r="AW449" i="2"/>
  <c r="AX449" i="2"/>
  <c r="AY449" i="2"/>
  <c r="E450" i="2"/>
  <c r="F450" i="2"/>
  <c r="G450" i="2"/>
  <c r="H450" i="2"/>
  <c r="I450" i="2"/>
  <c r="J450" i="2"/>
  <c r="K450" i="2"/>
  <c r="L450" i="2"/>
  <c r="M450" i="2"/>
  <c r="N450" i="2"/>
  <c r="O450" i="2"/>
  <c r="P450" i="2"/>
  <c r="Q450" i="2"/>
  <c r="R450" i="2"/>
  <c r="S450" i="2"/>
  <c r="T450" i="2"/>
  <c r="U450" i="2"/>
  <c r="V450" i="2"/>
  <c r="W450" i="2"/>
  <c r="X450" i="2"/>
  <c r="Y450" i="2"/>
  <c r="Z450" i="2"/>
  <c r="AA450" i="2"/>
  <c r="AB450" i="2"/>
  <c r="AC450" i="2"/>
  <c r="AD450" i="2"/>
  <c r="AE450" i="2"/>
  <c r="AF450" i="2"/>
  <c r="AG450" i="2"/>
  <c r="AH450" i="2"/>
  <c r="AI450" i="2"/>
  <c r="AJ450" i="2"/>
  <c r="AK450" i="2"/>
  <c r="AL450" i="2"/>
  <c r="AM450" i="2"/>
  <c r="AN450" i="2"/>
  <c r="AO450" i="2"/>
  <c r="AP450" i="2"/>
  <c r="AQ450" i="2"/>
  <c r="AR450" i="2"/>
  <c r="AS450" i="2"/>
  <c r="AT450" i="2"/>
  <c r="AU450" i="2"/>
  <c r="AV450" i="2"/>
  <c r="AW450" i="2"/>
  <c r="AX450" i="2"/>
  <c r="AY450" i="2"/>
  <c r="E455" i="2"/>
  <c r="F455" i="2"/>
  <c r="G455" i="2"/>
  <c r="H455" i="2"/>
  <c r="I455" i="2"/>
  <c r="J455" i="2"/>
  <c r="K455" i="2"/>
  <c r="L455" i="2"/>
  <c r="M455" i="2"/>
  <c r="N455" i="2"/>
  <c r="O455" i="2"/>
  <c r="P455" i="2"/>
  <c r="Q455" i="2"/>
  <c r="R455" i="2"/>
  <c r="S455" i="2"/>
  <c r="T455" i="2"/>
  <c r="U455" i="2"/>
  <c r="V455" i="2"/>
  <c r="W455" i="2"/>
  <c r="X455" i="2"/>
  <c r="Y455" i="2"/>
  <c r="Z455" i="2"/>
  <c r="AA455" i="2"/>
  <c r="AB455" i="2"/>
  <c r="AC455" i="2"/>
  <c r="AD455" i="2"/>
  <c r="AE455" i="2"/>
  <c r="AF455" i="2"/>
  <c r="AG455" i="2"/>
  <c r="AH455" i="2"/>
  <c r="AI455" i="2"/>
  <c r="AJ455" i="2"/>
  <c r="AK455" i="2"/>
  <c r="AL455" i="2"/>
  <c r="AM455" i="2"/>
  <c r="AN455" i="2"/>
  <c r="AO455" i="2"/>
  <c r="AP455" i="2"/>
  <c r="AQ455" i="2"/>
  <c r="AR455" i="2"/>
  <c r="AS455" i="2"/>
  <c r="AT455" i="2"/>
  <c r="AU455" i="2"/>
  <c r="AV455" i="2"/>
  <c r="AW455" i="2"/>
  <c r="AX455" i="2"/>
  <c r="AY455" i="2"/>
  <c r="E456" i="2"/>
  <c r="F456" i="2"/>
  <c r="G456" i="2"/>
  <c r="H456" i="2"/>
  <c r="I456" i="2"/>
  <c r="J456" i="2"/>
  <c r="K456" i="2"/>
  <c r="L456" i="2"/>
  <c r="M456" i="2"/>
  <c r="N456" i="2"/>
  <c r="O456" i="2"/>
  <c r="P456" i="2"/>
  <c r="Q456" i="2"/>
  <c r="R456" i="2"/>
  <c r="S456" i="2"/>
  <c r="T456" i="2"/>
  <c r="U456" i="2"/>
  <c r="V456" i="2"/>
  <c r="W456" i="2"/>
  <c r="X456" i="2"/>
  <c r="Y456" i="2"/>
  <c r="Z456" i="2"/>
  <c r="AA456" i="2"/>
  <c r="AB456" i="2"/>
  <c r="AC456" i="2"/>
  <c r="AD456" i="2"/>
  <c r="AE456" i="2"/>
  <c r="AF456" i="2"/>
  <c r="AG456" i="2"/>
  <c r="AH456" i="2"/>
  <c r="AI456" i="2"/>
  <c r="AJ456" i="2"/>
  <c r="AK456" i="2"/>
  <c r="AL456" i="2"/>
  <c r="AM456" i="2"/>
  <c r="AN456" i="2"/>
  <c r="AO456" i="2"/>
  <c r="AP456" i="2"/>
  <c r="AQ456" i="2"/>
  <c r="AR456" i="2"/>
  <c r="AS456" i="2"/>
  <c r="AT456" i="2"/>
  <c r="AU456" i="2"/>
  <c r="AV456" i="2"/>
  <c r="AW456" i="2"/>
  <c r="AX456" i="2"/>
  <c r="AY456" i="2"/>
  <c r="E457" i="2"/>
  <c r="F457" i="2"/>
  <c r="G457" i="2"/>
  <c r="H457" i="2"/>
  <c r="I457" i="2"/>
  <c r="J457" i="2"/>
  <c r="K457" i="2"/>
  <c r="L457" i="2"/>
  <c r="M457" i="2"/>
  <c r="N457" i="2"/>
  <c r="O457" i="2"/>
  <c r="P457" i="2"/>
  <c r="Q457" i="2"/>
  <c r="R457" i="2"/>
  <c r="S457" i="2"/>
  <c r="T457" i="2"/>
  <c r="U457" i="2"/>
  <c r="V457" i="2"/>
  <c r="W457" i="2"/>
  <c r="X457" i="2"/>
  <c r="Y457" i="2"/>
  <c r="Z457" i="2"/>
  <c r="AA457" i="2"/>
  <c r="AB457" i="2"/>
  <c r="AC457" i="2"/>
  <c r="AD457" i="2"/>
  <c r="AE457" i="2"/>
  <c r="AF457" i="2"/>
  <c r="AG457" i="2"/>
  <c r="AH457" i="2"/>
  <c r="AI457" i="2"/>
  <c r="AJ457" i="2"/>
  <c r="AK457" i="2"/>
  <c r="AL457" i="2"/>
  <c r="AM457" i="2"/>
  <c r="AN457" i="2"/>
  <c r="AO457" i="2"/>
  <c r="AP457" i="2"/>
  <c r="AQ457" i="2"/>
  <c r="AR457" i="2"/>
  <c r="AS457" i="2"/>
  <c r="AT457" i="2"/>
  <c r="AU457" i="2"/>
  <c r="AV457" i="2"/>
  <c r="AW457" i="2"/>
  <c r="AX457" i="2"/>
  <c r="AY457" i="2"/>
  <c r="E458" i="2"/>
  <c r="F458" i="2"/>
  <c r="G458" i="2"/>
  <c r="H458" i="2"/>
  <c r="I458" i="2"/>
  <c r="J458" i="2"/>
  <c r="K458" i="2"/>
  <c r="L458" i="2"/>
  <c r="M458" i="2"/>
  <c r="N458" i="2"/>
  <c r="O458" i="2"/>
  <c r="P458" i="2"/>
  <c r="Q458" i="2"/>
  <c r="R458" i="2"/>
  <c r="S458" i="2"/>
  <c r="T458" i="2"/>
  <c r="U458" i="2"/>
  <c r="V458" i="2"/>
  <c r="W458" i="2"/>
  <c r="X458" i="2"/>
  <c r="Y458" i="2"/>
  <c r="Z458" i="2"/>
  <c r="AA458" i="2"/>
  <c r="AB458" i="2"/>
  <c r="AC458" i="2"/>
  <c r="AD458" i="2"/>
  <c r="AE458" i="2"/>
  <c r="AF458" i="2"/>
  <c r="AG458" i="2"/>
  <c r="AH458" i="2"/>
  <c r="AI458" i="2"/>
  <c r="AJ458" i="2"/>
  <c r="AK458" i="2"/>
  <c r="AL458" i="2"/>
  <c r="AM458" i="2"/>
  <c r="AN458" i="2"/>
  <c r="AO458" i="2"/>
  <c r="AP458" i="2"/>
  <c r="AQ458" i="2"/>
  <c r="AR458" i="2"/>
  <c r="AS458" i="2"/>
  <c r="AT458" i="2"/>
  <c r="AU458" i="2"/>
  <c r="AV458" i="2"/>
  <c r="AW458" i="2"/>
  <c r="AX458" i="2"/>
  <c r="AY458" i="2"/>
  <c r="E463" i="2"/>
  <c r="F463" i="2"/>
  <c r="G463" i="2"/>
  <c r="H463" i="2"/>
  <c r="I463" i="2"/>
  <c r="J463" i="2"/>
  <c r="K463" i="2"/>
  <c r="L463" i="2"/>
  <c r="M463" i="2"/>
  <c r="N463" i="2"/>
  <c r="O463" i="2"/>
  <c r="P463" i="2"/>
  <c r="Q463" i="2"/>
  <c r="R463" i="2"/>
  <c r="S463" i="2"/>
  <c r="T463" i="2"/>
  <c r="U463" i="2"/>
  <c r="V463" i="2"/>
  <c r="W463" i="2"/>
  <c r="X463" i="2"/>
  <c r="Y463" i="2"/>
  <c r="Z463" i="2"/>
  <c r="AA463" i="2"/>
  <c r="AB463" i="2"/>
  <c r="AC463" i="2"/>
  <c r="AD463" i="2"/>
  <c r="AE463" i="2"/>
  <c r="AF463" i="2"/>
  <c r="AG463" i="2"/>
  <c r="AH463" i="2"/>
  <c r="AI463" i="2"/>
  <c r="AJ463" i="2"/>
  <c r="AK463" i="2"/>
  <c r="AL463" i="2"/>
  <c r="AM463" i="2"/>
  <c r="AN463" i="2"/>
  <c r="AO463" i="2"/>
  <c r="AP463" i="2"/>
  <c r="AQ463" i="2"/>
  <c r="AR463" i="2"/>
  <c r="AS463" i="2"/>
  <c r="AT463" i="2"/>
  <c r="AU463" i="2"/>
  <c r="AV463" i="2"/>
  <c r="AW463" i="2"/>
  <c r="AX463" i="2"/>
  <c r="AY463" i="2"/>
  <c r="E464" i="2"/>
  <c r="F464" i="2"/>
  <c r="G464" i="2"/>
  <c r="H464" i="2"/>
  <c r="I464" i="2"/>
  <c r="J464" i="2"/>
  <c r="K464" i="2"/>
  <c r="L464" i="2"/>
  <c r="M464" i="2"/>
  <c r="N464" i="2"/>
  <c r="O464" i="2"/>
  <c r="P464" i="2"/>
  <c r="Q464" i="2"/>
  <c r="R464" i="2"/>
  <c r="S464" i="2"/>
  <c r="T464" i="2"/>
  <c r="U464" i="2"/>
  <c r="V464" i="2"/>
  <c r="W464" i="2"/>
  <c r="X464" i="2"/>
  <c r="Y464" i="2"/>
  <c r="Z464" i="2"/>
  <c r="AA464" i="2"/>
  <c r="AB464" i="2"/>
  <c r="AC464" i="2"/>
  <c r="AD464" i="2"/>
  <c r="AE464" i="2"/>
  <c r="AF464" i="2"/>
  <c r="AG464" i="2"/>
  <c r="AH464" i="2"/>
  <c r="AI464" i="2"/>
  <c r="AJ464" i="2"/>
  <c r="AK464" i="2"/>
  <c r="AL464" i="2"/>
  <c r="AM464" i="2"/>
  <c r="AN464" i="2"/>
  <c r="AO464" i="2"/>
  <c r="AP464" i="2"/>
  <c r="AQ464" i="2"/>
  <c r="AR464" i="2"/>
  <c r="AS464" i="2"/>
  <c r="AT464" i="2"/>
  <c r="AU464" i="2"/>
  <c r="AV464" i="2"/>
  <c r="AW464" i="2"/>
  <c r="AX464" i="2"/>
  <c r="AY464" i="2"/>
  <c r="E465" i="2"/>
  <c r="F465" i="2"/>
  <c r="G465" i="2"/>
  <c r="H465" i="2"/>
  <c r="I465" i="2"/>
  <c r="J465" i="2"/>
  <c r="K465" i="2"/>
  <c r="L465" i="2"/>
  <c r="M465" i="2"/>
  <c r="N465" i="2"/>
  <c r="O465" i="2"/>
  <c r="P465" i="2"/>
  <c r="Q465" i="2"/>
  <c r="R465" i="2"/>
  <c r="S465" i="2"/>
  <c r="T465" i="2"/>
  <c r="U465" i="2"/>
  <c r="V465" i="2"/>
  <c r="W465" i="2"/>
  <c r="X465" i="2"/>
  <c r="Y465" i="2"/>
  <c r="Z465" i="2"/>
  <c r="AA465" i="2"/>
  <c r="AB465" i="2"/>
  <c r="AC465" i="2"/>
  <c r="AD465" i="2"/>
  <c r="AE465" i="2"/>
  <c r="AF465" i="2"/>
  <c r="AG465" i="2"/>
  <c r="AH465" i="2"/>
  <c r="AI465" i="2"/>
  <c r="AJ465" i="2"/>
  <c r="AK465" i="2"/>
  <c r="AL465" i="2"/>
  <c r="AM465" i="2"/>
  <c r="AN465" i="2"/>
  <c r="AO465" i="2"/>
  <c r="AP465" i="2"/>
  <c r="AQ465" i="2"/>
  <c r="AR465" i="2"/>
  <c r="AS465" i="2"/>
  <c r="AT465" i="2"/>
  <c r="AU465" i="2"/>
  <c r="AV465" i="2"/>
  <c r="AW465" i="2"/>
  <c r="AX465" i="2"/>
  <c r="AY465" i="2"/>
  <c r="E466" i="2"/>
  <c r="F466" i="2"/>
  <c r="G466" i="2"/>
  <c r="H466" i="2"/>
  <c r="I466" i="2"/>
  <c r="J466" i="2"/>
  <c r="K466" i="2"/>
  <c r="L466" i="2"/>
  <c r="M466" i="2"/>
  <c r="N466" i="2"/>
  <c r="O466" i="2"/>
  <c r="P466" i="2"/>
  <c r="Q466" i="2"/>
  <c r="R466" i="2"/>
  <c r="S466" i="2"/>
  <c r="T466" i="2"/>
  <c r="U466" i="2"/>
  <c r="V466" i="2"/>
  <c r="W466" i="2"/>
  <c r="X466" i="2"/>
  <c r="Y466" i="2"/>
  <c r="Z466" i="2"/>
  <c r="AA466" i="2"/>
  <c r="AB466" i="2"/>
  <c r="AC466" i="2"/>
  <c r="AD466" i="2"/>
  <c r="AE466" i="2"/>
  <c r="AF466" i="2"/>
  <c r="AG466" i="2"/>
  <c r="AH466" i="2"/>
  <c r="AI466" i="2"/>
  <c r="AJ466" i="2"/>
  <c r="AK466" i="2"/>
  <c r="AL466" i="2"/>
  <c r="AM466" i="2"/>
  <c r="AN466" i="2"/>
  <c r="AO466" i="2"/>
  <c r="AP466" i="2"/>
  <c r="AQ466" i="2"/>
  <c r="AR466" i="2"/>
  <c r="AS466" i="2"/>
  <c r="AT466" i="2"/>
  <c r="AU466" i="2"/>
  <c r="AV466" i="2"/>
  <c r="AW466" i="2"/>
  <c r="AX466" i="2"/>
  <c r="AY466" i="2"/>
  <c r="D466" i="2"/>
  <c r="D465" i="2"/>
  <c r="D464" i="2"/>
  <c r="D463" i="2"/>
  <c r="D458" i="2"/>
  <c r="D457" i="2"/>
  <c r="D456" i="2"/>
  <c r="D455" i="2"/>
  <c r="D450" i="2"/>
  <c r="D449" i="2"/>
  <c r="D448" i="2"/>
  <c r="D447" i="2"/>
  <c r="D442" i="2"/>
  <c r="D441" i="2"/>
  <c r="D440" i="2"/>
  <c r="D439" i="2"/>
  <c r="D434" i="2"/>
  <c r="D433" i="2"/>
  <c r="D432" i="2"/>
  <c r="D431" i="2"/>
  <c r="D426" i="2"/>
  <c r="D425" i="2"/>
  <c r="D424" i="2"/>
  <c r="D423" i="2"/>
  <c r="D418" i="2"/>
  <c r="D417" i="2"/>
  <c r="D416" i="2"/>
  <c r="D415" i="2"/>
  <c r="E402" i="2"/>
  <c r="F402" i="2"/>
  <c r="G402" i="2"/>
  <c r="H402" i="2"/>
  <c r="I402" i="2"/>
  <c r="J402" i="2"/>
  <c r="K402" i="2"/>
  <c r="L402" i="2"/>
  <c r="M402" i="2"/>
  <c r="N402" i="2"/>
  <c r="O402" i="2"/>
  <c r="P402" i="2"/>
  <c r="Q402" i="2"/>
  <c r="R402" i="2"/>
  <c r="S402" i="2"/>
  <c r="T402" i="2"/>
  <c r="U402" i="2"/>
  <c r="V402" i="2"/>
  <c r="W402" i="2"/>
  <c r="X402" i="2"/>
  <c r="Y402" i="2"/>
  <c r="Z402" i="2"/>
  <c r="AA402" i="2"/>
  <c r="AB402" i="2"/>
  <c r="AC402" i="2"/>
  <c r="AD402" i="2"/>
  <c r="AE402" i="2"/>
  <c r="AF402" i="2"/>
  <c r="AG402" i="2"/>
  <c r="AH402" i="2"/>
  <c r="AI402" i="2"/>
  <c r="AJ402" i="2"/>
  <c r="AK402" i="2"/>
  <c r="AL402" i="2"/>
  <c r="AM402" i="2"/>
  <c r="AN402" i="2"/>
  <c r="E29" i="5" s="1"/>
  <c r="AO402" i="2"/>
  <c r="F29" i="5" s="1"/>
  <c r="AP402" i="2"/>
  <c r="G29" i="5" s="1"/>
  <c r="AQ402" i="2"/>
  <c r="AR402" i="2"/>
  <c r="AS402" i="2"/>
  <c r="AT402" i="2"/>
  <c r="AU402" i="2"/>
  <c r="AV402" i="2"/>
  <c r="AW402" i="2"/>
  <c r="N29" i="5" s="1"/>
  <c r="AX402" i="2"/>
  <c r="AY402" i="2"/>
  <c r="E403" i="2"/>
  <c r="F403" i="2"/>
  <c r="G403" i="2"/>
  <c r="H403" i="2"/>
  <c r="I403" i="2"/>
  <c r="J403" i="2"/>
  <c r="K403" i="2"/>
  <c r="L403" i="2"/>
  <c r="M403" i="2"/>
  <c r="N403" i="2"/>
  <c r="O403" i="2"/>
  <c r="P403" i="2"/>
  <c r="Q403" i="2"/>
  <c r="R403" i="2"/>
  <c r="S403" i="2"/>
  <c r="T403" i="2"/>
  <c r="U403" i="2"/>
  <c r="V403" i="2"/>
  <c r="W403" i="2"/>
  <c r="X403" i="2"/>
  <c r="Y403" i="2"/>
  <c r="Z403" i="2"/>
  <c r="AA403" i="2"/>
  <c r="AB403" i="2"/>
  <c r="AC403" i="2"/>
  <c r="AD403" i="2"/>
  <c r="AE403" i="2"/>
  <c r="AF403" i="2"/>
  <c r="AG403" i="2"/>
  <c r="AH403" i="2"/>
  <c r="AI403" i="2"/>
  <c r="AJ403" i="2"/>
  <c r="AK403" i="2"/>
  <c r="AL403" i="2"/>
  <c r="AM403" i="2"/>
  <c r="AN403" i="2"/>
  <c r="AO403" i="2"/>
  <c r="AP403" i="2"/>
  <c r="AQ403" i="2"/>
  <c r="AR403" i="2"/>
  <c r="AS403" i="2"/>
  <c r="AT403" i="2"/>
  <c r="AU403" i="2"/>
  <c r="AV403" i="2"/>
  <c r="AW403" i="2"/>
  <c r="AX403" i="2"/>
  <c r="AY403" i="2"/>
  <c r="E404" i="2"/>
  <c r="F404" i="2"/>
  <c r="G404" i="2"/>
  <c r="H404" i="2"/>
  <c r="I404" i="2"/>
  <c r="J404" i="2"/>
  <c r="K404" i="2"/>
  <c r="L404" i="2"/>
  <c r="M404" i="2"/>
  <c r="N404" i="2"/>
  <c r="O404" i="2"/>
  <c r="P404" i="2"/>
  <c r="Q404" i="2"/>
  <c r="R404" i="2"/>
  <c r="S404" i="2"/>
  <c r="T404" i="2"/>
  <c r="U404" i="2"/>
  <c r="V404" i="2"/>
  <c r="W404" i="2"/>
  <c r="X404" i="2"/>
  <c r="Y404" i="2"/>
  <c r="Z404" i="2"/>
  <c r="AA404" i="2"/>
  <c r="AB404" i="2"/>
  <c r="AC404" i="2"/>
  <c r="AD404" i="2"/>
  <c r="AE404" i="2"/>
  <c r="AF404" i="2"/>
  <c r="AG404" i="2"/>
  <c r="AH404" i="2"/>
  <c r="AI404" i="2"/>
  <c r="AJ404" i="2"/>
  <c r="AK404" i="2"/>
  <c r="AL404" i="2"/>
  <c r="AM404" i="2"/>
  <c r="AN404" i="2"/>
  <c r="AO404" i="2"/>
  <c r="AP404" i="2"/>
  <c r="AQ404" i="2"/>
  <c r="AR404" i="2"/>
  <c r="AS404" i="2"/>
  <c r="AT404" i="2"/>
  <c r="AU404" i="2"/>
  <c r="AV404" i="2"/>
  <c r="AW404" i="2"/>
  <c r="AX404" i="2"/>
  <c r="AY404" i="2"/>
  <c r="E405" i="2"/>
  <c r="F405" i="2"/>
  <c r="G405" i="2"/>
  <c r="H405" i="2"/>
  <c r="I405" i="2"/>
  <c r="J405" i="2"/>
  <c r="K405" i="2"/>
  <c r="L405" i="2"/>
  <c r="M405" i="2"/>
  <c r="N405" i="2"/>
  <c r="O405" i="2"/>
  <c r="P405" i="2"/>
  <c r="Q405" i="2"/>
  <c r="R405" i="2"/>
  <c r="S405" i="2"/>
  <c r="T405" i="2"/>
  <c r="U405" i="2"/>
  <c r="V405" i="2"/>
  <c r="W405" i="2"/>
  <c r="X405" i="2"/>
  <c r="Y405" i="2"/>
  <c r="Z405" i="2"/>
  <c r="AA405" i="2"/>
  <c r="AB405" i="2"/>
  <c r="AC405" i="2"/>
  <c r="AD405" i="2"/>
  <c r="AE405" i="2"/>
  <c r="AF405" i="2"/>
  <c r="AG405" i="2"/>
  <c r="AH405" i="2"/>
  <c r="AI405" i="2"/>
  <c r="AJ405" i="2"/>
  <c r="AK405" i="2"/>
  <c r="AL405" i="2"/>
  <c r="AM405" i="2"/>
  <c r="AN405" i="2"/>
  <c r="E35" i="9" s="1"/>
  <c r="AO405" i="2"/>
  <c r="F35" i="9" s="1"/>
  <c r="AP405" i="2"/>
  <c r="G35" i="9" s="1"/>
  <c r="AQ405" i="2"/>
  <c r="AR405" i="2"/>
  <c r="AS405" i="2"/>
  <c r="AT405" i="2"/>
  <c r="AU405" i="2"/>
  <c r="AV405" i="2"/>
  <c r="AW405" i="2"/>
  <c r="N35" i="9" s="1"/>
  <c r="AX405" i="2"/>
  <c r="AY405" i="2"/>
  <c r="E406" i="2"/>
  <c r="F406" i="2"/>
  <c r="G406" i="2"/>
  <c r="H406" i="2"/>
  <c r="I406" i="2"/>
  <c r="J406" i="2"/>
  <c r="K406" i="2"/>
  <c r="L406" i="2"/>
  <c r="M406" i="2"/>
  <c r="N406" i="2"/>
  <c r="O406" i="2"/>
  <c r="P406" i="2"/>
  <c r="Q406" i="2"/>
  <c r="R406" i="2"/>
  <c r="S406" i="2"/>
  <c r="T406" i="2"/>
  <c r="U406" i="2"/>
  <c r="V406" i="2"/>
  <c r="W406" i="2"/>
  <c r="X406" i="2"/>
  <c r="Y406" i="2"/>
  <c r="Z406" i="2"/>
  <c r="AA406" i="2"/>
  <c r="AB406" i="2"/>
  <c r="AC406" i="2"/>
  <c r="AD406" i="2"/>
  <c r="AE406" i="2"/>
  <c r="AF406" i="2"/>
  <c r="AG406" i="2"/>
  <c r="AH406" i="2"/>
  <c r="AI406" i="2"/>
  <c r="AJ406" i="2"/>
  <c r="AK406" i="2"/>
  <c r="AL406" i="2"/>
  <c r="AM406" i="2"/>
  <c r="AN406" i="2"/>
  <c r="E34" i="10" s="1"/>
  <c r="AO406" i="2"/>
  <c r="F34" i="10" s="1"/>
  <c r="AP406" i="2"/>
  <c r="G34" i="10" s="1"/>
  <c r="AQ406" i="2"/>
  <c r="AR406" i="2"/>
  <c r="AS406" i="2"/>
  <c r="AT406" i="2"/>
  <c r="AU406" i="2"/>
  <c r="AV406" i="2"/>
  <c r="AW406" i="2"/>
  <c r="N34" i="10" s="1"/>
  <c r="AX406" i="2"/>
  <c r="AY406" i="2"/>
  <c r="E407" i="2"/>
  <c r="F407" i="2"/>
  <c r="G407" i="2"/>
  <c r="H407" i="2"/>
  <c r="I407" i="2"/>
  <c r="J407" i="2"/>
  <c r="K407" i="2"/>
  <c r="L407" i="2"/>
  <c r="M407" i="2"/>
  <c r="N407" i="2"/>
  <c r="O407" i="2"/>
  <c r="P407" i="2"/>
  <c r="Q407" i="2"/>
  <c r="R407" i="2"/>
  <c r="S407" i="2"/>
  <c r="T407" i="2"/>
  <c r="U407" i="2"/>
  <c r="V407" i="2"/>
  <c r="W407" i="2"/>
  <c r="X407" i="2"/>
  <c r="Y407" i="2"/>
  <c r="Z407" i="2"/>
  <c r="AA407" i="2"/>
  <c r="AB407" i="2"/>
  <c r="AC407" i="2"/>
  <c r="AD407" i="2"/>
  <c r="AE407" i="2"/>
  <c r="AF407" i="2"/>
  <c r="AG407" i="2"/>
  <c r="AH407" i="2"/>
  <c r="AI407" i="2"/>
  <c r="AJ407" i="2"/>
  <c r="AK407" i="2"/>
  <c r="AL407" i="2"/>
  <c r="AM407" i="2"/>
  <c r="AN407" i="2"/>
  <c r="E41" i="8" s="1"/>
  <c r="AO407" i="2"/>
  <c r="F41" i="8" s="1"/>
  <c r="AP407" i="2"/>
  <c r="G41" i="8" s="1"/>
  <c r="AQ407" i="2"/>
  <c r="AR407" i="2"/>
  <c r="AS407" i="2"/>
  <c r="AT407" i="2"/>
  <c r="AU407" i="2"/>
  <c r="AV407" i="2"/>
  <c r="AW407" i="2"/>
  <c r="N41" i="8" s="1"/>
  <c r="AX407" i="2"/>
  <c r="AY407" i="2"/>
  <c r="E408" i="2"/>
  <c r="F408" i="2"/>
  <c r="G408" i="2"/>
  <c r="H408" i="2"/>
  <c r="I408" i="2"/>
  <c r="J408" i="2"/>
  <c r="K408" i="2"/>
  <c r="L408" i="2"/>
  <c r="M408" i="2"/>
  <c r="N408" i="2"/>
  <c r="O408" i="2"/>
  <c r="P408" i="2"/>
  <c r="Q408" i="2"/>
  <c r="R408" i="2"/>
  <c r="S408" i="2"/>
  <c r="T408" i="2"/>
  <c r="U408" i="2"/>
  <c r="V408" i="2"/>
  <c r="W408" i="2"/>
  <c r="X408" i="2"/>
  <c r="Y408" i="2"/>
  <c r="Z408" i="2"/>
  <c r="AA408" i="2"/>
  <c r="AB408" i="2"/>
  <c r="AC408" i="2"/>
  <c r="AD408" i="2"/>
  <c r="AE408" i="2"/>
  <c r="AF408" i="2"/>
  <c r="AG408" i="2"/>
  <c r="AH408" i="2"/>
  <c r="AI408" i="2"/>
  <c r="AJ408" i="2"/>
  <c r="AK408" i="2"/>
  <c r="AL408" i="2"/>
  <c r="AM408" i="2"/>
  <c r="AN408" i="2"/>
  <c r="E60" i="1" s="1"/>
  <c r="AO408" i="2"/>
  <c r="F60" i="1" s="1"/>
  <c r="AP408" i="2"/>
  <c r="G60" i="1" s="1"/>
  <c r="AQ408" i="2"/>
  <c r="AR408" i="2"/>
  <c r="AS408" i="2"/>
  <c r="AT408" i="2"/>
  <c r="AU408" i="2"/>
  <c r="AV408" i="2"/>
  <c r="AW408" i="2"/>
  <c r="N60" i="1" s="1"/>
  <c r="AX408" i="2"/>
  <c r="AY408" i="2"/>
  <c r="D408" i="2"/>
  <c r="D407" i="2"/>
  <c r="D406" i="2"/>
  <c r="D405" i="2"/>
  <c r="D404" i="2"/>
  <c r="D403" i="2"/>
  <c r="D402" i="2"/>
  <c r="E347" i="2"/>
  <c r="F347" i="2"/>
  <c r="G347" i="2"/>
  <c r="H347" i="2"/>
  <c r="I347" i="2"/>
  <c r="J347" i="2"/>
  <c r="K347" i="2"/>
  <c r="L347" i="2"/>
  <c r="M347" i="2"/>
  <c r="N347" i="2"/>
  <c r="O347" i="2"/>
  <c r="P347" i="2"/>
  <c r="Q347" i="2"/>
  <c r="R347" i="2"/>
  <c r="S347" i="2"/>
  <c r="T347" i="2"/>
  <c r="U347" i="2"/>
  <c r="V347" i="2"/>
  <c r="W347" i="2"/>
  <c r="X347" i="2"/>
  <c r="Y347" i="2"/>
  <c r="Z347" i="2"/>
  <c r="AA347" i="2"/>
  <c r="AB347" i="2"/>
  <c r="AC347" i="2"/>
  <c r="AD347" i="2"/>
  <c r="AE347" i="2"/>
  <c r="AF347" i="2"/>
  <c r="AG347" i="2"/>
  <c r="AH347" i="2"/>
  <c r="AI347" i="2"/>
  <c r="AJ347" i="2"/>
  <c r="AK347" i="2"/>
  <c r="AL347" i="2"/>
  <c r="AM347" i="2"/>
  <c r="AY347" i="2"/>
  <c r="P47" i="1" s="1"/>
  <c r="E348" i="2"/>
  <c r="F348" i="2"/>
  <c r="G348" i="2"/>
  <c r="H348" i="2"/>
  <c r="I348" i="2"/>
  <c r="J348" i="2"/>
  <c r="K348" i="2"/>
  <c r="L348" i="2"/>
  <c r="M348" i="2"/>
  <c r="N348" i="2"/>
  <c r="O348" i="2"/>
  <c r="P348" i="2"/>
  <c r="Q348" i="2"/>
  <c r="R348" i="2"/>
  <c r="S348" i="2"/>
  <c r="T348" i="2"/>
  <c r="U348" i="2"/>
  <c r="V348" i="2"/>
  <c r="W348" i="2"/>
  <c r="X348" i="2"/>
  <c r="Y348" i="2"/>
  <c r="Z348" i="2"/>
  <c r="AA348" i="2"/>
  <c r="AB348" i="2"/>
  <c r="AC348" i="2"/>
  <c r="AD348" i="2"/>
  <c r="AE348" i="2"/>
  <c r="AF348" i="2"/>
  <c r="AG348" i="2"/>
  <c r="AH348" i="2"/>
  <c r="AI348" i="2"/>
  <c r="AJ348" i="2"/>
  <c r="AK348" i="2"/>
  <c r="AL348" i="2"/>
  <c r="AM348" i="2"/>
  <c r="AY348" i="2"/>
  <c r="P48" i="1" s="1"/>
  <c r="E349" i="2"/>
  <c r="F349" i="2"/>
  <c r="G349" i="2"/>
  <c r="H349" i="2"/>
  <c r="I349" i="2"/>
  <c r="J349" i="2"/>
  <c r="K349" i="2"/>
  <c r="L349" i="2"/>
  <c r="M349" i="2"/>
  <c r="N349" i="2"/>
  <c r="O349" i="2"/>
  <c r="P349" i="2"/>
  <c r="Q349" i="2"/>
  <c r="R349" i="2"/>
  <c r="S349" i="2"/>
  <c r="T349" i="2"/>
  <c r="U349" i="2"/>
  <c r="V349" i="2"/>
  <c r="W349" i="2"/>
  <c r="X349" i="2"/>
  <c r="Y349" i="2"/>
  <c r="Z349" i="2"/>
  <c r="AA349" i="2"/>
  <c r="AB349" i="2"/>
  <c r="AC349" i="2"/>
  <c r="AD349" i="2"/>
  <c r="AE349" i="2"/>
  <c r="AF349" i="2"/>
  <c r="AG349" i="2"/>
  <c r="AH349" i="2"/>
  <c r="AI349" i="2"/>
  <c r="AJ349" i="2"/>
  <c r="AK349" i="2"/>
  <c r="AL349" i="2"/>
  <c r="AM349" i="2"/>
  <c r="AY349" i="2"/>
  <c r="P49" i="1" s="1"/>
  <c r="E350" i="2"/>
  <c r="F350" i="2"/>
  <c r="G350" i="2"/>
  <c r="H350" i="2"/>
  <c r="I350" i="2"/>
  <c r="J350" i="2"/>
  <c r="K350" i="2"/>
  <c r="L350" i="2"/>
  <c r="M350" i="2"/>
  <c r="N350" i="2"/>
  <c r="O350" i="2"/>
  <c r="P350" i="2"/>
  <c r="Q350" i="2"/>
  <c r="R350" i="2"/>
  <c r="S350" i="2"/>
  <c r="T350" i="2"/>
  <c r="U350" i="2"/>
  <c r="V350" i="2"/>
  <c r="W350" i="2"/>
  <c r="X350" i="2"/>
  <c r="Y350" i="2"/>
  <c r="Z350" i="2"/>
  <c r="AA350" i="2"/>
  <c r="AB350" i="2"/>
  <c r="AC350" i="2"/>
  <c r="AD350" i="2"/>
  <c r="AE350" i="2"/>
  <c r="AF350" i="2"/>
  <c r="AG350" i="2"/>
  <c r="AH350" i="2"/>
  <c r="AI350" i="2"/>
  <c r="AJ350" i="2"/>
  <c r="AK350" i="2"/>
  <c r="AL350" i="2"/>
  <c r="AM350" i="2"/>
  <c r="AY350" i="2"/>
  <c r="P50" i="1" s="1"/>
  <c r="E355" i="2"/>
  <c r="F355" i="2"/>
  <c r="G355" i="2"/>
  <c r="H355" i="2"/>
  <c r="I355" i="2"/>
  <c r="J355" i="2"/>
  <c r="K355" i="2"/>
  <c r="L355" i="2"/>
  <c r="M355" i="2"/>
  <c r="N355" i="2"/>
  <c r="O355" i="2"/>
  <c r="P355" i="2"/>
  <c r="Q355" i="2"/>
  <c r="R355" i="2"/>
  <c r="S355" i="2"/>
  <c r="T355" i="2"/>
  <c r="U355" i="2"/>
  <c r="V355" i="2"/>
  <c r="W355" i="2"/>
  <c r="X355" i="2"/>
  <c r="Y355" i="2"/>
  <c r="Z355" i="2"/>
  <c r="AA355" i="2"/>
  <c r="AB355" i="2"/>
  <c r="AC355" i="2"/>
  <c r="AD355" i="2"/>
  <c r="AE355" i="2"/>
  <c r="AF355" i="2"/>
  <c r="AG355" i="2"/>
  <c r="AH355" i="2"/>
  <c r="AI355" i="2"/>
  <c r="AJ355" i="2"/>
  <c r="AK355" i="2"/>
  <c r="AL355" i="2"/>
  <c r="AM355" i="2"/>
  <c r="AY355" i="2"/>
  <c r="E356" i="2"/>
  <c r="F356" i="2"/>
  <c r="G356" i="2"/>
  <c r="H356" i="2"/>
  <c r="I356" i="2"/>
  <c r="J356" i="2"/>
  <c r="K356" i="2"/>
  <c r="L356" i="2"/>
  <c r="M356" i="2"/>
  <c r="N356" i="2"/>
  <c r="O356" i="2"/>
  <c r="P356" i="2"/>
  <c r="Q356" i="2"/>
  <c r="R356" i="2"/>
  <c r="S356" i="2"/>
  <c r="T356" i="2"/>
  <c r="U356" i="2"/>
  <c r="V356" i="2"/>
  <c r="W356" i="2"/>
  <c r="X356" i="2"/>
  <c r="Y356" i="2"/>
  <c r="Z356" i="2"/>
  <c r="AA356" i="2"/>
  <c r="AB356" i="2"/>
  <c r="AC356" i="2"/>
  <c r="AD356" i="2"/>
  <c r="AE356" i="2"/>
  <c r="AF356" i="2"/>
  <c r="AG356" i="2"/>
  <c r="AH356" i="2"/>
  <c r="AI356" i="2"/>
  <c r="AJ356" i="2"/>
  <c r="AK356" i="2"/>
  <c r="AL356" i="2"/>
  <c r="AM356" i="2"/>
  <c r="AN356" i="2"/>
  <c r="AO356" i="2"/>
  <c r="F48" i="5" s="1"/>
  <c r="AP356" i="2"/>
  <c r="AQ356" i="2"/>
  <c r="AR356" i="2"/>
  <c r="AS356" i="2"/>
  <c r="AT356" i="2"/>
  <c r="AU356" i="2"/>
  <c r="AV356" i="2"/>
  <c r="AW356" i="2"/>
  <c r="AX356" i="2"/>
  <c r="AY356" i="2"/>
  <c r="E357" i="2"/>
  <c r="F357" i="2"/>
  <c r="G357" i="2"/>
  <c r="H357" i="2"/>
  <c r="I357" i="2"/>
  <c r="J357" i="2"/>
  <c r="K357" i="2"/>
  <c r="L357" i="2"/>
  <c r="M357" i="2"/>
  <c r="N357" i="2"/>
  <c r="O357" i="2"/>
  <c r="P357" i="2"/>
  <c r="Q357" i="2"/>
  <c r="R357" i="2"/>
  <c r="S357" i="2"/>
  <c r="T357" i="2"/>
  <c r="U357" i="2"/>
  <c r="V357" i="2"/>
  <c r="W357" i="2"/>
  <c r="X357" i="2"/>
  <c r="Y357" i="2"/>
  <c r="Z357" i="2"/>
  <c r="AA357" i="2"/>
  <c r="AB357" i="2"/>
  <c r="AC357" i="2"/>
  <c r="AD357" i="2"/>
  <c r="AE357" i="2"/>
  <c r="AF357" i="2"/>
  <c r="AG357" i="2"/>
  <c r="AH357" i="2"/>
  <c r="AI357" i="2"/>
  <c r="AJ357" i="2"/>
  <c r="AK357" i="2"/>
  <c r="AL357" i="2"/>
  <c r="AM357" i="2"/>
  <c r="AN357" i="2"/>
  <c r="AO357" i="2"/>
  <c r="F49" i="5" s="1"/>
  <c r="AP357" i="2"/>
  <c r="AQ357" i="2"/>
  <c r="AR357" i="2"/>
  <c r="AS357" i="2"/>
  <c r="AT357" i="2"/>
  <c r="AU357" i="2"/>
  <c r="AV357" i="2"/>
  <c r="AW357" i="2"/>
  <c r="AX357" i="2"/>
  <c r="AY357" i="2"/>
  <c r="E358" i="2"/>
  <c r="F358" i="2"/>
  <c r="G358" i="2"/>
  <c r="H358" i="2"/>
  <c r="I358" i="2"/>
  <c r="J358" i="2"/>
  <c r="K358" i="2"/>
  <c r="L358" i="2"/>
  <c r="M358" i="2"/>
  <c r="N358" i="2"/>
  <c r="O358" i="2"/>
  <c r="P358" i="2"/>
  <c r="Q358" i="2"/>
  <c r="R358" i="2"/>
  <c r="S358" i="2"/>
  <c r="T358" i="2"/>
  <c r="U358" i="2"/>
  <c r="V358" i="2"/>
  <c r="W358" i="2"/>
  <c r="X358" i="2"/>
  <c r="Y358" i="2"/>
  <c r="Z358" i="2"/>
  <c r="AA358" i="2"/>
  <c r="AB358" i="2"/>
  <c r="AC358" i="2"/>
  <c r="AD358" i="2"/>
  <c r="AE358" i="2"/>
  <c r="AF358" i="2"/>
  <c r="AG358" i="2"/>
  <c r="AH358" i="2"/>
  <c r="AI358" i="2"/>
  <c r="AJ358" i="2"/>
  <c r="AK358" i="2"/>
  <c r="AL358" i="2"/>
  <c r="AM358" i="2"/>
  <c r="AN358" i="2"/>
  <c r="AO358" i="2"/>
  <c r="F50" i="5" s="1"/>
  <c r="AP358" i="2"/>
  <c r="AQ358" i="2"/>
  <c r="AR358" i="2"/>
  <c r="AS358" i="2"/>
  <c r="AT358" i="2"/>
  <c r="AU358" i="2"/>
  <c r="AV358" i="2"/>
  <c r="AW358" i="2"/>
  <c r="AX358" i="2"/>
  <c r="AY358" i="2"/>
  <c r="E363" i="2"/>
  <c r="F363" i="2"/>
  <c r="G363" i="2"/>
  <c r="H363" i="2"/>
  <c r="I363" i="2"/>
  <c r="J363" i="2"/>
  <c r="K363" i="2"/>
  <c r="L363" i="2"/>
  <c r="M363" i="2"/>
  <c r="N363" i="2"/>
  <c r="O363" i="2"/>
  <c r="P363" i="2"/>
  <c r="Q363" i="2"/>
  <c r="R363" i="2"/>
  <c r="S363" i="2"/>
  <c r="T363" i="2"/>
  <c r="U363" i="2"/>
  <c r="V363" i="2"/>
  <c r="W363" i="2"/>
  <c r="X363" i="2"/>
  <c r="Y363" i="2"/>
  <c r="Z363" i="2"/>
  <c r="AA363" i="2"/>
  <c r="AB363" i="2"/>
  <c r="AC363" i="2"/>
  <c r="AD363" i="2"/>
  <c r="AE363" i="2"/>
  <c r="AF363" i="2"/>
  <c r="AG363" i="2"/>
  <c r="AH363" i="2"/>
  <c r="AI363" i="2"/>
  <c r="AJ363" i="2"/>
  <c r="AK363" i="2"/>
  <c r="AL363" i="2"/>
  <c r="AM363" i="2"/>
  <c r="AY363" i="2"/>
  <c r="E364" i="2"/>
  <c r="F364" i="2"/>
  <c r="G364" i="2"/>
  <c r="H364" i="2"/>
  <c r="I364" i="2"/>
  <c r="J364" i="2"/>
  <c r="K364" i="2"/>
  <c r="L364" i="2"/>
  <c r="M364" i="2"/>
  <c r="N364" i="2"/>
  <c r="O364" i="2"/>
  <c r="P364" i="2"/>
  <c r="Q364" i="2"/>
  <c r="R364" i="2"/>
  <c r="S364" i="2"/>
  <c r="T364" i="2"/>
  <c r="U364" i="2"/>
  <c r="V364" i="2"/>
  <c r="W364" i="2"/>
  <c r="X364" i="2"/>
  <c r="Y364" i="2"/>
  <c r="Z364" i="2"/>
  <c r="AA364" i="2"/>
  <c r="AB364" i="2"/>
  <c r="AC364" i="2"/>
  <c r="AD364" i="2"/>
  <c r="AE364" i="2"/>
  <c r="AF364" i="2"/>
  <c r="AG364" i="2"/>
  <c r="AH364" i="2"/>
  <c r="AI364" i="2"/>
  <c r="AJ364" i="2"/>
  <c r="AK364" i="2"/>
  <c r="AL364" i="2"/>
  <c r="AM364" i="2"/>
  <c r="AN364" i="2"/>
  <c r="AO364" i="2"/>
  <c r="F46" i="6" s="1"/>
  <c r="AP364" i="2"/>
  <c r="AQ364" i="2"/>
  <c r="AR364" i="2"/>
  <c r="AS364" i="2"/>
  <c r="AT364" i="2"/>
  <c r="AU364" i="2"/>
  <c r="AV364" i="2"/>
  <c r="AW364" i="2"/>
  <c r="AX364" i="2"/>
  <c r="AY364" i="2"/>
  <c r="E365" i="2"/>
  <c r="F365" i="2"/>
  <c r="G365" i="2"/>
  <c r="H365" i="2"/>
  <c r="I365" i="2"/>
  <c r="J365" i="2"/>
  <c r="K365" i="2"/>
  <c r="L365" i="2"/>
  <c r="M365" i="2"/>
  <c r="N365" i="2"/>
  <c r="O365" i="2"/>
  <c r="P365" i="2"/>
  <c r="Q365" i="2"/>
  <c r="R365" i="2"/>
  <c r="S365" i="2"/>
  <c r="T365" i="2"/>
  <c r="U365" i="2"/>
  <c r="V365" i="2"/>
  <c r="W365" i="2"/>
  <c r="X365" i="2"/>
  <c r="Y365" i="2"/>
  <c r="Z365" i="2"/>
  <c r="AA365" i="2"/>
  <c r="AB365" i="2"/>
  <c r="AC365" i="2"/>
  <c r="AD365" i="2"/>
  <c r="AE365" i="2"/>
  <c r="AF365" i="2"/>
  <c r="AG365" i="2"/>
  <c r="AH365" i="2"/>
  <c r="AI365" i="2"/>
  <c r="AJ365" i="2"/>
  <c r="AK365" i="2"/>
  <c r="AL365" i="2"/>
  <c r="AM365" i="2"/>
  <c r="AN365" i="2"/>
  <c r="AO365" i="2"/>
  <c r="F47" i="6" s="1"/>
  <c r="AP365" i="2"/>
  <c r="AQ365" i="2"/>
  <c r="AR365" i="2"/>
  <c r="AS365" i="2"/>
  <c r="AT365" i="2"/>
  <c r="AU365" i="2"/>
  <c r="AV365" i="2"/>
  <c r="AW365" i="2"/>
  <c r="AX365" i="2"/>
  <c r="AY365" i="2"/>
  <c r="E366" i="2"/>
  <c r="F366" i="2"/>
  <c r="G366" i="2"/>
  <c r="H366" i="2"/>
  <c r="I366" i="2"/>
  <c r="J366" i="2"/>
  <c r="K366" i="2"/>
  <c r="L366" i="2"/>
  <c r="M366" i="2"/>
  <c r="N366" i="2"/>
  <c r="O366" i="2"/>
  <c r="P366" i="2"/>
  <c r="Q366" i="2"/>
  <c r="R366" i="2"/>
  <c r="S366" i="2"/>
  <c r="T366" i="2"/>
  <c r="U366" i="2"/>
  <c r="V366" i="2"/>
  <c r="W366" i="2"/>
  <c r="X366" i="2"/>
  <c r="Y366" i="2"/>
  <c r="Z366" i="2"/>
  <c r="AA366" i="2"/>
  <c r="AB366" i="2"/>
  <c r="AC366" i="2"/>
  <c r="AD366" i="2"/>
  <c r="AE366" i="2"/>
  <c r="AF366" i="2"/>
  <c r="AG366" i="2"/>
  <c r="AH366" i="2"/>
  <c r="AI366" i="2"/>
  <c r="AJ366" i="2"/>
  <c r="AK366" i="2"/>
  <c r="AL366" i="2"/>
  <c r="AM366" i="2"/>
  <c r="AN366" i="2"/>
  <c r="AO366" i="2"/>
  <c r="F48" i="6" s="1"/>
  <c r="AP366" i="2"/>
  <c r="AQ366" i="2"/>
  <c r="AR366" i="2"/>
  <c r="AS366" i="2"/>
  <c r="AT366" i="2"/>
  <c r="AU366" i="2"/>
  <c r="AV366" i="2"/>
  <c r="AW366" i="2"/>
  <c r="AX366" i="2"/>
  <c r="AY366" i="2"/>
  <c r="E371" i="2"/>
  <c r="F371" i="2"/>
  <c r="G371" i="2"/>
  <c r="H371" i="2"/>
  <c r="I371" i="2"/>
  <c r="J371" i="2"/>
  <c r="K371" i="2"/>
  <c r="L371" i="2"/>
  <c r="M371" i="2"/>
  <c r="N371" i="2"/>
  <c r="O371" i="2"/>
  <c r="P371" i="2"/>
  <c r="Q371" i="2"/>
  <c r="R371" i="2"/>
  <c r="S371" i="2"/>
  <c r="T371" i="2"/>
  <c r="U371" i="2"/>
  <c r="V371" i="2"/>
  <c r="W371" i="2"/>
  <c r="X371" i="2"/>
  <c r="Y371" i="2"/>
  <c r="Z371" i="2"/>
  <c r="AA371" i="2"/>
  <c r="AB371" i="2"/>
  <c r="AC371" i="2"/>
  <c r="AD371" i="2"/>
  <c r="AE371" i="2"/>
  <c r="AF371" i="2"/>
  <c r="AG371" i="2"/>
  <c r="AH371" i="2"/>
  <c r="AI371" i="2"/>
  <c r="AJ371" i="2"/>
  <c r="AK371" i="2"/>
  <c r="AL371" i="2"/>
  <c r="AM371" i="2"/>
  <c r="AY371" i="2"/>
  <c r="E372" i="2"/>
  <c r="F372" i="2"/>
  <c r="G372" i="2"/>
  <c r="H372" i="2"/>
  <c r="I372" i="2"/>
  <c r="J372" i="2"/>
  <c r="K372" i="2"/>
  <c r="L372" i="2"/>
  <c r="M372" i="2"/>
  <c r="N372" i="2"/>
  <c r="O372" i="2"/>
  <c r="P372" i="2"/>
  <c r="Q372" i="2"/>
  <c r="R372" i="2"/>
  <c r="S372" i="2"/>
  <c r="T372" i="2"/>
  <c r="U372" i="2"/>
  <c r="V372" i="2"/>
  <c r="W372" i="2"/>
  <c r="X372" i="2"/>
  <c r="Y372" i="2"/>
  <c r="Z372" i="2"/>
  <c r="AA372" i="2"/>
  <c r="AB372" i="2"/>
  <c r="AC372" i="2"/>
  <c r="AD372" i="2"/>
  <c r="AE372" i="2"/>
  <c r="AF372" i="2"/>
  <c r="AG372" i="2"/>
  <c r="AH372" i="2"/>
  <c r="AI372" i="2"/>
  <c r="AJ372" i="2"/>
  <c r="AK372" i="2"/>
  <c r="AL372" i="2"/>
  <c r="AM372" i="2"/>
  <c r="AN372" i="2"/>
  <c r="AO372" i="2"/>
  <c r="F46" i="7" s="1"/>
  <c r="AP372" i="2"/>
  <c r="AQ372" i="2"/>
  <c r="AR372" i="2"/>
  <c r="AS372" i="2"/>
  <c r="AT372" i="2"/>
  <c r="AU372" i="2"/>
  <c r="AV372" i="2"/>
  <c r="AW372" i="2"/>
  <c r="AX372" i="2"/>
  <c r="AY372" i="2"/>
  <c r="E373" i="2"/>
  <c r="F373" i="2"/>
  <c r="G373" i="2"/>
  <c r="H373" i="2"/>
  <c r="I373" i="2"/>
  <c r="J373" i="2"/>
  <c r="K373" i="2"/>
  <c r="L373" i="2"/>
  <c r="M373" i="2"/>
  <c r="N373" i="2"/>
  <c r="O373" i="2"/>
  <c r="P373" i="2"/>
  <c r="Q373" i="2"/>
  <c r="R373" i="2"/>
  <c r="S373" i="2"/>
  <c r="T373" i="2"/>
  <c r="U373" i="2"/>
  <c r="V373" i="2"/>
  <c r="W373" i="2"/>
  <c r="X373" i="2"/>
  <c r="Y373" i="2"/>
  <c r="Z373" i="2"/>
  <c r="AA373" i="2"/>
  <c r="AB373" i="2"/>
  <c r="AC373" i="2"/>
  <c r="AD373" i="2"/>
  <c r="AE373" i="2"/>
  <c r="AF373" i="2"/>
  <c r="AG373" i="2"/>
  <c r="AH373" i="2"/>
  <c r="AI373" i="2"/>
  <c r="AJ373" i="2"/>
  <c r="AK373" i="2"/>
  <c r="AL373" i="2"/>
  <c r="AM373" i="2"/>
  <c r="AN373" i="2"/>
  <c r="AO373" i="2"/>
  <c r="F47" i="7" s="1"/>
  <c r="AP373" i="2"/>
  <c r="AQ373" i="2"/>
  <c r="AR373" i="2"/>
  <c r="AS373" i="2"/>
  <c r="AT373" i="2"/>
  <c r="AU373" i="2"/>
  <c r="AV373" i="2"/>
  <c r="AW373" i="2"/>
  <c r="AX373" i="2"/>
  <c r="AY373" i="2"/>
  <c r="E374" i="2"/>
  <c r="F374" i="2"/>
  <c r="G374" i="2"/>
  <c r="H374" i="2"/>
  <c r="I374" i="2"/>
  <c r="J374" i="2"/>
  <c r="K374" i="2"/>
  <c r="L374" i="2"/>
  <c r="M374" i="2"/>
  <c r="N374" i="2"/>
  <c r="O374" i="2"/>
  <c r="P374" i="2"/>
  <c r="Q374" i="2"/>
  <c r="R374" i="2"/>
  <c r="S374" i="2"/>
  <c r="T374" i="2"/>
  <c r="U374" i="2"/>
  <c r="V374" i="2"/>
  <c r="W374" i="2"/>
  <c r="X374" i="2"/>
  <c r="Y374" i="2"/>
  <c r="Z374" i="2"/>
  <c r="AA374" i="2"/>
  <c r="AB374" i="2"/>
  <c r="AC374" i="2"/>
  <c r="AD374" i="2"/>
  <c r="AE374" i="2"/>
  <c r="AF374" i="2"/>
  <c r="AG374" i="2"/>
  <c r="AH374" i="2"/>
  <c r="AI374" i="2"/>
  <c r="AJ374" i="2"/>
  <c r="AK374" i="2"/>
  <c r="AL374" i="2"/>
  <c r="AM374" i="2"/>
  <c r="AN374" i="2"/>
  <c r="AO374" i="2"/>
  <c r="F48" i="7" s="1"/>
  <c r="AP374" i="2"/>
  <c r="AQ374" i="2"/>
  <c r="AR374" i="2"/>
  <c r="AS374" i="2"/>
  <c r="AT374" i="2"/>
  <c r="AU374" i="2"/>
  <c r="AV374" i="2"/>
  <c r="AW374" i="2"/>
  <c r="AX374" i="2"/>
  <c r="AY374" i="2"/>
  <c r="E379" i="2"/>
  <c r="F379" i="2"/>
  <c r="G379" i="2"/>
  <c r="H379" i="2"/>
  <c r="I379" i="2"/>
  <c r="J379" i="2"/>
  <c r="K379" i="2"/>
  <c r="L379" i="2"/>
  <c r="M379" i="2"/>
  <c r="N379" i="2"/>
  <c r="O379" i="2"/>
  <c r="P379" i="2"/>
  <c r="Q379" i="2"/>
  <c r="R379" i="2"/>
  <c r="S379" i="2"/>
  <c r="T379" i="2"/>
  <c r="U379" i="2"/>
  <c r="V379" i="2"/>
  <c r="W379" i="2"/>
  <c r="X379" i="2"/>
  <c r="Y379" i="2"/>
  <c r="Z379" i="2"/>
  <c r="AA379" i="2"/>
  <c r="AB379" i="2"/>
  <c r="AC379" i="2"/>
  <c r="AD379" i="2"/>
  <c r="AE379" i="2"/>
  <c r="AF379" i="2"/>
  <c r="AG379" i="2"/>
  <c r="AH379" i="2"/>
  <c r="AI379" i="2"/>
  <c r="AJ379" i="2"/>
  <c r="AK379" i="2"/>
  <c r="AL379" i="2"/>
  <c r="AM379" i="2"/>
  <c r="AY379" i="2"/>
  <c r="E380" i="2"/>
  <c r="F380" i="2"/>
  <c r="G380" i="2"/>
  <c r="H380" i="2"/>
  <c r="I380" i="2"/>
  <c r="J380" i="2"/>
  <c r="K380" i="2"/>
  <c r="L380" i="2"/>
  <c r="M380" i="2"/>
  <c r="N380" i="2"/>
  <c r="O380" i="2"/>
  <c r="P380" i="2"/>
  <c r="Q380" i="2"/>
  <c r="R380" i="2"/>
  <c r="S380" i="2"/>
  <c r="T380" i="2"/>
  <c r="U380" i="2"/>
  <c r="V380" i="2"/>
  <c r="W380" i="2"/>
  <c r="X380" i="2"/>
  <c r="Y380" i="2"/>
  <c r="Z380" i="2"/>
  <c r="AA380" i="2"/>
  <c r="AB380" i="2"/>
  <c r="AC380" i="2"/>
  <c r="AD380" i="2"/>
  <c r="AE380" i="2"/>
  <c r="AF380" i="2"/>
  <c r="AG380" i="2"/>
  <c r="AH380" i="2"/>
  <c r="AI380" i="2"/>
  <c r="AJ380" i="2"/>
  <c r="AK380" i="2"/>
  <c r="AL380" i="2"/>
  <c r="AM380" i="2"/>
  <c r="AN380" i="2"/>
  <c r="AO380" i="2"/>
  <c r="F42" i="9" s="1"/>
  <c r="AP380" i="2"/>
  <c r="AQ380" i="2"/>
  <c r="AR380" i="2"/>
  <c r="AS380" i="2"/>
  <c r="AT380" i="2"/>
  <c r="AU380" i="2"/>
  <c r="AV380" i="2"/>
  <c r="AW380" i="2"/>
  <c r="AX380" i="2"/>
  <c r="AY380" i="2"/>
  <c r="E381" i="2"/>
  <c r="F381" i="2"/>
  <c r="G381" i="2"/>
  <c r="H381" i="2"/>
  <c r="I381" i="2"/>
  <c r="J381" i="2"/>
  <c r="K381" i="2"/>
  <c r="L381" i="2"/>
  <c r="M381" i="2"/>
  <c r="N381" i="2"/>
  <c r="O381" i="2"/>
  <c r="P381" i="2"/>
  <c r="Q381" i="2"/>
  <c r="R381" i="2"/>
  <c r="S381" i="2"/>
  <c r="T381" i="2"/>
  <c r="U381" i="2"/>
  <c r="V381" i="2"/>
  <c r="W381" i="2"/>
  <c r="X381" i="2"/>
  <c r="Y381" i="2"/>
  <c r="Z381" i="2"/>
  <c r="AA381" i="2"/>
  <c r="AB381" i="2"/>
  <c r="AC381" i="2"/>
  <c r="AD381" i="2"/>
  <c r="AE381" i="2"/>
  <c r="AF381" i="2"/>
  <c r="AG381" i="2"/>
  <c r="AH381" i="2"/>
  <c r="AI381" i="2"/>
  <c r="AJ381" i="2"/>
  <c r="AK381" i="2"/>
  <c r="AL381" i="2"/>
  <c r="AM381" i="2"/>
  <c r="AN381" i="2"/>
  <c r="AO381" i="2"/>
  <c r="F43" i="9" s="1"/>
  <c r="AP381" i="2"/>
  <c r="AQ381" i="2"/>
  <c r="AR381" i="2"/>
  <c r="AS381" i="2"/>
  <c r="AT381" i="2"/>
  <c r="AU381" i="2"/>
  <c r="AV381" i="2"/>
  <c r="AW381" i="2"/>
  <c r="AX381" i="2"/>
  <c r="AY381" i="2"/>
  <c r="E382" i="2"/>
  <c r="F382" i="2"/>
  <c r="G382" i="2"/>
  <c r="H382" i="2"/>
  <c r="I382" i="2"/>
  <c r="J382" i="2"/>
  <c r="K382" i="2"/>
  <c r="L382" i="2"/>
  <c r="M382" i="2"/>
  <c r="N382" i="2"/>
  <c r="O382" i="2"/>
  <c r="P382" i="2"/>
  <c r="Q382" i="2"/>
  <c r="R382" i="2"/>
  <c r="S382" i="2"/>
  <c r="T382" i="2"/>
  <c r="U382" i="2"/>
  <c r="V382" i="2"/>
  <c r="W382" i="2"/>
  <c r="X382" i="2"/>
  <c r="Y382" i="2"/>
  <c r="Z382" i="2"/>
  <c r="AA382" i="2"/>
  <c r="AB382" i="2"/>
  <c r="AC382" i="2"/>
  <c r="AD382" i="2"/>
  <c r="AE382" i="2"/>
  <c r="AF382" i="2"/>
  <c r="AG382" i="2"/>
  <c r="AH382" i="2"/>
  <c r="AI382" i="2"/>
  <c r="AJ382" i="2"/>
  <c r="AK382" i="2"/>
  <c r="AL382" i="2"/>
  <c r="AM382" i="2"/>
  <c r="AN382" i="2"/>
  <c r="AO382" i="2"/>
  <c r="F44" i="9" s="1"/>
  <c r="AP382" i="2"/>
  <c r="AQ382" i="2"/>
  <c r="AR382" i="2"/>
  <c r="AS382" i="2"/>
  <c r="AT382" i="2"/>
  <c r="AU382" i="2"/>
  <c r="AV382" i="2"/>
  <c r="AW382" i="2"/>
  <c r="AX382" i="2"/>
  <c r="AY382" i="2"/>
  <c r="E387" i="2"/>
  <c r="F387" i="2"/>
  <c r="G387" i="2"/>
  <c r="H387" i="2"/>
  <c r="I387" i="2"/>
  <c r="J387" i="2"/>
  <c r="K387" i="2"/>
  <c r="L387" i="2"/>
  <c r="M387" i="2"/>
  <c r="N387" i="2"/>
  <c r="O387" i="2"/>
  <c r="P387" i="2"/>
  <c r="Q387" i="2"/>
  <c r="R387" i="2"/>
  <c r="S387" i="2"/>
  <c r="T387" i="2"/>
  <c r="U387" i="2"/>
  <c r="V387" i="2"/>
  <c r="W387" i="2"/>
  <c r="X387" i="2"/>
  <c r="Y387" i="2"/>
  <c r="Z387" i="2"/>
  <c r="AA387" i="2"/>
  <c r="AB387" i="2"/>
  <c r="AC387" i="2"/>
  <c r="AD387" i="2"/>
  <c r="AE387" i="2"/>
  <c r="AF387" i="2"/>
  <c r="AG387" i="2"/>
  <c r="AH387" i="2"/>
  <c r="AI387" i="2"/>
  <c r="AJ387" i="2"/>
  <c r="AK387" i="2"/>
  <c r="AL387" i="2"/>
  <c r="AM387" i="2"/>
  <c r="AY387" i="2"/>
  <c r="E388" i="2"/>
  <c r="F388" i="2"/>
  <c r="G388" i="2"/>
  <c r="H388" i="2"/>
  <c r="I388" i="2"/>
  <c r="J388" i="2"/>
  <c r="K388" i="2"/>
  <c r="L388" i="2"/>
  <c r="M388" i="2"/>
  <c r="N388" i="2"/>
  <c r="O388" i="2"/>
  <c r="P388" i="2"/>
  <c r="Q388" i="2"/>
  <c r="R388" i="2"/>
  <c r="S388" i="2"/>
  <c r="T388" i="2"/>
  <c r="U388" i="2"/>
  <c r="V388" i="2"/>
  <c r="W388" i="2"/>
  <c r="X388" i="2"/>
  <c r="Y388" i="2"/>
  <c r="Z388" i="2"/>
  <c r="AA388" i="2"/>
  <c r="AB388" i="2"/>
  <c r="AC388" i="2"/>
  <c r="AD388" i="2"/>
  <c r="AE388" i="2"/>
  <c r="AF388" i="2"/>
  <c r="AG388" i="2"/>
  <c r="AH388" i="2"/>
  <c r="AI388" i="2"/>
  <c r="AJ388" i="2"/>
  <c r="AK388" i="2"/>
  <c r="AL388" i="2"/>
  <c r="AM388" i="2"/>
  <c r="AN388" i="2"/>
  <c r="AO388" i="2"/>
  <c r="F41" i="10" s="1"/>
  <c r="AP388" i="2"/>
  <c r="AQ388" i="2"/>
  <c r="AR388" i="2"/>
  <c r="AS388" i="2"/>
  <c r="AT388" i="2"/>
  <c r="AU388" i="2"/>
  <c r="AV388" i="2"/>
  <c r="AW388" i="2"/>
  <c r="AX388" i="2"/>
  <c r="AY388" i="2"/>
  <c r="E389" i="2"/>
  <c r="F389" i="2"/>
  <c r="G389" i="2"/>
  <c r="H389" i="2"/>
  <c r="I389" i="2"/>
  <c r="J389" i="2"/>
  <c r="K389" i="2"/>
  <c r="L389" i="2"/>
  <c r="M389" i="2"/>
  <c r="N389" i="2"/>
  <c r="O389" i="2"/>
  <c r="P389" i="2"/>
  <c r="Q389" i="2"/>
  <c r="R389" i="2"/>
  <c r="S389" i="2"/>
  <c r="T389" i="2"/>
  <c r="U389" i="2"/>
  <c r="V389" i="2"/>
  <c r="W389" i="2"/>
  <c r="X389" i="2"/>
  <c r="Y389" i="2"/>
  <c r="Z389" i="2"/>
  <c r="AA389" i="2"/>
  <c r="AB389" i="2"/>
  <c r="AC389" i="2"/>
  <c r="AD389" i="2"/>
  <c r="AE389" i="2"/>
  <c r="AF389" i="2"/>
  <c r="AG389" i="2"/>
  <c r="AH389" i="2"/>
  <c r="AI389" i="2"/>
  <c r="AJ389" i="2"/>
  <c r="AK389" i="2"/>
  <c r="AL389" i="2"/>
  <c r="AM389" i="2"/>
  <c r="AN389" i="2"/>
  <c r="AO389" i="2"/>
  <c r="F42" i="10" s="1"/>
  <c r="AP389" i="2"/>
  <c r="AQ389" i="2"/>
  <c r="AR389" i="2"/>
  <c r="AS389" i="2"/>
  <c r="AT389" i="2"/>
  <c r="AU389" i="2"/>
  <c r="AV389" i="2"/>
  <c r="AW389" i="2"/>
  <c r="AX389" i="2"/>
  <c r="AY389" i="2"/>
  <c r="E390" i="2"/>
  <c r="F390" i="2"/>
  <c r="G390" i="2"/>
  <c r="H390" i="2"/>
  <c r="I390" i="2"/>
  <c r="J390" i="2"/>
  <c r="K390" i="2"/>
  <c r="L390" i="2"/>
  <c r="M390" i="2"/>
  <c r="N390" i="2"/>
  <c r="O390" i="2"/>
  <c r="P390" i="2"/>
  <c r="Q390" i="2"/>
  <c r="R390" i="2"/>
  <c r="S390" i="2"/>
  <c r="T390" i="2"/>
  <c r="U390" i="2"/>
  <c r="V390" i="2"/>
  <c r="W390" i="2"/>
  <c r="X390" i="2"/>
  <c r="Y390" i="2"/>
  <c r="Z390" i="2"/>
  <c r="AA390" i="2"/>
  <c r="AB390" i="2"/>
  <c r="AC390" i="2"/>
  <c r="AD390" i="2"/>
  <c r="AE390" i="2"/>
  <c r="AF390" i="2"/>
  <c r="AG390" i="2"/>
  <c r="AH390" i="2"/>
  <c r="AI390" i="2"/>
  <c r="AJ390" i="2"/>
  <c r="AK390" i="2"/>
  <c r="AL390" i="2"/>
  <c r="AM390" i="2"/>
  <c r="AN390" i="2"/>
  <c r="AO390" i="2"/>
  <c r="F43" i="10" s="1"/>
  <c r="AP390" i="2"/>
  <c r="AQ390" i="2"/>
  <c r="AR390" i="2"/>
  <c r="AS390" i="2"/>
  <c r="AT390" i="2"/>
  <c r="AU390" i="2"/>
  <c r="AV390" i="2"/>
  <c r="AW390" i="2"/>
  <c r="AX390" i="2"/>
  <c r="AY390" i="2"/>
  <c r="D390" i="2"/>
  <c r="D389" i="2"/>
  <c r="D388" i="2"/>
  <c r="D387" i="2"/>
  <c r="D382" i="2"/>
  <c r="D381" i="2"/>
  <c r="D380" i="2"/>
  <c r="D379" i="2"/>
  <c r="D374" i="2"/>
  <c r="D373" i="2"/>
  <c r="D372" i="2"/>
  <c r="D371" i="2"/>
  <c r="D366" i="2"/>
  <c r="D365" i="2"/>
  <c r="D364" i="2"/>
  <c r="D363" i="2"/>
  <c r="D358" i="2"/>
  <c r="D357" i="2"/>
  <c r="D356" i="2"/>
  <c r="D355" i="2"/>
  <c r="D350" i="2"/>
  <c r="D349" i="2"/>
  <c r="D348" i="2"/>
  <c r="D347" i="2"/>
  <c r="E333" i="2"/>
  <c r="F333" i="2"/>
  <c r="G333" i="2"/>
  <c r="H333" i="2"/>
  <c r="I333" i="2"/>
  <c r="J333" i="2"/>
  <c r="K333" i="2"/>
  <c r="L333" i="2"/>
  <c r="M333" i="2"/>
  <c r="N333" i="2"/>
  <c r="O333" i="2"/>
  <c r="P333" i="2"/>
  <c r="Q333" i="2"/>
  <c r="R333" i="2"/>
  <c r="S333" i="2"/>
  <c r="T333" i="2"/>
  <c r="U333" i="2"/>
  <c r="V333" i="2"/>
  <c r="W333" i="2"/>
  <c r="X333" i="2"/>
  <c r="Y333" i="2"/>
  <c r="Z333" i="2"/>
  <c r="AA333" i="2"/>
  <c r="AB333" i="2"/>
  <c r="AC333" i="2"/>
  <c r="AD333" i="2"/>
  <c r="AE333" i="2"/>
  <c r="AF333" i="2"/>
  <c r="AG333" i="2"/>
  <c r="AH333" i="2"/>
  <c r="AI333" i="2"/>
  <c r="AJ333" i="2"/>
  <c r="AK333" i="2"/>
  <c r="AL333" i="2"/>
  <c r="AM333" i="2"/>
  <c r="AN333" i="2"/>
  <c r="AO333" i="2"/>
  <c r="AP333" i="2"/>
  <c r="AQ333" i="2"/>
  <c r="AR333" i="2"/>
  <c r="AS333" i="2"/>
  <c r="AT333" i="2"/>
  <c r="AU333" i="2"/>
  <c r="AV333" i="2"/>
  <c r="AW333" i="2"/>
  <c r="AX333" i="2"/>
  <c r="AY333" i="2"/>
  <c r="E334" i="2"/>
  <c r="F334" i="2"/>
  <c r="G334" i="2"/>
  <c r="H334" i="2"/>
  <c r="I334" i="2"/>
  <c r="J334" i="2"/>
  <c r="K334" i="2"/>
  <c r="L334" i="2"/>
  <c r="M334" i="2"/>
  <c r="N334" i="2"/>
  <c r="O334" i="2"/>
  <c r="P334" i="2"/>
  <c r="Q334" i="2"/>
  <c r="R334" i="2"/>
  <c r="S334" i="2"/>
  <c r="T334" i="2"/>
  <c r="U334" i="2"/>
  <c r="V334" i="2"/>
  <c r="W334" i="2"/>
  <c r="X334" i="2"/>
  <c r="Y334" i="2"/>
  <c r="Z334" i="2"/>
  <c r="AA334" i="2"/>
  <c r="AB334" i="2"/>
  <c r="AC334" i="2"/>
  <c r="AD334" i="2"/>
  <c r="AE334" i="2"/>
  <c r="AF334" i="2"/>
  <c r="AG334" i="2"/>
  <c r="AH334" i="2"/>
  <c r="AI334" i="2"/>
  <c r="AJ334" i="2"/>
  <c r="AK334" i="2"/>
  <c r="AL334" i="2"/>
  <c r="AM334" i="2"/>
  <c r="AN334" i="2"/>
  <c r="AO334" i="2"/>
  <c r="F45" i="10" s="1"/>
  <c r="AP334" i="2"/>
  <c r="G45" i="10" s="1"/>
  <c r="AQ334" i="2"/>
  <c r="H45" i="10" s="1"/>
  <c r="AR334" i="2"/>
  <c r="I45" i="10" s="1"/>
  <c r="AS334" i="2"/>
  <c r="AT334" i="2"/>
  <c r="AU334" i="2"/>
  <c r="AV334" i="2"/>
  <c r="AW334" i="2"/>
  <c r="N45" i="10" s="1"/>
  <c r="AX334" i="2"/>
  <c r="AY334" i="2"/>
  <c r="E335" i="2"/>
  <c r="F335" i="2"/>
  <c r="G335" i="2"/>
  <c r="H335" i="2"/>
  <c r="I335" i="2"/>
  <c r="J335" i="2"/>
  <c r="K335" i="2"/>
  <c r="L335" i="2"/>
  <c r="M335" i="2"/>
  <c r="N335" i="2"/>
  <c r="O335" i="2"/>
  <c r="P335" i="2"/>
  <c r="Q335" i="2"/>
  <c r="R335" i="2"/>
  <c r="S335" i="2"/>
  <c r="T335" i="2"/>
  <c r="U335" i="2"/>
  <c r="V335" i="2"/>
  <c r="W335" i="2"/>
  <c r="X335" i="2"/>
  <c r="Y335" i="2"/>
  <c r="Z335" i="2"/>
  <c r="AA335" i="2"/>
  <c r="AB335" i="2"/>
  <c r="AC335" i="2"/>
  <c r="AD335" i="2"/>
  <c r="AE335" i="2"/>
  <c r="AF335" i="2"/>
  <c r="AG335" i="2"/>
  <c r="AH335" i="2"/>
  <c r="AI335" i="2"/>
  <c r="AJ335" i="2"/>
  <c r="AK335" i="2"/>
  <c r="AL335" i="2"/>
  <c r="AM335" i="2"/>
  <c r="AN335" i="2"/>
  <c r="AO335" i="2"/>
  <c r="F50" i="6" s="1"/>
  <c r="AP335" i="2"/>
  <c r="G50" i="6" s="1"/>
  <c r="AQ335" i="2"/>
  <c r="H50" i="6" s="1"/>
  <c r="AR335" i="2"/>
  <c r="I50" i="6" s="1"/>
  <c r="AS335" i="2"/>
  <c r="AT335" i="2"/>
  <c r="AU335" i="2"/>
  <c r="AV335" i="2"/>
  <c r="AW335" i="2"/>
  <c r="N50" i="6" s="1"/>
  <c r="AX335" i="2"/>
  <c r="AY335" i="2"/>
  <c r="E336" i="2"/>
  <c r="F336" i="2"/>
  <c r="G336" i="2"/>
  <c r="H336" i="2"/>
  <c r="I336" i="2"/>
  <c r="J336" i="2"/>
  <c r="K336" i="2"/>
  <c r="L336" i="2"/>
  <c r="M336" i="2"/>
  <c r="N336" i="2"/>
  <c r="O336" i="2"/>
  <c r="P336" i="2"/>
  <c r="Q336" i="2"/>
  <c r="R336" i="2"/>
  <c r="S336" i="2"/>
  <c r="T336" i="2"/>
  <c r="U336" i="2"/>
  <c r="V336" i="2"/>
  <c r="W336" i="2"/>
  <c r="X336" i="2"/>
  <c r="Y336" i="2"/>
  <c r="Z336" i="2"/>
  <c r="AA336" i="2"/>
  <c r="AB336" i="2"/>
  <c r="AC336" i="2"/>
  <c r="AD336" i="2"/>
  <c r="AE336" i="2"/>
  <c r="AF336" i="2"/>
  <c r="AG336" i="2"/>
  <c r="AH336" i="2"/>
  <c r="AI336" i="2"/>
  <c r="AJ336" i="2"/>
  <c r="AK336" i="2"/>
  <c r="AL336" i="2"/>
  <c r="AM336" i="2"/>
  <c r="AN336" i="2"/>
  <c r="AO336" i="2"/>
  <c r="F52" i="5" s="1"/>
  <c r="AP336" i="2"/>
  <c r="G52" i="5" s="1"/>
  <c r="AQ336" i="2"/>
  <c r="H52" i="5" s="1"/>
  <c r="AR336" i="2"/>
  <c r="I52" i="5" s="1"/>
  <c r="AS336" i="2"/>
  <c r="AT336" i="2"/>
  <c r="AU336" i="2"/>
  <c r="AV336" i="2"/>
  <c r="AW336" i="2"/>
  <c r="N52" i="5" s="1"/>
  <c r="AX336" i="2"/>
  <c r="AY336" i="2"/>
  <c r="E337" i="2"/>
  <c r="F337" i="2"/>
  <c r="G337" i="2"/>
  <c r="H337" i="2"/>
  <c r="I337" i="2"/>
  <c r="J337" i="2"/>
  <c r="K337" i="2"/>
  <c r="L337" i="2"/>
  <c r="M337" i="2"/>
  <c r="N337" i="2"/>
  <c r="O337" i="2"/>
  <c r="P337" i="2"/>
  <c r="Q337" i="2"/>
  <c r="R337" i="2"/>
  <c r="S337" i="2"/>
  <c r="T337" i="2"/>
  <c r="U337" i="2"/>
  <c r="V337" i="2"/>
  <c r="W337" i="2"/>
  <c r="X337" i="2"/>
  <c r="Y337" i="2"/>
  <c r="Z337" i="2"/>
  <c r="AA337" i="2"/>
  <c r="AB337" i="2"/>
  <c r="AC337" i="2"/>
  <c r="AD337" i="2"/>
  <c r="AE337" i="2"/>
  <c r="AF337" i="2"/>
  <c r="AG337" i="2"/>
  <c r="AH337" i="2"/>
  <c r="AI337" i="2"/>
  <c r="AJ337" i="2"/>
  <c r="AK337" i="2"/>
  <c r="AL337" i="2"/>
  <c r="AM337" i="2"/>
  <c r="AN337" i="2"/>
  <c r="AO337" i="2"/>
  <c r="F50" i="7" s="1"/>
  <c r="AP337" i="2"/>
  <c r="G50" i="7" s="1"/>
  <c r="AQ337" i="2"/>
  <c r="H50" i="7" s="1"/>
  <c r="AR337" i="2"/>
  <c r="I50" i="7" s="1"/>
  <c r="AS337" i="2"/>
  <c r="AT337" i="2"/>
  <c r="AU337" i="2"/>
  <c r="AV337" i="2"/>
  <c r="AW337" i="2"/>
  <c r="N50" i="7" s="1"/>
  <c r="AX337" i="2"/>
  <c r="AY337" i="2"/>
  <c r="E338" i="2"/>
  <c r="F338" i="2"/>
  <c r="G338" i="2"/>
  <c r="H338" i="2"/>
  <c r="I338" i="2"/>
  <c r="J338" i="2"/>
  <c r="K338" i="2"/>
  <c r="L338" i="2"/>
  <c r="M338" i="2"/>
  <c r="N338" i="2"/>
  <c r="O338" i="2"/>
  <c r="P338" i="2"/>
  <c r="Q338" i="2"/>
  <c r="R338" i="2"/>
  <c r="S338" i="2"/>
  <c r="T338" i="2"/>
  <c r="U338" i="2"/>
  <c r="V338" i="2"/>
  <c r="W338" i="2"/>
  <c r="X338" i="2"/>
  <c r="Y338" i="2"/>
  <c r="Z338" i="2"/>
  <c r="AA338" i="2"/>
  <c r="AB338" i="2"/>
  <c r="AC338" i="2"/>
  <c r="AD338" i="2"/>
  <c r="AE338" i="2"/>
  <c r="AF338" i="2"/>
  <c r="AG338" i="2"/>
  <c r="AH338" i="2"/>
  <c r="AI338" i="2"/>
  <c r="AJ338" i="2"/>
  <c r="AK338" i="2"/>
  <c r="AL338" i="2"/>
  <c r="AM338" i="2"/>
  <c r="AN338" i="2"/>
  <c r="AO338" i="2"/>
  <c r="AP338" i="2"/>
  <c r="AQ338" i="2"/>
  <c r="AR338" i="2"/>
  <c r="AS338" i="2"/>
  <c r="AT338" i="2"/>
  <c r="AU338" i="2"/>
  <c r="AV338" i="2"/>
  <c r="AW338" i="2"/>
  <c r="AX338" i="2"/>
  <c r="AY338" i="2"/>
  <c r="E339" i="2"/>
  <c r="F339" i="2"/>
  <c r="G339" i="2"/>
  <c r="H339" i="2"/>
  <c r="I339" i="2"/>
  <c r="J339" i="2"/>
  <c r="K339" i="2"/>
  <c r="L339" i="2"/>
  <c r="M339" i="2"/>
  <c r="N339" i="2"/>
  <c r="O339" i="2"/>
  <c r="P339" i="2"/>
  <c r="Q339" i="2"/>
  <c r="R339" i="2"/>
  <c r="S339" i="2"/>
  <c r="T339" i="2"/>
  <c r="U339" i="2"/>
  <c r="V339" i="2"/>
  <c r="W339" i="2"/>
  <c r="X339" i="2"/>
  <c r="Y339" i="2"/>
  <c r="Z339" i="2"/>
  <c r="AA339" i="2"/>
  <c r="AB339" i="2"/>
  <c r="AC339" i="2"/>
  <c r="AD339" i="2"/>
  <c r="AE339" i="2"/>
  <c r="AF339" i="2"/>
  <c r="AG339" i="2"/>
  <c r="AH339" i="2"/>
  <c r="AI339" i="2"/>
  <c r="AJ339" i="2"/>
  <c r="AK339" i="2"/>
  <c r="AL339" i="2"/>
  <c r="AM339" i="2"/>
  <c r="AN339" i="2"/>
  <c r="AO339" i="2"/>
  <c r="AP339" i="2"/>
  <c r="G52" i="1" s="1"/>
  <c r="AQ339" i="2"/>
  <c r="H52" i="1" s="1"/>
  <c r="AR339" i="2"/>
  <c r="I52" i="1" s="1"/>
  <c r="AS339" i="2"/>
  <c r="AT339" i="2"/>
  <c r="AU339" i="2"/>
  <c r="AV339" i="2"/>
  <c r="AW339" i="2"/>
  <c r="N52" i="1" s="1"/>
  <c r="AX339" i="2"/>
  <c r="AY339" i="2"/>
  <c r="E340" i="2"/>
  <c r="F340" i="2"/>
  <c r="G340" i="2"/>
  <c r="H340" i="2"/>
  <c r="I340" i="2"/>
  <c r="J340" i="2"/>
  <c r="K340" i="2"/>
  <c r="L340" i="2"/>
  <c r="M340" i="2"/>
  <c r="N340" i="2"/>
  <c r="O340" i="2"/>
  <c r="P340" i="2"/>
  <c r="Q340" i="2"/>
  <c r="R340" i="2"/>
  <c r="S340" i="2"/>
  <c r="T340" i="2"/>
  <c r="U340" i="2"/>
  <c r="V340" i="2"/>
  <c r="W340" i="2"/>
  <c r="X340" i="2"/>
  <c r="Y340" i="2"/>
  <c r="Z340" i="2"/>
  <c r="AA340" i="2"/>
  <c r="AB340" i="2"/>
  <c r="AC340" i="2"/>
  <c r="AD340" i="2"/>
  <c r="AE340" i="2"/>
  <c r="AF340" i="2"/>
  <c r="AG340" i="2"/>
  <c r="AH340" i="2"/>
  <c r="AI340" i="2"/>
  <c r="AJ340" i="2"/>
  <c r="AK340" i="2"/>
  <c r="AL340" i="2"/>
  <c r="AM340" i="2"/>
  <c r="AN340" i="2"/>
  <c r="AO340" i="2"/>
  <c r="F46" i="9" s="1"/>
  <c r="AP340" i="2"/>
  <c r="G46" i="9" s="1"/>
  <c r="AQ340" i="2"/>
  <c r="H46" i="9" s="1"/>
  <c r="AR340" i="2"/>
  <c r="I46" i="9" s="1"/>
  <c r="AS340" i="2"/>
  <c r="AT340" i="2"/>
  <c r="AU340" i="2"/>
  <c r="AV340" i="2"/>
  <c r="AW340" i="2"/>
  <c r="N46" i="9" s="1"/>
  <c r="AX340" i="2"/>
  <c r="AY340" i="2"/>
  <c r="E341" i="2"/>
  <c r="F341" i="2"/>
  <c r="G341" i="2"/>
  <c r="H341" i="2"/>
  <c r="I341" i="2"/>
  <c r="J341" i="2"/>
  <c r="K341" i="2"/>
  <c r="L341" i="2"/>
  <c r="M341" i="2"/>
  <c r="N341" i="2"/>
  <c r="O341" i="2"/>
  <c r="P341" i="2"/>
  <c r="Q341" i="2"/>
  <c r="R341" i="2"/>
  <c r="S341" i="2"/>
  <c r="T341" i="2"/>
  <c r="U341" i="2"/>
  <c r="V341" i="2"/>
  <c r="W341" i="2"/>
  <c r="X341" i="2"/>
  <c r="Y341" i="2"/>
  <c r="Z341" i="2"/>
  <c r="AA341" i="2"/>
  <c r="AB341" i="2"/>
  <c r="AC341" i="2"/>
  <c r="AD341" i="2"/>
  <c r="AE341" i="2"/>
  <c r="AF341" i="2"/>
  <c r="AG341" i="2"/>
  <c r="AH341" i="2"/>
  <c r="AI341" i="2"/>
  <c r="AJ341" i="2"/>
  <c r="AK341" i="2"/>
  <c r="AL341" i="2"/>
  <c r="AM341" i="2"/>
  <c r="AN341" i="2"/>
  <c r="AO341" i="2"/>
  <c r="F52" i="8" s="1"/>
  <c r="AP341" i="2"/>
  <c r="G52" i="8" s="1"/>
  <c r="AQ341" i="2"/>
  <c r="H52" i="8" s="1"/>
  <c r="AR341" i="2"/>
  <c r="I52" i="8" s="1"/>
  <c r="AS341" i="2"/>
  <c r="AT341" i="2"/>
  <c r="AU341" i="2"/>
  <c r="AV341" i="2"/>
  <c r="AW341" i="2"/>
  <c r="N52" i="8" s="1"/>
  <c r="AX341" i="2"/>
  <c r="AY341" i="2"/>
  <c r="D341" i="2"/>
  <c r="D340" i="2"/>
  <c r="D339" i="2"/>
  <c r="D338" i="2"/>
  <c r="D337" i="2"/>
  <c r="D336" i="2"/>
  <c r="D335" i="2"/>
  <c r="D334" i="2"/>
  <c r="D333" i="2"/>
  <c r="E308" i="2"/>
  <c r="F308" i="2"/>
  <c r="G308" i="2"/>
  <c r="H308" i="2"/>
  <c r="I308" i="2"/>
  <c r="J308" i="2"/>
  <c r="K308" i="2"/>
  <c r="L308" i="2"/>
  <c r="M308" i="2"/>
  <c r="N308" i="2"/>
  <c r="O308" i="2"/>
  <c r="P308" i="2"/>
  <c r="Q308" i="2"/>
  <c r="R308" i="2"/>
  <c r="S308" i="2"/>
  <c r="T308" i="2"/>
  <c r="U308" i="2"/>
  <c r="V308" i="2"/>
  <c r="W308" i="2"/>
  <c r="X308" i="2"/>
  <c r="Y308" i="2"/>
  <c r="Z308" i="2"/>
  <c r="AA308" i="2"/>
  <c r="AB308" i="2"/>
  <c r="AC308" i="2"/>
  <c r="AD308" i="2"/>
  <c r="AE308" i="2"/>
  <c r="AF308" i="2"/>
  <c r="AG308" i="2"/>
  <c r="AH308" i="2"/>
  <c r="AI308" i="2"/>
  <c r="AJ308" i="2"/>
  <c r="AK308" i="2"/>
  <c r="AL308" i="2"/>
  <c r="AM308" i="2"/>
  <c r="AN308" i="2"/>
  <c r="AO308" i="2"/>
  <c r="AP308" i="2"/>
  <c r="AQ308" i="2"/>
  <c r="AR308" i="2"/>
  <c r="AS308" i="2"/>
  <c r="AT308" i="2"/>
  <c r="AU308" i="2"/>
  <c r="AV308" i="2"/>
  <c r="AW308" i="2"/>
  <c r="AX308" i="2"/>
  <c r="AY308" i="2"/>
  <c r="E309" i="2"/>
  <c r="F309" i="2"/>
  <c r="G309" i="2"/>
  <c r="H309" i="2"/>
  <c r="I309" i="2"/>
  <c r="J309" i="2"/>
  <c r="K309" i="2"/>
  <c r="L309" i="2"/>
  <c r="M309" i="2"/>
  <c r="N309" i="2"/>
  <c r="O309" i="2"/>
  <c r="P309" i="2"/>
  <c r="Q309" i="2"/>
  <c r="R309" i="2"/>
  <c r="S309" i="2"/>
  <c r="T309" i="2"/>
  <c r="U309" i="2"/>
  <c r="V309" i="2"/>
  <c r="W309" i="2"/>
  <c r="X309" i="2"/>
  <c r="Y309" i="2"/>
  <c r="Z309" i="2"/>
  <c r="AA309" i="2"/>
  <c r="AB309" i="2"/>
  <c r="AC309" i="2"/>
  <c r="AD309" i="2"/>
  <c r="AE309" i="2"/>
  <c r="AF309" i="2"/>
  <c r="AG309" i="2"/>
  <c r="AH309" i="2"/>
  <c r="AI309" i="2"/>
  <c r="AJ309" i="2"/>
  <c r="AK309" i="2"/>
  <c r="AL309" i="2"/>
  <c r="AM309" i="2"/>
  <c r="AN309" i="2"/>
  <c r="AO309" i="2"/>
  <c r="AP309" i="2"/>
  <c r="AQ309" i="2"/>
  <c r="AR309" i="2"/>
  <c r="AS309" i="2"/>
  <c r="AT309" i="2"/>
  <c r="AU309" i="2"/>
  <c r="AV309" i="2"/>
  <c r="AW309" i="2"/>
  <c r="AX309" i="2"/>
  <c r="AY309" i="2"/>
  <c r="E310" i="2"/>
  <c r="F310" i="2"/>
  <c r="G310" i="2"/>
  <c r="H310" i="2"/>
  <c r="I310" i="2"/>
  <c r="J310" i="2"/>
  <c r="K310" i="2"/>
  <c r="L310" i="2"/>
  <c r="M310" i="2"/>
  <c r="N310" i="2"/>
  <c r="O310" i="2"/>
  <c r="P310" i="2"/>
  <c r="Q310" i="2"/>
  <c r="R310" i="2"/>
  <c r="S310" i="2"/>
  <c r="T310" i="2"/>
  <c r="U310" i="2"/>
  <c r="V310" i="2"/>
  <c r="W310" i="2"/>
  <c r="X310" i="2"/>
  <c r="Y310" i="2"/>
  <c r="Z310" i="2"/>
  <c r="AA310" i="2"/>
  <c r="AB310" i="2"/>
  <c r="AC310" i="2"/>
  <c r="AD310" i="2"/>
  <c r="AE310" i="2"/>
  <c r="AF310" i="2"/>
  <c r="AG310" i="2"/>
  <c r="AH310" i="2"/>
  <c r="AI310" i="2"/>
  <c r="AJ310" i="2"/>
  <c r="AK310" i="2"/>
  <c r="AL310" i="2"/>
  <c r="AM310" i="2"/>
  <c r="AN310" i="2"/>
  <c r="AO310" i="2"/>
  <c r="AP310" i="2"/>
  <c r="AQ310" i="2"/>
  <c r="AR310" i="2"/>
  <c r="AS310" i="2"/>
  <c r="AT310" i="2"/>
  <c r="AU310" i="2"/>
  <c r="AV310" i="2"/>
  <c r="AW310" i="2"/>
  <c r="AX310" i="2"/>
  <c r="AY310" i="2"/>
  <c r="E311" i="2"/>
  <c r="F311" i="2"/>
  <c r="G311" i="2"/>
  <c r="H311" i="2"/>
  <c r="I311" i="2"/>
  <c r="J311" i="2"/>
  <c r="K311" i="2"/>
  <c r="L311" i="2"/>
  <c r="M311" i="2"/>
  <c r="N311" i="2"/>
  <c r="O311" i="2"/>
  <c r="P311" i="2"/>
  <c r="Q311" i="2"/>
  <c r="R311" i="2"/>
  <c r="S311" i="2"/>
  <c r="T311" i="2"/>
  <c r="U311" i="2"/>
  <c r="V311" i="2"/>
  <c r="W311" i="2"/>
  <c r="X311" i="2"/>
  <c r="Y311" i="2"/>
  <c r="Z311" i="2"/>
  <c r="AA311" i="2"/>
  <c r="AB311" i="2"/>
  <c r="AC311" i="2"/>
  <c r="AD311" i="2"/>
  <c r="AE311" i="2"/>
  <c r="AF311" i="2"/>
  <c r="AG311" i="2"/>
  <c r="AH311" i="2"/>
  <c r="AI311" i="2"/>
  <c r="AJ311" i="2"/>
  <c r="AK311" i="2"/>
  <c r="AL311" i="2"/>
  <c r="AM311" i="2"/>
  <c r="AN311" i="2"/>
  <c r="E31" i="5" s="1"/>
  <c r="AO311" i="2"/>
  <c r="F31" i="5" s="1"/>
  <c r="AP311" i="2"/>
  <c r="G31" i="5" s="1"/>
  <c r="AQ311" i="2"/>
  <c r="H31" i="5" s="1"/>
  <c r="AR311" i="2"/>
  <c r="I31" i="5" s="1"/>
  <c r="AS311" i="2"/>
  <c r="J31" i="5" s="1"/>
  <c r="AT311" i="2"/>
  <c r="AU311" i="2"/>
  <c r="AV311" i="2"/>
  <c r="M31" i="5" s="1"/>
  <c r="AW311" i="2"/>
  <c r="N31" i="5" s="1"/>
  <c r="AX311" i="2"/>
  <c r="O31" i="5" s="1"/>
  <c r="AY311" i="2"/>
  <c r="E312" i="2"/>
  <c r="F312" i="2"/>
  <c r="G312" i="2"/>
  <c r="H312" i="2"/>
  <c r="I312" i="2"/>
  <c r="J312" i="2"/>
  <c r="K312" i="2"/>
  <c r="L312" i="2"/>
  <c r="M312" i="2"/>
  <c r="N312" i="2"/>
  <c r="O312" i="2"/>
  <c r="P312" i="2"/>
  <c r="Q312" i="2"/>
  <c r="R312" i="2"/>
  <c r="S312" i="2"/>
  <c r="T312" i="2"/>
  <c r="U312" i="2"/>
  <c r="V312" i="2"/>
  <c r="W312" i="2"/>
  <c r="X312" i="2"/>
  <c r="Y312" i="2"/>
  <c r="Z312" i="2"/>
  <c r="AA312" i="2"/>
  <c r="AB312" i="2"/>
  <c r="AC312" i="2"/>
  <c r="AD312" i="2"/>
  <c r="AE312" i="2"/>
  <c r="AF312" i="2"/>
  <c r="AG312" i="2"/>
  <c r="AH312" i="2"/>
  <c r="AI312" i="2"/>
  <c r="AJ312" i="2"/>
  <c r="AK312" i="2"/>
  <c r="AL312" i="2"/>
  <c r="AM312" i="2"/>
  <c r="AN312" i="2"/>
  <c r="E32" i="5" s="1"/>
  <c r="AO312" i="2"/>
  <c r="F32" i="5" s="1"/>
  <c r="AP312" i="2"/>
  <c r="G32" i="5" s="1"/>
  <c r="AQ312" i="2"/>
  <c r="H32" i="5" s="1"/>
  <c r="AR312" i="2"/>
  <c r="I32" i="5" s="1"/>
  <c r="AS312" i="2"/>
  <c r="J32" i="5" s="1"/>
  <c r="AT312" i="2"/>
  <c r="AU312" i="2"/>
  <c r="AV312" i="2"/>
  <c r="M32" i="5" s="1"/>
  <c r="AW312" i="2"/>
  <c r="N32" i="5" s="1"/>
  <c r="AX312" i="2"/>
  <c r="O32" i="5" s="1"/>
  <c r="AY312" i="2"/>
  <c r="E313" i="2"/>
  <c r="F313" i="2"/>
  <c r="G313" i="2"/>
  <c r="H313" i="2"/>
  <c r="I313" i="2"/>
  <c r="J313" i="2"/>
  <c r="K313" i="2"/>
  <c r="L313" i="2"/>
  <c r="M313" i="2"/>
  <c r="N313" i="2"/>
  <c r="O313" i="2"/>
  <c r="P313" i="2"/>
  <c r="Q313" i="2"/>
  <c r="R313" i="2"/>
  <c r="S313" i="2"/>
  <c r="T313" i="2"/>
  <c r="U313" i="2"/>
  <c r="V313" i="2"/>
  <c r="W313" i="2"/>
  <c r="X313" i="2"/>
  <c r="Y313" i="2"/>
  <c r="Z313" i="2"/>
  <c r="AA313" i="2"/>
  <c r="AB313" i="2"/>
  <c r="AC313" i="2"/>
  <c r="AD313" i="2"/>
  <c r="AE313" i="2"/>
  <c r="AF313" i="2"/>
  <c r="AG313" i="2"/>
  <c r="AH313" i="2"/>
  <c r="AI313" i="2"/>
  <c r="AJ313" i="2"/>
  <c r="AK313" i="2"/>
  <c r="AL313" i="2"/>
  <c r="AM313" i="2"/>
  <c r="AN313" i="2"/>
  <c r="E33" i="5" s="1"/>
  <c r="AO313" i="2"/>
  <c r="F33" i="5" s="1"/>
  <c r="AP313" i="2"/>
  <c r="G33" i="5" s="1"/>
  <c r="AQ313" i="2"/>
  <c r="H33" i="5" s="1"/>
  <c r="AR313" i="2"/>
  <c r="I33" i="5" s="1"/>
  <c r="AS313" i="2"/>
  <c r="J33" i="5" s="1"/>
  <c r="AT313" i="2"/>
  <c r="AU313" i="2"/>
  <c r="AV313" i="2"/>
  <c r="M33" i="5" s="1"/>
  <c r="AW313" i="2"/>
  <c r="N33" i="5" s="1"/>
  <c r="AX313" i="2"/>
  <c r="O33" i="5" s="1"/>
  <c r="AY313" i="2"/>
  <c r="E314" i="2"/>
  <c r="F314" i="2"/>
  <c r="G314" i="2"/>
  <c r="H314" i="2"/>
  <c r="I314" i="2"/>
  <c r="J314" i="2"/>
  <c r="K314" i="2"/>
  <c r="L314" i="2"/>
  <c r="M314" i="2"/>
  <c r="N314" i="2"/>
  <c r="O314" i="2"/>
  <c r="P314" i="2"/>
  <c r="Q314" i="2"/>
  <c r="R314" i="2"/>
  <c r="S314" i="2"/>
  <c r="T314" i="2"/>
  <c r="U314" i="2"/>
  <c r="V314" i="2"/>
  <c r="W314" i="2"/>
  <c r="X314" i="2"/>
  <c r="Y314" i="2"/>
  <c r="Z314" i="2"/>
  <c r="AA314" i="2"/>
  <c r="AB314" i="2"/>
  <c r="AC314" i="2"/>
  <c r="AD314" i="2"/>
  <c r="AE314" i="2"/>
  <c r="AF314" i="2"/>
  <c r="AG314" i="2"/>
  <c r="AH314" i="2"/>
  <c r="AI314" i="2"/>
  <c r="AJ314" i="2"/>
  <c r="AK314" i="2"/>
  <c r="AL314" i="2"/>
  <c r="AM314" i="2"/>
  <c r="AN314" i="2"/>
  <c r="AO314" i="2"/>
  <c r="AP314" i="2"/>
  <c r="AQ314" i="2"/>
  <c r="AR314" i="2"/>
  <c r="AS314" i="2"/>
  <c r="AT314" i="2"/>
  <c r="AU314" i="2"/>
  <c r="AV314" i="2"/>
  <c r="AW314" i="2"/>
  <c r="AX314" i="2"/>
  <c r="AY314" i="2"/>
  <c r="E315" i="2"/>
  <c r="F315" i="2"/>
  <c r="G315" i="2"/>
  <c r="H315" i="2"/>
  <c r="I315" i="2"/>
  <c r="J315" i="2"/>
  <c r="K315" i="2"/>
  <c r="L315" i="2"/>
  <c r="M315" i="2"/>
  <c r="N315" i="2"/>
  <c r="O315" i="2"/>
  <c r="P315" i="2"/>
  <c r="Q315" i="2"/>
  <c r="R315" i="2"/>
  <c r="S315" i="2"/>
  <c r="T315" i="2"/>
  <c r="U315" i="2"/>
  <c r="V315" i="2"/>
  <c r="W315" i="2"/>
  <c r="X315" i="2"/>
  <c r="Y315" i="2"/>
  <c r="Z315" i="2"/>
  <c r="AA315" i="2"/>
  <c r="AB315" i="2"/>
  <c r="AC315" i="2"/>
  <c r="AD315" i="2"/>
  <c r="AE315" i="2"/>
  <c r="AF315" i="2"/>
  <c r="AG315" i="2"/>
  <c r="AH315" i="2"/>
  <c r="AI315" i="2"/>
  <c r="AJ315" i="2"/>
  <c r="AK315" i="2"/>
  <c r="AL315" i="2"/>
  <c r="AM315" i="2"/>
  <c r="AN315" i="2"/>
  <c r="AO315" i="2"/>
  <c r="AP315" i="2"/>
  <c r="AQ315" i="2"/>
  <c r="AR315" i="2"/>
  <c r="AS315" i="2"/>
  <c r="AT315" i="2"/>
  <c r="AU315" i="2"/>
  <c r="AV315" i="2"/>
  <c r="AW315" i="2"/>
  <c r="AX315" i="2"/>
  <c r="AY315" i="2"/>
  <c r="E316" i="2"/>
  <c r="F316" i="2"/>
  <c r="G316" i="2"/>
  <c r="H316" i="2"/>
  <c r="I316" i="2"/>
  <c r="J316" i="2"/>
  <c r="K316" i="2"/>
  <c r="L316" i="2"/>
  <c r="M316" i="2"/>
  <c r="N316" i="2"/>
  <c r="O316" i="2"/>
  <c r="P316" i="2"/>
  <c r="Q316" i="2"/>
  <c r="R316" i="2"/>
  <c r="S316" i="2"/>
  <c r="T316" i="2"/>
  <c r="U316" i="2"/>
  <c r="V316" i="2"/>
  <c r="W316" i="2"/>
  <c r="X316" i="2"/>
  <c r="Y316" i="2"/>
  <c r="Z316" i="2"/>
  <c r="AA316" i="2"/>
  <c r="AB316" i="2"/>
  <c r="AC316" i="2"/>
  <c r="AD316" i="2"/>
  <c r="AE316" i="2"/>
  <c r="AF316" i="2"/>
  <c r="AG316" i="2"/>
  <c r="AH316" i="2"/>
  <c r="AI316" i="2"/>
  <c r="AJ316" i="2"/>
  <c r="AK316" i="2"/>
  <c r="AL316" i="2"/>
  <c r="AM316" i="2"/>
  <c r="AN316" i="2"/>
  <c r="AO316" i="2"/>
  <c r="AP316" i="2"/>
  <c r="AQ316" i="2"/>
  <c r="AR316" i="2"/>
  <c r="AS316" i="2"/>
  <c r="AT316" i="2"/>
  <c r="AU316" i="2"/>
  <c r="AV316" i="2"/>
  <c r="AW316" i="2"/>
  <c r="AX316" i="2"/>
  <c r="AY316" i="2"/>
  <c r="E317" i="2"/>
  <c r="F317" i="2"/>
  <c r="G317" i="2"/>
  <c r="H317" i="2"/>
  <c r="I317" i="2"/>
  <c r="J317" i="2"/>
  <c r="K317" i="2"/>
  <c r="L317" i="2"/>
  <c r="M317" i="2"/>
  <c r="N317" i="2"/>
  <c r="O317" i="2"/>
  <c r="P317" i="2"/>
  <c r="Q317" i="2"/>
  <c r="R317" i="2"/>
  <c r="S317" i="2"/>
  <c r="T317" i="2"/>
  <c r="U317" i="2"/>
  <c r="V317" i="2"/>
  <c r="W317" i="2"/>
  <c r="X317" i="2"/>
  <c r="Y317" i="2"/>
  <c r="Z317" i="2"/>
  <c r="AA317" i="2"/>
  <c r="AB317" i="2"/>
  <c r="AC317" i="2"/>
  <c r="AD317" i="2"/>
  <c r="AE317" i="2"/>
  <c r="AF317" i="2"/>
  <c r="AG317" i="2"/>
  <c r="AH317" i="2"/>
  <c r="AI317" i="2"/>
  <c r="AJ317" i="2"/>
  <c r="AK317" i="2"/>
  <c r="AL317" i="2"/>
  <c r="AM317" i="2"/>
  <c r="AN317" i="2"/>
  <c r="E52" i="7" s="1"/>
  <c r="AO317" i="2"/>
  <c r="F52" i="7" s="1"/>
  <c r="AP317" i="2"/>
  <c r="G52" i="7" s="1"/>
  <c r="AQ317" i="2"/>
  <c r="H52" i="7" s="1"/>
  <c r="AR317" i="2"/>
  <c r="I52" i="7" s="1"/>
  <c r="AS317" i="2"/>
  <c r="J52" i="7" s="1"/>
  <c r="AT317" i="2"/>
  <c r="AU317" i="2"/>
  <c r="AV317" i="2"/>
  <c r="M52" i="7" s="1"/>
  <c r="AW317" i="2"/>
  <c r="N52" i="7" s="1"/>
  <c r="AX317" i="2"/>
  <c r="O52" i="7" s="1"/>
  <c r="AY317" i="2"/>
  <c r="E318" i="2"/>
  <c r="F318" i="2"/>
  <c r="G318" i="2"/>
  <c r="H318" i="2"/>
  <c r="I318" i="2"/>
  <c r="J318" i="2"/>
  <c r="K318" i="2"/>
  <c r="L318" i="2"/>
  <c r="M318" i="2"/>
  <c r="N318" i="2"/>
  <c r="O318" i="2"/>
  <c r="P318" i="2"/>
  <c r="Q318" i="2"/>
  <c r="R318" i="2"/>
  <c r="S318" i="2"/>
  <c r="T318" i="2"/>
  <c r="U318" i="2"/>
  <c r="V318" i="2"/>
  <c r="W318" i="2"/>
  <c r="X318" i="2"/>
  <c r="Y318" i="2"/>
  <c r="Z318" i="2"/>
  <c r="AA318" i="2"/>
  <c r="AB318" i="2"/>
  <c r="AC318" i="2"/>
  <c r="AD318" i="2"/>
  <c r="AE318" i="2"/>
  <c r="AF318" i="2"/>
  <c r="AG318" i="2"/>
  <c r="AH318" i="2"/>
  <c r="AI318" i="2"/>
  <c r="AJ318" i="2"/>
  <c r="AK318" i="2"/>
  <c r="AL318" i="2"/>
  <c r="AM318" i="2"/>
  <c r="AN318" i="2"/>
  <c r="E53" i="7" s="1"/>
  <c r="AO318" i="2"/>
  <c r="F53" i="7" s="1"/>
  <c r="AP318" i="2"/>
  <c r="G53" i="7" s="1"/>
  <c r="AQ318" i="2"/>
  <c r="H53" i="7" s="1"/>
  <c r="AR318" i="2"/>
  <c r="I53" i="7" s="1"/>
  <c r="AS318" i="2"/>
  <c r="J53" i="7" s="1"/>
  <c r="AT318" i="2"/>
  <c r="AU318" i="2"/>
  <c r="AV318" i="2"/>
  <c r="M53" i="7" s="1"/>
  <c r="AW318" i="2"/>
  <c r="N53" i="7" s="1"/>
  <c r="AX318" i="2"/>
  <c r="O53" i="7" s="1"/>
  <c r="AY318" i="2"/>
  <c r="E319" i="2"/>
  <c r="F319" i="2"/>
  <c r="G319" i="2"/>
  <c r="H319" i="2"/>
  <c r="I319" i="2"/>
  <c r="J319" i="2"/>
  <c r="K319" i="2"/>
  <c r="L319" i="2"/>
  <c r="M319" i="2"/>
  <c r="N319" i="2"/>
  <c r="O319" i="2"/>
  <c r="P319" i="2"/>
  <c r="Q319" i="2"/>
  <c r="R319" i="2"/>
  <c r="S319" i="2"/>
  <c r="T319" i="2"/>
  <c r="U319" i="2"/>
  <c r="V319" i="2"/>
  <c r="W319" i="2"/>
  <c r="X319" i="2"/>
  <c r="Y319" i="2"/>
  <c r="Z319" i="2"/>
  <c r="AA319" i="2"/>
  <c r="AB319" i="2"/>
  <c r="AC319" i="2"/>
  <c r="AD319" i="2"/>
  <c r="AE319" i="2"/>
  <c r="AF319" i="2"/>
  <c r="AG319" i="2"/>
  <c r="AH319" i="2"/>
  <c r="AI319" i="2"/>
  <c r="AJ319" i="2"/>
  <c r="AK319" i="2"/>
  <c r="AL319" i="2"/>
  <c r="AM319" i="2"/>
  <c r="AN319" i="2"/>
  <c r="E54" i="7" s="1"/>
  <c r="AO319" i="2"/>
  <c r="F54" i="7" s="1"/>
  <c r="AP319" i="2"/>
  <c r="G54" i="7" s="1"/>
  <c r="AQ319" i="2"/>
  <c r="H54" i="7" s="1"/>
  <c r="AR319" i="2"/>
  <c r="I54" i="7" s="1"/>
  <c r="AS319" i="2"/>
  <c r="J54" i="7" s="1"/>
  <c r="AT319" i="2"/>
  <c r="AU319" i="2"/>
  <c r="AV319" i="2"/>
  <c r="M54" i="7" s="1"/>
  <c r="AW319" i="2"/>
  <c r="N54" i="7" s="1"/>
  <c r="AX319" i="2"/>
  <c r="O54" i="7" s="1"/>
  <c r="AY319" i="2"/>
  <c r="E320" i="2"/>
  <c r="F320" i="2"/>
  <c r="G320" i="2"/>
  <c r="H320" i="2"/>
  <c r="I320" i="2"/>
  <c r="J320" i="2"/>
  <c r="K320" i="2"/>
  <c r="L320" i="2"/>
  <c r="M320" i="2"/>
  <c r="N320" i="2"/>
  <c r="O320" i="2"/>
  <c r="P320" i="2"/>
  <c r="Q320" i="2"/>
  <c r="R320" i="2"/>
  <c r="S320" i="2"/>
  <c r="T320" i="2"/>
  <c r="U320" i="2"/>
  <c r="V320" i="2"/>
  <c r="W320" i="2"/>
  <c r="X320" i="2"/>
  <c r="Y320" i="2"/>
  <c r="Z320" i="2"/>
  <c r="AA320" i="2"/>
  <c r="AB320" i="2"/>
  <c r="AC320" i="2"/>
  <c r="AD320" i="2"/>
  <c r="AE320" i="2"/>
  <c r="AF320" i="2"/>
  <c r="AG320" i="2"/>
  <c r="AH320" i="2"/>
  <c r="AI320" i="2"/>
  <c r="AJ320" i="2"/>
  <c r="AK320" i="2"/>
  <c r="AL320" i="2"/>
  <c r="AM320" i="2"/>
  <c r="AN320" i="2"/>
  <c r="AO320" i="2"/>
  <c r="AP320" i="2"/>
  <c r="AQ320" i="2"/>
  <c r="AR320" i="2"/>
  <c r="AS320" i="2"/>
  <c r="AT320" i="2"/>
  <c r="AU320" i="2"/>
  <c r="AV320" i="2"/>
  <c r="AW320" i="2"/>
  <c r="AX320" i="2"/>
  <c r="AY320" i="2"/>
  <c r="E321" i="2"/>
  <c r="F321" i="2"/>
  <c r="G321" i="2"/>
  <c r="H321" i="2"/>
  <c r="I321" i="2"/>
  <c r="J321" i="2"/>
  <c r="K321" i="2"/>
  <c r="L321" i="2"/>
  <c r="M321" i="2"/>
  <c r="N321" i="2"/>
  <c r="O321" i="2"/>
  <c r="P321" i="2"/>
  <c r="Q321" i="2"/>
  <c r="R321" i="2"/>
  <c r="S321" i="2"/>
  <c r="T321" i="2"/>
  <c r="U321" i="2"/>
  <c r="V321" i="2"/>
  <c r="W321" i="2"/>
  <c r="X321" i="2"/>
  <c r="Y321" i="2"/>
  <c r="Z321" i="2"/>
  <c r="AA321" i="2"/>
  <c r="AB321" i="2"/>
  <c r="AC321" i="2"/>
  <c r="AD321" i="2"/>
  <c r="AE321" i="2"/>
  <c r="AF321" i="2"/>
  <c r="AG321" i="2"/>
  <c r="AH321" i="2"/>
  <c r="AI321" i="2"/>
  <c r="AJ321" i="2"/>
  <c r="AK321" i="2"/>
  <c r="AL321" i="2"/>
  <c r="AM321" i="2"/>
  <c r="AN321" i="2"/>
  <c r="AO321" i="2"/>
  <c r="AP321" i="2"/>
  <c r="AQ321" i="2"/>
  <c r="AR321" i="2"/>
  <c r="AS321" i="2"/>
  <c r="AT321" i="2"/>
  <c r="AU321" i="2"/>
  <c r="AV321" i="2"/>
  <c r="AW321" i="2"/>
  <c r="AX321" i="2"/>
  <c r="AY321" i="2"/>
  <c r="E322" i="2"/>
  <c r="F322" i="2"/>
  <c r="G322" i="2"/>
  <c r="H322" i="2"/>
  <c r="I322" i="2"/>
  <c r="J322" i="2"/>
  <c r="K322" i="2"/>
  <c r="L322" i="2"/>
  <c r="M322" i="2"/>
  <c r="N322" i="2"/>
  <c r="O322" i="2"/>
  <c r="P322" i="2"/>
  <c r="Q322" i="2"/>
  <c r="R322" i="2"/>
  <c r="S322" i="2"/>
  <c r="T322" i="2"/>
  <c r="U322" i="2"/>
  <c r="V322" i="2"/>
  <c r="W322" i="2"/>
  <c r="X322" i="2"/>
  <c r="Y322" i="2"/>
  <c r="Z322" i="2"/>
  <c r="AA322" i="2"/>
  <c r="AB322" i="2"/>
  <c r="AC322" i="2"/>
  <c r="AD322" i="2"/>
  <c r="AE322" i="2"/>
  <c r="AF322" i="2"/>
  <c r="AG322" i="2"/>
  <c r="AH322" i="2"/>
  <c r="AI322" i="2"/>
  <c r="AJ322" i="2"/>
  <c r="AK322" i="2"/>
  <c r="AL322" i="2"/>
  <c r="AM322" i="2"/>
  <c r="AN322" i="2"/>
  <c r="AO322" i="2"/>
  <c r="AP322" i="2"/>
  <c r="AQ322" i="2"/>
  <c r="AR322" i="2"/>
  <c r="AS322" i="2"/>
  <c r="AT322" i="2"/>
  <c r="AU322" i="2"/>
  <c r="AV322" i="2"/>
  <c r="AW322" i="2"/>
  <c r="AX322" i="2"/>
  <c r="AY322" i="2"/>
  <c r="E323" i="2"/>
  <c r="F323" i="2"/>
  <c r="G323" i="2"/>
  <c r="H323" i="2"/>
  <c r="I323" i="2"/>
  <c r="J323" i="2"/>
  <c r="K323" i="2"/>
  <c r="L323" i="2"/>
  <c r="M323" i="2"/>
  <c r="N323" i="2"/>
  <c r="O323" i="2"/>
  <c r="P323" i="2"/>
  <c r="Q323" i="2"/>
  <c r="R323" i="2"/>
  <c r="S323" i="2"/>
  <c r="T323" i="2"/>
  <c r="U323" i="2"/>
  <c r="V323" i="2"/>
  <c r="W323" i="2"/>
  <c r="X323" i="2"/>
  <c r="Y323" i="2"/>
  <c r="Z323" i="2"/>
  <c r="AA323" i="2"/>
  <c r="AB323" i="2"/>
  <c r="AC323" i="2"/>
  <c r="AD323" i="2"/>
  <c r="AE323" i="2"/>
  <c r="AF323" i="2"/>
  <c r="AG323" i="2"/>
  <c r="AH323" i="2"/>
  <c r="AI323" i="2"/>
  <c r="AJ323" i="2"/>
  <c r="AK323" i="2"/>
  <c r="AL323" i="2"/>
  <c r="AM323" i="2"/>
  <c r="AN323" i="2"/>
  <c r="E57" i="1" s="1"/>
  <c r="AO323" i="2"/>
  <c r="F57" i="1" s="1"/>
  <c r="AP323" i="2"/>
  <c r="G57" i="1" s="1"/>
  <c r="AQ323" i="2"/>
  <c r="H57" i="1" s="1"/>
  <c r="AR323" i="2"/>
  <c r="I57" i="1" s="1"/>
  <c r="AS323" i="2"/>
  <c r="J57" i="1" s="1"/>
  <c r="AT323" i="2"/>
  <c r="AU323" i="2"/>
  <c r="AV323" i="2"/>
  <c r="M57" i="1" s="1"/>
  <c r="AW323" i="2"/>
  <c r="N57" i="1" s="1"/>
  <c r="AX323" i="2"/>
  <c r="O57" i="1" s="1"/>
  <c r="AY323" i="2"/>
  <c r="E324" i="2"/>
  <c r="F324" i="2"/>
  <c r="G324" i="2"/>
  <c r="H324" i="2"/>
  <c r="I324" i="2"/>
  <c r="J324" i="2"/>
  <c r="K324" i="2"/>
  <c r="L324" i="2"/>
  <c r="M324" i="2"/>
  <c r="N324" i="2"/>
  <c r="O324" i="2"/>
  <c r="P324" i="2"/>
  <c r="Q324" i="2"/>
  <c r="R324" i="2"/>
  <c r="S324" i="2"/>
  <c r="T324" i="2"/>
  <c r="U324" i="2"/>
  <c r="V324" i="2"/>
  <c r="W324" i="2"/>
  <c r="X324" i="2"/>
  <c r="Y324" i="2"/>
  <c r="Z324" i="2"/>
  <c r="AA324" i="2"/>
  <c r="AB324" i="2"/>
  <c r="AC324" i="2"/>
  <c r="AD324" i="2"/>
  <c r="AE324" i="2"/>
  <c r="AF324" i="2"/>
  <c r="AG324" i="2"/>
  <c r="AH324" i="2"/>
  <c r="AI324" i="2"/>
  <c r="AJ324" i="2"/>
  <c r="AK324" i="2"/>
  <c r="AL324" i="2"/>
  <c r="AM324" i="2"/>
  <c r="AN324" i="2"/>
  <c r="E58" i="1" s="1"/>
  <c r="AO324" i="2"/>
  <c r="F58" i="1" s="1"/>
  <c r="AP324" i="2"/>
  <c r="G58" i="1" s="1"/>
  <c r="AQ324" i="2"/>
  <c r="H58" i="1" s="1"/>
  <c r="AR324" i="2"/>
  <c r="I58" i="1" s="1"/>
  <c r="AS324" i="2"/>
  <c r="J58" i="1" s="1"/>
  <c r="AT324" i="2"/>
  <c r="AU324" i="2"/>
  <c r="AV324" i="2"/>
  <c r="M58" i="1" s="1"/>
  <c r="AW324" i="2"/>
  <c r="N58" i="1" s="1"/>
  <c r="AX324" i="2"/>
  <c r="O58" i="1" s="1"/>
  <c r="AY324" i="2"/>
  <c r="E325" i="2"/>
  <c r="F325" i="2"/>
  <c r="G325" i="2"/>
  <c r="H325" i="2"/>
  <c r="I325" i="2"/>
  <c r="J325" i="2"/>
  <c r="K325" i="2"/>
  <c r="L325" i="2"/>
  <c r="M325" i="2"/>
  <c r="N325" i="2"/>
  <c r="O325" i="2"/>
  <c r="P325" i="2"/>
  <c r="Q325" i="2"/>
  <c r="R325" i="2"/>
  <c r="S325" i="2"/>
  <c r="T325" i="2"/>
  <c r="U325" i="2"/>
  <c r="V325" i="2"/>
  <c r="W325" i="2"/>
  <c r="X325" i="2"/>
  <c r="Y325" i="2"/>
  <c r="Z325" i="2"/>
  <c r="AA325" i="2"/>
  <c r="AB325" i="2"/>
  <c r="AC325" i="2"/>
  <c r="AD325" i="2"/>
  <c r="AE325" i="2"/>
  <c r="AF325" i="2"/>
  <c r="AG325" i="2"/>
  <c r="AH325" i="2"/>
  <c r="AI325" i="2"/>
  <c r="AJ325" i="2"/>
  <c r="AK325" i="2"/>
  <c r="AL325" i="2"/>
  <c r="AM325" i="2"/>
  <c r="AN325" i="2"/>
  <c r="E59" i="1" s="1"/>
  <c r="AO325" i="2"/>
  <c r="F59" i="1" s="1"/>
  <c r="AP325" i="2"/>
  <c r="G59" i="1" s="1"/>
  <c r="AQ325" i="2"/>
  <c r="H59" i="1" s="1"/>
  <c r="AR325" i="2"/>
  <c r="I59" i="1" s="1"/>
  <c r="AS325" i="2"/>
  <c r="J59" i="1" s="1"/>
  <c r="AT325" i="2"/>
  <c r="AU325" i="2"/>
  <c r="AV325" i="2"/>
  <c r="M59" i="1" s="1"/>
  <c r="AW325" i="2"/>
  <c r="N59" i="1" s="1"/>
  <c r="AX325" i="2"/>
  <c r="O59" i="1" s="1"/>
  <c r="AY325" i="2"/>
  <c r="D325" i="2"/>
  <c r="D324" i="2"/>
  <c r="D323" i="2"/>
  <c r="D322" i="2"/>
  <c r="D321" i="2"/>
  <c r="D320" i="2"/>
  <c r="D319" i="2"/>
  <c r="D318" i="2"/>
  <c r="D317" i="2"/>
  <c r="D316" i="2"/>
  <c r="D315" i="2"/>
  <c r="D314" i="2"/>
  <c r="D313" i="2"/>
  <c r="D312" i="2"/>
  <c r="D311" i="2"/>
  <c r="D310" i="2"/>
  <c r="D309" i="2"/>
  <c r="D308"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AY49"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E5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E60"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E64"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E67" i="2"/>
  <c r="F67" i="2"/>
  <c r="G67" i="2"/>
  <c r="H67" i="2"/>
  <c r="I67" i="2"/>
  <c r="J67" i="2"/>
  <c r="K67" i="2"/>
  <c r="L67" i="2"/>
  <c r="M67" i="2"/>
  <c r="N67" i="2"/>
  <c r="O67" i="2"/>
  <c r="P67"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E68" i="2"/>
  <c r="F68" i="2"/>
  <c r="G68" i="2"/>
  <c r="H68" i="2"/>
  <c r="I68" i="2"/>
  <c r="J68" i="2"/>
  <c r="K68" i="2"/>
  <c r="L68" i="2"/>
  <c r="M68" i="2"/>
  <c r="N68" i="2"/>
  <c r="O68" i="2"/>
  <c r="P68"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E69" i="2"/>
  <c r="F69" i="2"/>
  <c r="G69" i="2"/>
  <c r="H69" i="2"/>
  <c r="I69" i="2"/>
  <c r="J69" i="2"/>
  <c r="K69" i="2"/>
  <c r="L69" i="2"/>
  <c r="M69" i="2"/>
  <c r="N69" i="2"/>
  <c r="O69" i="2"/>
  <c r="P69"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E70" i="2"/>
  <c r="F70" i="2"/>
  <c r="G70"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E71" i="2"/>
  <c r="F71" i="2"/>
  <c r="G71" i="2"/>
  <c r="H71" i="2"/>
  <c r="I71" i="2"/>
  <c r="J71" i="2"/>
  <c r="K71" i="2"/>
  <c r="L71" i="2"/>
  <c r="M71" i="2"/>
  <c r="N71" i="2"/>
  <c r="O71" i="2"/>
  <c r="P71"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E72" i="2"/>
  <c r="F72" i="2"/>
  <c r="G72"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E74" i="2"/>
  <c r="F74" i="2"/>
  <c r="G74"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E75" i="2"/>
  <c r="F75" i="2"/>
  <c r="G75" i="2"/>
  <c r="H75" i="2"/>
  <c r="I75" i="2"/>
  <c r="J75" i="2"/>
  <c r="K75" i="2"/>
  <c r="L75" i="2"/>
  <c r="M75" i="2"/>
  <c r="N75" i="2"/>
  <c r="O75" i="2"/>
  <c r="P75" i="2"/>
  <c r="Q75" i="2"/>
  <c r="R75" i="2"/>
  <c r="S75"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E76" i="2"/>
  <c r="F76" i="2"/>
  <c r="G76"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E77" i="2"/>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E78"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E79" i="2"/>
  <c r="F79" i="2"/>
  <c r="G79"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E80"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E81" i="2"/>
  <c r="F81" i="2"/>
  <c r="G81"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E82"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E83" i="2"/>
  <c r="F83" i="2"/>
  <c r="G83" i="2"/>
  <c r="H83" i="2"/>
  <c r="I83" i="2"/>
  <c r="J83" i="2"/>
  <c r="K83" i="2"/>
  <c r="L83" i="2"/>
  <c r="M83" i="2"/>
  <c r="N83" i="2"/>
  <c r="O83" i="2"/>
  <c r="P83" i="2"/>
  <c r="Q83" i="2"/>
  <c r="R83" i="2"/>
  <c r="S83"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E84" i="2"/>
  <c r="F84" i="2"/>
  <c r="G84" i="2"/>
  <c r="H84" i="2"/>
  <c r="I84" i="2"/>
  <c r="J84" i="2"/>
  <c r="K84" i="2"/>
  <c r="L84" i="2"/>
  <c r="M84" i="2"/>
  <c r="N84" i="2"/>
  <c r="O84" i="2"/>
  <c r="P84" i="2"/>
  <c r="Q84" i="2"/>
  <c r="R84" i="2"/>
  <c r="S84" i="2"/>
  <c r="T84" i="2"/>
  <c r="U84" i="2"/>
  <c r="V84" i="2"/>
  <c r="W84" i="2"/>
  <c r="X84" i="2"/>
  <c r="Y84" i="2"/>
  <c r="Z84" i="2"/>
  <c r="AA84" i="2"/>
  <c r="AB84" i="2"/>
  <c r="AC84" i="2"/>
  <c r="AD84" i="2"/>
  <c r="AE84" i="2"/>
  <c r="AF84" i="2"/>
  <c r="AG84" i="2"/>
  <c r="AH84" i="2"/>
  <c r="AI84" i="2"/>
  <c r="AJ84" i="2"/>
  <c r="AK84" i="2"/>
  <c r="AL84" i="2"/>
  <c r="AM84" i="2"/>
  <c r="AN84" i="2"/>
  <c r="AO84" i="2"/>
  <c r="AP84" i="2"/>
  <c r="AQ84" i="2"/>
  <c r="AR84" i="2"/>
  <c r="AS84" i="2"/>
  <c r="AT84" i="2"/>
  <c r="AU84" i="2"/>
  <c r="AV84" i="2"/>
  <c r="AW84" i="2"/>
  <c r="AX84" i="2"/>
  <c r="AY84" i="2"/>
  <c r="E85" i="2"/>
  <c r="F85" i="2"/>
  <c r="G85" i="2"/>
  <c r="H85" i="2"/>
  <c r="I85" i="2"/>
  <c r="J85" i="2"/>
  <c r="K85" i="2"/>
  <c r="L85" i="2"/>
  <c r="M85" i="2"/>
  <c r="N85" i="2"/>
  <c r="O85" i="2"/>
  <c r="P85" i="2"/>
  <c r="Q85" i="2"/>
  <c r="R85" i="2"/>
  <c r="S85"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E86" i="2"/>
  <c r="F86" i="2"/>
  <c r="G86"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E87" i="2"/>
  <c r="F87" i="2"/>
  <c r="G87" i="2"/>
  <c r="H87" i="2"/>
  <c r="I87" i="2"/>
  <c r="J87" i="2"/>
  <c r="K87" i="2"/>
  <c r="L87" i="2"/>
  <c r="M87" i="2"/>
  <c r="N87" i="2"/>
  <c r="O87" i="2"/>
  <c r="P87" i="2"/>
  <c r="Q87" i="2"/>
  <c r="R87" i="2"/>
  <c r="S87"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E91" i="2"/>
  <c r="F91" i="2"/>
  <c r="G91"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AU91" i="2"/>
  <c r="AV91" i="2"/>
  <c r="AW91" i="2"/>
  <c r="AX91" i="2"/>
  <c r="AY91" i="2"/>
  <c r="E92" i="2"/>
  <c r="F92" i="2"/>
  <c r="G92" i="2"/>
  <c r="H92" i="2"/>
  <c r="I92" i="2"/>
  <c r="J92" i="2"/>
  <c r="K92" i="2"/>
  <c r="L92" i="2"/>
  <c r="M92" i="2"/>
  <c r="N92" i="2"/>
  <c r="O92" i="2"/>
  <c r="P92" i="2"/>
  <c r="Q92" i="2"/>
  <c r="R92" i="2"/>
  <c r="S92"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AU92" i="2"/>
  <c r="AV92" i="2"/>
  <c r="AW92" i="2"/>
  <c r="AX92" i="2"/>
  <c r="AY92" i="2"/>
  <c r="E93" i="2"/>
  <c r="F93" i="2"/>
  <c r="G93" i="2"/>
  <c r="H93" i="2"/>
  <c r="I93" i="2"/>
  <c r="J93" i="2"/>
  <c r="K93" i="2"/>
  <c r="L93" i="2"/>
  <c r="M93" i="2"/>
  <c r="N93" i="2"/>
  <c r="O93" i="2"/>
  <c r="P93" i="2"/>
  <c r="Q93" i="2"/>
  <c r="R93" i="2"/>
  <c r="S93"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E94" i="2"/>
  <c r="F94" i="2"/>
  <c r="G94" i="2"/>
  <c r="H94" i="2"/>
  <c r="I94" i="2"/>
  <c r="J94" i="2"/>
  <c r="K94" i="2"/>
  <c r="L94" i="2"/>
  <c r="M94" i="2"/>
  <c r="N94" i="2"/>
  <c r="O94" i="2"/>
  <c r="P94" i="2"/>
  <c r="Q94" i="2"/>
  <c r="R94" i="2"/>
  <c r="S94" i="2"/>
  <c r="T94" i="2"/>
  <c r="U94" i="2"/>
  <c r="V94" i="2"/>
  <c r="W94" i="2"/>
  <c r="X94" i="2"/>
  <c r="Y94" i="2"/>
  <c r="Z94" i="2"/>
  <c r="AA94" i="2"/>
  <c r="AB94" i="2"/>
  <c r="AC94" i="2"/>
  <c r="AD94" i="2"/>
  <c r="AE94" i="2"/>
  <c r="AF94" i="2"/>
  <c r="AG94" i="2"/>
  <c r="AH94" i="2"/>
  <c r="AI94" i="2"/>
  <c r="AJ94" i="2"/>
  <c r="AK94" i="2"/>
  <c r="AL94" i="2"/>
  <c r="AM94" i="2"/>
  <c r="AN94" i="2"/>
  <c r="AO94" i="2"/>
  <c r="AP94" i="2"/>
  <c r="AQ94" i="2"/>
  <c r="AR94" i="2"/>
  <c r="AS94" i="2"/>
  <c r="AT94" i="2"/>
  <c r="AU94" i="2"/>
  <c r="AV94" i="2"/>
  <c r="AW94" i="2"/>
  <c r="AX94" i="2"/>
  <c r="AY94" i="2"/>
  <c r="E95" i="2"/>
  <c r="F95" i="2"/>
  <c r="G95" i="2"/>
  <c r="H95" i="2"/>
  <c r="I95" i="2"/>
  <c r="J95" i="2"/>
  <c r="K95" i="2"/>
  <c r="L95" i="2"/>
  <c r="M95" i="2"/>
  <c r="N95" i="2"/>
  <c r="O95" i="2"/>
  <c r="P95" i="2"/>
  <c r="Q95" i="2"/>
  <c r="R95" i="2"/>
  <c r="S95"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E96" i="2"/>
  <c r="F96" i="2"/>
  <c r="G96" i="2"/>
  <c r="H96" i="2"/>
  <c r="I96" i="2"/>
  <c r="J96" i="2"/>
  <c r="K96" i="2"/>
  <c r="L96" i="2"/>
  <c r="M96" i="2"/>
  <c r="N96" i="2"/>
  <c r="O96" i="2"/>
  <c r="P96" i="2"/>
  <c r="Q96" i="2"/>
  <c r="R96" i="2"/>
  <c r="S96" i="2"/>
  <c r="T96" i="2"/>
  <c r="U96" i="2"/>
  <c r="V96" i="2"/>
  <c r="W96" i="2"/>
  <c r="X96" i="2"/>
  <c r="Y96" i="2"/>
  <c r="Z96" i="2"/>
  <c r="AA96" i="2"/>
  <c r="AB96" i="2"/>
  <c r="AC96" i="2"/>
  <c r="AD96" i="2"/>
  <c r="AE96" i="2"/>
  <c r="AF96" i="2"/>
  <c r="AG96" i="2"/>
  <c r="AH96" i="2"/>
  <c r="AI96" i="2"/>
  <c r="AJ96" i="2"/>
  <c r="AK96" i="2"/>
  <c r="AL96" i="2"/>
  <c r="AM96" i="2"/>
  <c r="AN96" i="2"/>
  <c r="AO96" i="2"/>
  <c r="AP96" i="2"/>
  <c r="AQ96" i="2"/>
  <c r="AR96" i="2"/>
  <c r="AS96" i="2"/>
  <c r="AT96" i="2"/>
  <c r="AU96" i="2"/>
  <c r="AV96" i="2"/>
  <c r="AW96" i="2"/>
  <c r="AX96" i="2"/>
  <c r="AY96" i="2"/>
  <c r="E97" i="2"/>
  <c r="F97" i="2"/>
  <c r="G97" i="2"/>
  <c r="H97" i="2"/>
  <c r="I97" i="2"/>
  <c r="J97" i="2"/>
  <c r="K97" i="2"/>
  <c r="L97" i="2"/>
  <c r="M97" i="2"/>
  <c r="N97" i="2"/>
  <c r="O97" i="2"/>
  <c r="P97" i="2"/>
  <c r="Q97" i="2"/>
  <c r="R97" i="2"/>
  <c r="S97" i="2"/>
  <c r="T97" i="2"/>
  <c r="U97" i="2"/>
  <c r="V97" i="2"/>
  <c r="W97" i="2"/>
  <c r="X97" i="2"/>
  <c r="Y97" i="2"/>
  <c r="Z97" i="2"/>
  <c r="AA97" i="2"/>
  <c r="AB97" i="2"/>
  <c r="AC97" i="2"/>
  <c r="AD97" i="2"/>
  <c r="AE97" i="2"/>
  <c r="AF97" i="2"/>
  <c r="AG97" i="2"/>
  <c r="AH97" i="2"/>
  <c r="AI97" i="2"/>
  <c r="AJ97" i="2"/>
  <c r="AK97" i="2"/>
  <c r="AL97" i="2"/>
  <c r="AM97" i="2"/>
  <c r="AN97" i="2"/>
  <c r="AO97" i="2"/>
  <c r="AP97" i="2"/>
  <c r="AQ97" i="2"/>
  <c r="AR97" i="2"/>
  <c r="AS97" i="2"/>
  <c r="AT97" i="2"/>
  <c r="AU97" i="2"/>
  <c r="AV97" i="2"/>
  <c r="AW97" i="2"/>
  <c r="AX97" i="2"/>
  <c r="AY97" i="2"/>
  <c r="E98" i="2"/>
  <c r="F98" i="2"/>
  <c r="G98" i="2"/>
  <c r="H98" i="2"/>
  <c r="I98" i="2"/>
  <c r="J98" i="2"/>
  <c r="K98" i="2"/>
  <c r="L98" i="2"/>
  <c r="M98" i="2"/>
  <c r="N98" i="2"/>
  <c r="O98" i="2"/>
  <c r="P98" i="2"/>
  <c r="Q98" i="2"/>
  <c r="R98" i="2"/>
  <c r="S98" i="2"/>
  <c r="T98" i="2"/>
  <c r="U98" i="2"/>
  <c r="V98" i="2"/>
  <c r="W98" i="2"/>
  <c r="X98" i="2"/>
  <c r="Y98" i="2"/>
  <c r="Z98" i="2"/>
  <c r="AA98" i="2"/>
  <c r="AB98" i="2"/>
  <c r="AC98" i="2"/>
  <c r="AD98" i="2"/>
  <c r="AE98" i="2"/>
  <c r="AF98" i="2"/>
  <c r="AG98" i="2"/>
  <c r="AH98" i="2"/>
  <c r="AI98" i="2"/>
  <c r="AJ98" i="2"/>
  <c r="AK98" i="2"/>
  <c r="AL98" i="2"/>
  <c r="AM98" i="2"/>
  <c r="AN98" i="2"/>
  <c r="AO98" i="2"/>
  <c r="AP98" i="2"/>
  <c r="AQ98" i="2"/>
  <c r="AR98" i="2"/>
  <c r="AS98" i="2"/>
  <c r="AT98" i="2"/>
  <c r="AU98" i="2"/>
  <c r="AV98" i="2"/>
  <c r="AW98" i="2"/>
  <c r="AX98" i="2"/>
  <c r="AY98" i="2"/>
  <c r="E99" i="2"/>
  <c r="F99" i="2"/>
  <c r="G99" i="2"/>
  <c r="H99" i="2"/>
  <c r="I99" i="2"/>
  <c r="J99" i="2"/>
  <c r="K99" i="2"/>
  <c r="L99" i="2"/>
  <c r="M99" i="2"/>
  <c r="N99" i="2"/>
  <c r="O99" i="2"/>
  <c r="P99" i="2"/>
  <c r="Q99" i="2"/>
  <c r="R99" i="2"/>
  <c r="S99" i="2"/>
  <c r="T99" i="2"/>
  <c r="U99" i="2"/>
  <c r="V99" i="2"/>
  <c r="W99" i="2"/>
  <c r="X99" i="2"/>
  <c r="Y99" i="2"/>
  <c r="Z99" i="2"/>
  <c r="AA99" i="2"/>
  <c r="AB99" i="2"/>
  <c r="AC99" i="2"/>
  <c r="AD99" i="2"/>
  <c r="AE99" i="2"/>
  <c r="AF99" i="2"/>
  <c r="AG99" i="2"/>
  <c r="AH99" i="2"/>
  <c r="AI99" i="2"/>
  <c r="AJ99" i="2"/>
  <c r="AK99" i="2"/>
  <c r="AL99" i="2"/>
  <c r="AM99" i="2"/>
  <c r="AN99" i="2"/>
  <c r="AO99" i="2"/>
  <c r="AP99" i="2"/>
  <c r="AQ99" i="2"/>
  <c r="AR99" i="2"/>
  <c r="AS99" i="2"/>
  <c r="AT99" i="2"/>
  <c r="AU99" i="2"/>
  <c r="AV99" i="2"/>
  <c r="AW99" i="2"/>
  <c r="AX99" i="2"/>
  <c r="AY99" i="2"/>
  <c r="E100" i="2"/>
  <c r="F100" i="2"/>
  <c r="G100" i="2"/>
  <c r="H100" i="2"/>
  <c r="I100" i="2"/>
  <c r="J100" i="2"/>
  <c r="K100" i="2"/>
  <c r="L100" i="2"/>
  <c r="M100" i="2"/>
  <c r="N100" i="2"/>
  <c r="O100" i="2"/>
  <c r="P100" i="2"/>
  <c r="Q100" i="2"/>
  <c r="R100" i="2"/>
  <c r="S100" i="2"/>
  <c r="T100" i="2"/>
  <c r="U100" i="2"/>
  <c r="V100" i="2"/>
  <c r="W100" i="2"/>
  <c r="X100" i="2"/>
  <c r="Y100" i="2"/>
  <c r="Z100" i="2"/>
  <c r="AA100" i="2"/>
  <c r="AB100" i="2"/>
  <c r="AC100" i="2"/>
  <c r="AD100" i="2"/>
  <c r="AE100" i="2"/>
  <c r="AF100" i="2"/>
  <c r="AG100" i="2"/>
  <c r="AH100" i="2"/>
  <c r="AI100" i="2"/>
  <c r="AJ100" i="2"/>
  <c r="AK100" i="2"/>
  <c r="AL100" i="2"/>
  <c r="AM100" i="2"/>
  <c r="AN100" i="2"/>
  <c r="AO100" i="2"/>
  <c r="AP100" i="2"/>
  <c r="AQ100" i="2"/>
  <c r="AR100" i="2"/>
  <c r="AS100" i="2"/>
  <c r="AT100" i="2"/>
  <c r="AU100" i="2"/>
  <c r="AV100" i="2"/>
  <c r="AW100" i="2"/>
  <c r="AX100" i="2"/>
  <c r="AY100" i="2"/>
  <c r="E101" i="2"/>
  <c r="F101" i="2"/>
  <c r="G101" i="2"/>
  <c r="H101" i="2"/>
  <c r="I101" i="2"/>
  <c r="J101" i="2"/>
  <c r="K101" i="2"/>
  <c r="L101" i="2"/>
  <c r="M101" i="2"/>
  <c r="N101" i="2"/>
  <c r="O101" i="2"/>
  <c r="P101" i="2"/>
  <c r="Q101" i="2"/>
  <c r="R101" i="2"/>
  <c r="S101" i="2"/>
  <c r="T101" i="2"/>
  <c r="U101" i="2"/>
  <c r="V101" i="2"/>
  <c r="W101" i="2"/>
  <c r="X101" i="2"/>
  <c r="Y101" i="2"/>
  <c r="Z101" i="2"/>
  <c r="AA101" i="2"/>
  <c r="AB101" i="2"/>
  <c r="AC101" i="2"/>
  <c r="AD101" i="2"/>
  <c r="AE101" i="2"/>
  <c r="AF101" i="2"/>
  <c r="AG101" i="2"/>
  <c r="AH101" i="2"/>
  <c r="AI101" i="2"/>
  <c r="AJ101" i="2"/>
  <c r="AK101" i="2"/>
  <c r="AL101" i="2"/>
  <c r="AM101" i="2"/>
  <c r="AN101" i="2"/>
  <c r="AO101" i="2"/>
  <c r="AP101" i="2"/>
  <c r="AQ101" i="2"/>
  <c r="AR101" i="2"/>
  <c r="AS101" i="2"/>
  <c r="AT101" i="2"/>
  <c r="AU101" i="2"/>
  <c r="AV101" i="2"/>
  <c r="AW101" i="2"/>
  <c r="AX101" i="2"/>
  <c r="AY101" i="2"/>
  <c r="E102" i="2"/>
  <c r="F102" i="2"/>
  <c r="G102" i="2"/>
  <c r="H102" i="2"/>
  <c r="I102" i="2"/>
  <c r="J102" i="2"/>
  <c r="K102" i="2"/>
  <c r="L102" i="2"/>
  <c r="M102" i="2"/>
  <c r="N102" i="2"/>
  <c r="O102" i="2"/>
  <c r="P102" i="2"/>
  <c r="Q102" i="2"/>
  <c r="R102" i="2"/>
  <c r="S102" i="2"/>
  <c r="T102" i="2"/>
  <c r="U102" i="2"/>
  <c r="V102" i="2"/>
  <c r="W102" i="2"/>
  <c r="X102" i="2"/>
  <c r="Y102" i="2"/>
  <c r="Z102" i="2"/>
  <c r="AA102" i="2"/>
  <c r="AB102" i="2"/>
  <c r="AC102" i="2"/>
  <c r="AD102" i="2"/>
  <c r="AE102" i="2"/>
  <c r="AF102" i="2"/>
  <c r="AG102" i="2"/>
  <c r="AH102" i="2"/>
  <c r="AI102" i="2"/>
  <c r="AJ102" i="2"/>
  <c r="AK102" i="2"/>
  <c r="AL102" i="2"/>
  <c r="AM102" i="2"/>
  <c r="AN102" i="2"/>
  <c r="AO102" i="2"/>
  <c r="AP102" i="2"/>
  <c r="AQ102" i="2"/>
  <c r="AR102" i="2"/>
  <c r="AS102" i="2"/>
  <c r="AT102" i="2"/>
  <c r="AU102" i="2"/>
  <c r="AV102" i="2"/>
  <c r="AW102" i="2"/>
  <c r="AX102" i="2"/>
  <c r="AY102" i="2"/>
  <c r="E103" i="2"/>
  <c r="F103" i="2"/>
  <c r="G103" i="2"/>
  <c r="H103" i="2"/>
  <c r="I103" i="2"/>
  <c r="J103" i="2"/>
  <c r="K103" i="2"/>
  <c r="L103" i="2"/>
  <c r="M103" i="2"/>
  <c r="N103" i="2"/>
  <c r="O103" i="2"/>
  <c r="P103" i="2"/>
  <c r="Q103" i="2"/>
  <c r="R103" i="2"/>
  <c r="S103" i="2"/>
  <c r="T103" i="2"/>
  <c r="U103" i="2"/>
  <c r="V103" i="2"/>
  <c r="W103" i="2"/>
  <c r="X103" i="2"/>
  <c r="Y103" i="2"/>
  <c r="Z103" i="2"/>
  <c r="AA103" i="2"/>
  <c r="AB103" i="2"/>
  <c r="AC103" i="2"/>
  <c r="AD103" i="2"/>
  <c r="AE103" i="2"/>
  <c r="AF103" i="2"/>
  <c r="AG103" i="2"/>
  <c r="AH103" i="2"/>
  <c r="AI103" i="2"/>
  <c r="AJ103" i="2"/>
  <c r="AK103" i="2"/>
  <c r="AL103" i="2"/>
  <c r="AM103" i="2"/>
  <c r="AN103" i="2"/>
  <c r="AO103" i="2"/>
  <c r="AP103" i="2"/>
  <c r="AQ103" i="2"/>
  <c r="AR103" i="2"/>
  <c r="AS103" i="2"/>
  <c r="AT103" i="2"/>
  <c r="AU103" i="2"/>
  <c r="AV103" i="2"/>
  <c r="AW103" i="2"/>
  <c r="AX103" i="2"/>
  <c r="AY103" i="2"/>
  <c r="E104" i="2"/>
  <c r="F104" i="2"/>
  <c r="G104" i="2"/>
  <c r="H104" i="2"/>
  <c r="I104" i="2"/>
  <c r="J104" i="2"/>
  <c r="K104" i="2"/>
  <c r="L104" i="2"/>
  <c r="M104" i="2"/>
  <c r="N104" i="2"/>
  <c r="O104" i="2"/>
  <c r="P104" i="2"/>
  <c r="Q104" i="2"/>
  <c r="R104" i="2"/>
  <c r="S104" i="2"/>
  <c r="T104" i="2"/>
  <c r="U104" i="2"/>
  <c r="V104" i="2"/>
  <c r="W104" i="2"/>
  <c r="X104" i="2"/>
  <c r="Y104" i="2"/>
  <c r="Z104" i="2"/>
  <c r="AA104" i="2"/>
  <c r="AB104" i="2"/>
  <c r="AC104" i="2"/>
  <c r="AD104" i="2"/>
  <c r="AE104" i="2"/>
  <c r="AF104" i="2"/>
  <c r="AG104" i="2"/>
  <c r="AH104" i="2"/>
  <c r="AI104" i="2"/>
  <c r="AJ104" i="2"/>
  <c r="AK104" i="2"/>
  <c r="AL104" i="2"/>
  <c r="AM104" i="2"/>
  <c r="AN104" i="2"/>
  <c r="AO104" i="2"/>
  <c r="AP104" i="2"/>
  <c r="AQ104" i="2"/>
  <c r="AR104" i="2"/>
  <c r="AS104" i="2"/>
  <c r="AT104" i="2"/>
  <c r="AU104" i="2"/>
  <c r="AV104" i="2"/>
  <c r="AW104" i="2"/>
  <c r="AX104" i="2"/>
  <c r="AY104" i="2"/>
  <c r="E105" i="2"/>
  <c r="F105" i="2"/>
  <c r="G105" i="2"/>
  <c r="H105" i="2"/>
  <c r="I105" i="2"/>
  <c r="J105" i="2"/>
  <c r="K105" i="2"/>
  <c r="L105" i="2"/>
  <c r="M105" i="2"/>
  <c r="N105" i="2"/>
  <c r="O105" i="2"/>
  <c r="P105" i="2"/>
  <c r="Q105" i="2"/>
  <c r="R105" i="2"/>
  <c r="S105" i="2"/>
  <c r="T105" i="2"/>
  <c r="U105" i="2"/>
  <c r="V105" i="2"/>
  <c r="W105" i="2"/>
  <c r="X105" i="2"/>
  <c r="Y105" i="2"/>
  <c r="Z105" i="2"/>
  <c r="AA105" i="2"/>
  <c r="AB105" i="2"/>
  <c r="AC105" i="2"/>
  <c r="AD105" i="2"/>
  <c r="AE105" i="2"/>
  <c r="AF105" i="2"/>
  <c r="AG105" i="2"/>
  <c r="AH105" i="2"/>
  <c r="AI105" i="2"/>
  <c r="AJ105" i="2"/>
  <c r="AK105" i="2"/>
  <c r="AL105" i="2"/>
  <c r="AM105" i="2"/>
  <c r="AN105" i="2"/>
  <c r="AO105" i="2"/>
  <c r="AP105" i="2"/>
  <c r="AQ105" i="2"/>
  <c r="AR105" i="2"/>
  <c r="AS105" i="2"/>
  <c r="AT105" i="2"/>
  <c r="AU105" i="2"/>
  <c r="AV105" i="2"/>
  <c r="AW105" i="2"/>
  <c r="AX105" i="2"/>
  <c r="AY105" i="2"/>
  <c r="E106" i="2"/>
  <c r="F106" i="2"/>
  <c r="G106" i="2"/>
  <c r="H106" i="2"/>
  <c r="I106" i="2"/>
  <c r="J106" i="2"/>
  <c r="K106" i="2"/>
  <c r="L106" i="2"/>
  <c r="M106" i="2"/>
  <c r="N106" i="2"/>
  <c r="O106" i="2"/>
  <c r="P106" i="2"/>
  <c r="Q106" i="2"/>
  <c r="R106" i="2"/>
  <c r="S106" i="2"/>
  <c r="T106" i="2"/>
  <c r="U106" i="2"/>
  <c r="V106" i="2"/>
  <c r="W106" i="2"/>
  <c r="X106" i="2"/>
  <c r="Y106" i="2"/>
  <c r="Z106" i="2"/>
  <c r="AA106" i="2"/>
  <c r="AB106" i="2"/>
  <c r="AC106" i="2"/>
  <c r="AD106" i="2"/>
  <c r="AE106" i="2"/>
  <c r="AF106" i="2"/>
  <c r="AG106" i="2"/>
  <c r="AH106" i="2"/>
  <c r="AI106" i="2"/>
  <c r="AJ106" i="2"/>
  <c r="AK106" i="2"/>
  <c r="AL106" i="2"/>
  <c r="AM106" i="2"/>
  <c r="AN106" i="2"/>
  <c r="AO106" i="2"/>
  <c r="AP106" i="2"/>
  <c r="AQ106" i="2"/>
  <c r="AR106" i="2"/>
  <c r="AS106" i="2"/>
  <c r="AT106" i="2"/>
  <c r="AU106" i="2"/>
  <c r="AV106" i="2"/>
  <c r="AW106" i="2"/>
  <c r="AX106" i="2"/>
  <c r="AY106" i="2"/>
  <c r="E107" i="2"/>
  <c r="F107" i="2"/>
  <c r="G107" i="2"/>
  <c r="H107" i="2"/>
  <c r="I107" i="2"/>
  <c r="J107" i="2"/>
  <c r="K107" i="2"/>
  <c r="L107" i="2"/>
  <c r="M107" i="2"/>
  <c r="N107" i="2"/>
  <c r="O107" i="2"/>
  <c r="P107" i="2"/>
  <c r="Q107" i="2"/>
  <c r="R107" i="2"/>
  <c r="S107" i="2"/>
  <c r="T107" i="2"/>
  <c r="U107" i="2"/>
  <c r="V107" i="2"/>
  <c r="W107" i="2"/>
  <c r="X107" i="2"/>
  <c r="Y107" i="2"/>
  <c r="Z107" i="2"/>
  <c r="AA107" i="2"/>
  <c r="AB107" i="2"/>
  <c r="AC107" i="2"/>
  <c r="AD107" i="2"/>
  <c r="AE107" i="2"/>
  <c r="AF107" i="2"/>
  <c r="AG107" i="2"/>
  <c r="AH107" i="2"/>
  <c r="AI107" i="2"/>
  <c r="AJ107" i="2"/>
  <c r="AK107" i="2"/>
  <c r="AL107" i="2"/>
  <c r="AM107" i="2"/>
  <c r="AN107" i="2"/>
  <c r="AO107" i="2"/>
  <c r="AP107" i="2"/>
  <c r="AQ107" i="2"/>
  <c r="AR107" i="2"/>
  <c r="AS107" i="2"/>
  <c r="AT107" i="2"/>
  <c r="AU107" i="2"/>
  <c r="AV107" i="2"/>
  <c r="AW107" i="2"/>
  <c r="AX107" i="2"/>
  <c r="AY107" i="2"/>
  <c r="E108" i="2"/>
  <c r="F108" i="2"/>
  <c r="G108" i="2"/>
  <c r="H108" i="2"/>
  <c r="I108" i="2"/>
  <c r="J108" i="2"/>
  <c r="K108" i="2"/>
  <c r="L108" i="2"/>
  <c r="M108" i="2"/>
  <c r="N108" i="2"/>
  <c r="O108" i="2"/>
  <c r="P108" i="2"/>
  <c r="Q108" i="2"/>
  <c r="R108" i="2"/>
  <c r="S108" i="2"/>
  <c r="T108" i="2"/>
  <c r="U108" i="2"/>
  <c r="V108" i="2"/>
  <c r="W108" i="2"/>
  <c r="X108" i="2"/>
  <c r="Y108" i="2"/>
  <c r="Z108" i="2"/>
  <c r="AA108" i="2"/>
  <c r="AB108" i="2"/>
  <c r="AC108" i="2"/>
  <c r="AD108" i="2"/>
  <c r="AE108" i="2"/>
  <c r="AF108" i="2"/>
  <c r="AG108" i="2"/>
  <c r="AH108" i="2"/>
  <c r="AI108" i="2"/>
  <c r="AJ108" i="2"/>
  <c r="AK108" i="2"/>
  <c r="AL108" i="2"/>
  <c r="AM108" i="2"/>
  <c r="AN108" i="2"/>
  <c r="AO108" i="2"/>
  <c r="AP108" i="2"/>
  <c r="AQ108" i="2"/>
  <c r="AR108" i="2"/>
  <c r="AS108" i="2"/>
  <c r="AT108" i="2"/>
  <c r="AU108" i="2"/>
  <c r="AV108" i="2"/>
  <c r="AW108" i="2"/>
  <c r="AX108" i="2"/>
  <c r="AY108" i="2"/>
  <c r="E109" i="2"/>
  <c r="F109" i="2"/>
  <c r="G109" i="2"/>
  <c r="H109" i="2"/>
  <c r="I109" i="2"/>
  <c r="J109" i="2"/>
  <c r="K109" i="2"/>
  <c r="L109" i="2"/>
  <c r="M109" i="2"/>
  <c r="N109" i="2"/>
  <c r="O109" i="2"/>
  <c r="P109" i="2"/>
  <c r="Q109" i="2"/>
  <c r="R109" i="2"/>
  <c r="S109" i="2"/>
  <c r="T109" i="2"/>
  <c r="U109" i="2"/>
  <c r="V109" i="2"/>
  <c r="W109" i="2"/>
  <c r="X109" i="2"/>
  <c r="Y109" i="2"/>
  <c r="Z109" i="2"/>
  <c r="AA109" i="2"/>
  <c r="AB109" i="2"/>
  <c r="AC109" i="2"/>
  <c r="AD109" i="2"/>
  <c r="AE109" i="2"/>
  <c r="AF109" i="2"/>
  <c r="AG109" i="2"/>
  <c r="AH109" i="2"/>
  <c r="AI109" i="2"/>
  <c r="AJ109" i="2"/>
  <c r="AK109" i="2"/>
  <c r="AL109" i="2"/>
  <c r="AM109" i="2"/>
  <c r="AN109" i="2"/>
  <c r="AO109" i="2"/>
  <c r="AP109" i="2"/>
  <c r="AQ109" i="2"/>
  <c r="AR109" i="2"/>
  <c r="AS109" i="2"/>
  <c r="AT109" i="2"/>
  <c r="AU109" i="2"/>
  <c r="AV109" i="2"/>
  <c r="AW109" i="2"/>
  <c r="AX109" i="2"/>
  <c r="AY109" i="2"/>
  <c r="E110" i="2"/>
  <c r="F110" i="2"/>
  <c r="G110" i="2"/>
  <c r="H110" i="2"/>
  <c r="I110" i="2"/>
  <c r="J110" i="2"/>
  <c r="K110" i="2"/>
  <c r="L110" i="2"/>
  <c r="M110" i="2"/>
  <c r="N110" i="2"/>
  <c r="O110" i="2"/>
  <c r="P110" i="2"/>
  <c r="Q110" i="2"/>
  <c r="R110" i="2"/>
  <c r="S110" i="2"/>
  <c r="T110" i="2"/>
  <c r="U110" i="2"/>
  <c r="V110" i="2"/>
  <c r="W110" i="2"/>
  <c r="X110" i="2"/>
  <c r="Y110" i="2"/>
  <c r="Z110" i="2"/>
  <c r="AA110" i="2"/>
  <c r="AB110" i="2"/>
  <c r="AC110" i="2"/>
  <c r="AD110" i="2"/>
  <c r="AE110" i="2"/>
  <c r="AF110" i="2"/>
  <c r="AG110" i="2"/>
  <c r="AH110" i="2"/>
  <c r="AI110" i="2"/>
  <c r="AJ110" i="2"/>
  <c r="AK110" i="2"/>
  <c r="AL110" i="2"/>
  <c r="AM110" i="2"/>
  <c r="AN110" i="2"/>
  <c r="AO110" i="2"/>
  <c r="AP110" i="2"/>
  <c r="AQ110" i="2"/>
  <c r="AR110" i="2"/>
  <c r="AS110" i="2"/>
  <c r="AT110" i="2"/>
  <c r="AU110" i="2"/>
  <c r="AV110" i="2"/>
  <c r="AW110" i="2"/>
  <c r="AX110" i="2"/>
  <c r="AY110" i="2"/>
  <c r="E111" i="2"/>
  <c r="F111" i="2"/>
  <c r="G111"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AM111" i="2"/>
  <c r="AN111" i="2"/>
  <c r="AO111" i="2"/>
  <c r="AP111" i="2"/>
  <c r="AQ111" i="2"/>
  <c r="AR111" i="2"/>
  <c r="AS111" i="2"/>
  <c r="AT111" i="2"/>
  <c r="AU111" i="2"/>
  <c r="AV111" i="2"/>
  <c r="AW111" i="2"/>
  <c r="AX111" i="2"/>
  <c r="AY111" i="2"/>
  <c r="E112" i="2"/>
  <c r="F112" i="2"/>
  <c r="G112" i="2"/>
  <c r="H112" i="2"/>
  <c r="I112" i="2"/>
  <c r="J112" i="2"/>
  <c r="K112" i="2"/>
  <c r="L112" i="2"/>
  <c r="M112" i="2"/>
  <c r="N112" i="2"/>
  <c r="O112" i="2"/>
  <c r="P112" i="2"/>
  <c r="Q112" i="2"/>
  <c r="R112" i="2"/>
  <c r="S112" i="2"/>
  <c r="T112" i="2"/>
  <c r="U112" i="2"/>
  <c r="V112" i="2"/>
  <c r="W112" i="2"/>
  <c r="X112" i="2"/>
  <c r="Y112" i="2"/>
  <c r="Z112" i="2"/>
  <c r="AA112" i="2"/>
  <c r="AB112" i="2"/>
  <c r="AC112" i="2"/>
  <c r="AD112" i="2"/>
  <c r="AE112" i="2"/>
  <c r="AF112" i="2"/>
  <c r="AG112" i="2"/>
  <c r="AH112" i="2"/>
  <c r="AI112" i="2"/>
  <c r="AJ112" i="2"/>
  <c r="AK112" i="2"/>
  <c r="AL112" i="2"/>
  <c r="AM112" i="2"/>
  <c r="AN112" i="2"/>
  <c r="AO112" i="2"/>
  <c r="AP112" i="2"/>
  <c r="AQ112" i="2"/>
  <c r="AR112" i="2"/>
  <c r="AS112" i="2"/>
  <c r="AT112" i="2"/>
  <c r="AU112" i="2"/>
  <c r="AV112" i="2"/>
  <c r="AW112" i="2"/>
  <c r="AX112" i="2"/>
  <c r="AY112" i="2"/>
  <c r="E113" i="2"/>
  <c r="F113" i="2"/>
  <c r="G113" i="2"/>
  <c r="H113" i="2"/>
  <c r="I113" i="2"/>
  <c r="J113" i="2"/>
  <c r="K113" i="2"/>
  <c r="L113" i="2"/>
  <c r="M113" i="2"/>
  <c r="N113" i="2"/>
  <c r="O113" i="2"/>
  <c r="P113" i="2"/>
  <c r="Q113" i="2"/>
  <c r="R113" i="2"/>
  <c r="S113" i="2"/>
  <c r="T113" i="2"/>
  <c r="U113" i="2"/>
  <c r="V113" i="2"/>
  <c r="W113" i="2"/>
  <c r="X113" i="2"/>
  <c r="Y113" i="2"/>
  <c r="Z113" i="2"/>
  <c r="AA113" i="2"/>
  <c r="AB113" i="2"/>
  <c r="AC113" i="2"/>
  <c r="AD113" i="2"/>
  <c r="AE113" i="2"/>
  <c r="AF113" i="2"/>
  <c r="AG113" i="2"/>
  <c r="AH113" i="2"/>
  <c r="AI113" i="2"/>
  <c r="AJ113" i="2"/>
  <c r="AK113" i="2"/>
  <c r="AL113" i="2"/>
  <c r="AM113" i="2"/>
  <c r="AN113" i="2"/>
  <c r="AO113" i="2"/>
  <c r="AP113" i="2"/>
  <c r="AQ113" i="2"/>
  <c r="AR113" i="2"/>
  <c r="AS113" i="2"/>
  <c r="AT113" i="2"/>
  <c r="AU113" i="2"/>
  <c r="AV113" i="2"/>
  <c r="AW113" i="2"/>
  <c r="AX113" i="2"/>
  <c r="AY113" i="2"/>
  <c r="E114" i="2"/>
  <c r="F114" i="2"/>
  <c r="G114" i="2"/>
  <c r="H114" i="2"/>
  <c r="I114" i="2"/>
  <c r="J114" i="2"/>
  <c r="K114" i="2"/>
  <c r="L114" i="2"/>
  <c r="M114" i="2"/>
  <c r="N114" i="2"/>
  <c r="O114" i="2"/>
  <c r="P114" i="2"/>
  <c r="Q114" i="2"/>
  <c r="R114" i="2"/>
  <c r="S114" i="2"/>
  <c r="T114" i="2"/>
  <c r="U114" i="2"/>
  <c r="V114" i="2"/>
  <c r="W114" i="2"/>
  <c r="X114" i="2"/>
  <c r="Y114" i="2"/>
  <c r="Z114" i="2"/>
  <c r="AA114" i="2"/>
  <c r="AB114" i="2"/>
  <c r="AC114" i="2"/>
  <c r="AD114" i="2"/>
  <c r="AE114" i="2"/>
  <c r="AF114" i="2"/>
  <c r="AG114" i="2"/>
  <c r="AH114" i="2"/>
  <c r="AI114" i="2"/>
  <c r="AJ114" i="2"/>
  <c r="AK114" i="2"/>
  <c r="AL114" i="2"/>
  <c r="AM114" i="2"/>
  <c r="AN114" i="2"/>
  <c r="AO114" i="2"/>
  <c r="AP114" i="2"/>
  <c r="AQ114" i="2"/>
  <c r="AR114" i="2"/>
  <c r="AS114" i="2"/>
  <c r="AT114" i="2"/>
  <c r="AU114" i="2"/>
  <c r="AV114" i="2"/>
  <c r="AW114" i="2"/>
  <c r="AX114" i="2"/>
  <c r="AY114" i="2"/>
  <c r="E115" i="2"/>
  <c r="F115" i="2"/>
  <c r="G115" i="2"/>
  <c r="H115" i="2"/>
  <c r="I115" i="2"/>
  <c r="J115" i="2"/>
  <c r="K115" i="2"/>
  <c r="L115" i="2"/>
  <c r="M115" i="2"/>
  <c r="N115" i="2"/>
  <c r="O115" i="2"/>
  <c r="P115" i="2"/>
  <c r="Q115" i="2"/>
  <c r="R115" i="2"/>
  <c r="S115" i="2"/>
  <c r="T115" i="2"/>
  <c r="U115" i="2"/>
  <c r="V115" i="2"/>
  <c r="W115" i="2"/>
  <c r="X115" i="2"/>
  <c r="Y115" i="2"/>
  <c r="Z115" i="2"/>
  <c r="AA115" i="2"/>
  <c r="AB115" i="2"/>
  <c r="AC115" i="2"/>
  <c r="AD115" i="2"/>
  <c r="AE115" i="2"/>
  <c r="AF115" i="2"/>
  <c r="AG115" i="2"/>
  <c r="AH115" i="2"/>
  <c r="AI115" i="2"/>
  <c r="AJ115" i="2"/>
  <c r="AK115" i="2"/>
  <c r="AL115" i="2"/>
  <c r="AM115" i="2"/>
  <c r="AN115" i="2"/>
  <c r="AO115" i="2"/>
  <c r="AP115" i="2"/>
  <c r="AQ115" i="2"/>
  <c r="AR115" i="2"/>
  <c r="AS115" i="2"/>
  <c r="AT115" i="2"/>
  <c r="AU115" i="2"/>
  <c r="AV115" i="2"/>
  <c r="AW115" i="2"/>
  <c r="AX115" i="2"/>
  <c r="AY115" i="2"/>
  <c r="E116" i="2"/>
  <c r="F116" i="2"/>
  <c r="G116" i="2"/>
  <c r="H116" i="2"/>
  <c r="I116" i="2"/>
  <c r="J116" i="2"/>
  <c r="K116" i="2"/>
  <c r="L116" i="2"/>
  <c r="M116" i="2"/>
  <c r="N116" i="2"/>
  <c r="O116" i="2"/>
  <c r="P116" i="2"/>
  <c r="Q116" i="2"/>
  <c r="R116" i="2"/>
  <c r="S116" i="2"/>
  <c r="T116" i="2"/>
  <c r="U116" i="2"/>
  <c r="V116" i="2"/>
  <c r="W116" i="2"/>
  <c r="X116" i="2"/>
  <c r="Y116" i="2"/>
  <c r="Z116" i="2"/>
  <c r="AA116" i="2"/>
  <c r="AB116" i="2"/>
  <c r="AC116" i="2"/>
  <c r="AD116" i="2"/>
  <c r="AE116" i="2"/>
  <c r="AF116" i="2"/>
  <c r="AG116" i="2"/>
  <c r="AH116" i="2"/>
  <c r="AI116" i="2"/>
  <c r="AJ116" i="2"/>
  <c r="AK116" i="2"/>
  <c r="AL116" i="2"/>
  <c r="AM116" i="2"/>
  <c r="AN116" i="2"/>
  <c r="AO116" i="2"/>
  <c r="AP116" i="2"/>
  <c r="AQ116" i="2"/>
  <c r="AR116" i="2"/>
  <c r="AS116" i="2"/>
  <c r="AT116" i="2"/>
  <c r="AU116" i="2"/>
  <c r="AV116" i="2"/>
  <c r="AW116" i="2"/>
  <c r="AX116" i="2"/>
  <c r="AY116" i="2"/>
  <c r="E117" i="2"/>
  <c r="F117" i="2"/>
  <c r="G117" i="2"/>
  <c r="H117" i="2"/>
  <c r="I117" i="2"/>
  <c r="J117" i="2"/>
  <c r="K117" i="2"/>
  <c r="L117" i="2"/>
  <c r="M117" i="2"/>
  <c r="N117" i="2"/>
  <c r="O117" i="2"/>
  <c r="P117" i="2"/>
  <c r="Q117" i="2"/>
  <c r="R117" i="2"/>
  <c r="S117" i="2"/>
  <c r="T117" i="2"/>
  <c r="U117" i="2"/>
  <c r="V117" i="2"/>
  <c r="W117" i="2"/>
  <c r="X117" i="2"/>
  <c r="Y117" i="2"/>
  <c r="Z117" i="2"/>
  <c r="AA117" i="2"/>
  <c r="AB117" i="2"/>
  <c r="AC117" i="2"/>
  <c r="AD117" i="2"/>
  <c r="AE117" i="2"/>
  <c r="AF117" i="2"/>
  <c r="AG117" i="2"/>
  <c r="AH117" i="2"/>
  <c r="AI117" i="2"/>
  <c r="AJ117" i="2"/>
  <c r="AK117" i="2"/>
  <c r="AL117" i="2"/>
  <c r="AM117" i="2"/>
  <c r="AN117" i="2"/>
  <c r="AO117" i="2"/>
  <c r="AP117" i="2"/>
  <c r="AQ117" i="2"/>
  <c r="AR117" i="2"/>
  <c r="AS117" i="2"/>
  <c r="AT117" i="2"/>
  <c r="AU117" i="2"/>
  <c r="AV117" i="2"/>
  <c r="AW117" i="2"/>
  <c r="AX117" i="2"/>
  <c r="AY117" i="2"/>
  <c r="E118" i="2"/>
  <c r="F118" i="2"/>
  <c r="G118" i="2"/>
  <c r="H118" i="2"/>
  <c r="I118" i="2"/>
  <c r="J118" i="2"/>
  <c r="K118" i="2"/>
  <c r="L118" i="2"/>
  <c r="M118" i="2"/>
  <c r="N118" i="2"/>
  <c r="O118" i="2"/>
  <c r="P118" i="2"/>
  <c r="Q118" i="2"/>
  <c r="R118" i="2"/>
  <c r="S118" i="2"/>
  <c r="T118" i="2"/>
  <c r="U118" i="2"/>
  <c r="V118" i="2"/>
  <c r="W118" i="2"/>
  <c r="X118" i="2"/>
  <c r="Y118" i="2"/>
  <c r="Z118" i="2"/>
  <c r="AA118" i="2"/>
  <c r="AB118" i="2"/>
  <c r="AC118" i="2"/>
  <c r="AD118" i="2"/>
  <c r="AE118" i="2"/>
  <c r="AF118" i="2"/>
  <c r="AG118" i="2"/>
  <c r="AH118" i="2"/>
  <c r="AI118" i="2"/>
  <c r="AJ118" i="2"/>
  <c r="AK118" i="2"/>
  <c r="AL118" i="2"/>
  <c r="AM118" i="2"/>
  <c r="AN118" i="2"/>
  <c r="AO118" i="2"/>
  <c r="AP118" i="2"/>
  <c r="AQ118" i="2"/>
  <c r="AR118" i="2"/>
  <c r="AS118" i="2"/>
  <c r="AT118" i="2"/>
  <c r="AU118" i="2"/>
  <c r="AV118" i="2"/>
  <c r="AW118" i="2"/>
  <c r="AX118" i="2"/>
  <c r="AY118" i="2"/>
  <c r="E119" i="2"/>
  <c r="F119" i="2"/>
  <c r="G119" i="2"/>
  <c r="H119" i="2"/>
  <c r="I119" i="2"/>
  <c r="J119" i="2"/>
  <c r="K119" i="2"/>
  <c r="L119" i="2"/>
  <c r="M119" i="2"/>
  <c r="N119" i="2"/>
  <c r="O119" i="2"/>
  <c r="P11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AU119" i="2"/>
  <c r="AV119" i="2"/>
  <c r="AW119" i="2"/>
  <c r="AX119" i="2"/>
  <c r="AY119" i="2"/>
  <c r="E120" i="2"/>
  <c r="F120" i="2"/>
  <c r="G120" i="2"/>
  <c r="H120" i="2"/>
  <c r="I120" i="2"/>
  <c r="J120" i="2"/>
  <c r="K120" i="2"/>
  <c r="L120" i="2"/>
  <c r="M120" i="2"/>
  <c r="N120" i="2"/>
  <c r="O120" i="2"/>
  <c r="P120"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AT120" i="2"/>
  <c r="AU120" i="2"/>
  <c r="AV120" i="2"/>
  <c r="AW120" i="2"/>
  <c r="AX120" i="2"/>
  <c r="AY120" i="2"/>
  <c r="E121" i="2"/>
  <c r="F121" i="2"/>
  <c r="G121" i="2"/>
  <c r="H121" i="2"/>
  <c r="I121" i="2"/>
  <c r="J121" i="2"/>
  <c r="K121" i="2"/>
  <c r="L121" i="2"/>
  <c r="M121" i="2"/>
  <c r="N121" i="2"/>
  <c r="O121" i="2"/>
  <c r="P121" i="2"/>
  <c r="Q121" i="2"/>
  <c r="R121" i="2"/>
  <c r="S121" i="2"/>
  <c r="T121" i="2"/>
  <c r="U121" i="2"/>
  <c r="V121" i="2"/>
  <c r="W121" i="2"/>
  <c r="X121" i="2"/>
  <c r="Y121" i="2"/>
  <c r="Z121" i="2"/>
  <c r="AA121" i="2"/>
  <c r="AB121" i="2"/>
  <c r="AC121" i="2"/>
  <c r="AD121" i="2"/>
  <c r="AE121" i="2"/>
  <c r="AF121" i="2"/>
  <c r="AG121" i="2"/>
  <c r="AH121" i="2"/>
  <c r="AI121" i="2"/>
  <c r="AJ121" i="2"/>
  <c r="AK121" i="2"/>
  <c r="AL121" i="2"/>
  <c r="AM121" i="2"/>
  <c r="AN121" i="2"/>
  <c r="AO121" i="2"/>
  <c r="AP121" i="2"/>
  <c r="AQ121" i="2"/>
  <c r="AR121" i="2"/>
  <c r="AS121" i="2"/>
  <c r="AT121" i="2"/>
  <c r="AU121" i="2"/>
  <c r="AV121" i="2"/>
  <c r="AW121" i="2"/>
  <c r="AX121" i="2"/>
  <c r="AY121" i="2"/>
  <c r="E122" i="2"/>
  <c r="F122" i="2"/>
  <c r="G122" i="2"/>
  <c r="H122" i="2"/>
  <c r="I122" i="2"/>
  <c r="J122" i="2"/>
  <c r="K122" i="2"/>
  <c r="L122" i="2"/>
  <c r="M122" i="2"/>
  <c r="N122" i="2"/>
  <c r="O122" i="2"/>
  <c r="P122" i="2"/>
  <c r="Q122" i="2"/>
  <c r="R122" i="2"/>
  <c r="S122" i="2"/>
  <c r="T122" i="2"/>
  <c r="U122" i="2"/>
  <c r="V122" i="2"/>
  <c r="W122" i="2"/>
  <c r="X122" i="2"/>
  <c r="Y122" i="2"/>
  <c r="Z122" i="2"/>
  <c r="AA122" i="2"/>
  <c r="AB122" i="2"/>
  <c r="AC122" i="2"/>
  <c r="AD122" i="2"/>
  <c r="AE122" i="2"/>
  <c r="AF122" i="2"/>
  <c r="AG122" i="2"/>
  <c r="AH122" i="2"/>
  <c r="AI122" i="2"/>
  <c r="AJ122" i="2"/>
  <c r="AK122" i="2"/>
  <c r="AL122" i="2"/>
  <c r="AM122" i="2"/>
  <c r="AN122" i="2"/>
  <c r="AO122" i="2"/>
  <c r="AP122" i="2"/>
  <c r="AQ122" i="2"/>
  <c r="AR122" i="2"/>
  <c r="AS122" i="2"/>
  <c r="AT122" i="2"/>
  <c r="AU122" i="2"/>
  <c r="AV122" i="2"/>
  <c r="AW122" i="2"/>
  <c r="AX122" i="2"/>
  <c r="AY122" i="2"/>
  <c r="E123" i="2"/>
  <c r="F123" i="2"/>
  <c r="G123" i="2"/>
  <c r="H123" i="2"/>
  <c r="I123" i="2"/>
  <c r="J123" i="2"/>
  <c r="K123" i="2"/>
  <c r="L123" i="2"/>
  <c r="M123" i="2"/>
  <c r="N123" i="2"/>
  <c r="O123" i="2"/>
  <c r="P123"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AR123" i="2"/>
  <c r="AS123" i="2"/>
  <c r="AT123" i="2"/>
  <c r="AU123" i="2"/>
  <c r="AV123" i="2"/>
  <c r="AW123" i="2"/>
  <c r="AX123" i="2"/>
  <c r="AY123" i="2"/>
  <c r="E124" i="2"/>
  <c r="F124" i="2"/>
  <c r="G124" i="2"/>
  <c r="H124" i="2"/>
  <c r="I124" i="2"/>
  <c r="J124" i="2"/>
  <c r="K124" i="2"/>
  <c r="L124" i="2"/>
  <c r="M124" i="2"/>
  <c r="N124" i="2"/>
  <c r="O124" i="2"/>
  <c r="P124" i="2"/>
  <c r="Q124" i="2"/>
  <c r="R124" i="2"/>
  <c r="S124" i="2"/>
  <c r="T124" i="2"/>
  <c r="U124" i="2"/>
  <c r="V124" i="2"/>
  <c r="W124" i="2"/>
  <c r="X124" i="2"/>
  <c r="Y124" i="2"/>
  <c r="Z124" i="2"/>
  <c r="AA124" i="2"/>
  <c r="AB124" i="2"/>
  <c r="AC124" i="2"/>
  <c r="AD124" i="2"/>
  <c r="AE124" i="2"/>
  <c r="AF124" i="2"/>
  <c r="AG124" i="2"/>
  <c r="AH124" i="2"/>
  <c r="AI124" i="2"/>
  <c r="AJ124" i="2"/>
  <c r="AK124" i="2"/>
  <c r="AL124" i="2"/>
  <c r="AM124" i="2"/>
  <c r="AN124" i="2"/>
  <c r="AO124" i="2"/>
  <c r="AP124" i="2"/>
  <c r="AQ124" i="2"/>
  <c r="AR124" i="2"/>
  <c r="AS124" i="2"/>
  <c r="AT124" i="2"/>
  <c r="AU124" i="2"/>
  <c r="AV124" i="2"/>
  <c r="AW124" i="2"/>
  <c r="AX124" i="2"/>
  <c r="AY124"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AR125" i="2"/>
  <c r="AS125" i="2"/>
  <c r="AT125" i="2"/>
  <c r="AU125" i="2"/>
  <c r="AV125" i="2"/>
  <c r="AW125" i="2"/>
  <c r="AX125" i="2"/>
  <c r="AY125" i="2"/>
  <c r="E126" i="2"/>
  <c r="F126" i="2"/>
  <c r="G126" i="2"/>
  <c r="H126" i="2"/>
  <c r="I126" i="2"/>
  <c r="J126" i="2"/>
  <c r="K126" i="2"/>
  <c r="L126" i="2"/>
  <c r="M126" i="2"/>
  <c r="N126" i="2"/>
  <c r="O126" i="2"/>
  <c r="P126" i="2"/>
  <c r="Q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AR126" i="2"/>
  <c r="AS126" i="2"/>
  <c r="AT126" i="2"/>
  <c r="AU126" i="2"/>
  <c r="AV126" i="2"/>
  <c r="AW126" i="2"/>
  <c r="AX126" i="2"/>
  <c r="AY126" i="2"/>
  <c r="E127" i="2"/>
  <c r="F127" i="2"/>
  <c r="G127" i="2"/>
  <c r="H127" i="2"/>
  <c r="I127" i="2"/>
  <c r="J127" i="2"/>
  <c r="K127" i="2"/>
  <c r="L127" i="2"/>
  <c r="M127" i="2"/>
  <c r="N127" i="2"/>
  <c r="O127" i="2"/>
  <c r="P127" i="2"/>
  <c r="Q127" i="2"/>
  <c r="R127" i="2"/>
  <c r="S127" i="2"/>
  <c r="T127" i="2"/>
  <c r="U127" i="2"/>
  <c r="V127" i="2"/>
  <c r="W127" i="2"/>
  <c r="X127" i="2"/>
  <c r="Y127" i="2"/>
  <c r="Z127" i="2"/>
  <c r="AA127" i="2"/>
  <c r="AB127" i="2"/>
  <c r="AC127" i="2"/>
  <c r="AD127" i="2"/>
  <c r="AE127" i="2"/>
  <c r="AF127" i="2"/>
  <c r="AG127" i="2"/>
  <c r="AH127" i="2"/>
  <c r="AI127" i="2"/>
  <c r="AJ127" i="2"/>
  <c r="AK127" i="2"/>
  <c r="AL127" i="2"/>
  <c r="AM127" i="2"/>
  <c r="AN127" i="2"/>
  <c r="AO127" i="2"/>
  <c r="AP127" i="2"/>
  <c r="AQ127" i="2"/>
  <c r="AR127" i="2"/>
  <c r="AS127" i="2"/>
  <c r="AT127" i="2"/>
  <c r="AU127" i="2"/>
  <c r="AV127" i="2"/>
  <c r="AW127" i="2"/>
  <c r="AX127" i="2"/>
  <c r="AY127" i="2"/>
  <c r="E128" i="2"/>
  <c r="F128" i="2"/>
  <c r="G128" i="2"/>
  <c r="H128" i="2"/>
  <c r="I128" i="2"/>
  <c r="J128" i="2"/>
  <c r="K128" i="2"/>
  <c r="L128" i="2"/>
  <c r="M128" i="2"/>
  <c r="N128" i="2"/>
  <c r="O128" i="2"/>
  <c r="P128" i="2"/>
  <c r="Q128" i="2"/>
  <c r="R128" i="2"/>
  <c r="S128" i="2"/>
  <c r="T128" i="2"/>
  <c r="U128" i="2"/>
  <c r="V128" i="2"/>
  <c r="W128" i="2"/>
  <c r="X128" i="2"/>
  <c r="Y128" i="2"/>
  <c r="Z128" i="2"/>
  <c r="AA128" i="2"/>
  <c r="AB128" i="2"/>
  <c r="AC128" i="2"/>
  <c r="AD128" i="2"/>
  <c r="AE128" i="2"/>
  <c r="AF128" i="2"/>
  <c r="AG128" i="2"/>
  <c r="AH128" i="2"/>
  <c r="AI128" i="2"/>
  <c r="AJ128" i="2"/>
  <c r="AK128" i="2"/>
  <c r="AL128" i="2"/>
  <c r="AM128" i="2"/>
  <c r="AN128" i="2"/>
  <c r="AO128" i="2"/>
  <c r="AP128" i="2"/>
  <c r="AQ128" i="2"/>
  <c r="AR128" i="2"/>
  <c r="AS128" i="2"/>
  <c r="AT128" i="2"/>
  <c r="AU128" i="2"/>
  <c r="AV128" i="2"/>
  <c r="AW128" i="2"/>
  <c r="AX128" i="2"/>
  <c r="AY128" i="2"/>
  <c r="E129" i="2"/>
  <c r="F129" i="2"/>
  <c r="G129" i="2"/>
  <c r="H129" i="2"/>
  <c r="I129" i="2"/>
  <c r="J129" i="2"/>
  <c r="K129" i="2"/>
  <c r="L129" i="2"/>
  <c r="M129" i="2"/>
  <c r="N129" i="2"/>
  <c r="O129" i="2"/>
  <c r="P129" i="2"/>
  <c r="Q129" i="2"/>
  <c r="R129" i="2"/>
  <c r="S129" i="2"/>
  <c r="T129" i="2"/>
  <c r="U129" i="2"/>
  <c r="V129" i="2"/>
  <c r="W129" i="2"/>
  <c r="X129" i="2"/>
  <c r="Y129" i="2"/>
  <c r="Z129" i="2"/>
  <c r="AA129" i="2"/>
  <c r="AB129" i="2"/>
  <c r="AC129" i="2"/>
  <c r="AD129" i="2"/>
  <c r="AE129" i="2"/>
  <c r="AF129" i="2"/>
  <c r="AG129" i="2"/>
  <c r="AH129" i="2"/>
  <c r="AI129" i="2"/>
  <c r="AJ129" i="2"/>
  <c r="AK129" i="2"/>
  <c r="AL129" i="2"/>
  <c r="AM129" i="2"/>
  <c r="AN129" i="2"/>
  <c r="AO129" i="2"/>
  <c r="AP129" i="2"/>
  <c r="AQ129" i="2"/>
  <c r="AR129" i="2"/>
  <c r="AS129" i="2"/>
  <c r="AT129" i="2"/>
  <c r="AU129" i="2"/>
  <c r="AV129" i="2"/>
  <c r="AW129" i="2"/>
  <c r="AX129" i="2"/>
  <c r="AY129" i="2"/>
  <c r="E130" i="2"/>
  <c r="F130" i="2"/>
  <c r="G130" i="2"/>
  <c r="H130" i="2"/>
  <c r="I130" i="2"/>
  <c r="J130" i="2"/>
  <c r="K130" i="2"/>
  <c r="L130" i="2"/>
  <c r="M130" i="2"/>
  <c r="N130" i="2"/>
  <c r="O130" i="2"/>
  <c r="P130" i="2"/>
  <c r="Q130" i="2"/>
  <c r="R130" i="2"/>
  <c r="S130" i="2"/>
  <c r="T130" i="2"/>
  <c r="U130" i="2"/>
  <c r="V130" i="2"/>
  <c r="W130" i="2"/>
  <c r="X130" i="2"/>
  <c r="Y130" i="2"/>
  <c r="Z130" i="2"/>
  <c r="AA130" i="2"/>
  <c r="AB130" i="2"/>
  <c r="AC130" i="2"/>
  <c r="AD130" i="2"/>
  <c r="AE130" i="2"/>
  <c r="AF130" i="2"/>
  <c r="AG130" i="2"/>
  <c r="AH130" i="2"/>
  <c r="AI130" i="2"/>
  <c r="AJ130" i="2"/>
  <c r="AK130" i="2"/>
  <c r="AL130" i="2"/>
  <c r="AM130" i="2"/>
  <c r="AN130" i="2"/>
  <c r="AO130" i="2"/>
  <c r="AP130" i="2"/>
  <c r="AQ130" i="2"/>
  <c r="AR130" i="2"/>
  <c r="AS130" i="2"/>
  <c r="AT130" i="2"/>
  <c r="AU130" i="2"/>
  <c r="AV130" i="2"/>
  <c r="AW130" i="2"/>
  <c r="AX130" i="2"/>
  <c r="AY130" i="2"/>
  <c r="E134" i="2"/>
  <c r="F134" i="2"/>
  <c r="G134" i="2"/>
  <c r="H134" i="2"/>
  <c r="I134" i="2"/>
  <c r="J134" i="2"/>
  <c r="K134" i="2"/>
  <c r="L134" i="2"/>
  <c r="M134" i="2"/>
  <c r="N134" i="2"/>
  <c r="O134" i="2"/>
  <c r="P134" i="2"/>
  <c r="Q134" i="2"/>
  <c r="R134" i="2"/>
  <c r="S134" i="2"/>
  <c r="T134" i="2"/>
  <c r="U134" i="2"/>
  <c r="V134" i="2"/>
  <c r="W134" i="2"/>
  <c r="X134" i="2"/>
  <c r="Y134" i="2"/>
  <c r="Z134" i="2"/>
  <c r="AA134" i="2"/>
  <c r="AB134" i="2"/>
  <c r="AC134" i="2"/>
  <c r="AD134" i="2"/>
  <c r="AE134" i="2"/>
  <c r="AF134" i="2"/>
  <c r="AG134" i="2"/>
  <c r="AH134" i="2"/>
  <c r="AI134" i="2"/>
  <c r="AJ134" i="2"/>
  <c r="AK134" i="2"/>
  <c r="AL134" i="2"/>
  <c r="AM134" i="2"/>
  <c r="AN134" i="2"/>
  <c r="AO134" i="2"/>
  <c r="AP134" i="2"/>
  <c r="AQ134" i="2"/>
  <c r="AR134" i="2"/>
  <c r="AS134" i="2"/>
  <c r="AT134" i="2"/>
  <c r="AU134" i="2"/>
  <c r="AV134" i="2"/>
  <c r="AW134" i="2"/>
  <c r="AX134" i="2"/>
  <c r="AY134" i="2"/>
  <c r="E135" i="2"/>
  <c r="F135" i="2"/>
  <c r="G135" i="2"/>
  <c r="H135" i="2"/>
  <c r="I135" i="2"/>
  <c r="J135" i="2"/>
  <c r="K135" i="2"/>
  <c r="L135" i="2"/>
  <c r="M135" i="2"/>
  <c r="N135" i="2"/>
  <c r="O135" i="2"/>
  <c r="P135" i="2"/>
  <c r="Q135" i="2"/>
  <c r="R135" i="2"/>
  <c r="S135" i="2"/>
  <c r="T135" i="2"/>
  <c r="U135" i="2"/>
  <c r="V135" i="2"/>
  <c r="W135" i="2"/>
  <c r="X135" i="2"/>
  <c r="Y135" i="2"/>
  <c r="Z135" i="2"/>
  <c r="AA135" i="2"/>
  <c r="AB135" i="2"/>
  <c r="AC135" i="2"/>
  <c r="AD135" i="2"/>
  <c r="AE135" i="2"/>
  <c r="AF135" i="2"/>
  <c r="AG135" i="2"/>
  <c r="AH135" i="2"/>
  <c r="AI135" i="2"/>
  <c r="AJ135" i="2"/>
  <c r="AK135" i="2"/>
  <c r="AL135" i="2"/>
  <c r="AM135" i="2"/>
  <c r="AN135" i="2"/>
  <c r="AO135" i="2"/>
  <c r="AP135" i="2"/>
  <c r="AQ135" i="2"/>
  <c r="AR135" i="2"/>
  <c r="AS135" i="2"/>
  <c r="AT135" i="2"/>
  <c r="AU135" i="2"/>
  <c r="AV135" i="2"/>
  <c r="AW135" i="2"/>
  <c r="AX135" i="2"/>
  <c r="AY135" i="2"/>
  <c r="E136" i="2"/>
  <c r="F136" i="2"/>
  <c r="G136" i="2"/>
  <c r="H136" i="2"/>
  <c r="I136" i="2"/>
  <c r="J136" i="2"/>
  <c r="K136" i="2"/>
  <c r="L136" i="2"/>
  <c r="M136" i="2"/>
  <c r="N136" i="2"/>
  <c r="O136" i="2"/>
  <c r="P136" i="2"/>
  <c r="Q136" i="2"/>
  <c r="R136" i="2"/>
  <c r="S136" i="2"/>
  <c r="T136" i="2"/>
  <c r="U136" i="2"/>
  <c r="V136" i="2"/>
  <c r="W136" i="2"/>
  <c r="X136" i="2"/>
  <c r="Y136" i="2"/>
  <c r="Z136" i="2"/>
  <c r="AA136" i="2"/>
  <c r="AB136" i="2"/>
  <c r="AC136" i="2"/>
  <c r="AD136" i="2"/>
  <c r="AE136" i="2"/>
  <c r="AF136" i="2"/>
  <c r="AG136" i="2"/>
  <c r="AH136" i="2"/>
  <c r="AI136" i="2"/>
  <c r="AJ136" i="2"/>
  <c r="AK136" i="2"/>
  <c r="AL136" i="2"/>
  <c r="AM136" i="2"/>
  <c r="AN136" i="2"/>
  <c r="AO136" i="2"/>
  <c r="AP136" i="2"/>
  <c r="AQ136" i="2"/>
  <c r="AR136" i="2"/>
  <c r="AS136" i="2"/>
  <c r="AT136" i="2"/>
  <c r="AU136" i="2"/>
  <c r="AV136" i="2"/>
  <c r="AW136" i="2"/>
  <c r="AX136" i="2"/>
  <c r="AY136" i="2"/>
  <c r="E137" i="2"/>
  <c r="F137" i="2"/>
  <c r="G137" i="2"/>
  <c r="H137" i="2"/>
  <c r="I137" i="2"/>
  <c r="J137" i="2"/>
  <c r="K137" i="2"/>
  <c r="L137" i="2"/>
  <c r="M137" i="2"/>
  <c r="N137" i="2"/>
  <c r="O137" i="2"/>
  <c r="P137" i="2"/>
  <c r="Q137" i="2"/>
  <c r="R137" i="2"/>
  <c r="S137" i="2"/>
  <c r="T137" i="2"/>
  <c r="U137" i="2"/>
  <c r="V137" i="2"/>
  <c r="W137" i="2"/>
  <c r="X137" i="2"/>
  <c r="Y137" i="2"/>
  <c r="Z137" i="2"/>
  <c r="AA137" i="2"/>
  <c r="AB137" i="2"/>
  <c r="AC137" i="2"/>
  <c r="AD137" i="2"/>
  <c r="AE137" i="2"/>
  <c r="AF137" i="2"/>
  <c r="AG137" i="2"/>
  <c r="AH137" i="2"/>
  <c r="AI137" i="2"/>
  <c r="AJ137" i="2"/>
  <c r="AK137" i="2"/>
  <c r="AL137" i="2"/>
  <c r="AM137" i="2"/>
  <c r="AN137" i="2"/>
  <c r="AO137" i="2"/>
  <c r="AP137" i="2"/>
  <c r="AQ137" i="2"/>
  <c r="AR137" i="2"/>
  <c r="AS137" i="2"/>
  <c r="AT137" i="2"/>
  <c r="AU137" i="2"/>
  <c r="AV137" i="2"/>
  <c r="AW137" i="2"/>
  <c r="AX137" i="2"/>
  <c r="AY137" i="2"/>
  <c r="E138"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N138" i="2"/>
  <c r="AO138" i="2"/>
  <c r="AP138" i="2"/>
  <c r="AQ138" i="2"/>
  <c r="AR138" i="2"/>
  <c r="AS138" i="2"/>
  <c r="AT138" i="2"/>
  <c r="AU138" i="2"/>
  <c r="AV138" i="2"/>
  <c r="AW138" i="2"/>
  <c r="AX138" i="2"/>
  <c r="AY138" i="2"/>
  <c r="E139" i="2"/>
  <c r="F139" i="2"/>
  <c r="G139"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AM139" i="2"/>
  <c r="AN139" i="2"/>
  <c r="AO139" i="2"/>
  <c r="AP139" i="2"/>
  <c r="AQ139" i="2"/>
  <c r="AR139" i="2"/>
  <c r="AS139" i="2"/>
  <c r="AT139" i="2"/>
  <c r="AU139" i="2"/>
  <c r="AV139" i="2"/>
  <c r="AW139" i="2"/>
  <c r="AX139" i="2"/>
  <c r="AY139" i="2"/>
  <c r="E140" i="2"/>
  <c r="F140" i="2"/>
  <c r="G140" i="2"/>
  <c r="H140" i="2"/>
  <c r="I140" i="2"/>
  <c r="J140" i="2"/>
  <c r="K140" i="2"/>
  <c r="L140" i="2"/>
  <c r="M140" i="2"/>
  <c r="N140" i="2"/>
  <c r="O140" i="2"/>
  <c r="P140" i="2"/>
  <c r="Q140" i="2"/>
  <c r="R140" i="2"/>
  <c r="S140" i="2"/>
  <c r="T140" i="2"/>
  <c r="U140" i="2"/>
  <c r="V140" i="2"/>
  <c r="W140" i="2"/>
  <c r="X140" i="2"/>
  <c r="Y140" i="2"/>
  <c r="Z140" i="2"/>
  <c r="AA140" i="2"/>
  <c r="AB140" i="2"/>
  <c r="AC140" i="2"/>
  <c r="AD140" i="2"/>
  <c r="AE140" i="2"/>
  <c r="AF140" i="2"/>
  <c r="AG140" i="2"/>
  <c r="AH140" i="2"/>
  <c r="AI140" i="2"/>
  <c r="AJ140" i="2"/>
  <c r="AK140" i="2"/>
  <c r="AL140" i="2"/>
  <c r="AM140" i="2"/>
  <c r="AN140" i="2"/>
  <c r="AO140" i="2"/>
  <c r="AP140" i="2"/>
  <c r="AQ140" i="2"/>
  <c r="AR140" i="2"/>
  <c r="AS140" i="2"/>
  <c r="AT140" i="2"/>
  <c r="AU140" i="2"/>
  <c r="AV140" i="2"/>
  <c r="AW140" i="2"/>
  <c r="AX140" i="2"/>
  <c r="AY140" i="2"/>
  <c r="E141" i="2"/>
  <c r="F141" i="2"/>
  <c r="G141" i="2"/>
  <c r="H141" i="2"/>
  <c r="I141" i="2"/>
  <c r="J141" i="2"/>
  <c r="K141" i="2"/>
  <c r="L141" i="2"/>
  <c r="M141" i="2"/>
  <c r="N141" i="2"/>
  <c r="O141" i="2"/>
  <c r="P141" i="2"/>
  <c r="Q141" i="2"/>
  <c r="R141" i="2"/>
  <c r="S141" i="2"/>
  <c r="T141" i="2"/>
  <c r="U141" i="2"/>
  <c r="V141" i="2"/>
  <c r="W141" i="2"/>
  <c r="X141" i="2"/>
  <c r="Y141" i="2"/>
  <c r="Z141" i="2"/>
  <c r="AA141" i="2"/>
  <c r="AB141" i="2"/>
  <c r="AC141" i="2"/>
  <c r="AD141" i="2"/>
  <c r="AE141" i="2"/>
  <c r="AF141" i="2"/>
  <c r="AG141" i="2"/>
  <c r="AH141" i="2"/>
  <c r="AI141" i="2"/>
  <c r="AJ141" i="2"/>
  <c r="AK141" i="2"/>
  <c r="AL141" i="2"/>
  <c r="AM141" i="2"/>
  <c r="AN141" i="2"/>
  <c r="AO141" i="2"/>
  <c r="AP141" i="2"/>
  <c r="AQ141" i="2"/>
  <c r="AR141" i="2"/>
  <c r="AS141" i="2"/>
  <c r="AT141" i="2"/>
  <c r="AU141" i="2"/>
  <c r="AV141" i="2"/>
  <c r="AW141" i="2"/>
  <c r="AX141" i="2"/>
  <c r="AY141" i="2"/>
  <c r="E142"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I142" i="2"/>
  <c r="AJ142" i="2"/>
  <c r="AK142" i="2"/>
  <c r="AL142" i="2"/>
  <c r="AM142" i="2"/>
  <c r="AN142" i="2"/>
  <c r="AO142" i="2"/>
  <c r="AP142" i="2"/>
  <c r="AQ142" i="2"/>
  <c r="AR142" i="2"/>
  <c r="AS142" i="2"/>
  <c r="AT142" i="2"/>
  <c r="AU142" i="2"/>
  <c r="AV142" i="2"/>
  <c r="AW142" i="2"/>
  <c r="AX142" i="2"/>
  <c r="AY142" i="2"/>
  <c r="E143" i="2"/>
  <c r="F143" i="2"/>
  <c r="G143"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I143" i="2"/>
  <c r="AJ143" i="2"/>
  <c r="AK143" i="2"/>
  <c r="AL143" i="2"/>
  <c r="AM143" i="2"/>
  <c r="AN143" i="2"/>
  <c r="AO143" i="2"/>
  <c r="AP143" i="2"/>
  <c r="AQ143" i="2"/>
  <c r="AR143" i="2"/>
  <c r="AS143" i="2"/>
  <c r="AT143" i="2"/>
  <c r="AU143" i="2"/>
  <c r="AV143" i="2"/>
  <c r="AW143" i="2"/>
  <c r="AX143" i="2"/>
  <c r="AY143" i="2"/>
  <c r="E144" i="2"/>
  <c r="F144" i="2"/>
  <c r="G144" i="2"/>
  <c r="H144" i="2"/>
  <c r="I144" i="2"/>
  <c r="J144" i="2"/>
  <c r="K144" i="2"/>
  <c r="L144" i="2"/>
  <c r="M144" i="2"/>
  <c r="N144" i="2"/>
  <c r="O144" i="2"/>
  <c r="P144" i="2"/>
  <c r="Q144" i="2"/>
  <c r="R144" i="2"/>
  <c r="S144" i="2"/>
  <c r="T144" i="2"/>
  <c r="U144" i="2"/>
  <c r="V144" i="2"/>
  <c r="W144" i="2"/>
  <c r="X144" i="2"/>
  <c r="Y144" i="2"/>
  <c r="Z144" i="2"/>
  <c r="AA144" i="2"/>
  <c r="AB144" i="2"/>
  <c r="AC144" i="2"/>
  <c r="AD144" i="2"/>
  <c r="AE144" i="2"/>
  <c r="AF144" i="2"/>
  <c r="AG144" i="2"/>
  <c r="AH144" i="2"/>
  <c r="AI144" i="2"/>
  <c r="AJ144" i="2"/>
  <c r="AK144" i="2"/>
  <c r="AL144" i="2"/>
  <c r="AM144" i="2"/>
  <c r="AN144" i="2"/>
  <c r="AO144" i="2"/>
  <c r="AP144" i="2"/>
  <c r="AQ144" i="2"/>
  <c r="AR144" i="2"/>
  <c r="AS144" i="2"/>
  <c r="AT144" i="2"/>
  <c r="AU144" i="2"/>
  <c r="AV144" i="2"/>
  <c r="AW144" i="2"/>
  <c r="AX144" i="2"/>
  <c r="AY144" i="2"/>
  <c r="E145" i="2"/>
  <c r="F145" i="2"/>
  <c r="G145" i="2"/>
  <c r="H145" i="2"/>
  <c r="I145" i="2"/>
  <c r="J145" i="2"/>
  <c r="K145" i="2"/>
  <c r="L145" i="2"/>
  <c r="M145" i="2"/>
  <c r="N145" i="2"/>
  <c r="O145" i="2"/>
  <c r="P145" i="2"/>
  <c r="Q145" i="2"/>
  <c r="R145" i="2"/>
  <c r="S145" i="2"/>
  <c r="T145" i="2"/>
  <c r="U145" i="2"/>
  <c r="V145" i="2"/>
  <c r="W145" i="2"/>
  <c r="X145" i="2"/>
  <c r="Y145" i="2"/>
  <c r="Z145" i="2"/>
  <c r="AA145" i="2"/>
  <c r="AB145" i="2"/>
  <c r="AC145" i="2"/>
  <c r="AD145" i="2"/>
  <c r="AE145" i="2"/>
  <c r="AF145" i="2"/>
  <c r="AG145" i="2"/>
  <c r="AH145" i="2"/>
  <c r="AI145" i="2"/>
  <c r="AJ145" i="2"/>
  <c r="AK145" i="2"/>
  <c r="AL145" i="2"/>
  <c r="AM145" i="2"/>
  <c r="AN145" i="2"/>
  <c r="AO145" i="2"/>
  <c r="AP145" i="2"/>
  <c r="AQ145" i="2"/>
  <c r="AR145" i="2"/>
  <c r="AS145" i="2"/>
  <c r="AT145" i="2"/>
  <c r="AU145" i="2"/>
  <c r="AV145" i="2"/>
  <c r="AW145" i="2"/>
  <c r="AX145" i="2"/>
  <c r="AY145" i="2"/>
  <c r="E146" i="2"/>
  <c r="F146" i="2"/>
  <c r="G146" i="2"/>
  <c r="H146" i="2"/>
  <c r="I146" i="2"/>
  <c r="J146" i="2"/>
  <c r="K146" i="2"/>
  <c r="L146" i="2"/>
  <c r="M146" i="2"/>
  <c r="N146" i="2"/>
  <c r="O146" i="2"/>
  <c r="P146" i="2"/>
  <c r="Q146" i="2"/>
  <c r="R146" i="2"/>
  <c r="S146" i="2"/>
  <c r="T146" i="2"/>
  <c r="U146" i="2"/>
  <c r="V146" i="2"/>
  <c r="W146" i="2"/>
  <c r="X146" i="2"/>
  <c r="Y146" i="2"/>
  <c r="Z146" i="2"/>
  <c r="AA146" i="2"/>
  <c r="AB146" i="2"/>
  <c r="AC146" i="2"/>
  <c r="AD146" i="2"/>
  <c r="AE146" i="2"/>
  <c r="AF146" i="2"/>
  <c r="AG146" i="2"/>
  <c r="AH146" i="2"/>
  <c r="AI146" i="2"/>
  <c r="AJ146" i="2"/>
  <c r="AK146" i="2"/>
  <c r="AL146" i="2"/>
  <c r="AM146" i="2"/>
  <c r="AN146" i="2"/>
  <c r="AO146" i="2"/>
  <c r="AP146" i="2"/>
  <c r="AQ146" i="2"/>
  <c r="AR146" i="2"/>
  <c r="AS146" i="2"/>
  <c r="AT146" i="2"/>
  <c r="AU146" i="2"/>
  <c r="AV146" i="2"/>
  <c r="AW146" i="2"/>
  <c r="AX146" i="2"/>
  <c r="AY146" i="2"/>
  <c r="E147" i="2"/>
  <c r="F147" i="2"/>
  <c r="G147" i="2"/>
  <c r="H147" i="2"/>
  <c r="I147" i="2"/>
  <c r="J147" i="2"/>
  <c r="K147" i="2"/>
  <c r="L147" i="2"/>
  <c r="M147" i="2"/>
  <c r="N147" i="2"/>
  <c r="O147" i="2"/>
  <c r="P147" i="2"/>
  <c r="Q147" i="2"/>
  <c r="R147" i="2"/>
  <c r="S147" i="2"/>
  <c r="T147" i="2"/>
  <c r="U147" i="2"/>
  <c r="V147" i="2"/>
  <c r="W147" i="2"/>
  <c r="X147" i="2"/>
  <c r="Y147" i="2"/>
  <c r="Z147" i="2"/>
  <c r="AA147" i="2"/>
  <c r="AB147" i="2"/>
  <c r="AC147" i="2"/>
  <c r="AD147" i="2"/>
  <c r="AE147" i="2"/>
  <c r="AF147" i="2"/>
  <c r="AG147" i="2"/>
  <c r="AH147" i="2"/>
  <c r="AI147" i="2"/>
  <c r="AJ147" i="2"/>
  <c r="AK147" i="2"/>
  <c r="AL147" i="2"/>
  <c r="AM147" i="2"/>
  <c r="AN147" i="2"/>
  <c r="AO147" i="2"/>
  <c r="AP147" i="2"/>
  <c r="AQ147" i="2"/>
  <c r="AR147" i="2"/>
  <c r="AS147" i="2"/>
  <c r="AT147" i="2"/>
  <c r="AU147" i="2"/>
  <c r="AV147" i="2"/>
  <c r="AW147" i="2"/>
  <c r="AX147" i="2"/>
  <c r="AY147" i="2"/>
  <c r="E148" i="2"/>
  <c r="F148" i="2"/>
  <c r="G148" i="2"/>
  <c r="H148" i="2"/>
  <c r="I148" i="2"/>
  <c r="J148" i="2"/>
  <c r="K148" i="2"/>
  <c r="L148" i="2"/>
  <c r="M148" i="2"/>
  <c r="N148" i="2"/>
  <c r="O148" i="2"/>
  <c r="P148" i="2"/>
  <c r="Q148" i="2"/>
  <c r="R148" i="2"/>
  <c r="S148" i="2"/>
  <c r="T148" i="2"/>
  <c r="U148" i="2"/>
  <c r="V148" i="2"/>
  <c r="W148" i="2"/>
  <c r="X148" i="2"/>
  <c r="Y148" i="2"/>
  <c r="Z148" i="2"/>
  <c r="AA148" i="2"/>
  <c r="AB148" i="2"/>
  <c r="AC148" i="2"/>
  <c r="AD148" i="2"/>
  <c r="AE148" i="2"/>
  <c r="AF148" i="2"/>
  <c r="AG148" i="2"/>
  <c r="AH148" i="2"/>
  <c r="AI148" i="2"/>
  <c r="AJ148" i="2"/>
  <c r="AK148" i="2"/>
  <c r="AL148" i="2"/>
  <c r="AM148" i="2"/>
  <c r="AN148" i="2"/>
  <c r="AO148" i="2"/>
  <c r="AP148" i="2"/>
  <c r="AQ148" i="2"/>
  <c r="AR148" i="2"/>
  <c r="AS148" i="2"/>
  <c r="AT148" i="2"/>
  <c r="AU148" i="2"/>
  <c r="AV148" i="2"/>
  <c r="AW148" i="2"/>
  <c r="AX148" i="2"/>
  <c r="AY148" i="2"/>
  <c r="E149" i="2"/>
  <c r="F149" i="2"/>
  <c r="G149" i="2"/>
  <c r="H149" i="2"/>
  <c r="I149" i="2"/>
  <c r="J149" i="2"/>
  <c r="K149" i="2"/>
  <c r="L149" i="2"/>
  <c r="M149" i="2"/>
  <c r="N149" i="2"/>
  <c r="O149" i="2"/>
  <c r="P149" i="2"/>
  <c r="Q149" i="2"/>
  <c r="R149" i="2"/>
  <c r="S149" i="2"/>
  <c r="T149" i="2"/>
  <c r="U149" i="2"/>
  <c r="V149" i="2"/>
  <c r="W149" i="2"/>
  <c r="X149" i="2"/>
  <c r="Y149" i="2"/>
  <c r="Z149" i="2"/>
  <c r="AA149" i="2"/>
  <c r="AB149" i="2"/>
  <c r="AC149" i="2"/>
  <c r="AD149" i="2"/>
  <c r="AE149" i="2"/>
  <c r="AF149" i="2"/>
  <c r="AG149" i="2"/>
  <c r="AH149" i="2"/>
  <c r="AI149" i="2"/>
  <c r="AJ149" i="2"/>
  <c r="AK149" i="2"/>
  <c r="AL149" i="2"/>
  <c r="AM149" i="2"/>
  <c r="AN149" i="2"/>
  <c r="AO149" i="2"/>
  <c r="AP149" i="2"/>
  <c r="AQ149" i="2"/>
  <c r="AR149" i="2"/>
  <c r="AS149" i="2"/>
  <c r="AT149" i="2"/>
  <c r="AU149" i="2"/>
  <c r="AV149" i="2"/>
  <c r="AW149" i="2"/>
  <c r="AX149" i="2"/>
  <c r="AY149" i="2"/>
  <c r="E150" i="2"/>
  <c r="F150" i="2"/>
  <c r="G150" i="2"/>
  <c r="H150" i="2"/>
  <c r="I150" i="2"/>
  <c r="J150" i="2"/>
  <c r="K150" i="2"/>
  <c r="L150" i="2"/>
  <c r="M150" i="2"/>
  <c r="N150" i="2"/>
  <c r="O150" i="2"/>
  <c r="P150" i="2"/>
  <c r="Q150" i="2"/>
  <c r="R150" i="2"/>
  <c r="S150" i="2"/>
  <c r="T150" i="2"/>
  <c r="U150" i="2"/>
  <c r="V150" i="2"/>
  <c r="W150" i="2"/>
  <c r="X150" i="2"/>
  <c r="Y150" i="2"/>
  <c r="Z150" i="2"/>
  <c r="AA150" i="2"/>
  <c r="AB150" i="2"/>
  <c r="AC150" i="2"/>
  <c r="AD150" i="2"/>
  <c r="AE150" i="2"/>
  <c r="AF150" i="2"/>
  <c r="AG150" i="2"/>
  <c r="AH150" i="2"/>
  <c r="AI150" i="2"/>
  <c r="AJ150" i="2"/>
  <c r="AK150" i="2"/>
  <c r="AL150" i="2"/>
  <c r="AM150" i="2"/>
  <c r="AN150" i="2"/>
  <c r="AO150" i="2"/>
  <c r="AP150" i="2"/>
  <c r="AQ150" i="2"/>
  <c r="AR150" i="2"/>
  <c r="AS150" i="2"/>
  <c r="AT150" i="2"/>
  <c r="AU150" i="2"/>
  <c r="AV150" i="2"/>
  <c r="AW150" i="2"/>
  <c r="AX150" i="2"/>
  <c r="AY150" i="2"/>
  <c r="E151" i="2"/>
  <c r="F151" i="2"/>
  <c r="G151" i="2"/>
  <c r="H151" i="2"/>
  <c r="I151" i="2"/>
  <c r="J151" i="2"/>
  <c r="K151" i="2"/>
  <c r="L151" i="2"/>
  <c r="M151" i="2"/>
  <c r="N151" i="2"/>
  <c r="O151" i="2"/>
  <c r="P151" i="2"/>
  <c r="Q151" i="2"/>
  <c r="R151" i="2"/>
  <c r="S151" i="2"/>
  <c r="T151" i="2"/>
  <c r="U151" i="2"/>
  <c r="V151" i="2"/>
  <c r="W151" i="2"/>
  <c r="X151" i="2"/>
  <c r="Y151" i="2"/>
  <c r="Z151" i="2"/>
  <c r="AA151" i="2"/>
  <c r="AB151" i="2"/>
  <c r="AC151" i="2"/>
  <c r="AD151" i="2"/>
  <c r="AE151" i="2"/>
  <c r="AF151" i="2"/>
  <c r="AG151" i="2"/>
  <c r="AH151" i="2"/>
  <c r="AI151" i="2"/>
  <c r="AJ151" i="2"/>
  <c r="AK151" i="2"/>
  <c r="AL151" i="2"/>
  <c r="AM151" i="2"/>
  <c r="AN151" i="2"/>
  <c r="AO151" i="2"/>
  <c r="AP151" i="2"/>
  <c r="AQ151" i="2"/>
  <c r="AR151" i="2"/>
  <c r="AS151" i="2"/>
  <c r="AT151" i="2"/>
  <c r="AU151" i="2"/>
  <c r="AV151" i="2"/>
  <c r="AW151" i="2"/>
  <c r="AX151" i="2"/>
  <c r="AY151" i="2"/>
  <c r="E152" i="2"/>
  <c r="F152" i="2"/>
  <c r="G152" i="2"/>
  <c r="H152" i="2"/>
  <c r="I152" i="2"/>
  <c r="J152" i="2"/>
  <c r="K152" i="2"/>
  <c r="L152" i="2"/>
  <c r="M152" i="2"/>
  <c r="N152" i="2"/>
  <c r="O152" i="2"/>
  <c r="P152" i="2"/>
  <c r="Q152" i="2"/>
  <c r="R152" i="2"/>
  <c r="S152" i="2"/>
  <c r="T152" i="2"/>
  <c r="U152" i="2"/>
  <c r="V152" i="2"/>
  <c r="W152" i="2"/>
  <c r="X152" i="2"/>
  <c r="Y152" i="2"/>
  <c r="Z152" i="2"/>
  <c r="AA152" i="2"/>
  <c r="AB152" i="2"/>
  <c r="AC152" i="2"/>
  <c r="AD152" i="2"/>
  <c r="AE152" i="2"/>
  <c r="AF152" i="2"/>
  <c r="AG152" i="2"/>
  <c r="AH152" i="2"/>
  <c r="AI152" i="2"/>
  <c r="AJ152" i="2"/>
  <c r="AK152" i="2"/>
  <c r="AL152" i="2"/>
  <c r="AM152" i="2"/>
  <c r="AN152" i="2"/>
  <c r="AO152" i="2"/>
  <c r="AP152" i="2"/>
  <c r="AQ152" i="2"/>
  <c r="AR152" i="2"/>
  <c r="AS152" i="2"/>
  <c r="AT152" i="2"/>
  <c r="AU152" i="2"/>
  <c r="AV152" i="2"/>
  <c r="AW152" i="2"/>
  <c r="AX152" i="2"/>
  <c r="AY152" i="2"/>
  <c r="E153" i="2"/>
  <c r="F153" i="2"/>
  <c r="G153" i="2"/>
  <c r="H153" i="2"/>
  <c r="I153" i="2"/>
  <c r="J153" i="2"/>
  <c r="K153" i="2"/>
  <c r="L153" i="2"/>
  <c r="M153" i="2"/>
  <c r="N153" i="2"/>
  <c r="O153" i="2"/>
  <c r="P153" i="2"/>
  <c r="Q153" i="2"/>
  <c r="R153" i="2"/>
  <c r="S153" i="2"/>
  <c r="T153" i="2"/>
  <c r="U153" i="2"/>
  <c r="V153" i="2"/>
  <c r="W153" i="2"/>
  <c r="X153" i="2"/>
  <c r="Y153" i="2"/>
  <c r="Z153" i="2"/>
  <c r="AA153" i="2"/>
  <c r="AB153" i="2"/>
  <c r="AC153" i="2"/>
  <c r="AD153" i="2"/>
  <c r="AE153" i="2"/>
  <c r="AF153" i="2"/>
  <c r="AG153" i="2"/>
  <c r="AH153" i="2"/>
  <c r="AI153" i="2"/>
  <c r="AJ153" i="2"/>
  <c r="AK153" i="2"/>
  <c r="AL153" i="2"/>
  <c r="AM153" i="2"/>
  <c r="AN153" i="2"/>
  <c r="AO153" i="2"/>
  <c r="AP153" i="2"/>
  <c r="AQ153" i="2"/>
  <c r="AR153" i="2"/>
  <c r="AS153" i="2"/>
  <c r="AT153" i="2"/>
  <c r="AU153" i="2"/>
  <c r="AV153" i="2"/>
  <c r="AW153" i="2"/>
  <c r="AX153" i="2"/>
  <c r="AY153" i="2"/>
  <c r="E154" i="2"/>
  <c r="F154" i="2"/>
  <c r="G154" i="2"/>
  <c r="H154" i="2"/>
  <c r="I154" i="2"/>
  <c r="J154" i="2"/>
  <c r="K154" i="2"/>
  <c r="L154" i="2"/>
  <c r="M154" i="2"/>
  <c r="N154" i="2"/>
  <c r="O154" i="2"/>
  <c r="P154" i="2"/>
  <c r="Q154" i="2"/>
  <c r="R154" i="2"/>
  <c r="S154" i="2"/>
  <c r="T154" i="2"/>
  <c r="U154" i="2"/>
  <c r="V154" i="2"/>
  <c r="W154" i="2"/>
  <c r="X154" i="2"/>
  <c r="Y154" i="2"/>
  <c r="Z154" i="2"/>
  <c r="AA154" i="2"/>
  <c r="AB154" i="2"/>
  <c r="AC154" i="2"/>
  <c r="AD154" i="2"/>
  <c r="AE154" i="2"/>
  <c r="AF154" i="2"/>
  <c r="AG154" i="2"/>
  <c r="AH154" i="2"/>
  <c r="AI154" i="2"/>
  <c r="AJ154" i="2"/>
  <c r="AK154" i="2"/>
  <c r="AL154" i="2"/>
  <c r="AM154" i="2"/>
  <c r="AN154" i="2"/>
  <c r="AO154" i="2"/>
  <c r="AP154" i="2"/>
  <c r="AQ154" i="2"/>
  <c r="AR154" i="2"/>
  <c r="AS154" i="2"/>
  <c r="AT154" i="2"/>
  <c r="AU154" i="2"/>
  <c r="AV154" i="2"/>
  <c r="AW154" i="2"/>
  <c r="AX154" i="2"/>
  <c r="AY154" i="2"/>
  <c r="E155" i="2"/>
  <c r="F155" i="2"/>
  <c r="G155" i="2"/>
  <c r="H155" i="2"/>
  <c r="I155" i="2"/>
  <c r="J155" i="2"/>
  <c r="K155" i="2"/>
  <c r="L155" i="2"/>
  <c r="M155" i="2"/>
  <c r="N155" i="2"/>
  <c r="O155" i="2"/>
  <c r="P155" i="2"/>
  <c r="Q155" i="2"/>
  <c r="R155" i="2"/>
  <c r="S155" i="2"/>
  <c r="T155" i="2"/>
  <c r="U155" i="2"/>
  <c r="V155" i="2"/>
  <c r="W155" i="2"/>
  <c r="X155" i="2"/>
  <c r="Y155" i="2"/>
  <c r="Z155" i="2"/>
  <c r="AA155" i="2"/>
  <c r="AB155" i="2"/>
  <c r="AC155" i="2"/>
  <c r="AD155" i="2"/>
  <c r="AE155" i="2"/>
  <c r="AF155" i="2"/>
  <c r="AG155" i="2"/>
  <c r="AH155" i="2"/>
  <c r="AI155" i="2"/>
  <c r="AJ155" i="2"/>
  <c r="AK155" i="2"/>
  <c r="AL155" i="2"/>
  <c r="AM155" i="2"/>
  <c r="AN155" i="2"/>
  <c r="AO155" i="2"/>
  <c r="AP155" i="2"/>
  <c r="AQ155" i="2"/>
  <c r="AR155" i="2"/>
  <c r="AS155" i="2"/>
  <c r="AT155" i="2"/>
  <c r="AU155" i="2"/>
  <c r="AV155" i="2"/>
  <c r="AW155" i="2"/>
  <c r="AX155" i="2"/>
  <c r="AY155" i="2"/>
  <c r="E156" i="2"/>
  <c r="F156" i="2"/>
  <c r="G156" i="2"/>
  <c r="H156" i="2"/>
  <c r="I156" i="2"/>
  <c r="J156" i="2"/>
  <c r="K156" i="2"/>
  <c r="L156" i="2"/>
  <c r="M156" i="2"/>
  <c r="N156" i="2"/>
  <c r="O156" i="2"/>
  <c r="P156" i="2"/>
  <c r="Q156" i="2"/>
  <c r="R156" i="2"/>
  <c r="S156" i="2"/>
  <c r="T156" i="2"/>
  <c r="U156" i="2"/>
  <c r="V156" i="2"/>
  <c r="W156" i="2"/>
  <c r="X156" i="2"/>
  <c r="Y156" i="2"/>
  <c r="Z156" i="2"/>
  <c r="AA156" i="2"/>
  <c r="AB156" i="2"/>
  <c r="AC156" i="2"/>
  <c r="AD156" i="2"/>
  <c r="AE156" i="2"/>
  <c r="AF156" i="2"/>
  <c r="AG156" i="2"/>
  <c r="AH156" i="2"/>
  <c r="AI156" i="2"/>
  <c r="AJ156" i="2"/>
  <c r="AK156" i="2"/>
  <c r="AL156" i="2"/>
  <c r="AM156" i="2"/>
  <c r="AN156" i="2"/>
  <c r="AO156" i="2"/>
  <c r="AP156" i="2"/>
  <c r="AQ156" i="2"/>
  <c r="AR156" i="2"/>
  <c r="AS156" i="2"/>
  <c r="AT156" i="2"/>
  <c r="AU156" i="2"/>
  <c r="AV156" i="2"/>
  <c r="AW156" i="2"/>
  <c r="AX156" i="2"/>
  <c r="AY156" i="2"/>
  <c r="E157" i="2"/>
  <c r="F157" i="2"/>
  <c r="G157" i="2"/>
  <c r="H157" i="2"/>
  <c r="I157" i="2"/>
  <c r="J157" i="2"/>
  <c r="K157" i="2"/>
  <c r="L157" i="2"/>
  <c r="M157" i="2"/>
  <c r="N157" i="2"/>
  <c r="O157" i="2"/>
  <c r="P157" i="2"/>
  <c r="Q157" i="2"/>
  <c r="R157" i="2"/>
  <c r="S157" i="2"/>
  <c r="T157" i="2"/>
  <c r="U157" i="2"/>
  <c r="V157" i="2"/>
  <c r="W157" i="2"/>
  <c r="X157" i="2"/>
  <c r="Y157" i="2"/>
  <c r="Z157" i="2"/>
  <c r="AA157" i="2"/>
  <c r="AB157" i="2"/>
  <c r="AC157" i="2"/>
  <c r="AD157" i="2"/>
  <c r="AE157" i="2"/>
  <c r="AF157" i="2"/>
  <c r="AG157" i="2"/>
  <c r="AH157" i="2"/>
  <c r="AI157" i="2"/>
  <c r="AJ157" i="2"/>
  <c r="AK157" i="2"/>
  <c r="AL157" i="2"/>
  <c r="AM157" i="2"/>
  <c r="AN157" i="2"/>
  <c r="AO157" i="2"/>
  <c r="AP157" i="2"/>
  <c r="AQ157" i="2"/>
  <c r="AR157" i="2"/>
  <c r="AS157" i="2"/>
  <c r="AT157" i="2"/>
  <c r="AU157" i="2"/>
  <c r="AV157" i="2"/>
  <c r="AW157" i="2"/>
  <c r="AX157" i="2"/>
  <c r="AY157" i="2"/>
  <c r="E158" i="2"/>
  <c r="F158" i="2"/>
  <c r="G158"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AM158" i="2"/>
  <c r="AN158" i="2"/>
  <c r="AO158" i="2"/>
  <c r="AP158" i="2"/>
  <c r="AQ158" i="2"/>
  <c r="AR158" i="2"/>
  <c r="AS158" i="2"/>
  <c r="AT158" i="2"/>
  <c r="AU158" i="2"/>
  <c r="AV158" i="2"/>
  <c r="AW158" i="2"/>
  <c r="AX158" i="2"/>
  <c r="AY158" i="2"/>
  <c r="E159" i="2"/>
  <c r="F159" i="2"/>
  <c r="G159"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AM159" i="2"/>
  <c r="AN159" i="2"/>
  <c r="AO159" i="2"/>
  <c r="AP159" i="2"/>
  <c r="AQ159" i="2"/>
  <c r="AR159" i="2"/>
  <c r="AS159" i="2"/>
  <c r="AT159" i="2"/>
  <c r="AU159" i="2"/>
  <c r="AV159" i="2"/>
  <c r="AW159" i="2"/>
  <c r="AX159" i="2"/>
  <c r="AY159" i="2"/>
  <c r="E160" i="2"/>
  <c r="F160" i="2"/>
  <c r="G160" i="2"/>
  <c r="H160" i="2"/>
  <c r="I160" i="2"/>
  <c r="J160" i="2"/>
  <c r="K160" i="2"/>
  <c r="L160" i="2"/>
  <c r="M160" i="2"/>
  <c r="N160" i="2"/>
  <c r="O160" i="2"/>
  <c r="P160" i="2"/>
  <c r="Q160" i="2"/>
  <c r="R160" i="2"/>
  <c r="S160" i="2"/>
  <c r="T160" i="2"/>
  <c r="U160" i="2"/>
  <c r="V160" i="2"/>
  <c r="W160" i="2"/>
  <c r="X160" i="2"/>
  <c r="Y160" i="2"/>
  <c r="Z160" i="2"/>
  <c r="AA160" i="2"/>
  <c r="AB160" i="2"/>
  <c r="AC160" i="2"/>
  <c r="AD160" i="2"/>
  <c r="AE160" i="2"/>
  <c r="AF160" i="2"/>
  <c r="AG160" i="2"/>
  <c r="AH160" i="2"/>
  <c r="AI160" i="2"/>
  <c r="AJ160" i="2"/>
  <c r="AK160" i="2"/>
  <c r="AL160" i="2"/>
  <c r="AM160" i="2"/>
  <c r="AN160" i="2"/>
  <c r="AO160" i="2"/>
  <c r="AP160" i="2"/>
  <c r="AQ160" i="2"/>
  <c r="AR160" i="2"/>
  <c r="AS160" i="2"/>
  <c r="AT160" i="2"/>
  <c r="AU160" i="2"/>
  <c r="AV160" i="2"/>
  <c r="AW160" i="2"/>
  <c r="AX160" i="2"/>
  <c r="AY160" i="2"/>
  <c r="E161" i="2"/>
  <c r="F161" i="2"/>
  <c r="G161" i="2"/>
  <c r="H161" i="2"/>
  <c r="I161" i="2"/>
  <c r="J161" i="2"/>
  <c r="K161" i="2"/>
  <c r="L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AM161" i="2"/>
  <c r="AN161" i="2"/>
  <c r="AO161" i="2"/>
  <c r="AP161" i="2"/>
  <c r="AQ161" i="2"/>
  <c r="AR161" i="2"/>
  <c r="AS161" i="2"/>
  <c r="AT161" i="2"/>
  <c r="AU161" i="2"/>
  <c r="AV161" i="2"/>
  <c r="AW161" i="2"/>
  <c r="AX161" i="2"/>
  <c r="AY161" i="2"/>
  <c r="E162" i="2"/>
  <c r="F162" i="2"/>
  <c r="G162" i="2"/>
  <c r="H162" i="2"/>
  <c r="I162" i="2"/>
  <c r="J162" i="2"/>
  <c r="K162" i="2"/>
  <c r="L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AM162" i="2"/>
  <c r="AN162" i="2"/>
  <c r="AO162" i="2"/>
  <c r="AP162" i="2"/>
  <c r="AQ162" i="2"/>
  <c r="AR162" i="2"/>
  <c r="AS162" i="2"/>
  <c r="AT162" i="2"/>
  <c r="AU162" i="2"/>
  <c r="AV162" i="2"/>
  <c r="AW162" i="2"/>
  <c r="AX162" i="2"/>
  <c r="AY162" i="2"/>
  <c r="E163" i="2"/>
  <c r="F163" i="2"/>
  <c r="G163" i="2"/>
  <c r="H163" i="2"/>
  <c r="I163" i="2"/>
  <c r="J163" i="2"/>
  <c r="K163" i="2"/>
  <c r="L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AM163" i="2"/>
  <c r="AN163" i="2"/>
  <c r="AO163" i="2"/>
  <c r="AP163" i="2"/>
  <c r="AQ163" i="2"/>
  <c r="AR163" i="2"/>
  <c r="AS163" i="2"/>
  <c r="AT163" i="2"/>
  <c r="AU163" i="2"/>
  <c r="AV163" i="2"/>
  <c r="AW163" i="2"/>
  <c r="AX163" i="2"/>
  <c r="AY163" i="2"/>
  <c r="E164" i="2"/>
  <c r="F164" i="2"/>
  <c r="G164" i="2"/>
  <c r="H164" i="2"/>
  <c r="I164" i="2"/>
  <c r="J164" i="2"/>
  <c r="K164" i="2"/>
  <c r="L164" i="2"/>
  <c r="M164" i="2"/>
  <c r="N164" i="2"/>
  <c r="O164" i="2"/>
  <c r="P164" i="2"/>
  <c r="Q164" i="2"/>
  <c r="R164" i="2"/>
  <c r="S164" i="2"/>
  <c r="T164" i="2"/>
  <c r="U164" i="2"/>
  <c r="V164" i="2"/>
  <c r="W164" i="2"/>
  <c r="X164" i="2"/>
  <c r="Y164" i="2"/>
  <c r="Z164" i="2"/>
  <c r="AA164" i="2"/>
  <c r="AB164" i="2"/>
  <c r="AC164" i="2"/>
  <c r="AD164" i="2"/>
  <c r="AE164" i="2"/>
  <c r="AF164" i="2"/>
  <c r="AG164" i="2"/>
  <c r="AH164" i="2"/>
  <c r="AI164" i="2"/>
  <c r="AJ164" i="2"/>
  <c r="AK164" i="2"/>
  <c r="AL164" i="2"/>
  <c r="AM164" i="2"/>
  <c r="AN164" i="2"/>
  <c r="AO164" i="2"/>
  <c r="AP164" i="2"/>
  <c r="AQ164" i="2"/>
  <c r="AR164" i="2"/>
  <c r="AS164" i="2"/>
  <c r="AT164" i="2"/>
  <c r="AU164" i="2"/>
  <c r="AV164" i="2"/>
  <c r="AW164" i="2"/>
  <c r="AX164" i="2"/>
  <c r="AY164" i="2"/>
  <c r="E165" i="2"/>
  <c r="F165" i="2"/>
  <c r="G165" i="2"/>
  <c r="H165" i="2"/>
  <c r="I165" i="2"/>
  <c r="J165" i="2"/>
  <c r="K165" i="2"/>
  <c r="L165" i="2"/>
  <c r="M165" i="2"/>
  <c r="N165" i="2"/>
  <c r="O165" i="2"/>
  <c r="P165" i="2"/>
  <c r="Q165" i="2"/>
  <c r="R165" i="2"/>
  <c r="S165" i="2"/>
  <c r="T165" i="2"/>
  <c r="U165" i="2"/>
  <c r="V165" i="2"/>
  <c r="W165" i="2"/>
  <c r="X165" i="2"/>
  <c r="Y165" i="2"/>
  <c r="Z165" i="2"/>
  <c r="AA165" i="2"/>
  <c r="AB165" i="2"/>
  <c r="AC165" i="2"/>
  <c r="AD165" i="2"/>
  <c r="AE165" i="2"/>
  <c r="AF165" i="2"/>
  <c r="AG165" i="2"/>
  <c r="AH165" i="2"/>
  <c r="AI165" i="2"/>
  <c r="AJ165" i="2"/>
  <c r="AK165" i="2"/>
  <c r="AL165" i="2"/>
  <c r="AM165" i="2"/>
  <c r="AN165" i="2"/>
  <c r="AO165" i="2"/>
  <c r="AP165" i="2"/>
  <c r="AQ165" i="2"/>
  <c r="AR165" i="2"/>
  <c r="AS165" i="2"/>
  <c r="AT165" i="2"/>
  <c r="AU165" i="2"/>
  <c r="AV165" i="2"/>
  <c r="AW165" i="2"/>
  <c r="AX165" i="2"/>
  <c r="AY165" i="2"/>
  <c r="E166" i="2"/>
  <c r="F166" i="2"/>
  <c r="G166" i="2"/>
  <c r="H166" i="2"/>
  <c r="I166" i="2"/>
  <c r="J166" i="2"/>
  <c r="K166" i="2"/>
  <c r="L166" i="2"/>
  <c r="M166" i="2"/>
  <c r="N166" i="2"/>
  <c r="O166" i="2"/>
  <c r="P166" i="2"/>
  <c r="Q166" i="2"/>
  <c r="R166" i="2"/>
  <c r="S166" i="2"/>
  <c r="T166" i="2"/>
  <c r="U166" i="2"/>
  <c r="V166" i="2"/>
  <c r="W166" i="2"/>
  <c r="X166" i="2"/>
  <c r="Y166" i="2"/>
  <c r="Z166" i="2"/>
  <c r="AA166" i="2"/>
  <c r="AB166" i="2"/>
  <c r="AC166" i="2"/>
  <c r="AD166" i="2"/>
  <c r="AE166" i="2"/>
  <c r="AF166" i="2"/>
  <c r="AG166" i="2"/>
  <c r="AH166" i="2"/>
  <c r="AI166" i="2"/>
  <c r="AJ166" i="2"/>
  <c r="AK166" i="2"/>
  <c r="AL166" i="2"/>
  <c r="AM166" i="2"/>
  <c r="AN166" i="2"/>
  <c r="AO166" i="2"/>
  <c r="AP166" i="2"/>
  <c r="AQ166" i="2"/>
  <c r="AR166" i="2"/>
  <c r="AS166" i="2"/>
  <c r="AT166" i="2"/>
  <c r="AU166" i="2"/>
  <c r="AV166" i="2"/>
  <c r="AW166" i="2"/>
  <c r="AX166" i="2"/>
  <c r="AY166" i="2"/>
  <c r="E167" i="2"/>
  <c r="F167" i="2"/>
  <c r="G167" i="2"/>
  <c r="H167" i="2"/>
  <c r="I167" i="2"/>
  <c r="J167" i="2"/>
  <c r="K167" i="2"/>
  <c r="L167" i="2"/>
  <c r="M167" i="2"/>
  <c r="N167" i="2"/>
  <c r="O167" i="2"/>
  <c r="P167" i="2"/>
  <c r="Q167" i="2"/>
  <c r="R167" i="2"/>
  <c r="S167" i="2"/>
  <c r="T167" i="2"/>
  <c r="U167" i="2"/>
  <c r="V167" i="2"/>
  <c r="W167" i="2"/>
  <c r="X167" i="2"/>
  <c r="Y167" i="2"/>
  <c r="Z167" i="2"/>
  <c r="AA167" i="2"/>
  <c r="AB167" i="2"/>
  <c r="AC167" i="2"/>
  <c r="AD167" i="2"/>
  <c r="AE167" i="2"/>
  <c r="AF167" i="2"/>
  <c r="AG167" i="2"/>
  <c r="AH167" i="2"/>
  <c r="AI167" i="2"/>
  <c r="AJ167" i="2"/>
  <c r="AK167" i="2"/>
  <c r="AL167" i="2"/>
  <c r="AM167" i="2"/>
  <c r="AN167" i="2"/>
  <c r="AO167" i="2"/>
  <c r="AP167" i="2"/>
  <c r="AQ167" i="2"/>
  <c r="AR167" i="2"/>
  <c r="AS167" i="2"/>
  <c r="AT167" i="2"/>
  <c r="AU167" i="2"/>
  <c r="AV167" i="2"/>
  <c r="AW167" i="2"/>
  <c r="AX167" i="2"/>
  <c r="AY167" i="2"/>
  <c r="E168" i="2"/>
  <c r="F168" i="2"/>
  <c r="G168" i="2"/>
  <c r="H168" i="2"/>
  <c r="I168" i="2"/>
  <c r="J168" i="2"/>
  <c r="K168" i="2"/>
  <c r="L168" i="2"/>
  <c r="M168" i="2"/>
  <c r="N168" i="2"/>
  <c r="O168" i="2"/>
  <c r="P168" i="2"/>
  <c r="Q168" i="2"/>
  <c r="R168" i="2"/>
  <c r="S168" i="2"/>
  <c r="T168" i="2"/>
  <c r="U168" i="2"/>
  <c r="V168" i="2"/>
  <c r="W168" i="2"/>
  <c r="X168" i="2"/>
  <c r="Y168" i="2"/>
  <c r="Z168" i="2"/>
  <c r="AA168" i="2"/>
  <c r="AB168" i="2"/>
  <c r="AC168" i="2"/>
  <c r="AD168" i="2"/>
  <c r="AE168" i="2"/>
  <c r="AF168" i="2"/>
  <c r="AG168" i="2"/>
  <c r="AH168" i="2"/>
  <c r="AI168" i="2"/>
  <c r="AJ168" i="2"/>
  <c r="AK168" i="2"/>
  <c r="AL168" i="2"/>
  <c r="AM168" i="2"/>
  <c r="AN168" i="2"/>
  <c r="AO168" i="2"/>
  <c r="AP168" i="2"/>
  <c r="AQ168" i="2"/>
  <c r="AR168" i="2"/>
  <c r="AS168" i="2"/>
  <c r="AT168" i="2"/>
  <c r="AU168" i="2"/>
  <c r="AV168" i="2"/>
  <c r="AW168" i="2"/>
  <c r="AX168" i="2"/>
  <c r="AY168" i="2"/>
  <c r="E169" i="2"/>
  <c r="F169" i="2"/>
  <c r="G169" i="2"/>
  <c r="H169" i="2"/>
  <c r="I169" i="2"/>
  <c r="J169" i="2"/>
  <c r="K169" i="2"/>
  <c r="L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AM169" i="2"/>
  <c r="AN169" i="2"/>
  <c r="AO169" i="2"/>
  <c r="AP169" i="2"/>
  <c r="AQ169" i="2"/>
  <c r="AR169" i="2"/>
  <c r="AS169" i="2"/>
  <c r="AT169" i="2"/>
  <c r="AU169" i="2"/>
  <c r="AV169" i="2"/>
  <c r="AW169" i="2"/>
  <c r="AX169" i="2"/>
  <c r="AY169" i="2"/>
  <c r="E170" i="2"/>
  <c r="F170" i="2"/>
  <c r="G170" i="2"/>
  <c r="H170" i="2"/>
  <c r="I170" i="2"/>
  <c r="J170" i="2"/>
  <c r="K170" i="2"/>
  <c r="L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AM170" i="2"/>
  <c r="AN170" i="2"/>
  <c r="AO170" i="2"/>
  <c r="AP170" i="2"/>
  <c r="AQ170" i="2"/>
  <c r="AR170" i="2"/>
  <c r="AS170" i="2"/>
  <c r="AT170" i="2"/>
  <c r="AU170" i="2"/>
  <c r="AV170" i="2"/>
  <c r="AW170" i="2"/>
  <c r="AX170" i="2"/>
  <c r="AY170" i="2"/>
  <c r="E171" i="2"/>
  <c r="F171" i="2"/>
  <c r="G171" i="2"/>
  <c r="H171" i="2"/>
  <c r="I171" i="2"/>
  <c r="J171" i="2"/>
  <c r="K171" i="2"/>
  <c r="L171" i="2"/>
  <c r="M171" i="2"/>
  <c r="N171" i="2"/>
  <c r="O171" i="2"/>
  <c r="P171" i="2"/>
  <c r="Q171" i="2"/>
  <c r="R171" i="2"/>
  <c r="S171" i="2"/>
  <c r="T171" i="2"/>
  <c r="U171" i="2"/>
  <c r="V171" i="2"/>
  <c r="W171" i="2"/>
  <c r="X171" i="2"/>
  <c r="Y171" i="2"/>
  <c r="Z171" i="2"/>
  <c r="AA171" i="2"/>
  <c r="AB171" i="2"/>
  <c r="AC171" i="2"/>
  <c r="AD171" i="2"/>
  <c r="AE171" i="2"/>
  <c r="AF171" i="2"/>
  <c r="AG171" i="2"/>
  <c r="AH171" i="2"/>
  <c r="AI171" i="2"/>
  <c r="AJ171" i="2"/>
  <c r="AK171" i="2"/>
  <c r="AL171" i="2"/>
  <c r="AM171" i="2"/>
  <c r="AN171" i="2"/>
  <c r="AO171" i="2"/>
  <c r="AP171" i="2"/>
  <c r="AQ171" i="2"/>
  <c r="AR171" i="2"/>
  <c r="AS171" i="2"/>
  <c r="AT171" i="2"/>
  <c r="AU171" i="2"/>
  <c r="AV171" i="2"/>
  <c r="AW171" i="2"/>
  <c r="AX171" i="2"/>
  <c r="AY171" i="2"/>
  <c r="E172" i="2"/>
  <c r="F172" i="2"/>
  <c r="G172" i="2"/>
  <c r="H172" i="2"/>
  <c r="I172" i="2"/>
  <c r="J172" i="2"/>
  <c r="K172" i="2"/>
  <c r="L172" i="2"/>
  <c r="M172" i="2"/>
  <c r="N172" i="2"/>
  <c r="O172" i="2"/>
  <c r="P172" i="2"/>
  <c r="Q172" i="2"/>
  <c r="R172" i="2"/>
  <c r="S172" i="2"/>
  <c r="T172" i="2"/>
  <c r="U172" i="2"/>
  <c r="V172" i="2"/>
  <c r="W172" i="2"/>
  <c r="X172" i="2"/>
  <c r="Y172" i="2"/>
  <c r="Z172" i="2"/>
  <c r="AA172" i="2"/>
  <c r="AB172" i="2"/>
  <c r="AC172" i="2"/>
  <c r="AD172" i="2"/>
  <c r="AE172" i="2"/>
  <c r="AF172" i="2"/>
  <c r="AG172" i="2"/>
  <c r="AH172" i="2"/>
  <c r="AI172" i="2"/>
  <c r="AJ172" i="2"/>
  <c r="AK172" i="2"/>
  <c r="AL172" i="2"/>
  <c r="AM172" i="2"/>
  <c r="AN172" i="2"/>
  <c r="AO172" i="2"/>
  <c r="AP172" i="2"/>
  <c r="AQ172" i="2"/>
  <c r="AR172" i="2"/>
  <c r="AS172" i="2"/>
  <c r="AT172" i="2"/>
  <c r="AU172" i="2"/>
  <c r="AV172" i="2"/>
  <c r="AW172" i="2"/>
  <c r="AX172" i="2"/>
  <c r="AY172" i="2"/>
  <c r="E173" i="2"/>
  <c r="F173" i="2"/>
  <c r="G173" i="2"/>
  <c r="H173" i="2"/>
  <c r="I173" i="2"/>
  <c r="J173" i="2"/>
  <c r="K173" i="2"/>
  <c r="L173" i="2"/>
  <c r="M173" i="2"/>
  <c r="N173" i="2"/>
  <c r="O173" i="2"/>
  <c r="P173" i="2"/>
  <c r="Q173" i="2"/>
  <c r="R173" i="2"/>
  <c r="S173" i="2"/>
  <c r="T173" i="2"/>
  <c r="U173" i="2"/>
  <c r="V173" i="2"/>
  <c r="W173" i="2"/>
  <c r="X173" i="2"/>
  <c r="Y173" i="2"/>
  <c r="Z173" i="2"/>
  <c r="AA173" i="2"/>
  <c r="AB173" i="2"/>
  <c r="AC173" i="2"/>
  <c r="AD173" i="2"/>
  <c r="AE173" i="2"/>
  <c r="AF173" i="2"/>
  <c r="AG173" i="2"/>
  <c r="AH173" i="2"/>
  <c r="AI173" i="2"/>
  <c r="AJ173" i="2"/>
  <c r="AK173" i="2"/>
  <c r="AL173" i="2"/>
  <c r="AM173" i="2"/>
  <c r="AN173" i="2"/>
  <c r="AO173" i="2"/>
  <c r="AP173" i="2"/>
  <c r="AQ173" i="2"/>
  <c r="AR173" i="2"/>
  <c r="AS173" i="2"/>
  <c r="AT173" i="2"/>
  <c r="AU173" i="2"/>
  <c r="AV173" i="2"/>
  <c r="AW173" i="2"/>
  <c r="AX173" i="2"/>
  <c r="AY173" i="2"/>
  <c r="E177" i="2"/>
  <c r="F177" i="2"/>
  <c r="G177" i="2"/>
  <c r="H177" i="2"/>
  <c r="I177" i="2"/>
  <c r="J177" i="2"/>
  <c r="K177" i="2"/>
  <c r="L177" i="2"/>
  <c r="M177" i="2"/>
  <c r="N177" i="2"/>
  <c r="O177" i="2"/>
  <c r="P177" i="2"/>
  <c r="Q177" i="2"/>
  <c r="R177" i="2"/>
  <c r="S177" i="2"/>
  <c r="T177" i="2"/>
  <c r="U177" i="2"/>
  <c r="V177" i="2"/>
  <c r="W177" i="2"/>
  <c r="X177" i="2"/>
  <c r="Y177" i="2"/>
  <c r="Z177" i="2"/>
  <c r="AA177" i="2"/>
  <c r="AB177" i="2"/>
  <c r="AC177" i="2"/>
  <c r="AD177" i="2"/>
  <c r="AE177" i="2"/>
  <c r="AF177" i="2"/>
  <c r="AG177" i="2"/>
  <c r="AH177" i="2"/>
  <c r="AI177" i="2"/>
  <c r="AJ177" i="2"/>
  <c r="AK177" i="2"/>
  <c r="AL177" i="2"/>
  <c r="AM177" i="2"/>
  <c r="AN177" i="2"/>
  <c r="AO177" i="2"/>
  <c r="AP177" i="2"/>
  <c r="AQ177" i="2"/>
  <c r="AR177" i="2"/>
  <c r="AS177" i="2"/>
  <c r="AT177" i="2"/>
  <c r="AU177" i="2"/>
  <c r="AV177" i="2"/>
  <c r="AW177" i="2"/>
  <c r="AX177" i="2"/>
  <c r="AY177" i="2"/>
  <c r="E178" i="2"/>
  <c r="F178" i="2"/>
  <c r="G178" i="2"/>
  <c r="H178" i="2"/>
  <c r="I178" i="2"/>
  <c r="J178" i="2"/>
  <c r="K178" i="2"/>
  <c r="L178" i="2"/>
  <c r="M178" i="2"/>
  <c r="N178" i="2"/>
  <c r="O178" i="2"/>
  <c r="P178" i="2"/>
  <c r="Q178" i="2"/>
  <c r="R178" i="2"/>
  <c r="S178" i="2"/>
  <c r="T178" i="2"/>
  <c r="U178" i="2"/>
  <c r="V178" i="2"/>
  <c r="W178" i="2"/>
  <c r="X178" i="2"/>
  <c r="Y178" i="2"/>
  <c r="Z178" i="2"/>
  <c r="AA178" i="2"/>
  <c r="AB178" i="2"/>
  <c r="AC178" i="2"/>
  <c r="AD178" i="2"/>
  <c r="AE178" i="2"/>
  <c r="AF178" i="2"/>
  <c r="AG178" i="2"/>
  <c r="AH178" i="2"/>
  <c r="AI178" i="2"/>
  <c r="AJ178" i="2"/>
  <c r="AK178" i="2"/>
  <c r="AL178" i="2"/>
  <c r="AM178" i="2"/>
  <c r="AN178" i="2"/>
  <c r="AO178" i="2"/>
  <c r="AP178" i="2"/>
  <c r="AQ178" i="2"/>
  <c r="AR178" i="2"/>
  <c r="AS178" i="2"/>
  <c r="AT178" i="2"/>
  <c r="AU178" i="2"/>
  <c r="AV178" i="2"/>
  <c r="AW178" i="2"/>
  <c r="AX178" i="2"/>
  <c r="AY178" i="2"/>
  <c r="E179" i="2"/>
  <c r="F179" i="2"/>
  <c r="G179" i="2"/>
  <c r="H179" i="2"/>
  <c r="I179" i="2"/>
  <c r="J179" i="2"/>
  <c r="K179" i="2"/>
  <c r="L179" i="2"/>
  <c r="M179" i="2"/>
  <c r="N179" i="2"/>
  <c r="O179" i="2"/>
  <c r="P179" i="2"/>
  <c r="Q179" i="2"/>
  <c r="R179" i="2"/>
  <c r="S179" i="2"/>
  <c r="T179" i="2"/>
  <c r="U179" i="2"/>
  <c r="V179" i="2"/>
  <c r="W179" i="2"/>
  <c r="X179" i="2"/>
  <c r="Y179" i="2"/>
  <c r="Z179" i="2"/>
  <c r="AA179" i="2"/>
  <c r="AB179" i="2"/>
  <c r="AC179" i="2"/>
  <c r="AD179" i="2"/>
  <c r="AE179" i="2"/>
  <c r="AF179" i="2"/>
  <c r="AG179" i="2"/>
  <c r="AH179" i="2"/>
  <c r="AI179" i="2"/>
  <c r="AJ179" i="2"/>
  <c r="AK179" i="2"/>
  <c r="AL179" i="2"/>
  <c r="AM179" i="2"/>
  <c r="AN179" i="2"/>
  <c r="AO179" i="2"/>
  <c r="AP179" i="2"/>
  <c r="AQ179" i="2"/>
  <c r="AR179" i="2"/>
  <c r="AS179" i="2"/>
  <c r="AT179" i="2"/>
  <c r="AU179" i="2"/>
  <c r="AV179" i="2"/>
  <c r="AW179" i="2"/>
  <c r="AX179" i="2"/>
  <c r="AY179" i="2"/>
  <c r="E180" i="2"/>
  <c r="F180" i="2"/>
  <c r="G180" i="2"/>
  <c r="H180" i="2"/>
  <c r="I180" i="2"/>
  <c r="J180" i="2"/>
  <c r="K180" i="2"/>
  <c r="L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AM180" i="2"/>
  <c r="AN180" i="2"/>
  <c r="AO180" i="2"/>
  <c r="AP180" i="2"/>
  <c r="AQ180" i="2"/>
  <c r="AR180" i="2"/>
  <c r="AS180" i="2"/>
  <c r="AT180" i="2"/>
  <c r="AU180" i="2"/>
  <c r="AV180" i="2"/>
  <c r="AW180" i="2"/>
  <c r="AX180" i="2"/>
  <c r="AY180" i="2"/>
  <c r="E181" i="2"/>
  <c r="F181" i="2"/>
  <c r="G181" i="2"/>
  <c r="H181" i="2"/>
  <c r="I181" i="2"/>
  <c r="J181" i="2"/>
  <c r="K181" i="2"/>
  <c r="L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AM181" i="2"/>
  <c r="AN181" i="2"/>
  <c r="AO181" i="2"/>
  <c r="AP181" i="2"/>
  <c r="AQ181" i="2"/>
  <c r="AR181" i="2"/>
  <c r="AS181" i="2"/>
  <c r="AT181" i="2"/>
  <c r="AU181" i="2"/>
  <c r="AV181" i="2"/>
  <c r="AW181" i="2"/>
  <c r="AX181" i="2"/>
  <c r="AY181" i="2"/>
  <c r="E182" i="2"/>
  <c r="F182" i="2"/>
  <c r="G182" i="2"/>
  <c r="H182" i="2"/>
  <c r="I182" i="2"/>
  <c r="J182" i="2"/>
  <c r="K182" i="2"/>
  <c r="L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AM182" i="2"/>
  <c r="AN182" i="2"/>
  <c r="AO182" i="2"/>
  <c r="AP182" i="2"/>
  <c r="AQ182" i="2"/>
  <c r="AR182" i="2"/>
  <c r="AS182" i="2"/>
  <c r="AT182" i="2"/>
  <c r="AU182" i="2"/>
  <c r="AV182" i="2"/>
  <c r="AW182" i="2"/>
  <c r="AX182" i="2"/>
  <c r="AY182" i="2"/>
  <c r="E183" i="2"/>
  <c r="F183" i="2"/>
  <c r="G183" i="2"/>
  <c r="H183" i="2"/>
  <c r="I183" i="2"/>
  <c r="J183" i="2"/>
  <c r="K183" i="2"/>
  <c r="L183" i="2"/>
  <c r="M183" i="2"/>
  <c r="N183" i="2"/>
  <c r="O183" i="2"/>
  <c r="P183" i="2"/>
  <c r="Q183" i="2"/>
  <c r="R183" i="2"/>
  <c r="S183" i="2"/>
  <c r="T183" i="2"/>
  <c r="U183" i="2"/>
  <c r="V183" i="2"/>
  <c r="W183" i="2"/>
  <c r="X183" i="2"/>
  <c r="Y183" i="2"/>
  <c r="Z183" i="2"/>
  <c r="AA183" i="2"/>
  <c r="AB183" i="2"/>
  <c r="AC183" i="2"/>
  <c r="AD183" i="2"/>
  <c r="AE183" i="2"/>
  <c r="AF183" i="2"/>
  <c r="AG183" i="2"/>
  <c r="AH183" i="2"/>
  <c r="AI183" i="2"/>
  <c r="AJ183" i="2"/>
  <c r="AK183" i="2"/>
  <c r="AL183" i="2"/>
  <c r="AM183" i="2"/>
  <c r="AN183" i="2"/>
  <c r="AO183" i="2"/>
  <c r="AP183" i="2"/>
  <c r="AQ183" i="2"/>
  <c r="AR183" i="2"/>
  <c r="AS183" i="2"/>
  <c r="AT183" i="2"/>
  <c r="AU183" i="2"/>
  <c r="AV183" i="2"/>
  <c r="AW183" i="2"/>
  <c r="AX183" i="2"/>
  <c r="AY183" i="2"/>
  <c r="E184" i="2"/>
  <c r="F184" i="2"/>
  <c r="G184" i="2"/>
  <c r="H184" i="2"/>
  <c r="I184" i="2"/>
  <c r="J184" i="2"/>
  <c r="K184" i="2"/>
  <c r="L184" i="2"/>
  <c r="M184" i="2"/>
  <c r="N184" i="2"/>
  <c r="O184" i="2"/>
  <c r="P184" i="2"/>
  <c r="Q184" i="2"/>
  <c r="R184" i="2"/>
  <c r="S184" i="2"/>
  <c r="T184" i="2"/>
  <c r="U184" i="2"/>
  <c r="V184" i="2"/>
  <c r="W184" i="2"/>
  <c r="X184" i="2"/>
  <c r="Y184" i="2"/>
  <c r="Z184" i="2"/>
  <c r="AA184" i="2"/>
  <c r="AB184" i="2"/>
  <c r="AC184" i="2"/>
  <c r="AD184" i="2"/>
  <c r="AE184" i="2"/>
  <c r="AF184" i="2"/>
  <c r="AG184" i="2"/>
  <c r="AH184" i="2"/>
  <c r="AI184" i="2"/>
  <c r="AJ184" i="2"/>
  <c r="AK184" i="2"/>
  <c r="AL184" i="2"/>
  <c r="AM184" i="2"/>
  <c r="AN184" i="2"/>
  <c r="AO184" i="2"/>
  <c r="AP184" i="2"/>
  <c r="AQ184" i="2"/>
  <c r="AR184" i="2"/>
  <c r="AS184" i="2"/>
  <c r="AT184" i="2"/>
  <c r="AU184" i="2"/>
  <c r="AV184" i="2"/>
  <c r="AW184" i="2"/>
  <c r="AX184" i="2"/>
  <c r="AY184" i="2"/>
  <c r="E185" i="2"/>
  <c r="F185" i="2"/>
  <c r="G185" i="2"/>
  <c r="H185" i="2"/>
  <c r="I185" i="2"/>
  <c r="J185" i="2"/>
  <c r="K185" i="2"/>
  <c r="L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AM185" i="2"/>
  <c r="AN185" i="2"/>
  <c r="AO185" i="2"/>
  <c r="AP185" i="2"/>
  <c r="AQ185" i="2"/>
  <c r="AR185" i="2"/>
  <c r="AS185" i="2"/>
  <c r="AT185" i="2"/>
  <c r="AU185" i="2"/>
  <c r="AV185" i="2"/>
  <c r="AW185" i="2"/>
  <c r="AX185" i="2"/>
  <c r="AY185" i="2"/>
  <c r="E186" i="2"/>
  <c r="F186" i="2"/>
  <c r="G186" i="2"/>
  <c r="H186" i="2"/>
  <c r="I186" i="2"/>
  <c r="J186" i="2"/>
  <c r="K186" i="2"/>
  <c r="L186" i="2"/>
  <c r="M186" i="2"/>
  <c r="N186" i="2"/>
  <c r="O186" i="2"/>
  <c r="P186" i="2"/>
  <c r="Q186" i="2"/>
  <c r="R186" i="2"/>
  <c r="S186" i="2"/>
  <c r="T186" i="2"/>
  <c r="U186" i="2"/>
  <c r="V186" i="2"/>
  <c r="W186" i="2"/>
  <c r="X186" i="2"/>
  <c r="Y186" i="2"/>
  <c r="Z186" i="2"/>
  <c r="AA186" i="2"/>
  <c r="AB186" i="2"/>
  <c r="AC186" i="2"/>
  <c r="AD186" i="2"/>
  <c r="AE186" i="2"/>
  <c r="AF186" i="2"/>
  <c r="AG186" i="2"/>
  <c r="AH186" i="2"/>
  <c r="AI186" i="2"/>
  <c r="AJ186" i="2"/>
  <c r="AK186" i="2"/>
  <c r="AL186" i="2"/>
  <c r="AM186" i="2"/>
  <c r="AN186" i="2"/>
  <c r="AO186" i="2"/>
  <c r="AP186" i="2"/>
  <c r="AQ186" i="2"/>
  <c r="AR186" i="2"/>
  <c r="AS186" i="2"/>
  <c r="AT186" i="2"/>
  <c r="AU186" i="2"/>
  <c r="AV186" i="2"/>
  <c r="AW186" i="2"/>
  <c r="AX186" i="2"/>
  <c r="AY186" i="2"/>
  <c r="E187" i="2"/>
  <c r="F187" i="2"/>
  <c r="G187" i="2"/>
  <c r="H187" i="2"/>
  <c r="I187" i="2"/>
  <c r="J187" i="2"/>
  <c r="K187" i="2"/>
  <c r="L187" i="2"/>
  <c r="M187" i="2"/>
  <c r="N187" i="2"/>
  <c r="O187" i="2"/>
  <c r="P187" i="2"/>
  <c r="Q187" i="2"/>
  <c r="R187" i="2"/>
  <c r="S187" i="2"/>
  <c r="T187" i="2"/>
  <c r="U187" i="2"/>
  <c r="V187" i="2"/>
  <c r="W187" i="2"/>
  <c r="X187" i="2"/>
  <c r="Y187" i="2"/>
  <c r="Z187" i="2"/>
  <c r="AA187" i="2"/>
  <c r="AB187" i="2"/>
  <c r="AC187" i="2"/>
  <c r="AD187" i="2"/>
  <c r="AE187" i="2"/>
  <c r="AF187" i="2"/>
  <c r="AG187" i="2"/>
  <c r="AH187" i="2"/>
  <c r="AI187" i="2"/>
  <c r="AJ187" i="2"/>
  <c r="AK187" i="2"/>
  <c r="AL187" i="2"/>
  <c r="AM187" i="2"/>
  <c r="AN187" i="2"/>
  <c r="AO187" i="2"/>
  <c r="AP187" i="2"/>
  <c r="AQ187" i="2"/>
  <c r="AR187" i="2"/>
  <c r="AS187" i="2"/>
  <c r="AT187" i="2"/>
  <c r="AU187" i="2"/>
  <c r="AV187" i="2"/>
  <c r="AW187" i="2"/>
  <c r="AX187" i="2"/>
  <c r="AY187" i="2"/>
  <c r="E188" i="2"/>
  <c r="F188" i="2"/>
  <c r="G188" i="2"/>
  <c r="H188" i="2"/>
  <c r="I188" i="2"/>
  <c r="J188" i="2"/>
  <c r="K188" i="2"/>
  <c r="L188" i="2"/>
  <c r="M188" i="2"/>
  <c r="N188" i="2"/>
  <c r="O188" i="2"/>
  <c r="P188" i="2"/>
  <c r="Q188" i="2"/>
  <c r="R188" i="2"/>
  <c r="S188" i="2"/>
  <c r="T188" i="2"/>
  <c r="U188" i="2"/>
  <c r="V188" i="2"/>
  <c r="W188" i="2"/>
  <c r="X188" i="2"/>
  <c r="Y188" i="2"/>
  <c r="Z188" i="2"/>
  <c r="AA188" i="2"/>
  <c r="AB188" i="2"/>
  <c r="AC188" i="2"/>
  <c r="AD188" i="2"/>
  <c r="AE188" i="2"/>
  <c r="AF188" i="2"/>
  <c r="AG188" i="2"/>
  <c r="AH188" i="2"/>
  <c r="AI188" i="2"/>
  <c r="AJ188" i="2"/>
  <c r="AK188" i="2"/>
  <c r="AL188" i="2"/>
  <c r="AM188" i="2"/>
  <c r="AN188" i="2"/>
  <c r="AO188" i="2"/>
  <c r="AP188" i="2"/>
  <c r="AQ188" i="2"/>
  <c r="AR188" i="2"/>
  <c r="AS188" i="2"/>
  <c r="AT188" i="2"/>
  <c r="AU188" i="2"/>
  <c r="AV188" i="2"/>
  <c r="AW188" i="2"/>
  <c r="AX188" i="2"/>
  <c r="AY188" i="2"/>
  <c r="E189" i="2"/>
  <c r="F189" i="2"/>
  <c r="G189" i="2"/>
  <c r="H189" i="2"/>
  <c r="I189" i="2"/>
  <c r="J189" i="2"/>
  <c r="K189" i="2"/>
  <c r="L189" i="2"/>
  <c r="M189" i="2"/>
  <c r="N189" i="2"/>
  <c r="O189" i="2"/>
  <c r="P189" i="2"/>
  <c r="Q189" i="2"/>
  <c r="R189" i="2"/>
  <c r="S189" i="2"/>
  <c r="T189" i="2"/>
  <c r="U189" i="2"/>
  <c r="V189" i="2"/>
  <c r="W189" i="2"/>
  <c r="X189" i="2"/>
  <c r="Y189" i="2"/>
  <c r="Z189" i="2"/>
  <c r="AA189" i="2"/>
  <c r="AB189" i="2"/>
  <c r="AC189" i="2"/>
  <c r="AD189" i="2"/>
  <c r="AE189" i="2"/>
  <c r="AF189" i="2"/>
  <c r="AG189" i="2"/>
  <c r="AH189" i="2"/>
  <c r="AI189" i="2"/>
  <c r="AJ189" i="2"/>
  <c r="AK189" i="2"/>
  <c r="AL189" i="2"/>
  <c r="AM189" i="2"/>
  <c r="AN189" i="2"/>
  <c r="AO189" i="2"/>
  <c r="AP189" i="2"/>
  <c r="AQ189" i="2"/>
  <c r="AR189" i="2"/>
  <c r="AS189" i="2"/>
  <c r="AT189" i="2"/>
  <c r="AU189" i="2"/>
  <c r="AV189" i="2"/>
  <c r="AW189" i="2"/>
  <c r="AX189" i="2"/>
  <c r="AY189" i="2"/>
  <c r="E190" i="2"/>
  <c r="F190" i="2"/>
  <c r="G190" i="2"/>
  <c r="H190" i="2"/>
  <c r="I190" i="2"/>
  <c r="J190" i="2"/>
  <c r="K190" i="2"/>
  <c r="L190" i="2"/>
  <c r="M190" i="2"/>
  <c r="N190" i="2"/>
  <c r="O190" i="2"/>
  <c r="P190" i="2"/>
  <c r="Q190" i="2"/>
  <c r="R190" i="2"/>
  <c r="S190" i="2"/>
  <c r="T190" i="2"/>
  <c r="U190" i="2"/>
  <c r="V190" i="2"/>
  <c r="W190" i="2"/>
  <c r="X190" i="2"/>
  <c r="Y190" i="2"/>
  <c r="Z190" i="2"/>
  <c r="AA190" i="2"/>
  <c r="AB190" i="2"/>
  <c r="AC190" i="2"/>
  <c r="AD190" i="2"/>
  <c r="AE190" i="2"/>
  <c r="AF190" i="2"/>
  <c r="AG190" i="2"/>
  <c r="AH190" i="2"/>
  <c r="AI190" i="2"/>
  <c r="AJ190" i="2"/>
  <c r="AK190" i="2"/>
  <c r="AL190" i="2"/>
  <c r="AM190" i="2"/>
  <c r="AN190" i="2"/>
  <c r="AO190" i="2"/>
  <c r="AP190" i="2"/>
  <c r="AQ190" i="2"/>
  <c r="AR190" i="2"/>
  <c r="AS190" i="2"/>
  <c r="AT190" i="2"/>
  <c r="AU190" i="2"/>
  <c r="AV190" i="2"/>
  <c r="AW190" i="2"/>
  <c r="AX190" i="2"/>
  <c r="AY190" i="2"/>
  <c r="E191" i="2"/>
  <c r="F191" i="2"/>
  <c r="G191" i="2"/>
  <c r="H191" i="2"/>
  <c r="I191" i="2"/>
  <c r="J191" i="2"/>
  <c r="K191" i="2"/>
  <c r="L191" i="2"/>
  <c r="M191" i="2"/>
  <c r="N191" i="2"/>
  <c r="O191" i="2"/>
  <c r="P191" i="2"/>
  <c r="Q191" i="2"/>
  <c r="R191" i="2"/>
  <c r="S191" i="2"/>
  <c r="T191" i="2"/>
  <c r="U191" i="2"/>
  <c r="V191" i="2"/>
  <c r="W191" i="2"/>
  <c r="X191" i="2"/>
  <c r="Y191" i="2"/>
  <c r="Z191" i="2"/>
  <c r="AA191" i="2"/>
  <c r="AB191" i="2"/>
  <c r="AC191" i="2"/>
  <c r="AD191" i="2"/>
  <c r="AE191" i="2"/>
  <c r="AF191" i="2"/>
  <c r="AG191" i="2"/>
  <c r="AH191" i="2"/>
  <c r="AI191" i="2"/>
  <c r="AJ191" i="2"/>
  <c r="AK191" i="2"/>
  <c r="AL191" i="2"/>
  <c r="AM191" i="2"/>
  <c r="AN191" i="2"/>
  <c r="AO191" i="2"/>
  <c r="AP191" i="2"/>
  <c r="AQ191" i="2"/>
  <c r="AR191" i="2"/>
  <c r="AS191" i="2"/>
  <c r="AT191" i="2"/>
  <c r="AU191" i="2"/>
  <c r="AV191" i="2"/>
  <c r="AW191" i="2"/>
  <c r="AX191" i="2"/>
  <c r="AY191" i="2"/>
  <c r="E192" i="2"/>
  <c r="F192" i="2"/>
  <c r="G192" i="2"/>
  <c r="H192" i="2"/>
  <c r="I192" i="2"/>
  <c r="J192" i="2"/>
  <c r="K192" i="2"/>
  <c r="L192" i="2"/>
  <c r="M192" i="2"/>
  <c r="N192" i="2"/>
  <c r="O192" i="2"/>
  <c r="P192" i="2"/>
  <c r="Q192" i="2"/>
  <c r="R192" i="2"/>
  <c r="S192" i="2"/>
  <c r="T192" i="2"/>
  <c r="U192" i="2"/>
  <c r="V192" i="2"/>
  <c r="W192" i="2"/>
  <c r="X192" i="2"/>
  <c r="Y192" i="2"/>
  <c r="Z192" i="2"/>
  <c r="AA192" i="2"/>
  <c r="AB192" i="2"/>
  <c r="AC192" i="2"/>
  <c r="AD192" i="2"/>
  <c r="AE192" i="2"/>
  <c r="AF192" i="2"/>
  <c r="AG192" i="2"/>
  <c r="AH192" i="2"/>
  <c r="AI192" i="2"/>
  <c r="AJ192" i="2"/>
  <c r="AK192" i="2"/>
  <c r="AL192" i="2"/>
  <c r="AM192" i="2"/>
  <c r="AN192" i="2"/>
  <c r="AO192" i="2"/>
  <c r="AP192" i="2"/>
  <c r="AQ192" i="2"/>
  <c r="AR192" i="2"/>
  <c r="AS192" i="2"/>
  <c r="AT192" i="2"/>
  <c r="AU192" i="2"/>
  <c r="AV192" i="2"/>
  <c r="AW192" i="2"/>
  <c r="AX192" i="2"/>
  <c r="AY192" i="2"/>
  <c r="E193" i="2"/>
  <c r="F193" i="2"/>
  <c r="G193" i="2"/>
  <c r="H193" i="2"/>
  <c r="I193" i="2"/>
  <c r="J193" i="2"/>
  <c r="K193" i="2"/>
  <c r="L193" i="2"/>
  <c r="M193" i="2"/>
  <c r="N193" i="2"/>
  <c r="O193" i="2"/>
  <c r="P193" i="2"/>
  <c r="Q193" i="2"/>
  <c r="R193" i="2"/>
  <c r="S193" i="2"/>
  <c r="T193" i="2"/>
  <c r="U193" i="2"/>
  <c r="V193" i="2"/>
  <c r="W193" i="2"/>
  <c r="X193" i="2"/>
  <c r="Y193" i="2"/>
  <c r="Z193" i="2"/>
  <c r="AA193" i="2"/>
  <c r="AB193" i="2"/>
  <c r="AC193" i="2"/>
  <c r="AD193" i="2"/>
  <c r="AE193" i="2"/>
  <c r="AF193" i="2"/>
  <c r="AG193" i="2"/>
  <c r="AH193" i="2"/>
  <c r="AI193" i="2"/>
  <c r="AJ193" i="2"/>
  <c r="AK193" i="2"/>
  <c r="AL193" i="2"/>
  <c r="AM193" i="2"/>
  <c r="AN193" i="2"/>
  <c r="AO193" i="2"/>
  <c r="AP193" i="2"/>
  <c r="AQ193" i="2"/>
  <c r="AR193" i="2"/>
  <c r="AS193" i="2"/>
  <c r="AT193" i="2"/>
  <c r="AU193" i="2"/>
  <c r="AV193" i="2"/>
  <c r="AW193" i="2"/>
  <c r="AX193" i="2"/>
  <c r="AY193" i="2"/>
  <c r="E194" i="2"/>
  <c r="F194" i="2"/>
  <c r="G194" i="2"/>
  <c r="H194" i="2"/>
  <c r="I194" i="2"/>
  <c r="J194" i="2"/>
  <c r="K194" i="2"/>
  <c r="L194" i="2"/>
  <c r="M194" i="2"/>
  <c r="N194" i="2"/>
  <c r="O194" i="2"/>
  <c r="P194" i="2"/>
  <c r="Q194" i="2"/>
  <c r="R194" i="2"/>
  <c r="S194" i="2"/>
  <c r="T194" i="2"/>
  <c r="U194" i="2"/>
  <c r="V194" i="2"/>
  <c r="W194" i="2"/>
  <c r="X194" i="2"/>
  <c r="Y194" i="2"/>
  <c r="Z194" i="2"/>
  <c r="AA194" i="2"/>
  <c r="AB194" i="2"/>
  <c r="AC194" i="2"/>
  <c r="AD194" i="2"/>
  <c r="AE194" i="2"/>
  <c r="AF194" i="2"/>
  <c r="AG194" i="2"/>
  <c r="AH194" i="2"/>
  <c r="AI194" i="2"/>
  <c r="AJ194" i="2"/>
  <c r="AK194" i="2"/>
  <c r="AL194" i="2"/>
  <c r="AM194" i="2"/>
  <c r="AN194" i="2"/>
  <c r="AO194" i="2"/>
  <c r="AP194" i="2"/>
  <c r="AQ194" i="2"/>
  <c r="AR194" i="2"/>
  <c r="AS194" i="2"/>
  <c r="AT194" i="2"/>
  <c r="AU194" i="2"/>
  <c r="AV194" i="2"/>
  <c r="AW194" i="2"/>
  <c r="AX194" i="2"/>
  <c r="AY194" i="2"/>
  <c r="E195" i="2"/>
  <c r="F195" i="2"/>
  <c r="G195" i="2"/>
  <c r="H195" i="2"/>
  <c r="I195" i="2"/>
  <c r="J195" i="2"/>
  <c r="K195" i="2"/>
  <c r="L195" i="2"/>
  <c r="M195" i="2"/>
  <c r="N195" i="2"/>
  <c r="O195" i="2"/>
  <c r="P195" i="2"/>
  <c r="Q195" i="2"/>
  <c r="R195" i="2"/>
  <c r="S195" i="2"/>
  <c r="T195" i="2"/>
  <c r="U195" i="2"/>
  <c r="V195" i="2"/>
  <c r="W195" i="2"/>
  <c r="X195" i="2"/>
  <c r="Y195" i="2"/>
  <c r="Z195" i="2"/>
  <c r="AA195" i="2"/>
  <c r="AB195" i="2"/>
  <c r="AC195" i="2"/>
  <c r="AD195" i="2"/>
  <c r="AE195" i="2"/>
  <c r="AF195" i="2"/>
  <c r="AG195" i="2"/>
  <c r="AH195" i="2"/>
  <c r="AI195" i="2"/>
  <c r="AJ195" i="2"/>
  <c r="AK195" i="2"/>
  <c r="AL195" i="2"/>
  <c r="AM195" i="2"/>
  <c r="AN195" i="2"/>
  <c r="AO195" i="2"/>
  <c r="AP195" i="2"/>
  <c r="AQ195" i="2"/>
  <c r="AR195" i="2"/>
  <c r="AS195" i="2"/>
  <c r="AT195" i="2"/>
  <c r="AU195" i="2"/>
  <c r="AV195" i="2"/>
  <c r="AW195" i="2"/>
  <c r="AX195" i="2"/>
  <c r="AY195" i="2"/>
  <c r="E196" i="2"/>
  <c r="F196" i="2"/>
  <c r="G196" i="2"/>
  <c r="H196" i="2"/>
  <c r="I196" i="2"/>
  <c r="J196" i="2"/>
  <c r="K196" i="2"/>
  <c r="L196" i="2"/>
  <c r="M196" i="2"/>
  <c r="N196" i="2"/>
  <c r="O196" i="2"/>
  <c r="P196" i="2"/>
  <c r="Q196" i="2"/>
  <c r="R196" i="2"/>
  <c r="S196" i="2"/>
  <c r="T196" i="2"/>
  <c r="U196" i="2"/>
  <c r="V196" i="2"/>
  <c r="W196" i="2"/>
  <c r="X196" i="2"/>
  <c r="Y196" i="2"/>
  <c r="Z196" i="2"/>
  <c r="AA196" i="2"/>
  <c r="AB196" i="2"/>
  <c r="AC196" i="2"/>
  <c r="AD196" i="2"/>
  <c r="AE196" i="2"/>
  <c r="AF196" i="2"/>
  <c r="AG196" i="2"/>
  <c r="AH196" i="2"/>
  <c r="AI196" i="2"/>
  <c r="AJ196" i="2"/>
  <c r="AK196" i="2"/>
  <c r="AL196" i="2"/>
  <c r="AM196" i="2"/>
  <c r="AN196" i="2"/>
  <c r="AO196" i="2"/>
  <c r="AP196" i="2"/>
  <c r="AQ196" i="2"/>
  <c r="AR196" i="2"/>
  <c r="AS196" i="2"/>
  <c r="AT196" i="2"/>
  <c r="AU196" i="2"/>
  <c r="AV196" i="2"/>
  <c r="AW196" i="2"/>
  <c r="AX196" i="2"/>
  <c r="AY196" i="2"/>
  <c r="E197" i="2"/>
  <c r="F197" i="2"/>
  <c r="G197" i="2"/>
  <c r="H197" i="2"/>
  <c r="I197" i="2"/>
  <c r="J197" i="2"/>
  <c r="K197" i="2"/>
  <c r="L197" i="2"/>
  <c r="M197" i="2"/>
  <c r="N197" i="2"/>
  <c r="O197" i="2"/>
  <c r="P197" i="2"/>
  <c r="Q197" i="2"/>
  <c r="R197" i="2"/>
  <c r="S197" i="2"/>
  <c r="T197" i="2"/>
  <c r="U197" i="2"/>
  <c r="V197" i="2"/>
  <c r="W197" i="2"/>
  <c r="X197" i="2"/>
  <c r="Y197" i="2"/>
  <c r="Z197" i="2"/>
  <c r="AA197" i="2"/>
  <c r="AB197" i="2"/>
  <c r="AC197" i="2"/>
  <c r="AD197" i="2"/>
  <c r="AE197" i="2"/>
  <c r="AF197" i="2"/>
  <c r="AG197" i="2"/>
  <c r="AH197" i="2"/>
  <c r="AI197" i="2"/>
  <c r="AJ197" i="2"/>
  <c r="AK197" i="2"/>
  <c r="AL197" i="2"/>
  <c r="AM197" i="2"/>
  <c r="AN197" i="2"/>
  <c r="AO197" i="2"/>
  <c r="AP197" i="2"/>
  <c r="AQ197" i="2"/>
  <c r="AR197" i="2"/>
  <c r="AS197" i="2"/>
  <c r="AT197" i="2"/>
  <c r="AU197" i="2"/>
  <c r="AV197" i="2"/>
  <c r="AW197" i="2"/>
  <c r="AX197" i="2"/>
  <c r="AY197" i="2"/>
  <c r="E198" i="2"/>
  <c r="F198" i="2"/>
  <c r="G198" i="2"/>
  <c r="H198" i="2"/>
  <c r="I198" i="2"/>
  <c r="J198" i="2"/>
  <c r="K198" i="2"/>
  <c r="L198" i="2"/>
  <c r="M198" i="2"/>
  <c r="N198" i="2"/>
  <c r="O198" i="2"/>
  <c r="P198" i="2"/>
  <c r="Q198" i="2"/>
  <c r="R198" i="2"/>
  <c r="S198" i="2"/>
  <c r="T198" i="2"/>
  <c r="U198" i="2"/>
  <c r="V198" i="2"/>
  <c r="W198" i="2"/>
  <c r="X198" i="2"/>
  <c r="Y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X198" i="2"/>
  <c r="AY198"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AS199" i="2"/>
  <c r="AT199" i="2"/>
  <c r="AU199" i="2"/>
  <c r="AV199" i="2"/>
  <c r="AW199" i="2"/>
  <c r="AX199" i="2"/>
  <c r="AY199" i="2"/>
  <c r="E200" i="2"/>
  <c r="F200" i="2"/>
  <c r="G200" i="2"/>
  <c r="H200" i="2"/>
  <c r="I200" i="2"/>
  <c r="J200" i="2"/>
  <c r="K200" i="2"/>
  <c r="L200" i="2"/>
  <c r="M200" i="2"/>
  <c r="N200" i="2"/>
  <c r="O200" i="2"/>
  <c r="P200" i="2"/>
  <c r="Q200" i="2"/>
  <c r="R200" i="2"/>
  <c r="S200" i="2"/>
  <c r="T200" i="2"/>
  <c r="U200" i="2"/>
  <c r="V200" i="2"/>
  <c r="W200" i="2"/>
  <c r="X200" i="2"/>
  <c r="Y200" i="2"/>
  <c r="Z200" i="2"/>
  <c r="AA200" i="2"/>
  <c r="AB200" i="2"/>
  <c r="AC200" i="2"/>
  <c r="AD200" i="2"/>
  <c r="AE200" i="2"/>
  <c r="AF200" i="2"/>
  <c r="AG200" i="2"/>
  <c r="AH200" i="2"/>
  <c r="AI200" i="2"/>
  <c r="AJ200" i="2"/>
  <c r="AK200" i="2"/>
  <c r="AL200" i="2"/>
  <c r="AM200" i="2"/>
  <c r="AN200" i="2"/>
  <c r="AO200" i="2"/>
  <c r="AP200" i="2"/>
  <c r="AQ200" i="2"/>
  <c r="AR200" i="2"/>
  <c r="AS200" i="2"/>
  <c r="AT200" i="2"/>
  <c r="AU200" i="2"/>
  <c r="AV200" i="2"/>
  <c r="AW200" i="2"/>
  <c r="AX200" i="2"/>
  <c r="AY200" i="2"/>
  <c r="E201" i="2"/>
  <c r="F201" i="2"/>
  <c r="G201" i="2"/>
  <c r="H201" i="2"/>
  <c r="I201" i="2"/>
  <c r="J201" i="2"/>
  <c r="K201" i="2"/>
  <c r="L201" i="2"/>
  <c r="M201" i="2"/>
  <c r="N201" i="2"/>
  <c r="O201" i="2"/>
  <c r="P201" i="2"/>
  <c r="Q201" i="2"/>
  <c r="R201" i="2"/>
  <c r="S201" i="2"/>
  <c r="T201" i="2"/>
  <c r="U201" i="2"/>
  <c r="V201" i="2"/>
  <c r="W201" i="2"/>
  <c r="X201" i="2"/>
  <c r="Y201" i="2"/>
  <c r="Z201" i="2"/>
  <c r="AA201" i="2"/>
  <c r="AB201" i="2"/>
  <c r="AC201" i="2"/>
  <c r="AD201" i="2"/>
  <c r="AE201" i="2"/>
  <c r="AF201" i="2"/>
  <c r="AG201" i="2"/>
  <c r="AH201" i="2"/>
  <c r="AI201" i="2"/>
  <c r="AJ201" i="2"/>
  <c r="AK201" i="2"/>
  <c r="AL201" i="2"/>
  <c r="AM201" i="2"/>
  <c r="AN201" i="2"/>
  <c r="AO201" i="2"/>
  <c r="AP201" i="2"/>
  <c r="AQ201" i="2"/>
  <c r="AR201" i="2"/>
  <c r="AS201" i="2"/>
  <c r="AT201" i="2"/>
  <c r="AU201" i="2"/>
  <c r="AV201" i="2"/>
  <c r="AW201" i="2"/>
  <c r="AX201" i="2"/>
  <c r="AY201" i="2"/>
  <c r="E202" i="2"/>
  <c r="F202" i="2"/>
  <c r="G202" i="2"/>
  <c r="H202" i="2"/>
  <c r="I202" i="2"/>
  <c r="J202" i="2"/>
  <c r="K202" i="2"/>
  <c r="L202" i="2"/>
  <c r="M202" i="2"/>
  <c r="N202" i="2"/>
  <c r="O202" i="2"/>
  <c r="P202" i="2"/>
  <c r="Q202" i="2"/>
  <c r="R202" i="2"/>
  <c r="S202" i="2"/>
  <c r="T202" i="2"/>
  <c r="U202" i="2"/>
  <c r="V202" i="2"/>
  <c r="W202" i="2"/>
  <c r="X202" i="2"/>
  <c r="Y202" i="2"/>
  <c r="Z202" i="2"/>
  <c r="AA202" i="2"/>
  <c r="AB202" i="2"/>
  <c r="AC202" i="2"/>
  <c r="AD202" i="2"/>
  <c r="AE202" i="2"/>
  <c r="AF202" i="2"/>
  <c r="AG202" i="2"/>
  <c r="AH202" i="2"/>
  <c r="AI202" i="2"/>
  <c r="AJ202" i="2"/>
  <c r="AK202" i="2"/>
  <c r="AL202" i="2"/>
  <c r="AM202" i="2"/>
  <c r="AN202" i="2"/>
  <c r="AO202" i="2"/>
  <c r="AP202" i="2"/>
  <c r="AQ202" i="2"/>
  <c r="AR202" i="2"/>
  <c r="AS202" i="2"/>
  <c r="AT202" i="2"/>
  <c r="AU202" i="2"/>
  <c r="AV202" i="2"/>
  <c r="AW202" i="2"/>
  <c r="AX202" i="2"/>
  <c r="AY202" i="2"/>
  <c r="E203" i="2"/>
  <c r="F203" i="2"/>
  <c r="G203" i="2"/>
  <c r="H203" i="2"/>
  <c r="I203" i="2"/>
  <c r="J203" i="2"/>
  <c r="K203" i="2"/>
  <c r="L203" i="2"/>
  <c r="M203" i="2"/>
  <c r="N203" i="2"/>
  <c r="O203" i="2"/>
  <c r="P203" i="2"/>
  <c r="Q203" i="2"/>
  <c r="R203" i="2"/>
  <c r="S203" i="2"/>
  <c r="T203" i="2"/>
  <c r="U203" i="2"/>
  <c r="V203" i="2"/>
  <c r="W203" i="2"/>
  <c r="X203" i="2"/>
  <c r="Y203" i="2"/>
  <c r="Z203" i="2"/>
  <c r="AA203" i="2"/>
  <c r="AB203" i="2"/>
  <c r="AC203" i="2"/>
  <c r="AD203" i="2"/>
  <c r="AE203" i="2"/>
  <c r="AF203" i="2"/>
  <c r="AG203" i="2"/>
  <c r="AH203" i="2"/>
  <c r="AI203" i="2"/>
  <c r="AJ203" i="2"/>
  <c r="AK203" i="2"/>
  <c r="AL203" i="2"/>
  <c r="AM203" i="2"/>
  <c r="AN203" i="2"/>
  <c r="AO203" i="2"/>
  <c r="AP203" i="2"/>
  <c r="AQ203" i="2"/>
  <c r="AR203" i="2"/>
  <c r="AS203" i="2"/>
  <c r="AT203" i="2"/>
  <c r="AU203" i="2"/>
  <c r="AV203" i="2"/>
  <c r="AW203" i="2"/>
  <c r="AX203" i="2"/>
  <c r="AY203" i="2"/>
  <c r="E204" i="2"/>
  <c r="F204" i="2"/>
  <c r="G204" i="2"/>
  <c r="H204" i="2"/>
  <c r="I204" i="2"/>
  <c r="J204" i="2"/>
  <c r="K204" i="2"/>
  <c r="L204" i="2"/>
  <c r="M204" i="2"/>
  <c r="N204" i="2"/>
  <c r="O204" i="2"/>
  <c r="P204" i="2"/>
  <c r="Q204" i="2"/>
  <c r="R204" i="2"/>
  <c r="S204" i="2"/>
  <c r="T204" i="2"/>
  <c r="U204" i="2"/>
  <c r="V204" i="2"/>
  <c r="W204" i="2"/>
  <c r="X204" i="2"/>
  <c r="Y204" i="2"/>
  <c r="Z204" i="2"/>
  <c r="AA204" i="2"/>
  <c r="AB204" i="2"/>
  <c r="AC204" i="2"/>
  <c r="AD204" i="2"/>
  <c r="AE204" i="2"/>
  <c r="AF204" i="2"/>
  <c r="AG204" i="2"/>
  <c r="AH204" i="2"/>
  <c r="AI204" i="2"/>
  <c r="AJ204" i="2"/>
  <c r="AK204" i="2"/>
  <c r="AL204" i="2"/>
  <c r="AM204" i="2"/>
  <c r="AN204" i="2"/>
  <c r="AO204" i="2"/>
  <c r="AP204" i="2"/>
  <c r="AQ204" i="2"/>
  <c r="AR204" i="2"/>
  <c r="AS204" i="2"/>
  <c r="AT204" i="2"/>
  <c r="AU204" i="2"/>
  <c r="AV204" i="2"/>
  <c r="AW204" i="2"/>
  <c r="AX204" i="2"/>
  <c r="AY204" i="2"/>
  <c r="E205" i="2"/>
  <c r="F205" i="2"/>
  <c r="G205" i="2"/>
  <c r="H205" i="2"/>
  <c r="I205" i="2"/>
  <c r="J205" i="2"/>
  <c r="K205" i="2"/>
  <c r="L205" i="2"/>
  <c r="M205" i="2"/>
  <c r="N205" i="2"/>
  <c r="O205" i="2"/>
  <c r="P205" i="2"/>
  <c r="Q205" i="2"/>
  <c r="R205" i="2"/>
  <c r="S205" i="2"/>
  <c r="T205" i="2"/>
  <c r="U205" i="2"/>
  <c r="V205" i="2"/>
  <c r="W205" i="2"/>
  <c r="X205" i="2"/>
  <c r="Y205" i="2"/>
  <c r="Z205" i="2"/>
  <c r="AA205" i="2"/>
  <c r="AB205" i="2"/>
  <c r="AC205" i="2"/>
  <c r="AD205" i="2"/>
  <c r="AE205" i="2"/>
  <c r="AF205" i="2"/>
  <c r="AG205" i="2"/>
  <c r="AH205" i="2"/>
  <c r="AI205" i="2"/>
  <c r="AJ205" i="2"/>
  <c r="AK205" i="2"/>
  <c r="AL205" i="2"/>
  <c r="AM205" i="2"/>
  <c r="AN205" i="2"/>
  <c r="AO205" i="2"/>
  <c r="AP205" i="2"/>
  <c r="AQ205" i="2"/>
  <c r="AR205" i="2"/>
  <c r="AS205" i="2"/>
  <c r="AT205" i="2"/>
  <c r="AU205" i="2"/>
  <c r="AV205" i="2"/>
  <c r="AW205" i="2"/>
  <c r="AX205" i="2"/>
  <c r="AY205" i="2"/>
  <c r="E206" i="2"/>
  <c r="F206" i="2"/>
  <c r="G206" i="2"/>
  <c r="H206" i="2"/>
  <c r="I206" i="2"/>
  <c r="J206" i="2"/>
  <c r="K206" i="2"/>
  <c r="L206" i="2"/>
  <c r="M206" i="2"/>
  <c r="N206" i="2"/>
  <c r="O206" i="2"/>
  <c r="P206" i="2"/>
  <c r="Q206" i="2"/>
  <c r="R206" i="2"/>
  <c r="S206" i="2"/>
  <c r="T206" i="2"/>
  <c r="U206" i="2"/>
  <c r="V206" i="2"/>
  <c r="W206" i="2"/>
  <c r="X206" i="2"/>
  <c r="Y206" i="2"/>
  <c r="Z206" i="2"/>
  <c r="AA206" i="2"/>
  <c r="AB206" i="2"/>
  <c r="AC206" i="2"/>
  <c r="AD206" i="2"/>
  <c r="AE206" i="2"/>
  <c r="AF206" i="2"/>
  <c r="AG206" i="2"/>
  <c r="AH206" i="2"/>
  <c r="AI206" i="2"/>
  <c r="AJ206" i="2"/>
  <c r="AK206" i="2"/>
  <c r="AL206" i="2"/>
  <c r="AM206" i="2"/>
  <c r="AN206" i="2"/>
  <c r="AO206" i="2"/>
  <c r="AP206" i="2"/>
  <c r="AQ206" i="2"/>
  <c r="AR206" i="2"/>
  <c r="AS206" i="2"/>
  <c r="AT206" i="2"/>
  <c r="AU206" i="2"/>
  <c r="AV206" i="2"/>
  <c r="AW206" i="2"/>
  <c r="AX206" i="2"/>
  <c r="AY206" i="2"/>
  <c r="E207" i="2"/>
  <c r="F207" i="2"/>
  <c r="G207" i="2"/>
  <c r="H207" i="2"/>
  <c r="I207" i="2"/>
  <c r="J207" i="2"/>
  <c r="K207" i="2"/>
  <c r="L207" i="2"/>
  <c r="M207" i="2"/>
  <c r="N207" i="2"/>
  <c r="O207" i="2"/>
  <c r="P207" i="2"/>
  <c r="Q207" i="2"/>
  <c r="R207" i="2"/>
  <c r="S207" i="2"/>
  <c r="T207" i="2"/>
  <c r="U207" i="2"/>
  <c r="V207" i="2"/>
  <c r="W207" i="2"/>
  <c r="X207" i="2"/>
  <c r="Y207" i="2"/>
  <c r="Z207" i="2"/>
  <c r="AA207" i="2"/>
  <c r="AB207" i="2"/>
  <c r="AC207" i="2"/>
  <c r="AD207" i="2"/>
  <c r="AE207" i="2"/>
  <c r="AF207" i="2"/>
  <c r="AG207" i="2"/>
  <c r="AH207" i="2"/>
  <c r="AI207" i="2"/>
  <c r="AJ207" i="2"/>
  <c r="AK207" i="2"/>
  <c r="AL207" i="2"/>
  <c r="AM207" i="2"/>
  <c r="AN207" i="2"/>
  <c r="AO207" i="2"/>
  <c r="AP207" i="2"/>
  <c r="AQ207" i="2"/>
  <c r="AR207" i="2"/>
  <c r="AS207" i="2"/>
  <c r="AT207" i="2"/>
  <c r="AU207" i="2"/>
  <c r="AV207" i="2"/>
  <c r="AW207" i="2"/>
  <c r="AX207" i="2"/>
  <c r="AY207" i="2"/>
  <c r="E208" i="2"/>
  <c r="F208" i="2"/>
  <c r="G208" i="2"/>
  <c r="H208" i="2"/>
  <c r="I208" i="2"/>
  <c r="J208" i="2"/>
  <c r="K208" i="2"/>
  <c r="L208" i="2"/>
  <c r="M208" i="2"/>
  <c r="N208" i="2"/>
  <c r="O208" i="2"/>
  <c r="P208" i="2"/>
  <c r="Q208" i="2"/>
  <c r="R208" i="2"/>
  <c r="S208" i="2"/>
  <c r="T208" i="2"/>
  <c r="U208" i="2"/>
  <c r="V208" i="2"/>
  <c r="W208" i="2"/>
  <c r="X208" i="2"/>
  <c r="Y208" i="2"/>
  <c r="Z208" i="2"/>
  <c r="AA208" i="2"/>
  <c r="AB208" i="2"/>
  <c r="AC208" i="2"/>
  <c r="AD208" i="2"/>
  <c r="AE208" i="2"/>
  <c r="AF208" i="2"/>
  <c r="AG208" i="2"/>
  <c r="AH208" i="2"/>
  <c r="AI208" i="2"/>
  <c r="AJ208" i="2"/>
  <c r="AK208" i="2"/>
  <c r="AL208" i="2"/>
  <c r="AM208" i="2"/>
  <c r="AN208" i="2"/>
  <c r="AO208" i="2"/>
  <c r="AP208" i="2"/>
  <c r="AQ208" i="2"/>
  <c r="AR208" i="2"/>
  <c r="AS208" i="2"/>
  <c r="AT208" i="2"/>
  <c r="AU208" i="2"/>
  <c r="AV208" i="2"/>
  <c r="AW208" i="2"/>
  <c r="AX208" i="2"/>
  <c r="AY208" i="2"/>
  <c r="E209" i="2"/>
  <c r="F209" i="2"/>
  <c r="G209" i="2"/>
  <c r="H209" i="2"/>
  <c r="I209" i="2"/>
  <c r="J209" i="2"/>
  <c r="K209" i="2"/>
  <c r="L209" i="2"/>
  <c r="M209" i="2"/>
  <c r="N209" i="2"/>
  <c r="O209" i="2"/>
  <c r="P209" i="2"/>
  <c r="Q209" i="2"/>
  <c r="R209" i="2"/>
  <c r="S209" i="2"/>
  <c r="T209" i="2"/>
  <c r="U209" i="2"/>
  <c r="V209" i="2"/>
  <c r="W209" i="2"/>
  <c r="X209" i="2"/>
  <c r="Y209" i="2"/>
  <c r="Z209" i="2"/>
  <c r="AA209" i="2"/>
  <c r="AB209" i="2"/>
  <c r="AC209" i="2"/>
  <c r="AD209" i="2"/>
  <c r="AE209" i="2"/>
  <c r="AF209" i="2"/>
  <c r="AG209" i="2"/>
  <c r="AH209" i="2"/>
  <c r="AI209" i="2"/>
  <c r="AJ209" i="2"/>
  <c r="AK209" i="2"/>
  <c r="AL209" i="2"/>
  <c r="AM209" i="2"/>
  <c r="AN209" i="2"/>
  <c r="AO209" i="2"/>
  <c r="AP209" i="2"/>
  <c r="AQ209" i="2"/>
  <c r="AR209" i="2"/>
  <c r="AS209" i="2"/>
  <c r="AT209" i="2"/>
  <c r="AU209" i="2"/>
  <c r="AV209" i="2"/>
  <c r="AW209" i="2"/>
  <c r="AX209" i="2"/>
  <c r="AY209" i="2"/>
  <c r="E210" i="2"/>
  <c r="F210" i="2"/>
  <c r="G210" i="2"/>
  <c r="H210" i="2"/>
  <c r="I210" i="2"/>
  <c r="J210" i="2"/>
  <c r="K210" i="2"/>
  <c r="L210" i="2"/>
  <c r="M210" i="2"/>
  <c r="N210" i="2"/>
  <c r="O210" i="2"/>
  <c r="P210" i="2"/>
  <c r="Q210" i="2"/>
  <c r="R210" i="2"/>
  <c r="S210" i="2"/>
  <c r="T210" i="2"/>
  <c r="U210" i="2"/>
  <c r="V210" i="2"/>
  <c r="W210" i="2"/>
  <c r="X210" i="2"/>
  <c r="Y210" i="2"/>
  <c r="Z210" i="2"/>
  <c r="AA210" i="2"/>
  <c r="AB210" i="2"/>
  <c r="AC210" i="2"/>
  <c r="AD210" i="2"/>
  <c r="AE210" i="2"/>
  <c r="AF210" i="2"/>
  <c r="AG210" i="2"/>
  <c r="AH210" i="2"/>
  <c r="AI210" i="2"/>
  <c r="AJ210" i="2"/>
  <c r="AK210" i="2"/>
  <c r="AL210" i="2"/>
  <c r="AM210" i="2"/>
  <c r="AN210" i="2"/>
  <c r="AO210" i="2"/>
  <c r="AP210" i="2"/>
  <c r="AQ210" i="2"/>
  <c r="AR210" i="2"/>
  <c r="AS210" i="2"/>
  <c r="AT210" i="2"/>
  <c r="AU210" i="2"/>
  <c r="AV210" i="2"/>
  <c r="AW210" i="2"/>
  <c r="AX210" i="2"/>
  <c r="AY210" i="2"/>
  <c r="E211" i="2"/>
  <c r="F211" i="2"/>
  <c r="G211" i="2"/>
  <c r="H211" i="2"/>
  <c r="I211" i="2"/>
  <c r="J211" i="2"/>
  <c r="K211" i="2"/>
  <c r="L211" i="2"/>
  <c r="M211" i="2"/>
  <c r="N211" i="2"/>
  <c r="O211" i="2"/>
  <c r="P211" i="2"/>
  <c r="Q211" i="2"/>
  <c r="R211" i="2"/>
  <c r="S211" i="2"/>
  <c r="T211" i="2"/>
  <c r="U211" i="2"/>
  <c r="V211" i="2"/>
  <c r="W211" i="2"/>
  <c r="X211" i="2"/>
  <c r="Y211" i="2"/>
  <c r="Z211" i="2"/>
  <c r="AA211" i="2"/>
  <c r="AB211" i="2"/>
  <c r="AC211" i="2"/>
  <c r="AD211" i="2"/>
  <c r="AE211" i="2"/>
  <c r="AF211" i="2"/>
  <c r="AG211" i="2"/>
  <c r="AH211" i="2"/>
  <c r="AI211" i="2"/>
  <c r="AJ211" i="2"/>
  <c r="AK211" i="2"/>
  <c r="AL211" i="2"/>
  <c r="AM211" i="2"/>
  <c r="AN211" i="2"/>
  <c r="AO211" i="2"/>
  <c r="AP211" i="2"/>
  <c r="AQ211" i="2"/>
  <c r="AR211" i="2"/>
  <c r="AS211" i="2"/>
  <c r="AT211" i="2"/>
  <c r="AU211" i="2"/>
  <c r="AV211" i="2"/>
  <c r="AW211" i="2"/>
  <c r="AX211" i="2"/>
  <c r="AY211" i="2"/>
  <c r="E212" i="2"/>
  <c r="F212" i="2"/>
  <c r="G212" i="2"/>
  <c r="H212" i="2"/>
  <c r="I212" i="2"/>
  <c r="J212" i="2"/>
  <c r="K212" i="2"/>
  <c r="L212" i="2"/>
  <c r="M212" i="2"/>
  <c r="N212" i="2"/>
  <c r="O212" i="2"/>
  <c r="P212" i="2"/>
  <c r="Q212" i="2"/>
  <c r="R212" i="2"/>
  <c r="S212" i="2"/>
  <c r="T212" i="2"/>
  <c r="U212" i="2"/>
  <c r="V212" i="2"/>
  <c r="W212" i="2"/>
  <c r="X212" i="2"/>
  <c r="Y212" i="2"/>
  <c r="Z212" i="2"/>
  <c r="AA212" i="2"/>
  <c r="AB212" i="2"/>
  <c r="AC212" i="2"/>
  <c r="AD212" i="2"/>
  <c r="AE212" i="2"/>
  <c r="AF212" i="2"/>
  <c r="AG212" i="2"/>
  <c r="AH212" i="2"/>
  <c r="AI212" i="2"/>
  <c r="AJ212" i="2"/>
  <c r="AK212" i="2"/>
  <c r="AL212" i="2"/>
  <c r="AM212" i="2"/>
  <c r="AN212" i="2"/>
  <c r="AO212" i="2"/>
  <c r="AP212" i="2"/>
  <c r="AQ212" i="2"/>
  <c r="AR212" i="2"/>
  <c r="AS212" i="2"/>
  <c r="AT212" i="2"/>
  <c r="AU212" i="2"/>
  <c r="AV212" i="2"/>
  <c r="AW212" i="2"/>
  <c r="AX212" i="2"/>
  <c r="AY212" i="2"/>
  <c r="E213" i="2"/>
  <c r="F213" i="2"/>
  <c r="G213" i="2"/>
  <c r="H213" i="2"/>
  <c r="I213" i="2"/>
  <c r="J213" i="2"/>
  <c r="K213" i="2"/>
  <c r="L213" i="2"/>
  <c r="M213" i="2"/>
  <c r="N213" i="2"/>
  <c r="O213" i="2"/>
  <c r="P213" i="2"/>
  <c r="Q213" i="2"/>
  <c r="R213" i="2"/>
  <c r="S213" i="2"/>
  <c r="T213" i="2"/>
  <c r="U213" i="2"/>
  <c r="V213" i="2"/>
  <c r="W213" i="2"/>
  <c r="X213" i="2"/>
  <c r="Y213" i="2"/>
  <c r="Z213" i="2"/>
  <c r="AA213" i="2"/>
  <c r="AB213" i="2"/>
  <c r="AC213" i="2"/>
  <c r="AD213" i="2"/>
  <c r="AE213" i="2"/>
  <c r="AF213" i="2"/>
  <c r="AG213" i="2"/>
  <c r="AH213" i="2"/>
  <c r="AI213" i="2"/>
  <c r="AJ213" i="2"/>
  <c r="AK213" i="2"/>
  <c r="AL213" i="2"/>
  <c r="AM213" i="2"/>
  <c r="AN213" i="2"/>
  <c r="AO213" i="2"/>
  <c r="AP213" i="2"/>
  <c r="AQ213" i="2"/>
  <c r="AR213" i="2"/>
  <c r="AS213" i="2"/>
  <c r="AT213" i="2"/>
  <c r="AU213" i="2"/>
  <c r="AV213" i="2"/>
  <c r="AW213" i="2"/>
  <c r="AX213" i="2"/>
  <c r="AY213" i="2"/>
  <c r="E214" i="2"/>
  <c r="F214" i="2"/>
  <c r="G214" i="2"/>
  <c r="H214" i="2"/>
  <c r="I214" i="2"/>
  <c r="J214" i="2"/>
  <c r="K214" i="2"/>
  <c r="L214" i="2"/>
  <c r="M214" i="2"/>
  <c r="N214" i="2"/>
  <c r="O214" i="2"/>
  <c r="P214" i="2"/>
  <c r="Q214" i="2"/>
  <c r="R214" i="2"/>
  <c r="S214" i="2"/>
  <c r="T214" i="2"/>
  <c r="U214" i="2"/>
  <c r="V214" i="2"/>
  <c r="W214" i="2"/>
  <c r="X214" i="2"/>
  <c r="Y214" i="2"/>
  <c r="Z214" i="2"/>
  <c r="AA214" i="2"/>
  <c r="AB214" i="2"/>
  <c r="AC214" i="2"/>
  <c r="AD214" i="2"/>
  <c r="AE214" i="2"/>
  <c r="AF214" i="2"/>
  <c r="AG214" i="2"/>
  <c r="AH214" i="2"/>
  <c r="AI214" i="2"/>
  <c r="AJ214" i="2"/>
  <c r="AK214" i="2"/>
  <c r="AL214" i="2"/>
  <c r="AM214" i="2"/>
  <c r="AN214" i="2"/>
  <c r="AO214" i="2"/>
  <c r="AP214" i="2"/>
  <c r="AQ214" i="2"/>
  <c r="AR214" i="2"/>
  <c r="AS214" i="2"/>
  <c r="AT214" i="2"/>
  <c r="AU214" i="2"/>
  <c r="AV214" i="2"/>
  <c r="AW214" i="2"/>
  <c r="AX214" i="2"/>
  <c r="AY214" i="2"/>
  <c r="E215" i="2"/>
  <c r="F215" i="2"/>
  <c r="G215"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AM215" i="2"/>
  <c r="AN215" i="2"/>
  <c r="AO215" i="2"/>
  <c r="AP215" i="2"/>
  <c r="AQ215" i="2"/>
  <c r="AR215" i="2"/>
  <c r="AS215" i="2"/>
  <c r="AT215" i="2"/>
  <c r="AU215" i="2"/>
  <c r="AV215" i="2"/>
  <c r="AW215" i="2"/>
  <c r="AX215" i="2"/>
  <c r="AY215" i="2"/>
  <c r="E216" i="2"/>
  <c r="F216" i="2"/>
  <c r="G216" i="2"/>
  <c r="H216" i="2"/>
  <c r="I216" i="2"/>
  <c r="J216" i="2"/>
  <c r="K216" i="2"/>
  <c r="L216" i="2"/>
  <c r="M216" i="2"/>
  <c r="N216" i="2"/>
  <c r="O216" i="2"/>
  <c r="P216" i="2"/>
  <c r="Q216" i="2"/>
  <c r="R216" i="2"/>
  <c r="S216" i="2"/>
  <c r="T216" i="2"/>
  <c r="U216" i="2"/>
  <c r="V216" i="2"/>
  <c r="W216" i="2"/>
  <c r="X216" i="2"/>
  <c r="Y216" i="2"/>
  <c r="Z216" i="2"/>
  <c r="AA216" i="2"/>
  <c r="AB216" i="2"/>
  <c r="AC216" i="2"/>
  <c r="AD216" i="2"/>
  <c r="AE216" i="2"/>
  <c r="AF216" i="2"/>
  <c r="AG216" i="2"/>
  <c r="AH216" i="2"/>
  <c r="AI216" i="2"/>
  <c r="AJ216" i="2"/>
  <c r="AK216" i="2"/>
  <c r="AL216" i="2"/>
  <c r="AM216" i="2"/>
  <c r="AN216" i="2"/>
  <c r="AO216" i="2"/>
  <c r="AP216" i="2"/>
  <c r="AQ216" i="2"/>
  <c r="AR216" i="2"/>
  <c r="AS216" i="2"/>
  <c r="AT216" i="2"/>
  <c r="AU216" i="2"/>
  <c r="AV216" i="2"/>
  <c r="AW216" i="2"/>
  <c r="AX216" i="2"/>
  <c r="AY216" i="2"/>
  <c r="E220" i="2"/>
  <c r="F220" i="2"/>
  <c r="G220" i="2"/>
  <c r="H220" i="2"/>
  <c r="I220" i="2"/>
  <c r="J220" i="2"/>
  <c r="K220" i="2"/>
  <c r="L220" i="2"/>
  <c r="M220" i="2"/>
  <c r="N220" i="2"/>
  <c r="O220" i="2"/>
  <c r="P220" i="2"/>
  <c r="Q220" i="2"/>
  <c r="R220" i="2"/>
  <c r="S220" i="2"/>
  <c r="T220" i="2"/>
  <c r="U220" i="2"/>
  <c r="V220" i="2"/>
  <c r="W220" i="2"/>
  <c r="X220" i="2"/>
  <c r="Y220" i="2"/>
  <c r="Z220" i="2"/>
  <c r="AA220" i="2"/>
  <c r="AB220" i="2"/>
  <c r="AC220" i="2"/>
  <c r="AD220" i="2"/>
  <c r="AE220" i="2"/>
  <c r="AF220" i="2"/>
  <c r="AG220" i="2"/>
  <c r="AH220" i="2"/>
  <c r="AI220" i="2"/>
  <c r="AJ220" i="2"/>
  <c r="AK220" i="2"/>
  <c r="AL220" i="2"/>
  <c r="AM220" i="2"/>
  <c r="AN220" i="2"/>
  <c r="AO220" i="2"/>
  <c r="AP220" i="2"/>
  <c r="AQ220" i="2"/>
  <c r="AR220" i="2"/>
  <c r="AS220" i="2"/>
  <c r="AT220" i="2"/>
  <c r="AU220" i="2"/>
  <c r="AV220" i="2"/>
  <c r="AW220" i="2"/>
  <c r="AX220" i="2"/>
  <c r="AY220" i="2"/>
  <c r="E221" i="2"/>
  <c r="F221" i="2"/>
  <c r="G221" i="2"/>
  <c r="H221" i="2"/>
  <c r="I221" i="2"/>
  <c r="J221" i="2"/>
  <c r="K221" i="2"/>
  <c r="L221" i="2"/>
  <c r="M221" i="2"/>
  <c r="N221" i="2"/>
  <c r="O221" i="2"/>
  <c r="P221" i="2"/>
  <c r="Q221" i="2"/>
  <c r="R221" i="2"/>
  <c r="S221" i="2"/>
  <c r="T221" i="2"/>
  <c r="U221" i="2"/>
  <c r="V221" i="2"/>
  <c r="W221" i="2"/>
  <c r="X221" i="2"/>
  <c r="Y221" i="2"/>
  <c r="Z221" i="2"/>
  <c r="AA221" i="2"/>
  <c r="AB221" i="2"/>
  <c r="AC221" i="2"/>
  <c r="AD221" i="2"/>
  <c r="AE221" i="2"/>
  <c r="AF221" i="2"/>
  <c r="AG221" i="2"/>
  <c r="AH221" i="2"/>
  <c r="AI221" i="2"/>
  <c r="AJ221" i="2"/>
  <c r="AK221" i="2"/>
  <c r="AL221" i="2"/>
  <c r="AM221" i="2"/>
  <c r="AN221" i="2"/>
  <c r="AO221" i="2"/>
  <c r="AP221" i="2"/>
  <c r="AQ221" i="2"/>
  <c r="AR221" i="2"/>
  <c r="AS221" i="2"/>
  <c r="AT221" i="2"/>
  <c r="AU221" i="2"/>
  <c r="AV221" i="2"/>
  <c r="AW221" i="2"/>
  <c r="AX221" i="2"/>
  <c r="AY221" i="2"/>
  <c r="E222" i="2"/>
  <c r="F222" i="2"/>
  <c r="G222" i="2"/>
  <c r="H222" i="2"/>
  <c r="I222" i="2"/>
  <c r="J222" i="2"/>
  <c r="K222" i="2"/>
  <c r="L222" i="2"/>
  <c r="M222" i="2"/>
  <c r="N222" i="2"/>
  <c r="O222" i="2"/>
  <c r="P222" i="2"/>
  <c r="Q222" i="2"/>
  <c r="R222" i="2"/>
  <c r="S222" i="2"/>
  <c r="T222" i="2"/>
  <c r="U222" i="2"/>
  <c r="V222" i="2"/>
  <c r="W222" i="2"/>
  <c r="X222" i="2"/>
  <c r="Y222" i="2"/>
  <c r="Z222" i="2"/>
  <c r="AA222" i="2"/>
  <c r="AB222" i="2"/>
  <c r="AC222" i="2"/>
  <c r="AD222" i="2"/>
  <c r="AE222" i="2"/>
  <c r="AF222" i="2"/>
  <c r="AG222" i="2"/>
  <c r="AH222" i="2"/>
  <c r="AI222" i="2"/>
  <c r="AJ222" i="2"/>
  <c r="AK222" i="2"/>
  <c r="AL222" i="2"/>
  <c r="AM222" i="2"/>
  <c r="AN222" i="2"/>
  <c r="AO222" i="2"/>
  <c r="AP222" i="2"/>
  <c r="AQ222" i="2"/>
  <c r="AR222" i="2"/>
  <c r="AS222" i="2"/>
  <c r="AT222" i="2"/>
  <c r="AU222" i="2"/>
  <c r="AV222" i="2"/>
  <c r="AW222" i="2"/>
  <c r="AX222" i="2"/>
  <c r="AY222" i="2"/>
  <c r="E223" i="2"/>
  <c r="F223" i="2"/>
  <c r="G223" i="2"/>
  <c r="H223" i="2"/>
  <c r="I223" i="2"/>
  <c r="J223" i="2"/>
  <c r="K223" i="2"/>
  <c r="L223" i="2"/>
  <c r="M223" i="2"/>
  <c r="N223" i="2"/>
  <c r="O223" i="2"/>
  <c r="P223" i="2"/>
  <c r="Q223" i="2"/>
  <c r="R223" i="2"/>
  <c r="S223" i="2"/>
  <c r="T223" i="2"/>
  <c r="U223" i="2"/>
  <c r="V223" i="2"/>
  <c r="W223" i="2"/>
  <c r="X223" i="2"/>
  <c r="Y223" i="2"/>
  <c r="Z223" i="2"/>
  <c r="AA223" i="2"/>
  <c r="AB223" i="2"/>
  <c r="AC223" i="2"/>
  <c r="AD223" i="2"/>
  <c r="AE223" i="2"/>
  <c r="AF223" i="2"/>
  <c r="AG223" i="2"/>
  <c r="AH223" i="2"/>
  <c r="AI223" i="2"/>
  <c r="AJ223" i="2"/>
  <c r="AK223" i="2"/>
  <c r="AL223" i="2"/>
  <c r="AM223" i="2"/>
  <c r="AN223" i="2"/>
  <c r="AO223" i="2"/>
  <c r="AP223" i="2"/>
  <c r="AQ223" i="2"/>
  <c r="AR223" i="2"/>
  <c r="AS223" i="2"/>
  <c r="AT223" i="2"/>
  <c r="AU223" i="2"/>
  <c r="AV223" i="2"/>
  <c r="AW223" i="2"/>
  <c r="AX223" i="2"/>
  <c r="AY223" i="2"/>
  <c r="E224" i="2"/>
  <c r="F224" i="2"/>
  <c r="G224" i="2"/>
  <c r="H224" i="2"/>
  <c r="I224" i="2"/>
  <c r="J224" i="2"/>
  <c r="K224" i="2"/>
  <c r="L224" i="2"/>
  <c r="M224" i="2"/>
  <c r="N224" i="2"/>
  <c r="O224" i="2"/>
  <c r="P224" i="2"/>
  <c r="Q224" i="2"/>
  <c r="R224" i="2"/>
  <c r="S224" i="2"/>
  <c r="T224" i="2"/>
  <c r="U224" i="2"/>
  <c r="V224" i="2"/>
  <c r="W224" i="2"/>
  <c r="X224" i="2"/>
  <c r="Y224" i="2"/>
  <c r="Z224" i="2"/>
  <c r="AA224" i="2"/>
  <c r="AB224" i="2"/>
  <c r="AC224" i="2"/>
  <c r="AD224" i="2"/>
  <c r="AE224" i="2"/>
  <c r="AF224" i="2"/>
  <c r="AG224" i="2"/>
  <c r="AH224" i="2"/>
  <c r="AI224" i="2"/>
  <c r="AJ224" i="2"/>
  <c r="AK224" i="2"/>
  <c r="AL224" i="2"/>
  <c r="AM224" i="2"/>
  <c r="AN224" i="2"/>
  <c r="AO224" i="2"/>
  <c r="AP224" i="2"/>
  <c r="AQ224" i="2"/>
  <c r="AR224" i="2"/>
  <c r="AS224" i="2"/>
  <c r="AT224" i="2"/>
  <c r="AU224" i="2"/>
  <c r="AV224" i="2"/>
  <c r="AW224" i="2"/>
  <c r="AX224" i="2"/>
  <c r="AY224" i="2"/>
  <c r="E225" i="2"/>
  <c r="F225" i="2"/>
  <c r="G225" i="2"/>
  <c r="H225" i="2"/>
  <c r="I225" i="2"/>
  <c r="J225" i="2"/>
  <c r="K225" i="2"/>
  <c r="L225" i="2"/>
  <c r="M225" i="2"/>
  <c r="N225" i="2"/>
  <c r="O225" i="2"/>
  <c r="P225" i="2"/>
  <c r="Q225" i="2"/>
  <c r="R225" i="2"/>
  <c r="S225" i="2"/>
  <c r="T225" i="2"/>
  <c r="U225" i="2"/>
  <c r="V225" i="2"/>
  <c r="W225" i="2"/>
  <c r="X225" i="2"/>
  <c r="Y225" i="2"/>
  <c r="Z225" i="2"/>
  <c r="AA225" i="2"/>
  <c r="AB225" i="2"/>
  <c r="AC225" i="2"/>
  <c r="AD225" i="2"/>
  <c r="AE225" i="2"/>
  <c r="AF225" i="2"/>
  <c r="AG225" i="2"/>
  <c r="AH225" i="2"/>
  <c r="AI225" i="2"/>
  <c r="AJ225" i="2"/>
  <c r="AK225" i="2"/>
  <c r="AL225" i="2"/>
  <c r="AM225" i="2"/>
  <c r="AN225" i="2"/>
  <c r="AO225" i="2"/>
  <c r="AP225" i="2"/>
  <c r="AQ225" i="2"/>
  <c r="AR225" i="2"/>
  <c r="AS225" i="2"/>
  <c r="AT225" i="2"/>
  <c r="AU225" i="2"/>
  <c r="AV225" i="2"/>
  <c r="AW225" i="2"/>
  <c r="AX225" i="2"/>
  <c r="AY225" i="2"/>
  <c r="E226" i="2"/>
  <c r="F226" i="2"/>
  <c r="G226" i="2"/>
  <c r="H226" i="2"/>
  <c r="I226" i="2"/>
  <c r="J226" i="2"/>
  <c r="K226" i="2"/>
  <c r="L226" i="2"/>
  <c r="M226" i="2"/>
  <c r="N226" i="2"/>
  <c r="O226" i="2"/>
  <c r="P226" i="2"/>
  <c r="Q226" i="2"/>
  <c r="R226" i="2"/>
  <c r="S226" i="2"/>
  <c r="T226" i="2"/>
  <c r="U226" i="2"/>
  <c r="V226" i="2"/>
  <c r="W226" i="2"/>
  <c r="X226" i="2"/>
  <c r="Y226" i="2"/>
  <c r="Z226" i="2"/>
  <c r="AA226" i="2"/>
  <c r="AB226" i="2"/>
  <c r="AC226" i="2"/>
  <c r="AD226" i="2"/>
  <c r="AE226" i="2"/>
  <c r="AF226" i="2"/>
  <c r="AG226" i="2"/>
  <c r="AH226" i="2"/>
  <c r="AI226" i="2"/>
  <c r="AJ226" i="2"/>
  <c r="AK226" i="2"/>
  <c r="AL226" i="2"/>
  <c r="AM226" i="2"/>
  <c r="AN226" i="2"/>
  <c r="AO226" i="2"/>
  <c r="AP226" i="2"/>
  <c r="AQ226" i="2"/>
  <c r="AR226" i="2"/>
  <c r="AS226" i="2"/>
  <c r="AT226" i="2"/>
  <c r="AU226" i="2"/>
  <c r="AV226" i="2"/>
  <c r="AW226" i="2"/>
  <c r="AX226" i="2"/>
  <c r="AY226" i="2"/>
  <c r="E227" i="2"/>
  <c r="F227" i="2"/>
  <c r="G227" i="2"/>
  <c r="H227" i="2"/>
  <c r="I227" i="2"/>
  <c r="J227" i="2"/>
  <c r="K227" i="2"/>
  <c r="L227" i="2"/>
  <c r="M227" i="2"/>
  <c r="N227" i="2"/>
  <c r="O227" i="2"/>
  <c r="P227" i="2"/>
  <c r="Q227" i="2"/>
  <c r="R227" i="2"/>
  <c r="S227" i="2"/>
  <c r="T227" i="2"/>
  <c r="U227" i="2"/>
  <c r="V227" i="2"/>
  <c r="W227" i="2"/>
  <c r="X227" i="2"/>
  <c r="Y227" i="2"/>
  <c r="Z227" i="2"/>
  <c r="AA227" i="2"/>
  <c r="AB227" i="2"/>
  <c r="AC227" i="2"/>
  <c r="AD227" i="2"/>
  <c r="AE227" i="2"/>
  <c r="AF227" i="2"/>
  <c r="AG227" i="2"/>
  <c r="AH227" i="2"/>
  <c r="AI227" i="2"/>
  <c r="AJ227" i="2"/>
  <c r="AK227" i="2"/>
  <c r="AL227" i="2"/>
  <c r="AM227" i="2"/>
  <c r="AN227" i="2"/>
  <c r="AO227" i="2"/>
  <c r="AP227" i="2"/>
  <c r="AQ227" i="2"/>
  <c r="AR227" i="2"/>
  <c r="AS227" i="2"/>
  <c r="AT227" i="2"/>
  <c r="AU227" i="2"/>
  <c r="AV227" i="2"/>
  <c r="AW227" i="2"/>
  <c r="AX227" i="2"/>
  <c r="AY227" i="2"/>
  <c r="E228" i="2"/>
  <c r="F228" i="2"/>
  <c r="G228" i="2"/>
  <c r="H228" i="2"/>
  <c r="I228" i="2"/>
  <c r="J228" i="2"/>
  <c r="K228" i="2"/>
  <c r="L228" i="2"/>
  <c r="M228" i="2"/>
  <c r="N228" i="2"/>
  <c r="O228" i="2"/>
  <c r="P228" i="2"/>
  <c r="Q228" i="2"/>
  <c r="R228" i="2"/>
  <c r="S228" i="2"/>
  <c r="T228" i="2"/>
  <c r="U228" i="2"/>
  <c r="V228" i="2"/>
  <c r="W228" i="2"/>
  <c r="X228" i="2"/>
  <c r="Y228" i="2"/>
  <c r="Z228" i="2"/>
  <c r="AA228" i="2"/>
  <c r="AB228" i="2"/>
  <c r="AC228" i="2"/>
  <c r="AD228" i="2"/>
  <c r="AE228" i="2"/>
  <c r="AF228" i="2"/>
  <c r="AG228" i="2"/>
  <c r="AH228" i="2"/>
  <c r="AI228" i="2"/>
  <c r="AJ228" i="2"/>
  <c r="AK228" i="2"/>
  <c r="AL228" i="2"/>
  <c r="AM228" i="2"/>
  <c r="AN228" i="2"/>
  <c r="AO228" i="2"/>
  <c r="AP228" i="2"/>
  <c r="AQ228" i="2"/>
  <c r="AR228" i="2"/>
  <c r="AS228" i="2"/>
  <c r="AT228" i="2"/>
  <c r="AU228" i="2"/>
  <c r="AV228" i="2"/>
  <c r="AW228" i="2"/>
  <c r="AX228" i="2"/>
  <c r="AY228" i="2"/>
  <c r="E229" i="2"/>
  <c r="F229" i="2"/>
  <c r="G229" i="2"/>
  <c r="H229" i="2"/>
  <c r="I229" i="2"/>
  <c r="J229" i="2"/>
  <c r="K229" i="2"/>
  <c r="L229" i="2"/>
  <c r="M229" i="2"/>
  <c r="N229" i="2"/>
  <c r="O229" i="2"/>
  <c r="P229" i="2"/>
  <c r="Q229" i="2"/>
  <c r="R229" i="2"/>
  <c r="S229" i="2"/>
  <c r="T229" i="2"/>
  <c r="U229" i="2"/>
  <c r="V229" i="2"/>
  <c r="W229" i="2"/>
  <c r="X229" i="2"/>
  <c r="Y229" i="2"/>
  <c r="Z229" i="2"/>
  <c r="AA229" i="2"/>
  <c r="AB229" i="2"/>
  <c r="AC229" i="2"/>
  <c r="AD229" i="2"/>
  <c r="AE229" i="2"/>
  <c r="AF229" i="2"/>
  <c r="AG229" i="2"/>
  <c r="AH229" i="2"/>
  <c r="AI229" i="2"/>
  <c r="AJ229" i="2"/>
  <c r="AK229" i="2"/>
  <c r="AL229" i="2"/>
  <c r="AM229" i="2"/>
  <c r="AN229" i="2"/>
  <c r="AO229" i="2"/>
  <c r="AP229" i="2"/>
  <c r="AQ229" i="2"/>
  <c r="AR229" i="2"/>
  <c r="AS229" i="2"/>
  <c r="AT229" i="2"/>
  <c r="AU229" i="2"/>
  <c r="AV229" i="2"/>
  <c r="AW229" i="2"/>
  <c r="AX229" i="2"/>
  <c r="AY229" i="2"/>
  <c r="E230" i="2"/>
  <c r="F230" i="2"/>
  <c r="G230" i="2"/>
  <c r="H230" i="2"/>
  <c r="I230" i="2"/>
  <c r="J230" i="2"/>
  <c r="K230" i="2"/>
  <c r="L230" i="2"/>
  <c r="M230" i="2"/>
  <c r="N230" i="2"/>
  <c r="O230" i="2"/>
  <c r="P230" i="2"/>
  <c r="Q230" i="2"/>
  <c r="R230" i="2"/>
  <c r="S230" i="2"/>
  <c r="T230" i="2"/>
  <c r="U230" i="2"/>
  <c r="V230" i="2"/>
  <c r="W230" i="2"/>
  <c r="X230" i="2"/>
  <c r="Y230" i="2"/>
  <c r="Z230" i="2"/>
  <c r="AA230" i="2"/>
  <c r="AB230" i="2"/>
  <c r="AC230" i="2"/>
  <c r="AD230" i="2"/>
  <c r="AE230" i="2"/>
  <c r="AF230" i="2"/>
  <c r="AG230" i="2"/>
  <c r="AH230" i="2"/>
  <c r="AI230" i="2"/>
  <c r="AJ230" i="2"/>
  <c r="AK230" i="2"/>
  <c r="AL230" i="2"/>
  <c r="AM230" i="2"/>
  <c r="AN230" i="2"/>
  <c r="AO230" i="2"/>
  <c r="AP230" i="2"/>
  <c r="AQ230" i="2"/>
  <c r="AR230" i="2"/>
  <c r="AS230" i="2"/>
  <c r="AT230" i="2"/>
  <c r="AU230" i="2"/>
  <c r="AV230" i="2"/>
  <c r="AW230" i="2"/>
  <c r="AX230" i="2"/>
  <c r="AY230" i="2"/>
  <c r="E231" i="2"/>
  <c r="F231" i="2"/>
  <c r="G231" i="2"/>
  <c r="H231" i="2"/>
  <c r="I231" i="2"/>
  <c r="J231" i="2"/>
  <c r="K231" i="2"/>
  <c r="L231" i="2"/>
  <c r="M231" i="2"/>
  <c r="N231" i="2"/>
  <c r="O231" i="2"/>
  <c r="P231" i="2"/>
  <c r="Q231" i="2"/>
  <c r="R231" i="2"/>
  <c r="S231" i="2"/>
  <c r="T231" i="2"/>
  <c r="U231" i="2"/>
  <c r="V231" i="2"/>
  <c r="W231" i="2"/>
  <c r="X231" i="2"/>
  <c r="Y231" i="2"/>
  <c r="Z231" i="2"/>
  <c r="AA231" i="2"/>
  <c r="AB231" i="2"/>
  <c r="AC231" i="2"/>
  <c r="AD231" i="2"/>
  <c r="AE231" i="2"/>
  <c r="AF231" i="2"/>
  <c r="AG231" i="2"/>
  <c r="AH231" i="2"/>
  <c r="AI231" i="2"/>
  <c r="AJ231" i="2"/>
  <c r="AK231" i="2"/>
  <c r="AL231" i="2"/>
  <c r="AM231" i="2"/>
  <c r="AN231" i="2"/>
  <c r="AO231" i="2"/>
  <c r="AP231" i="2"/>
  <c r="AQ231" i="2"/>
  <c r="AR231" i="2"/>
  <c r="AS231" i="2"/>
  <c r="AT231" i="2"/>
  <c r="AU231" i="2"/>
  <c r="AV231" i="2"/>
  <c r="AW231" i="2"/>
  <c r="AX231" i="2"/>
  <c r="AY231" i="2"/>
  <c r="E232" i="2"/>
  <c r="F232" i="2"/>
  <c r="G232" i="2"/>
  <c r="H232" i="2"/>
  <c r="I232" i="2"/>
  <c r="J232" i="2"/>
  <c r="K232" i="2"/>
  <c r="L232" i="2"/>
  <c r="M232" i="2"/>
  <c r="N232" i="2"/>
  <c r="O232" i="2"/>
  <c r="P232" i="2"/>
  <c r="Q232" i="2"/>
  <c r="R232" i="2"/>
  <c r="S232" i="2"/>
  <c r="T232" i="2"/>
  <c r="U232" i="2"/>
  <c r="V232" i="2"/>
  <c r="W232" i="2"/>
  <c r="X232" i="2"/>
  <c r="Y232" i="2"/>
  <c r="Z232" i="2"/>
  <c r="AA232" i="2"/>
  <c r="AB232" i="2"/>
  <c r="AC232" i="2"/>
  <c r="AD232" i="2"/>
  <c r="AE232" i="2"/>
  <c r="AF232" i="2"/>
  <c r="AG232" i="2"/>
  <c r="AH232" i="2"/>
  <c r="AI232" i="2"/>
  <c r="AJ232" i="2"/>
  <c r="AK232" i="2"/>
  <c r="AL232" i="2"/>
  <c r="AM232" i="2"/>
  <c r="AN232" i="2"/>
  <c r="AO232" i="2"/>
  <c r="AP232" i="2"/>
  <c r="AQ232" i="2"/>
  <c r="AR232" i="2"/>
  <c r="AS232" i="2"/>
  <c r="AT232" i="2"/>
  <c r="AU232" i="2"/>
  <c r="AV232" i="2"/>
  <c r="AW232" i="2"/>
  <c r="AX232" i="2"/>
  <c r="AY232" i="2"/>
  <c r="E233" i="2"/>
  <c r="F233" i="2"/>
  <c r="G233" i="2"/>
  <c r="H233" i="2"/>
  <c r="I233" i="2"/>
  <c r="J233" i="2"/>
  <c r="K233" i="2"/>
  <c r="L233" i="2"/>
  <c r="M233" i="2"/>
  <c r="N233" i="2"/>
  <c r="O233" i="2"/>
  <c r="P233" i="2"/>
  <c r="Q233" i="2"/>
  <c r="R233" i="2"/>
  <c r="S233" i="2"/>
  <c r="T233" i="2"/>
  <c r="U233" i="2"/>
  <c r="V233" i="2"/>
  <c r="W233" i="2"/>
  <c r="X233" i="2"/>
  <c r="Y233" i="2"/>
  <c r="Z233" i="2"/>
  <c r="AA233" i="2"/>
  <c r="AB233" i="2"/>
  <c r="AC233" i="2"/>
  <c r="AD233" i="2"/>
  <c r="AE233" i="2"/>
  <c r="AF233" i="2"/>
  <c r="AG233" i="2"/>
  <c r="AH233" i="2"/>
  <c r="AI233" i="2"/>
  <c r="AJ233" i="2"/>
  <c r="AK233" i="2"/>
  <c r="AL233" i="2"/>
  <c r="AM233" i="2"/>
  <c r="AN233" i="2"/>
  <c r="AO233" i="2"/>
  <c r="AP233" i="2"/>
  <c r="AQ233" i="2"/>
  <c r="AR233" i="2"/>
  <c r="AS233" i="2"/>
  <c r="AT233" i="2"/>
  <c r="AU233" i="2"/>
  <c r="AV233" i="2"/>
  <c r="AW233" i="2"/>
  <c r="AX233" i="2"/>
  <c r="AY233" i="2"/>
  <c r="E234" i="2"/>
  <c r="F234" i="2"/>
  <c r="G234" i="2"/>
  <c r="H234" i="2"/>
  <c r="I234" i="2"/>
  <c r="J234" i="2"/>
  <c r="K234" i="2"/>
  <c r="L234" i="2"/>
  <c r="M234" i="2"/>
  <c r="N234" i="2"/>
  <c r="O234" i="2"/>
  <c r="P234" i="2"/>
  <c r="Q234" i="2"/>
  <c r="R234" i="2"/>
  <c r="S234" i="2"/>
  <c r="T234" i="2"/>
  <c r="U234" i="2"/>
  <c r="V234" i="2"/>
  <c r="W234" i="2"/>
  <c r="X234" i="2"/>
  <c r="Y234" i="2"/>
  <c r="Z234" i="2"/>
  <c r="AA234" i="2"/>
  <c r="AB234" i="2"/>
  <c r="AC234" i="2"/>
  <c r="AD234" i="2"/>
  <c r="AE234" i="2"/>
  <c r="AF234" i="2"/>
  <c r="AG234" i="2"/>
  <c r="AH234" i="2"/>
  <c r="AI234" i="2"/>
  <c r="AJ234" i="2"/>
  <c r="AK234" i="2"/>
  <c r="AL234" i="2"/>
  <c r="AM234" i="2"/>
  <c r="AN234" i="2"/>
  <c r="AO234" i="2"/>
  <c r="AP234" i="2"/>
  <c r="AQ234" i="2"/>
  <c r="AR234" i="2"/>
  <c r="AS234" i="2"/>
  <c r="AT234" i="2"/>
  <c r="AU234" i="2"/>
  <c r="AV234" i="2"/>
  <c r="AW234" i="2"/>
  <c r="AX234" i="2"/>
  <c r="AY234" i="2"/>
  <c r="E235" i="2"/>
  <c r="F235" i="2"/>
  <c r="G235" i="2"/>
  <c r="H235" i="2"/>
  <c r="I235" i="2"/>
  <c r="J235" i="2"/>
  <c r="K235" i="2"/>
  <c r="L235" i="2"/>
  <c r="M235" i="2"/>
  <c r="N235" i="2"/>
  <c r="O235" i="2"/>
  <c r="P235" i="2"/>
  <c r="Q235" i="2"/>
  <c r="R235" i="2"/>
  <c r="S235" i="2"/>
  <c r="T235" i="2"/>
  <c r="U235" i="2"/>
  <c r="V235" i="2"/>
  <c r="W235" i="2"/>
  <c r="X235" i="2"/>
  <c r="Y235" i="2"/>
  <c r="Z235" i="2"/>
  <c r="AA235" i="2"/>
  <c r="AB235" i="2"/>
  <c r="AC235" i="2"/>
  <c r="AD235" i="2"/>
  <c r="AE235" i="2"/>
  <c r="AF235" i="2"/>
  <c r="AG235" i="2"/>
  <c r="AH235" i="2"/>
  <c r="AI235" i="2"/>
  <c r="AJ235" i="2"/>
  <c r="AK235" i="2"/>
  <c r="AL235" i="2"/>
  <c r="AM235" i="2"/>
  <c r="AN235" i="2"/>
  <c r="AO235" i="2"/>
  <c r="AP235" i="2"/>
  <c r="AQ235" i="2"/>
  <c r="AR235" i="2"/>
  <c r="AS235" i="2"/>
  <c r="AT235" i="2"/>
  <c r="AU235" i="2"/>
  <c r="AV235" i="2"/>
  <c r="AW235" i="2"/>
  <c r="AX235" i="2"/>
  <c r="AY235" i="2"/>
  <c r="E236" i="2"/>
  <c r="F236" i="2"/>
  <c r="G236" i="2"/>
  <c r="H236" i="2"/>
  <c r="I236" i="2"/>
  <c r="J236" i="2"/>
  <c r="K236" i="2"/>
  <c r="L236" i="2"/>
  <c r="M236" i="2"/>
  <c r="N236" i="2"/>
  <c r="O236" i="2"/>
  <c r="P236" i="2"/>
  <c r="Q236" i="2"/>
  <c r="R236" i="2"/>
  <c r="S236" i="2"/>
  <c r="T236" i="2"/>
  <c r="U236" i="2"/>
  <c r="V236" i="2"/>
  <c r="W236" i="2"/>
  <c r="X236" i="2"/>
  <c r="Y236" i="2"/>
  <c r="Z236" i="2"/>
  <c r="AA236" i="2"/>
  <c r="AB236" i="2"/>
  <c r="AC236" i="2"/>
  <c r="AD236" i="2"/>
  <c r="AE236" i="2"/>
  <c r="AF236" i="2"/>
  <c r="AG236" i="2"/>
  <c r="AH236" i="2"/>
  <c r="AI236" i="2"/>
  <c r="AJ236" i="2"/>
  <c r="AK236" i="2"/>
  <c r="AL236" i="2"/>
  <c r="AM236" i="2"/>
  <c r="AN236" i="2"/>
  <c r="AO236" i="2"/>
  <c r="AP236" i="2"/>
  <c r="AQ236" i="2"/>
  <c r="AR236" i="2"/>
  <c r="AS236" i="2"/>
  <c r="AT236" i="2"/>
  <c r="AU236" i="2"/>
  <c r="AV236" i="2"/>
  <c r="AW236" i="2"/>
  <c r="AX236" i="2"/>
  <c r="AY236" i="2"/>
  <c r="E237" i="2"/>
  <c r="F237" i="2"/>
  <c r="G237" i="2"/>
  <c r="H237" i="2"/>
  <c r="I237" i="2"/>
  <c r="J237" i="2"/>
  <c r="K237" i="2"/>
  <c r="L237" i="2"/>
  <c r="M237" i="2"/>
  <c r="N237" i="2"/>
  <c r="O237" i="2"/>
  <c r="P237" i="2"/>
  <c r="Q237" i="2"/>
  <c r="R237" i="2"/>
  <c r="S237" i="2"/>
  <c r="T237" i="2"/>
  <c r="U237" i="2"/>
  <c r="V237" i="2"/>
  <c r="W237" i="2"/>
  <c r="X237" i="2"/>
  <c r="Y237" i="2"/>
  <c r="Z237" i="2"/>
  <c r="AA237" i="2"/>
  <c r="AB237" i="2"/>
  <c r="AC237" i="2"/>
  <c r="AD237" i="2"/>
  <c r="AE237" i="2"/>
  <c r="AF237" i="2"/>
  <c r="AG237" i="2"/>
  <c r="AH237" i="2"/>
  <c r="AI237" i="2"/>
  <c r="AJ237" i="2"/>
  <c r="AK237" i="2"/>
  <c r="AL237" i="2"/>
  <c r="AM237" i="2"/>
  <c r="AN237" i="2"/>
  <c r="AO237" i="2"/>
  <c r="AP237" i="2"/>
  <c r="AQ237" i="2"/>
  <c r="AR237" i="2"/>
  <c r="AS237" i="2"/>
  <c r="AT237" i="2"/>
  <c r="AU237" i="2"/>
  <c r="AV237" i="2"/>
  <c r="AW237" i="2"/>
  <c r="AX237" i="2"/>
  <c r="AY237" i="2"/>
  <c r="E238" i="2"/>
  <c r="F238" i="2"/>
  <c r="G238" i="2"/>
  <c r="H238" i="2"/>
  <c r="I238" i="2"/>
  <c r="J238" i="2"/>
  <c r="K238" i="2"/>
  <c r="L238" i="2"/>
  <c r="M238" i="2"/>
  <c r="N238" i="2"/>
  <c r="O238" i="2"/>
  <c r="P238" i="2"/>
  <c r="Q238" i="2"/>
  <c r="R238" i="2"/>
  <c r="S238" i="2"/>
  <c r="T238" i="2"/>
  <c r="U238" i="2"/>
  <c r="V238" i="2"/>
  <c r="W238" i="2"/>
  <c r="X238" i="2"/>
  <c r="Y238" i="2"/>
  <c r="Z238" i="2"/>
  <c r="AA238" i="2"/>
  <c r="AB238" i="2"/>
  <c r="AC238" i="2"/>
  <c r="AD238" i="2"/>
  <c r="AE238" i="2"/>
  <c r="AF238" i="2"/>
  <c r="AG238" i="2"/>
  <c r="AH238" i="2"/>
  <c r="AI238" i="2"/>
  <c r="AJ238" i="2"/>
  <c r="AK238" i="2"/>
  <c r="AL238" i="2"/>
  <c r="AM238" i="2"/>
  <c r="AN238" i="2"/>
  <c r="AO238" i="2"/>
  <c r="AP238" i="2"/>
  <c r="AQ238" i="2"/>
  <c r="AR238" i="2"/>
  <c r="AS238" i="2"/>
  <c r="AT238" i="2"/>
  <c r="AU238" i="2"/>
  <c r="AV238" i="2"/>
  <c r="AW238" i="2"/>
  <c r="AX238" i="2"/>
  <c r="AY238" i="2"/>
  <c r="E239" i="2"/>
  <c r="F239" i="2"/>
  <c r="G239" i="2"/>
  <c r="H239" i="2"/>
  <c r="I239" i="2"/>
  <c r="J239" i="2"/>
  <c r="K239" i="2"/>
  <c r="L239" i="2"/>
  <c r="M239" i="2"/>
  <c r="N239" i="2"/>
  <c r="O239" i="2"/>
  <c r="P239" i="2"/>
  <c r="Q239" i="2"/>
  <c r="R239" i="2"/>
  <c r="S239" i="2"/>
  <c r="T239" i="2"/>
  <c r="U239" i="2"/>
  <c r="V239" i="2"/>
  <c r="W239" i="2"/>
  <c r="X239" i="2"/>
  <c r="Y239" i="2"/>
  <c r="Z239" i="2"/>
  <c r="AA239" i="2"/>
  <c r="AB239" i="2"/>
  <c r="AC239" i="2"/>
  <c r="AD239" i="2"/>
  <c r="AE239" i="2"/>
  <c r="AF239" i="2"/>
  <c r="AG239" i="2"/>
  <c r="AH239" i="2"/>
  <c r="AI239" i="2"/>
  <c r="AJ239" i="2"/>
  <c r="AK239" i="2"/>
  <c r="AL239" i="2"/>
  <c r="AM239" i="2"/>
  <c r="AN239" i="2"/>
  <c r="AO239" i="2"/>
  <c r="AP239" i="2"/>
  <c r="AQ239" i="2"/>
  <c r="AR239" i="2"/>
  <c r="AS239" i="2"/>
  <c r="AT239" i="2"/>
  <c r="AU239" i="2"/>
  <c r="AV239" i="2"/>
  <c r="AW239" i="2"/>
  <c r="AX239" i="2"/>
  <c r="AY239" i="2"/>
  <c r="E240" i="2"/>
  <c r="F240" i="2"/>
  <c r="G240" i="2"/>
  <c r="H240" i="2"/>
  <c r="I240" i="2"/>
  <c r="J240" i="2"/>
  <c r="K240" i="2"/>
  <c r="L240" i="2"/>
  <c r="M240" i="2"/>
  <c r="N240" i="2"/>
  <c r="O240" i="2"/>
  <c r="P240" i="2"/>
  <c r="Q240" i="2"/>
  <c r="R240" i="2"/>
  <c r="S240" i="2"/>
  <c r="T240" i="2"/>
  <c r="U240" i="2"/>
  <c r="V240" i="2"/>
  <c r="W240" i="2"/>
  <c r="X240" i="2"/>
  <c r="Y240" i="2"/>
  <c r="Z240" i="2"/>
  <c r="AA240" i="2"/>
  <c r="AB240" i="2"/>
  <c r="AC240" i="2"/>
  <c r="AD240" i="2"/>
  <c r="AE240" i="2"/>
  <c r="AF240" i="2"/>
  <c r="AG240" i="2"/>
  <c r="AH240" i="2"/>
  <c r="AI240" i="2"/>
  <c r="AJ240" i="2"/>
  <c r="AK240" i="2"/>
  <c r="AL240" i="2"/>
  <c r="AM240" i="2"/>
  <c r="AN240" i="2"/>
  <c r="AO240" i="2"/>
  <c r="AP240" i="2"/>
  <c r="AQ240" i="2"/>
  <c r="AR240" i="2"/>
  <c r="AS240" i="2"/>
  <c r="AT240" i="2"/>
  <c r="AU240" i="2"/>
  <c r="AV240" i="2"/>
  <c r="AW240" i="2"/>
  <c r="AX240" i="2"/>
  <c r="AY240" i="2"/>
  <c r="E241" i="2"/>
  <c r="F241" i="2"/>
  <c r="G241" i="2"/>
  <c r="H241" i="2"/>
  <c r="I241" i="2"/>
  <c r="J241" i="2"/>
  <c r="K241" i="2"/>
  <c r="L241" i="2"/>
  <c r="M241" i="2"/>
  <c r="N241" i="2"/>
  <c r="O241" i="2"/>
  <c r="P241" i="2"/>
  <c r="Q241" i="2"/>
  <c r="R241" i="2"/>
  <c r="S241" i="2"/>
  <c r="T241" i="2"/>
  <c r="U241" i="2"/>
  <c r="V241" i="2"/>
  <c r="W241" i="2"/>
  <c r="X241" i="2"/>
  <c r="Y241" i="2"/>
  <c r="Z241" i="2"/>
  <c r="AA241" i="2"/>
  <c r="AB241" i="2"/>
  <c r="AC241" i="2"/>
  <c r="AD241" i="2"/>
  <c r="AE241" i="2"/>
  <c r="AF241" i="2"/>
  <c r="AG241" i="2"/>
  <c r="AH241" i="2"/>
  <c r="AI241" i="2"/>
  <c r="AJ241" i="2"/>
  <c r="AK241" i="2"/>
  <c r="AL241" i="2"/>
  <c r="AM241" i="2"/>
  <c r="AN241" i="2"/>
  <c r="AO241" i="2"/>
  <c r="AP241" i="2"/>
  <c r="AQ241" i="2"/>
  <c r="AR241" i="2"/>
  <c r="AS241" i="2"/>
  <c r="AT241" i="2"/>
  <c r="AU241" i="2"/>
  <c r="AV241" i="2"/>
  <c r="AW241" i="2"/>
  <c r="AX241" i="2"/>
  <c r="AY241" i="2"/>
  <c r="E242" i="2"/>
  <c r="F242" i="2"/>
  <c r="G242" i="2"/>
  <c r="H242" i="2"/>
  <c r="I242" i="2"/>
  <c r="J242" i="2"/>
  <c r="K242" i="2"/>
  <c r="L242" i="2"/>
  <c r="M242" i="2"/>
  <c r="N242" i="2"/>
  <c r="O242" i="2"/>
  <c r="P242" i="2"/>
  <c r="Q242" i="2"/>
  <c r="R242" i="2"/>
  <c r="S242" i="2"/>
  <c r="T242" i="2"/>
  <c r="U242" i="2"/>
  <c r="V242" i="2"/>
  <c r="W242" i="2"/>
  <c r="X242" i="2"/>
  <c r="Y242" i="2"/>
  <c r="Z242" i="2"/>
  <c r="AA242" i="2"/>
  <c r="AB242" i="2"/>
  <c r="AC242" i="2"/>
  <c r="AD242" i="2"/>
  <c r="AE242" i="2"/>
  <c r="AF242" i="2"/>
  <c r="AG242" i="2"/>
  <c r="AH242" i="2"/>
  <c r="AI242" i="2"/>
  <c r="AJ242" i="2"/>
  <c r="AK242" i="2"/>
  <c r="AL242" i="2"/>
  <c r="AM242" i="2"/>
  <c r="AN242" i="2"/>
  <c r="AO242" i="2"/>
  <c r="AP242" i="2"/>
  <c r="AQ242" i="2"/>
  <c r="AR242" i="2"/>
  <c r="AS242" i="2"/>
  <c r="AT242" i="2"/>
  <c r="AU242" i="2"/>
  <c r="AV242" i="2"/>
  <c r="AW242" i="2"/>
  <c r="AX242" i="2"/>
  <c r="AY242" i="2"/>
  <c r="E243" i="2"/>
  <c r="F243" i="2"/>
  <c r="G243" i="2"/>
  <c r="H243" i="2"/>
  <c r="I243" i="2"/>
  <c r="J243" i="2"/>
  <c r="K243" i="2"/>
  <c r="L243" i="2"/>
  <c r="M243" i="2"/>
  <c r="N243" i="2"/>
  <c r="O243" i="2"/>
  <c r="P243" i="2"/>
  <c r="Q243" i="2"/>
  <c r="R243" i="2"/>
  <c r="S243" i="2"/>
  <c r="T243" i="2"/>
  <c r="U243" i="2"/>
  <c r="V243" i="2"/>
  <c r="W243" i="2"/>
  <c r="X243" i="2"/>
  <c r="Y243" i="2"/>
  <c r="Z243" i="2"/>
  <c r="AA243" i="2"/>
  <c r="AB243" i="2"/>
  <c r="AC243" i="2"/>
  <c r="AD243" i="2"/>
  <c r="AE243" i="2"/>
  <c r="AF243" i="2"/>
  <c r="AG243" i="2"/>
  <c r="AH243" i="2"/>
  <c r="AI243" i="2"/>
  <c r="AJ243" i="2"/>
  <c r="AK243" i="2"/>
  <c r="AL243" i="2"/>
  <c r="AM243" i="2"/>
  <c r="AN243" i="2"/>
  <c r="AO243" i="2"/>
  <c r="AP243" i="2"/>
  <c r="AQ243" i="2"/>
  <c r="AR243" i="2"/>
  <c r="AS243" i="2"/>
  <c r="AT243" i="2"/>
  <c r="AU243" i="2"/>
  <c r="AV243" i="2"/>
  <c r="AW243" i="2"/>
  <c r="AX243" i="2"/>
  <c r="AY243" i="2"/>
  <c r="E244" i="2"/>
  <c r="F244" i="2"/>
  <c r="G244" i="2"/>
  <c r="H244" i="2"/>
  <c r="I244" i="2"/>
  <c r="J244" i="2"/>
  <c r="K244" i="2"/>
  <c r="L244" i="2"/>
  <c r="M244" i="2"/>
  <c r="N244" i="2"/>
  <c r="O244" i="2"/>
  <c r="P244" i="2"/>
  <c r="Q244" i="2"/>
  <c r="R244" i="2"/>
  <c r="S244" i="2"/>
  <c r="T244" i="2"/>
  <c r="U244" i="2"/>
  <c r="V244" i="2"/>
  <c r="W244" i="2"/>
  <c r="X244" i="2"/>
  <c r="Y244" i="2"/>
  <c r="Z244" i="2"/>
  <c r="AA244" i="2"/>
  <c r="AB244" i="2"/>
  <c r="AC244" i="2"/>
  <c r="AD244" i="2"/>
  <c r="AE244" i="2"/>
  <c r="AF244" i="2"/>
  <c r="AG244" i="2"/>
  <c r="AH244" i="2"/>
  <c r="AI244" i="2"/>
  <c r="AJ244" i="2"/>
  <c r="AK244" i="2"/>
  <c r="AL244" i="2"/>
  <c r="AM244" i="2"/>
  <c r="AN244" i="2"/>
  <c r="AO244" i="2"/>
  <c r="AP244" i="2"/>
  <c r="AQ244" i="2"/>
  <c r="AR244" i="2"/>
  <c r="AS244" i="2"/>
  <c r="AT244" i="2"/>
  <c r="AU244" i="2"/>
  <c r="AV244" i="2"/>
  <c r="AW244" i="2"/>
  <c r="AX244" i="2"/>
  <c r="AY244" i="2"/>
  <c r="E245" i="2"/>
  <c r="F245" i="2"/>
  <c r="G245" i="2"/>
  <c r="H245" i="2"/>
  <c r="I245" i="2"/>
  <c r="J245" i="2"/>
  <c r="K245" i="2"/>
  <c r="L245" i="2"/>
  <c r="M245" i="2"/>
  <c r="N245" i="2"/>
  <c r="O245" i="2"/>
  <c r="P245" i="2"/>
  <c r="Q245" i="2"/>
  <c r="R245" i="2"/>
  <c r="S245" i="2"/>
  <c r="T245" i="2"/>
  <c r="U245" i="2"/>
  <c r="V245" i="2"/>
  <c r="W245" i="2"/>
  <c r="X245" i="2"/>
  <c r="Y245" i="2"/>
  <c r="Z245" i="2"/>
  <c r="AA245" i="2"/>
  <c r="AB245" i="2"/>
  <c r="AC245" i="2"/>
  <c r="AD245" i="2"/>
  <c r="AE245" i="2"/>
  <c r="AF245" i="2"/>
  <c r="AG245" i="2"/>
  <c r="AH245" i="2"/>
  <c r="AI245" i="2"/>
  <c r="AJ245" i="2"/>
  <c r="AK245" i="2"/>
  <c r="AL245" i="2"/>
  <c r="AM245" i="2"/>
  <c r="AN245" i="2"/>
  <c r="AO245" i="2"/>
  <c r="AP245" i="2"/>
  <c r="AQ245" i="2"/>
  <c r="AR245" i="2"/>
  <c r="AS245" i="2"/>
  <c r="AT245" i="2"/>
  <c r="AU245" i="2"/>
  <c r="AV245" i="2"/>
  <c r="AW245" i="2"/>
  <c r="AX245" i="2"/>
  <c r="AY245" i="2"/>
  <c r="E246" i="2"/>
  <c r="F246" i="2"/>
  <c r="G246" i="2"/>
  <c r="H246" i="2"/>
  <c r="I246" i="2"/>
  <c r="J246" i="2"/>
  <c r="K246" i="2"/>
  <c r="L246" i="2"/>
  <c r="M246" i="2"/>
  <c r="N246" i="2"/>
  <c r="O246" i="2"/>
  <c r="P246" i="2"/>
  <c r="Q246" i="2"/>
  <c r="R246" i="2"/>
  <c r="S246" i="2"/>
  <c r="T246" i="2"/>
  <c r="U246" i="2"/>
  <c r="V246" i="2"/>
  <c r="W246" i="2"/>
  <c r="X246" i="2"/>
  <c r="Y246" i="2"/>
  <c r="Z246" i="2"/>
  <c r="AA246" i="2"/>
  <c r="AB246" i="2"/>
  <c r="AC246" i="2"/>
  <c r="AD246" i="2"/>
  <c r="AE246" i="2"/>
  <c r="AF246" i="2"/>
  <c r="AG246" i="2"/>
  <c r="AH246" i="2"/>
  <c r="AI246" i="2"/>
  <c r="AJ246" i="2"/>
  <c r="AK246" i="2"/>
  <c r="AL246" i="2"/>
  <c r="AM246" i="2"/>
  <c r="AN246" i="2"/>
  <c r="AO246" i="2"/>
  <c r="AP246" i="2"/>
  <c r="AQ246" i="2"/>
  <c r="AR246" i="2"/>
  <c r="AS246" i="2"/>
  <c r="AT246" i="2"/>
  <c r="AU246" i="2"/>
  <c r="AV246" i="2"/>
  <c r="AW246" i="2"/>
  <c r="AX246" i="2"/>
  <c r="AY246" i="2"/>
  <c r="E247" i="2"/>
  <c r="F247" i="2"/>
  <c r="G247" i="2"/>
  <c r="H247" i="2"/>
  <c r="I247" i="2"/>
  <c r="J247" i="2"/>
  <c r="K247" i="2"/>
  <c r="L247" i="2"/>
  <c r="M247" i="2"/>
  <c r="N247" i="2"/>
  <c r="O247" i="2"/>
  <c r="P247" i="2"/>
  <c r="Q247" i="2"/>
  <c r="R247" i="2"/>
  <c r="S247" i="2"/>
  <c r="T247" i="2"/>
  <c r="U247" i="2"/>
  <c r="V247" i="2"/>
  <c r="W247" i="2"/>
  <c r="X247" i="2"/>
  <c r="Y247" i="2"/>
  <c r="Z247" i="2"/>
  <c r="AA247" i="2"/>
  <c r="AB247" i="2"/>
  <c r="AC247" i="2"/>
  <c r="AD247" i="2"/>
  <c r="AE247" i="2"/>
  <c r="AF247" i="2"/>
  <c r="AG247" i="2"/>
  <c r="AH247" i="2"/>
  <c r="AI247" i="2"/>
  <c r="AJ247" i="2"/>
  <c r="AK247" i="2"/>
  <c r="AL247" i="2"/>
  <c r="AM247" i="2"/>
  <c r="AN247" i="2"/>
  <c r="AO247" i="2"/>
  <c r="AP247" i="2"/>
  <c r="AQ247" i="2"/>
  <c r="AR247" i="2"/>
  <c r="AS247" i="2"/>
  <c r="AT247" i="2"/>
  <c r="AU247" i="2"/>
  <c r="AV247" i="2"/>
  <c r="AW247" i="2"/>
  <c r="AX247" i="2"/>
  <c r="AY247" i="2"/>
  <c r="E248" i="2"/>
  <c r="F248" i="2"/>
  <c r="G248" i="2"/>
  <c r="H248" i="2"/>
  <c r="I248" i="2"/>
  <c r="J248" i="2"/>
  <c r="K248" i="2"/>
  <c r="L248" i="2"/>
  <c r="M248" i="2"/>
  <c r="N248" i="2"/>
  <c r="O248" i="2"/>
  <c r="P248" i="2"/>
  <c r="Q248" i="2"/>
  <c r="R248" i="2"/>
  <c r="S248" i="2"/>
  <c r="T248" i="2"/>
  <c r="U248" i="2"/>
  <c r="V248" i="2"/>
  <c r="W248" i="2"/>
  <c r="X248" i="2"/>
  <c r="Y248" i="2"/>
  <c r="Z248" i="2"/>
  <c r="AA248" i="2"/>
  <c r="AB248" i="2"/>
  <c r="AC248" i="2"/>
  <c r="AD248" i="2"/>
  <c r="AE248" i="2"/>
  <c r="AF248" i="2"/>
  <c r="AG248" i="2"/>
  <c r="AH248" i="2"/>
  <c r="AI248" i="2"/>
  <c r="AJ248" i="2"/>
  <c r="AK248" i="2"/>
  <c r="AL248" i="2"/>
  <c r="AM248" i="2"/>
  <c r="AN248" i="2"/>
  <c r="AO248" i="2"/>
  <c r="AP248" i="2"/>
  <c r="AQ248" i="2"/>
  <c r="AR248" i="2"/>
  <c r="AS248" i="2"/>
  <c r="AT248" i="2"/>
  <c r="AU248" i="2"/>
  <c r="AV248" i="2"/>
  <c r="AW248" i="2"/>
  <c r="AX248" i="2"/>
  <c r="AY248" i="2"/>
  <c r="E249" i="2"/>
  <c r="F249" i="2"/>
  <c r="G249" i="2"/>
  <c r="H249" i="2"/>
  <c r="I249" i="2"/>
  <c r="J249" i="2"/>
  <c r="K249" i="2"/>
  <c r="L249" i="2"/>
  <c r="M249" i="2"/>
  <c r="N249" i="2"/>
  <c r="O249" i="2"/>
  <c r="P249" i="2"/>
  <c r="Q249" i="2"/>
  <c r="R249" i="2"/>
  <c r="S249" i="2"/>
  <c r="T249" i="2"/>
  <c r="U249" i="2"/>
  <c r="V249" i="2"/>
  <c r="W249" i="2"/>
  <c r="X249" i="2"/>
  <c r="Y249" i="2"/>
  <c r="Z249" i="2"/>
  <c r="AA249" i="2"/>
  <c r="AB249" i="2"/>
  <c r="AC249" i="2"/>
  <c r="AD249" i="2"/>
  <c r="AE249" i="2"/>
  <c r="AF249" i="2"/>
  <c r="AG249" i="2"/>
  <c r="AH249" i="2"/>
  <c r="AI249" i="2"/>
  <c r="AJ249" i="2"/>
  <c r="AK249" i="2"/>
  <c r="AL249" i="2"/>
  <c r="AM249" i="2"/>
  <c r="AN249" i="2"/>
  <c r="AO249" i="2"/>
  <c r="AP249" i="2"/>
  <c r="AQ249" i="2"/>
  <c r="AR249" i="2"/>
  <c r="AS249" i="2"/>
  <c r="AT249" i="2"/>
  <c r="AU249" i="2"/>
  <c r="AV249" i="2"/>
  <c r="AW249" i="2"/>
  <c r="AX249" i="2"/>
  <c r="AY249" i="2"/>
  <c r="E250" i="2"/>
  <c r="F250" i="2"/>
  <c r="G250" i="2"/>
  <c r="H250" i="2"/>
  <c r="I250" i="2"/>
  <c r="J250" i="2"/>
  <c r="K250" i="2"/>
  <c r="L250" i="2"/>
  <c r="M250" i="2"/>
  <c r="N250" i="2"/>
  <c r="O250" i="2"/>
  <c r="P250" i="2"/>
  <c r="Q250" i="2"/>
  <c r="R250" i="2"/>
  <c r="S250" i="2"/>
  <c r="T250" i="2"/>
  <c r="U250" i="2"/>
  <c r="V250" i="2"/>
  <c r="W250" i="2"/>
  <c r="X250" i="2"/>
  <c r="Y250" i="2"/>
  <c r="Z250" i="2"/>
  <c r="AA250" i="2"/>
  <c r="AB250" i="2"/>
  <c r="AC250" i="2"/>
  <c r="AD250" i="2"/>
  <c r="AE250" i="2"/>
  <c r="AF250" i="2"/>
  <c r="AG250" i="2"/>
  <c r="AH250" i="2"/>
  <c r="AI250" i="2"/>
  <c r="AJ250" i="2"/>
  <c r="AK250" i="2"/>
  <c r="AL250" i="2"/>
  <c r="AM250" i="2"/>
  <c r="AN250" i="2"/>
  <c r="AO250" i="2"/>
  <c r="AP250" i="2"/>
  <c r="AQ250" i="2"/>
  <c r="AR250" i="2"/>
  <c r="AS250" i="2"/>
  <c r="AT250" i="2"/>
  <c r="AU250" i="2"/>
  <c r="AV250" i="2"/>
  <c r="AW250" i="2"/>
  <c r="AX250" i="2"/>
  <c r="AY250" i="2"/>
  <c r="E251" i="2"/>
  <c r="F251" i="2"/>
  <c r="G251" i="2"/>
  <c r="H251" i="2"/>
  <c r="I251" i="2"/>
  <c r="J251" i="2"/>
  <c r="K251" i="2"/>
  <c r="L251" i="2"/>
  <c r="M251" i="2"/>
  <c r="N251" i="2"/>
  <c r="O251" i="2"/>
  <c r="P251" i="2"/>
  <c r="Q251" i="2"/>
  <c r="R251" i="2"/>
  <c r="S251" i="2"/>
  <c r="T251" i="2"/>
  <c r="U251" i="2"/>
  <c r="V251" i="2"/>
  <c r="W251" i="2"/>
  <c r="X251" i="2"/>
  <c r="Y251" i="2"/>
  <c r="Z251" i="2"/>
  <c r="AA251" i="2"/>
  <c r="AB251" i="2"/>
  <c r="AC251" i="2"/>
  <c r="AD251" i="2"/>
  <c r="AE251" i="2"/>
  <c r="AF251" i="2"/>
  <c r="AG251" i="2"/>
  <c r="AH251" i="2"/>
  <c r="AI251" i="2"/>
  <c r="AJ251" i="2"/>
  <c r="AK251" i="2"/>
  <c r="AL251" i="2"/>
  <c r="AM251" i="2"/>
  <c r="AN251" i="2"/>
  <c r="AO251" i="2"/>
  <c r="AP251" i="2"/>
  <c r="AQ251" i="2"/>
  <c r="AR251" i="2"/>
  <c r="AS251" i="2"/>
  <c r="AT251" i="2"/>
  <c r="AU251" i="2"/>
  <c r="AV251" i="2"/>
  <c r="AW251" i="2"/>
  <c r="AX251" i="2"/>
  <c r="AY251" i="2"/>
  <c r="E252" i="2"/>
  <c r="F252" i="2"/>
  <c r="G252" i="2"/>
  <c r="H252" i="2"/>
  <c r="I252" i="2"/>
  <c r="J252" i="2"/>
  <c r="K252" i="2"/>
  <c r="L252" i="2"/>
  <c r="M252" i="2"/>
  <c r="N252" i="2"/>
  <c r="O252" i="2"/>
  <c r="P252" i="2"/>
  <c r="Q252" i="2"/>
  <c r="R252" i="2"/>
  <c r="S252"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E253" i="2"/>
  <c r="F253" i="2"/>
  <c r="G253" i="2"/>
  <c r="H253" i="2"/>
  <c r="I253" i="2"/>
  <c r="J253" i="2"/>
  <c r="K253" i="2"/>
  <c r="L253" i="2"/>
  <c r="M253" i="2"/>
  <c r="N253" i="2"/>
  <c r="O253" i="2"/>
  <c r="P253" i="2"/>
  <c r="Q253" i="2"/>
  <c r="R253" i="2"/>
  <c r="S253"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E254" i="2"/>
  <c r="F254" i="2"/>
  <c r="G254" i="2"/>
  <c r="H254" i="2"/>
  <c r="I254" i="2"/>
  <c r="J254" i="2"/>
  <c r="K254" i="2"/>
  <c r="L254" i="2"/>
  <c r="M254" i="2"/>
  <c r="N254" i="2"/>
  <c r="O254" i="2"/>
  <c r="P254" i="2"/>
  <c r="Q254" i="2"/>
  <c r="R254" i="2"/>
  <c r="S254"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E255" i="2"/>
  <c r="F255" i="2"/>
  <c r="G255" i="2"/>
  <c r="H255" i="2"/>
  <c r="I255" i="2"/>
  <c r="J255" i="2"/>
  <c r="K255" i="2"/>
  <c r="L255" i="2"/>
  <c r="M255" i="2"/>
  <c r="N255" i="2"/>
  <c r="O255" i="2"/>
  <c r="P255" i="2"/>
  <c r="Q255" i="2"/>
  <c r="R255" i="2"/>
  <c r="S255"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E256" i="2"/>
  <c r="F256" i="2"/>
  <c r="G256" i="2"/>
  <c r="H256" i="2"/>
  <c r="I256" i="2"/>
  <c r="J256" i="2"/>
  <c r="K256" i="2"/>
  <c r="L256" i="2"/>
  <c r="M256" i="2"/>
  <c r="N256" i="2"/>
  <c r="O256" i="2"/>
  <c r="P256" i="2"/>
  <c r="Q256" i="2"/>
  <c r="R256" i="2"/>
  <c r="S256"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E257" i="2"/>
  <c r="F257" i="2"/>
  <c r="G257" i="2"/>
  <c r="H257" i="2"/>
  <c r="I257" i="2"/>
  <c r="J257" i="2"/>
  <c r="K257" i="2"/>
  <c r="L257" i="2"/>
  <c r="M257" i="2"/>
  <c r="N257" i="2"/>
  <c r="O257" i="2"/>
  <c r="P257" i="2"/>
  <c r="Q257" i="2"/>
  <c r="R257" i="2"/>
  <c r="S257"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E258" i="2"/>
  <c r="F258" i="2"/>
  <c r="G258" i="2"/>
  <c r="H258" i="2"/>
  <c r="I258" i="2"/>
  <c r="J258" i="2"/>
  <c r="K258" i="2"/>
  <c r="L258" i="2"/>
  <c r="M258" i="2"/>
  <c r="N258" i="2"/>
  <c r="O258" i="2"/>
  <c r="P258" i="2"/>
  <c r="Q258" i="2"/>
  <c r="R258" i="2"/>
  <c r="S258"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E259" i="2"/>
  <c r="F259" i="2"/>
  <c r="G259" i="2"/>
  <c r="H259" i="2"/>
  <c r="I259" i="2"/>
  <c r="J259" i="2"/>
  <c r="K259" i="2"/>
  <c r="L259" i="2"/>
  <c r="M259" i="2"/>
  <c r="N259" i="2"/>
  <c r="O259" i="2"/>
  <c r="P259" i="2"/>
  <c r="Q259" i="2"/>
  <c r="R259" i="2"/>
  <c r="S259"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E263" i="2"/>
  <c r="F263" i="2"/>
  <c r="G263" i="2"/>
  <c r="H263" i="2"/>
  <c r="I263" i="2"/>
  <c r="J263" i="2"/>
  <c r="K263" i="2"/>
  <c r="L263" i="2"/>
  <c r="M263" i="2"/>
  <c r="N263" i="2"/>
  <c r="O263" i="2"/>
  <c r="P263" i="2"/>
  <c r="Q263" i="2"/>
  <c r="R263" i="2"/>
  <c r="S263"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E265" i="2"/>
  <c r="F265" i="2"/>
  <c r="G265" i="2"/>
  <c r="H265" i="2"/>
  <c r="I265" i="2"/>
  <c r="J265" i="2"/>
  <c r="K265" i="2"/>
  <c r="L265" i="2"/>
  <c r="M265" i="2"/>
  <c r="N265" i="2"/>
  <c r="O265" i="2"/>
  <c r="P265" i="2"/>
  <c r="Q265" i="2"/>
  <c r="R265" i="2"/>
  <c r="S265"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E266" i="2"/>
  <c r="F266" i="2"/>
  <c r="G266" i="2"/>
  <c r="H266" i="2"/>
  <c r="I266" i="2"/>
  <c r="J266" i="2"/>
  <c r="K266" i="2"/>
  <c r="L266" i="2"/>
  <c r="M266" i="2"/>
  <c r="N266" i="2"/>
  <c r="O266" i="2"/>
  <c r="P266" i="2"/>
  <c r="Q266" i="2"/>
  <c r="R266" i="2"/>
  <c r="S266"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E267" i="2"/>
  <c r="F267" i="2"/>
  <c r="G267" i="2"/>
  <c r="H267" i="2"/>
  <c r="I267" i="2"/>
  <c r="J267" i="2"/>
  <c r="K267" i="2"/>
  <c r="L267" i="2"/>
  <c r="M267" i="2"/>
  <c r="N267" i="2"/>
  <c r="O267" i="2"/>
  <c r="P267" i="2"/>
  <c r="Q267" i="2"/>
  <c r="R267" i="2"/>
  <c r="S267"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E268" i="2"/>
  <c r="F268" i="2"/>
  <c r="G268" i="2"/>
  <c r="H268" i="2"/>
  <c r="I268" i="2"/>
  <c r="J268" i="2"/>
  <c r="K268" i="2"/>
  <c r="L268" i="2"/>
  <c r="M268" i="2"/>
  <c r="N268" i="2"/>
  <c r="O268" i="2"/>
  <c r="P268" i="2"/>
  <c r="Q268" i="2"/>
  <c r="R268" i="2"/>
  <c r="S268"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E269" i="2"/>
  <c r="F269" i="2"/>
  <c r="G269" i="2"/>
  <c r="H269" i="2"/>
  <c r="I269" i="2"/>
  <c r="J269" i="2"/>
  <c r="K269" i="2"/>
  <c r="L269" i="2"/>
  <c r="M269" i="2"/>
  <c r="N269" i="2"/>
  <c r="O269" i="2"/>
  <c r="P269" i="2"/>
  <c r="Q269" i="2"/>
  <c r="R269" i="2"/>
  <c r="S269"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E270" i="2"/>
  <c r="F270" i="2"/>
  <c r="G270" i="2"/>
  <c r="H270" i="2"/>
  <c r="I270" i="2"/>
  <c r="J270" i="2"/>
  <c r="K270" i="2"/>
  <c r="L270" i="2"/>
  <c r="M270" i="2"/>
  <c r="N270" i="2"/>
  <c r="O270" i="2"/>
  <c r="P270" i="2"/>
  <c r="Q270" i="2"/>
  <c r="R270" i="2"/>
  <c r="S270"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E271" i="2"/>
  <c r="F271" i="2"/>
  <c r="G271" i="2"/>
  <c r="H271" i="2"/>
  <c r="I271" i="2"/>
  <c r="J271" i="2"/>
  <c r="K271" i="2"/>
  <c r="L271" i="2"/>
  <c r="M271" i="2"/>
  <c r="N271" i="2"/>
  <c r="O271" i="2"/>
  <c r="P271" i="2"/>
  <c r="Q271" i="2"/>
  <c r="R271" i="2"/>
  <c r="S271"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E272" i="2"/>
  <c r="F272" i="2"/>
  <c r="G272" i="2"/>
  <c r="H272" i="2"/>
  <c r="I272" i="2"/>
  <c r="J272" i="2"/>
  <c r="K272" i="2"/>
  <c r="L272" i="2"/>
  <c r="M272" i="2"/>
  <c r="N272" i="2"/>
  <c r="O272" i="2"/>
  <c r="P272" i="2"/>
  <c r="Q272" i="2"/>
  <c r="R272" i="2"/>
  <c r="S272"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E273" i="2"/>
  <c r="F273" i="2"/>
  <c r="G273" i="2"/>
  <c r="H273" i="2"/>
  <c r="I273" i="2"/>
  <c r="J273" i="2"/>
  <c r="K273" i="2"/>
  <c r="L273" i="2"/>
  <c r="M273" i="2"/>
  <c r="N273" i="2"/>
  <c r="O273" i="2"/>
  <c r="P273" i="2"/>
  <c r="Q273" i="2"/>
  <c r="R273" i="2"/>
  <c r="S273"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E274" i="2"/>
  <c r="F274" i="2"/>
  <c r="G274" i="2"/>
  <c r="H274" i="2"/>
  <c r="I274" i="2"/>
  <c r="J274" i="2"/>
  <c r="K274" i="2"/>
  <c r="L274" i="2"/>
  <c r="M274" i="2"/>
  <c r="N274" i="2"/>
  <c r="O274" i="2"/>
  <c r="P274" i="2"/>
  <c r="Q274" i="2"/>
  <c r="R274" i="2"/>
  <c r="S274"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E275" i="2"/>
  <c r="F275" i="2"/>
  <c r="G275" i="2"/>
  <c r="H275" i="2"/>
  <c r="I275" i="2"/>
  <c r="J275" i="2"/>
  <c r="K275" i="2"/>
  <c r="L275" i="2"/>
  <c r="M275" i="2"/>
  <c r="N275" i="2"/>
  <c r="O275" i="2"/>
  <c r="P275" i="2"/>
  <c r="Q275" i="2"/>
  <c r="R275" i="2"/>
  <c r="S275"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E276" i="2"/>
  <c r="F276" i="2"/>
  <c r="G276" i="2"/>
  <c r="H276" i="2"/>
  <c r="I276" i="2"/>
  <c r="J276" i="2"/>
  <c r="K276" i="2"/>
  <c r="L276" i="2"/>
  <c r="M276" i="2"/>
  <c r="N276" i="2"/>
  <c r="O276" i="2"/>
  <c r="P276" i="2"/>
  <c r="Q276" i="2"/>
  <c r="R276" i="2"/>
  <c r="S276"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E277" i="2"/>
  <c r="F277" i="2"/>
  <c r="G277" i="2"/>
  <c r="H277" i="2"/>
  <c r="I277" i="2"/>
  <c r="J277" i="2"/>
  <c r="K277" i="2"/>
  <c r="L277" i="2"/>
  <c r="M277" i="2"/>
  <c r="N277" i="2"/>
  <c r="O277" i="2"/>
  <c r="P277" i="2"/>
  <c r="Q277" i="2"/>
  <c r="R277" i="2"/>
  <c r="S277"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E278" i="2"/>
  <c r="F278" i="2"/>
  <c r="G278" i="2"/>
  <c r="H278" i="2"/>
  <c r="I278" i="2"/>
  <c r="J278" i="2"/>
  <c r="K278" i="2"/>
  <c r="L278" i="2"/>
  <c r="M278" i="2"/>
  <c r="N278" i="2"/>
  <c r="O278" i="2"/>
  <c r="P278" i="2"/>
  <c r="Q278" i="2"/>
  <c r="R278" i="2"/>
  <c r="S278"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E279" i="2"/>
  <c r="F279" i="2"/>
  <c r="G279" i="2"/>
  <c r="H279" i="2"/>
  <c r="I279" i="2"/>
  <c r="J279" i="2"/>
  <c r="K279" i="2"/>
  <c r="L279" i="2"/>
  <c r="M279" i="2"/>
  <c r="N279" i="2"/>
  <c r="O279" i="2"/>
  <c r="P279" i="2"/>
  <c r="Q279" i="2"/>
  <c r="R279" i="2"/>
  <c r="S279"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E280" i="2"/>
  <c r="F280" i="2"/>
  <c r="G280" i="2"/>
  <c r="H280" i="2"/>
  <c r="I280" i="2"/>
  <c r="J280" i="2"/>
  <c r="K280" i="2"/>
  <c r="L280" i="2"/>
  <c r="M280" i="2"/>
  <c r="N280" i="2"/>
  <c r="O280" i="2"/>
  <c r="P280" i="2"/>
  <c r="Q280" i="2"/>
  <c r="R280" i="2"/>
  <c r="S280"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E281" i="2"/>
  <c r="F281" i="2"/>
  <c r="G281" i="2"/>
  <c r="H281" i="2"/>
  <c r="I281" i="2"/>
  <c r="J281" i="2"/>
  <c r="K281" i="2"/>
  <c r="L281" i="2"/>
  <c r="M281" i="2"/>
  <c r="N281" i="2"/>
  <c r="O281" i="2"/>
  <c r="P281" i="2"/>
  <c r="Q281" i="2"/>
  <c r="R281" i="2"/>
  <c r="S281"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E282" i="2"/>
  <c r="F282" i="2"/>
  <c r="G282" i="2"/>
  <c r="H282" i="2"/>
  <c r="I282" i="2"/>
  <c r="J282" i="2"/>
  <c r="K282" i="2"/>
  <c r="L282" i="2"/>
  <c r="M282" i="2"/>
  <c r="N282" i="2"/>
  <c r="O282" i="2"/>
  <c r="P282" i="2"/>
  <c r="Q282" i="2"/>
  <c r="R282" i="2"/>
  <c r="S282"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E283" i="2"/>
  <c r="F283" i="2"/>
  <c r="G283" i="2"/>
  <c r="H283" i="2"/>
  <c r="I283" i="2"/>
  <c r="J283" i="2"/>
  <c r="K283" i="2"/>
  <c r="L283" i="2"/>
  <c r="M283" i="2"/>
  <c r="N283" i="2"/>
  <c r="O283" i="2"/>
  <c r="P283" i="2"/>
  <c r="Q283" i="2"/>
  <c r="R283" i="2"/>
  <c r="S283" i="2"/>
  <c r="T283" i="2"/>
  <c r="U283" i="2"/>
  <c r="V283" i="2"/>
  <c r="W283" i="2"/>
  <c r="X283" i="2"/>
  <c r="Y283" i="2"/>
  <c r="Z283" i="2"/>
  <c r="AA283" i="2"/>
  <c r="AB283" i="2"/>
  <c r="AC283" i="2"/>
  <c r="AD283" i="2"/>
  <c r="AE283" i="2"/>
  <c r="AF283" i="2"/>
  <c r="AG283" i="2"/>
  <c r="AH283" i="2"/>
  <c r="AI283" i="2"/>
  <c r="AJ283" i="2"/>
  <c r="AK283" i="2"/>
  <c r="AL283" i="2"/>
  <c r="AM283" i="2"/>
  <c r="AN283" i="2"/>
  <c r="AO283" i="2"/>
  <c r="AP283" i="2"/>
  <c r="AQ283" i="2"/>
  <c r="AR283" i="2"/>
  <c r="AS283" i="2"/>
  <c r="AT283" i="2"/>
  <c r="AU283" i="2"/>
  <c r="AV283" i="2"/>
  <c r="AW283" i="2"/>
  <c r="AX283" i="2"/>
  <c r="AY283" i="2"/>
  <c r="E284" i="2"/>
  <c r="F284" i="2"/>
  <c r="G284" i="2"/>
  <c r="H284" i="2"/>
  <c r="I284" i="2"/>
  <c r="J284" i="2"/>
  <c r="K284" i="2"/>
  <c r="L284" i="2"/>
  <c r="M284" i="2"/>
  <c r="N284" i="2"/>
  <c r="O284" i="2"/>
  <c r="P284" i="2"/>
  <c r="Q284" i="2"/>
  <c r="R284" i="2"/>
  <c r="S284" i="2"/>
  <c r="T284" i="2"/>
  <c r="U284" i="2"/>
  <c r="V284" i="2"/>
  <c r="W284" i="2"/>
  <c r="X284" i="2"/>
  <c r="Y284" i="2"/>
  <c r="Z284" i="2"/>
  <c r="AA284" i="2"/>
  <c r="AB284" i="2"/>
  <c r="AC284" i="2"/>
  <c r="AD284" i="2"/>
  <c r="AE284" i="2"/>
  <c r="AF284" i="2"/>
  <c r="AG284" i="2"/>
  <c r="AH284" i="2"/>
  <c r="AI284" i="2"/>
  <c r="AJ284" i="2"/>
  <c r="AK284" i="2"/>
  <c r="AL284" i="2"/>
  <c r="AM284" i="2"/>
  <c r="AN284" i="2"/>
  <c r="AO284" i="2"/>
  <c r="AP284" i="2"/>
  <c r="AQ284" i="2"/>
  <c r="AR284" i="2"/>
  <c r="AS284" i="2"/>
  <c r="AT284" i="2"/>
  <c r="AU284" i="2"/>
  <c r="AV284" i="2"/>
  <c r="AW284" i="2"/>
  <c r="AX284" i="2"/>
  <c r="AY284" i="2"/>
  <c r="E285" i="2"/>
  <c r="F285" i="2"/>
  <c r="G285" i="2"/>
  <c r="H285" i="2"/>
  <c r="I285" i="2"/>
  <c r="J285" i="2"/>
  <c r="K285" i="2"/>
  <c r="L285" i="2"/>
  <c r="M285" i="2"/>
  <c r="N285" i="2"/>
  <c r="O285" i="2"/>
  <c r="P285" i="2"/>
  <c r="Q285" i="2"/>
  <c r="R285" i="2"/>
  <c r="S285" i="2"/>
  <c r="T285" i="2"/>
  <c r="U285" i="2"/>
  <c r="V285" i="2"/>
  <c r="W285" i="2"/>
  <c r="X285" i="2"/>
  <c r="Y285" i="2"/>
  <c r="Z285" i="2"/>
  <c r="AA285" i="2"/>
  <c r="AB285" i="2"/>
  <c r="AC285" i="2"/>
  <c r="AD285" i="2"/>
  <c r="AE285" i="2"/>
  <c r="AF285" i="2"/>
  <c r="AG285" i="2"/>
  <c r="AH285" i="2"/>
  <c r="AI285" i="2"/>
  <c r="AJ285" i="2"/>
  <c r="AK285" i="2"/>
  <c r="AL285" i="2"/>
  <c r="AM285" i="2"/>
  <c r="AN285" i="2"/>
  <c r="AO285" i="2"/>
  <c r="AP285" i="2"/>
  <c r="AQ285" i="2"/>
  <c r="AR285" i="2"/>
  <c r="AS285" i="2"/>
  <c r="AT285" i="2"/>
  <c r="AU285" i="2"/>
  <c r="AV285" i="2"/>
  <c r="AW285" i="2"/>
  <c r="AX285" i="2"/>
  <c r="AY285" i="2"/>
  <c r="E286" i="2"/>
  <c r="F286" i="2"/>
  <c r="G286" i="2"/>
  <c r="H286" i="2"/>
  <c r="I286" i="2"/>
  <c r="J286" i="2"/>
  <c r="K286" i="2"/>
  <c r="L286" i="2"/>
  <c r="M286" i="2"/>
  <c r="N286" i="2"/>
  <c r="O286" i="2"/>
  <c r="P286" i="2"/>
  <c r="Q286" i="2"/>
  <c r="R286" i="2"/>
  <c r="S286" i="2"/>
  <c r="T286" i="2"/>
  <c r="U286" i="2"/>
  <c r="V286" i="2"/>
  <c r="W286" i="2"/>
  <c r="X286" i="2"/>
  <c r="Y286" i="2"/>
  <c r="Z286" i="2"/>
  <c r="AA286" i="2"/>
  <c r="AB286" i="2"/>
  <c r="AC286" i="2"/>
  <c r="AD286" i="2"/>
  <c r="AE286" i="2"/>
  <c r="AF286" i="2"/>
  <c r="AG286" i="2"/>
  <c r="AH286" i="2"/>
  <c r="AI286" i="2"/>
  <c r="AJ286" i="2"/>
  <c r="AK286" i="2"/>
  <c r="AL286" i="2"/>
  <c r="AM286" i="2"/>
  <c r="AN286" i="2"/>
  <c r="AO286" i="2"/>
  <c r="AP286" i="2"/>
  <c r="AQ286" i="2"/>
  <c r="AR286" i="2"/>
  <c r="AS286" i="2"/>
  <c r="AT286" i="2"/>
  <c r="AU286" i="2"/>
  <c r="AV286" i="2"/>
  <c r="AW286" i="2"/>
  <c r="AX286" i="2"/>
  <c r="AY286"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E288" i="2"/>
  <c r="F288" i="2"/>
  <c r="G288" i="2"/>
  <c r="H288" i="2"/>
  <c r="I288" i="2"/>
  <c r="J288" i="2"/>
  <c r="K288" i="2"/>
  <c r="L288" i="2"/>
  <c r="M288" i="2"/>
  <c r="N288" i="2"/>
  <c r="O288" i="2"/>
  <c r="P288" i="2"/>
  <c r="Q288" i="2"/>
  <c r="R288" i="2"/>
  <c r="S288" i="2"/>
  <c r="T288" i="2"/>
  <c r="U288" i="2"/>
  <c r="V288" i="2"/>
  <c r="W288" i="2"/>
  <c r="X288" i="2"/>
  <c r="Y288" i="2"/>
  <c r="Z288" i="2"/>
  <c r="AA288" i="2"/>
  <c r="AB288" i="2"/>
  <c r="AC288" i="2"/>
  <c r="AD288" i="2"/>
  <c r="AE288" i="2"/>
  <c r="AF288" i="2"/>
  <c r="AG288" i="2"/>
  <c r="AH288" i="2"/>
  <c r="AI288" i="2"/>
  <c r="AJ288" i="2"/>
  <c r="AK288" i="2"/>
  <c r="AL288" i="2"/>
  <c r="AM288" i="2"/>
  <c r="AN288" i="2"/>
  <c r="AO288" i="2"/>
  <c r="AP288" i="2"/>
  <c r="AQ288" i="2"/>
  <c r="AR288" i="2"/>
  <c r="AS288" i="2"/>
  <c r="AT288" i="2"/>
  <c r="AU288" i="2"/>
  <c r="AV288" i="2"/>
  <c r="AW288" i="2"/>
  <c r="AX288" i="2"/>
  <c r="AY288" i="2"/>
  <c r="E289" i="2"/>
  <c r="F289" i="2"/>
  <c r="G289" i="2"/>
  <c r="H289" i="2"/>
  <c r="I289" i="2"/>
  <c r="J289" i="2"/>
  <c r="K289" i="2"/>
  <c r="L289" i="2"/>
  <c r="M289" i="2"/>
  <c r="N289" i="2"/>
  <c r="O289" i="2"/>
  <c r="P289" i="2"/>
  <c r="Q289" i="2"/>
  <c r="R289" i="2"/>
  <c r="S289" i="2"/>
  <c r="T289" i="2"/>
  <c r="U289" i="2"/>
  <c r="V289" i="2"/>
  <c r="W289" i="2"/>
  <c r="X289" i="2"/>
  <c r="Y289" i="2"/>
  <c r="Z289" i="2"/>
  <c r="AA289" i="2"/>
  <c r="AB289" i="2"/>
  <c r="AC289" i="2"/>
  <c r="AD289" i="2"/>
  <c r="AE289" i="2"/>
  <c r="AF289" i="2"/>
  <c r="AG289" i="2"/>
  <c r="AH289" i="2"/>
  <c r="AI289" i="2"/>
  <c r="AJ289" i="2"/>
  <c r="AK289" i="2"/>
  <c r="AL289" i="2"/>
  <c r="AM289" i="2"/>
  <c r="AN289" i="2"/>
  <c r="AO289" i="2"/>
  <c r="AP289" i="2"/>
  <c r="AQ289" i="2"/>
  <c r="AR289" i="2"/>
  <c r="AS289" i="2"/>
  <c r="AT289" i="2"/>
  <c r="AU289" i="2"/>
  <c r="AV289" i="2"/>
  <c r="AW289" i="2"/>
  <c r="AX289" i="2"/>
  <c r="AY289" i="2"/>
  <c r="E290" i="2"/>
  <c r="F290" i="2"/>
  <c r="G290" i="2"/>
  <c r="H290" i="2"/>
  <c r="I290" i="2"/>
  <c r="J290" i="2"/>
  <c r="K290" i="2"/>
  <c r="L290" i="2"/>
  <c r="M290" i="2"/>
  <c r="N290" i="2"/>
  <c r="O290" i="2"/>
  <c r="P290" i="2"/>
  <c r="Q290" i="2"/>
  <c r="R290" i="2"/>
  <c r="S290" i="2"/>
  <c r="T290" i="2"/>
  <c r="U290" i="2"/>
  <c r="V290" i="2"/>
  <c r="W290" i="2"/>
  <c r="X290" i="2"/>
  <c r="Y290" i="2"/>
  <c r="Z290" i="2"/>
  <c r="AA290" i="2"/>
  <c r="AB290" i="2"/>
  <c r="AC290" i="2"/>
  <c r="AD290" i="2"/>
  <c r="AE290" i="2"/>
  <c r="AF290" i="2"/>
  <c r="AG290" i="2"/>
  <c r="AH290" i="2"/>
  <c r="AI290" i="2"/>
  <c r="AJ290" i="2"/>
  <c r="AK290" i="2"/>
  <c r="AL290" i="2"/>
  <c r="AM290" i="2"/>
  <c r="AN290" i="2"/>
  <c r="AO290" i="2"/>
  <c r="AP290" i="2"/>
  <c r="AQ290" i="2"/>
  <c r="AR290" i="2"/>
  <c r="AS290" i="2"/>
  <c r="AT290" i="2"/>
  <c r="AU290" i="2"/>
  <c r="AV290" i="2"/>
  <c r="AW290" i="2"/>
  <c r="AX290" i="2"/>
  <c r="AY290" i="2"/>
  <c r="E291" i="2"/>
  <c r="F291" i="2"/>
  <c r="G291" i="2"/>
  <c r="H291" i="2"/>
  <c r="I291" i="2"/>
  <c r="J291" i="2"/>
  <c r="K291" i="2"/>
  <c r="L291" i="2"/>
  <c r="M291" i="2"/>
  <c r="N291" i="2"/>
  <c r="O291" i="2"/>
  <c r="P291" i="2"/>
  <c r="Q291" i="2"/>
  <c r="R291" i="2"/>
  <c r="S291" i="2"/>
  <c r="T291" i="2"/>
  <c r="U291" i="2"/>
  <c r="V291" i="2"/>
  <c r="W291" i="2"/>
  <c r="X291" i="2"/>
  <c r="Y291" i="2"/>
  <c r="Z291" i="2"/>
  <c r="AA291" i="2"/>
  <c r="AB291" i="2"/>
  <c r="AC291" i="2"/>
  <c r="AD291" i="2"/>
  <c r="AE291" i="2"/>
  <c r="AF291" i="2"/>
  <c r="AG291" i="2"/>
  <c r="AH291" i="2"/>
  <c r="AI291" i="2"/>
  <c r="AJ291" i="2"/>
  <c r="AK291" i="2"/>
  <c r="AL291" i="2"/>
  <c r="AM291" i="2"/>
  <c r="AN291" i="2"/>
  <c r="AO291" i="2"/>
  <c r="AP291" i="2"/>
  <c r="AQ291" i="2"/>
  <c r="AR291" i="2"/>
  <c r="AS291" i="2"/>
  <c r="AT291" i="2"/>
  <c r="AU291" i="2"/>
  <c r="AV291" i="2"/>
  <c r="AW291" i="2"/>
  <c r="AX291" i="2"/>
  <c r="AY291" i="2"/>
  <c r="E292" i="2"/>
  <c r="F292" i="2"/>
  <c r="G292" i="2"/>
  <c r="H292" i="2"/>
  <c r="I292" i="2"/>
  <c r="J292" i="2"/>
  <c r="K292" i="2"/>
  <c r="L292" i="2"/>
  <c r="M292" i="2"/>
  <c r="N292" i="2"/>
  <c r="O292" i="2"/>
  <c r="P292" i="2"/>
  <c r="Q292" i="2"/>
  <c r="R292" i="2"/>
  <c r="S292" i="2"/>
  <c r="T292" i="2"/>
  <c r="U292" i="2"/>
  <c r="V292" i="2"/>
  <c r="W292" i="2"/>
  <c r="X292" i="2"/>
  <c r="Y292" i="2"/>
  <c r="Z292" i="2"/>
  <c r="AA292" i="2"/>
  <c r="AB292" i="2"/>
  <c r="AC292" i="2"/>
  <c r="AD292" i="2"/>
  <c r="AE292" i="2"/>
  <c r="AF292" i="2"/>
  <c r="AG292" i="2"/>
  <c r="AH292" i="2"/>
  <c r="AI292" i="2"/>
  <c r="AJ292" i="2"/>
  <c r="AK292" i="2"/>
  <c r="AL292" i="2"/>
  <c r="AM292" i="2"/>
  <c r="AN292" i="2"/>
  <c r="AO292" i="2"/>
  <c r="AP292" i="2"/>
  <c r="AQ292" i="2"/>
  <c r="AR292" i="2"/>
  <c r="AS292" i="2"/>
  <c r="AT292" i="2"/>
  <c r="AU292" i="2"/>
  <c r="AV292" i="2"/>
  <c r="AW292" i="2"/>
  <c r="AX292" i="2"/>
  <c r="AY292" i="2"/>
  <c r="E293" i="2"/>
  <c r="F293" i="2"/>
  <c r="G293" i="2"/>
  <c r="H293" i="2"/>
  <c r="I293" i="2"/>
  <c r="J293" i="2"/>
  <c r="K293" i="2"/>
  <c r="L293" i="2"/>
  <c r="M293" i="2"/>
  <c r="N293" i="2"/>
  <c r="O293" i="2"/>
  <c r="P293" i="2"/>
  <c r="Q293" i="2"/>
  <c r="R293" i="2"/>
  <c r="S293" i="2"/>
  <c r="T293" i="2"/>
  <c r="U293" i="2"/>
  <c r="V293" i="2"/>
  <c r="W293" i="2"/>
  <c r="X293" i="2"/>
  <c r="Y293" i="2"/>
  <c r="Z293" i="2"/>
  <c r="AA293" i="2"/>
  <c r="AB293" i="2"/>
  <c r="AC293" i="2"/>
  <c r="AD293" i="2"/>
  <c r="AE293" i="2"/>
  <c r="AF293" i="2"/>
  <c r="AG293" i="2"/>
  <c r="AH293" i="2"/>
  <c r="AI293" i="2"/>
  <c r="AJ293" i="2"/>
  <c r="AK293" i="2"/>
  <c r="AL293" i="2"/>
  <c r="AM293" i="2"/>
  <c r="AN293" i="2"/>
  <c r="AO293" i="2"/>
  <c r="AP293" i="2"/>
  <c r="AQ293" i="2"/>
  <c r="AR293" i="2"/>
  <c r="AS293" i="2"/>
  <c r="AT293" i="2"/>
  <c r="AU293" i="2"/>
  <c r="AV293" i="2"/>
  <c r="AW293" i="2"/>
  <c r="AX293" i="2"/>
  <c r="AY293" i="2"/>
  <c r="E294" i="2"/>
  <c r="F294" i="2"/>
  <c r="G294" i="2"/>
  <c r="H294" i="2"/>
  <c r="I294" i="2"/>
  <c r="J294" i="2"/>
  <c r="K294" i="2"/>
  <c r="L294" i="2"/>
  <c r="M294" i="2"/>
  <c r="N294" i="2"/>
  <c r="O294" i="2"/>
  <c r="P294" i="2"/>
  <c r="Q294" i="2"/>
  <c r="R294" i="2"/>
  <c r="S294" i="2"/>
  <c r="T294" i="2"/>
  <c r="U294" i="2"/>
  <c r="V294" i="2"/>
  <c r="W294" i="2"/>
  <c r="X294" i="2"/>
  <c r="Y294" i="2"/>
  <c r="Z294" i="2"/>
  <c r="AA294" i="2"/>
  <c r="AB294" i="2"/>
  <c r="AC294" i="2"/>
  <c r="AD294" i="2"/>
  <c r="AE294" i="2"/>
  <c r="AF294" i="2"/>
  <c r="AG294" i="2"/>
  <c r="AH294" i="2"/>
  <c r="AI294" i="2"/>
  <c r="AJ294" i="2"/>
  <c r="AK294" i="2"/>
  <c r="AL294" i="2"/>
  <c r="AM294" i="2"/>
  <c r="AN294" i="2"/>
  <c r="AO294" i="2"/>
  <c r="AP294" i="2"/>
  <c r="AQ294" i="2"/>
  <c r="AR294" i="2"/>
  <c r="AS294" i="2"/>
  <c r="AT294" i="2"/>
  <c r="AU294" i="2"/>
  <c r="AV294" i="2"/>
  <c r="AW294" i="2"/>
  <c r="AX294" i="2"/>
  <c r="AY294" i="2"/>
  <c r="E295" i="2"/>
  <c r="F295" i="2"/>
  <c r="G295" i="2"/>
  <c r="H295" i="2"/>
  <c r="I295" i="2"/>
  <c r="J295" i="2"/>
  <c r="K295" i="2"/>
  <c r="L295" i="2"/>
  <c r="M295" i="2"/>
  <c r="N295" i="2"/>
  <c r="O295" i="2"/>
  <c r="P295" i="2"/>
  <c r="Q295" i="2"/>
  <c r="R295" i="2"/>
  <c r="S295" i="2"/>
  <c r="T295" i="2"/>
  <c r="U295" i="2"/>
  <c r="V295" i="2"/>
  <c r="W295" i="2"/>
  <c r="X295" i="2"/>
  <c r="Y295" i="2"/>
  <c r="Z295" i="2"/>
  <c r="AA295" i="2"/>
  <c r="AB295" i="2"/>
  <c r="AC295" i="2"/>
  <c r="AD295" i="2"/>
  <c r="AE295" i="2"/>
  <c r="AF295" i="2"/>
  <c r="AG295" i="2"/>
  <c r="AH295" i="2"/>
  <c r="AI295" i="2"/>
  <c r="AJ295" i="2"/>
  <c r="AK295" i="2"/>
  <c r="AL295" i="2"/>
  <c r="AM295" i="2"/>
  <c r="AN295" i="2"/>
  <c r="AO295" i="2"/>
  <c r="AP295" i="2"/>
  <c r="AQ295" i="2"/>
  <c r="AR295" i="2"/>
  <c r="AS295" i="2"/>
  <c r="AT295" i="2"/>
  <c r="AU295" i="2"/>
  <c r="AV295" i="2"/>
  <c r="AW295" i="2"/>
  <c r="AX295" i="2"/>
  <c r="AY295" i="2"/>
  <c r="E296" i="2"/>
  <c r="F296" i="2"/>
  <c r="G296" i="2"/>
  <c r="H296" i="2"/>
  <c r="I296" i="2"/>
  <c r="J296" i="2"/>
  <c r="K296" i="2"/>
  <c r="L296" i="2"/>
  <c r="M296" i="2"/>
  <c r="N296" i="2"/>
  <c r="O296" i="2"/>
  <c r="P296" i="2"/>
  <c r="Q296" i="2"/>
  <c r="R296" i="2"/>
  <c r="S296" i="2"/>
  <c r="T296" i="2"/>
  <c r="U296" i="2"/>
  <c r="V296" i="2"/>
  <c r="W296" i="2"/>
  <c r="X296" i="2"/>
  <c r="Y296" i="2"/>
  <c r="Z296" i="2"/>
  <c r="AA296" i="2"/>
  <c r="AB296" i="2"/>
  <c r="AC296" i="2"/>
  <c r="AD296" i="2"/>
  <c r="AE296" i="2"/>
  <c r="AF296" i="2"/>
  <c r="AG296" i="2"/>
  <c r="AH296" i="2"/>
  <c r="AI296" i="2"/>
  <c r="AJ296" i="2"/>
  <c r="AK296" i="2"/>
  <c r="AL296" i="2"/>
  <c r="AM296" i="2"/>
  <c r="AN296" i="2"/>
  <c r="AO296" i="2"/>
  <c r="AP296" i="2"/>
  <c r="AQ296" i="2"/>
  <c r="AR296" i="2"/>
  <c r="AS296" i="2"/>
  <c r="AT296" i="2"/>
  <c r="AU296" i="2"/>
  <c r="AV296" i="2"/>
  <c r="AW296" i="2"/>
  <c r="AX296" i="2"/>
  <c r="AY296" i="2"/>
  <c r="E297" i="2"/>
  <c r="F297" i="2"/>
  <c r="G297" i="2"/>
  <c r="H297" i="2"/>
  <c r="I297" i="2"/>
  <c r="J297" i="2"/>
  <c r="K297" i="2"/>
  <c r="L297" i="2"/>
  <c r="M297" i="2"/>
  <c r="N297" i="2"/>
  <c r="O297" i="2"/>
  <c r="P297" i="2"/>
  <c r="Q297" i="2"/>
  <c r="R297" i="2"/>
  <c r="S297" i="2"/>
  <c r="T297" i="2"/>
  <c r="U297" i="2"/>
  <c r="V297" i="2"/>
  <c r="W297" i="2"/>
  <c r="X297" i="2"/>
  <c r="Y297" i="2"/>
  <c r="Z297" i="2"/>
  <c r="AA297" i="2"/>
  <c r="AB297" i="2"/>
  <c r="AC297" i="2"/>
  <c r="AD297" i="2"/>
  <c r="AE297" i="2"/>
  <c r="AF297" i="2"/>
  <c r="AG297" i="2"/>
  <c r="AH297" i="2"/>
  <c r="AI297" i="2"/>
  <c r="AJ297" i="2"/>
  <c r="AK297" i="2"/>
  <c r="AL297" i="2"/>
  <c r="AM297" i="2"/>
  <c r="AN297" i="2"/>
  <c r="AO297" i="2"/>
  <c r="AP297" i="2"/>
  <c r="AQ297" i="2"/>
  <c r="AR297" i="2"/>
  <c r="AS297" i="2"/>
  <c r="AT297" i="2"/>
  <c r="AU297" i="2"/>
  <c r="AV297" i="2"/>
  <c r="AW297" i="2"/>
  <c r="AX297" i="2"/>
  <c r="AY297" i="2"/>
  <c r="E298" i="2"/>
  <c r="F298" i="2"/>
  <c r="G298" i="2"/>
  <c r="H298" i="2"/>
  <c r="I298" i="2"/>
  <c r="J298" i="2"/>
  <c r="K298" i="2"/>
  <c r="L298" i="2"/>
  <c r="M298" i="2"/>
  <c r="N298" i="2"/>
  <c r="O298" i="2"/>
  <c r="P298" i="2"/>
  <c r="Q298" i="2"/>
  <c r="R298" i="2"/>
  <c r="S298" i="2"/>
  <c r="T298" i="2"/>
  <c r="U298" i="2"/>
  <c r="V298" i="2"/>
  <c r="W298" i="2"/>
  <c r="X298" i="2"/>
  <c r="Y298" i="2"/>
  <c r="Z298" i="2"/>
  <c r="AA298" i="2"/>
  <c r="AB298" i="2"/>
  <c r="AC298" i="2"/>
  <c r="AD298" i="2"/>
  <c r="AE298" i="2"/>
  <c r="AF298" i="2"/>
  <c r="AG298" i="2"/>
  <c r="AH298" i="2"/>
  <c r="AI298" i="2"/>
  <c r="AJ298" i="2"/>
  <c r="AK298" i="2"/>
  <c r="AL298" i="2"/>
  <c r="AM298" i="2"/>
  <c r="AN298" i="2"/>
  <c r="AO298" i="2"/>
  <c r="AP298" i="2"/>
  <c r="AQ298" i="2"/>
  <c r="AR298" i="2"/>
  <c r="AS298" i="2"/>
  <c r="AT298" i="2"/>
  <c r="AU298" i="2"/>
  <c r="AV298" i="2"/>
  <c r="AW298" i="2"/>
  <c r="AX298" i="2"/>
  <c r="AY298" i="2"/>
  <c r="E299" i="2"/>
  <c r="F299" i="2"/>
  <c r="G299" i="2"/>
  <c r="H299" i="2"/>
  <c r="I299" i="2"/>
  <c r="J299" i="2"/>
  <c r="K299" i="2"/>
  <c r="L299" i="2"/>
  <c r="M299" i="2"/>
  <c r="N299" i="2"/>
  <c r="O299" i="2"/>
  <c r="P299" i="2"/>
  <c r="Q299" i="2"/>
  <c r="R299" i="2"/>
  <c r="S299" i="2"/>
  <c r="T299" i="2"/>
  <c r="U299" i="2"/>
  <c r="V299" i="2"/>
  <c r="W299" i="2"/>
  <c r="X299" i="2"/>
  <c r="Y299" i="2"/>
  <c r="Z299" i="2"/>
  <c r="AA299" i="2"/>
  <c r="AB299" i="2"/>
  <c r="AC299" i="2"/>
  <c r="AD299" i="2"/>
  <c r="AE299" i="2"/>
  <c r="AF299" i="2"/>
  <c r="AG299" i="2"/>
  <c r="AH299" i="2"/>
  <c r="AI299" i="2"/>
  <c r="AJ299" i="2"/>
  <c r="AK299" i="2"/>
  <c r="AL299" i="2"/>
  <c r="AM299" i="2"/>
  <c r="AN299" i="2"/>
  <c r="AO299" i="2"/>
  <c r="AP299" i="2"/>
  <c r="AQ299" i="2"/>
  <c r="AR299" i="2"/>
  <c r="AS299" i="2"/>
  <c r="AT299" i="2"/>
  <c r="AU299" i="2"/>
  <c r="AV299" i="2"/>
  <c r="AW299" i="2"/>
  <c r="AX299" i="2"/>
  <c r="AY299" i="2"/>
  <c r="E300" i="2"/>
  <c r="F300" i="2"/>
  <c r="G300" i="2"/>
  <c r="H300" i="2"/>
  <c r="I300" i="2"/>
  <c r="J300" i="2"/>
  <c r="K300" i="2"/>
  <c r="L300" i="2"/>
  <c r="M300" i="2"/>
  <c r="N300" i="2"/>
  <c r="O300" i="2"/>
  <c r="P300" i="2"/>
  <c r="Q300" i="2"/>
  <c r="R300" i="2"/>
  <c r="S300" i="2"/>
  <c r="T300" i="2"/>
  <c r="U300" i="2"/>
  <c r="V300" i="2"/>
  <c r="W300" i="2"/>
  <c r="X300" i="2"/>
  <c r="Y300" i="2"/>
  <c r="Z300" i="2"/>
  <c r="AA300" i="2"/>
  <c r="AB300" i="2"/>
  <c r="AC300" i="2"/>
  <c r="AD300" i="2"/>
  <c r="AE300" i="2"/>
  <c r="AF300" i="2"/>
  <c r="AG300" i="2"/>
  <c r="AH300" i="2"/>
  <c r="AI300" i="2"/>
  <c r="AJ300" i="2"/>
  <c r="AK300" i="2"/>
  <c r="AL300" i="2"/>
  <c r="AM300" i="2"/>
  <c r="AN300" i="2"/>
  <c r="AO300" i="2"/>
  <c r="AP300" i="2"/>
  <c r="AQ300" i="2"/>
  <c r="AR300" i="2"/>
  <c r="AS300" i="2"/>
  <c r="AT300" i="2"/>
  <c r="AU300" i="2"/>
  <c r="AV300" i="2"/>
  <c r="AW300" i="2"/>
  <c r="AX300" i="2"/>
  <c r="AY300" i="2"/>
  <c r="E301" i="2"/>
  <c r="F301" i="2"/>
  <c r="G301" i="2"/>
  <c r="H301" i="2"/>
  <c r="I301" i="2"/>
  <c r="J301" i="2"/>
  <c r="K301" i="2"/>
  <c r="L301" i="2"/>
  <c r="M301" i="2"/>
  <c r="N301" i="2"/>
  <c r="O301" i="2"/>
  <c r="P301" i="2"/>
  <c r="Q301" i="2"/>
  <c r="R301" i="2"/>
  <c r="S301" i="2"/>
  <c r="T301" i="2"/>
  <c r="U301" i="2"/>
  <c r="V301" i="2"/>
  <c r="W301" i="2"/>
  <c r="X301" i="2"/>
  <c r="Y301" i="2"/>
  <c r="Z301" i="2"/>
  <c r="AA301" i="2"/>
  <c r="AB301" i="2"/>
  <c r="AC301" i="2"/>
  <c r="AD301" i="2"/>
  <c r="AE301" i="2"/>
  <c r="AF301" i="2"/>
  <c r="AG301" i="2"/>
  <c r="AH301" i="2"/>
  <c r="AI301" i="2"/>
  <c r="AJ301" i="2"/>
  <c r="AK301" i="2"/>
  <c r="AL301" i="2"/>
  <c r="AM301" i="2"/>
  <c r="AN301" i="2"/>
  <c r="AO301" i="2"/>
  <c r="AP301" i="2"/>
  <c r="AQ301" i="2"/>
  <c r="AR301" i="2"/>
  <c r="AS301" i="2"/>
  <c r="AT301" i="2"/>
  <c r="AU301" i="2"/>
  <c r="AV301" i="2"/>
  <c r="AW301" i="2"/>
  <c r="AX301" i="2"/>
  <c r="AY301" i="2"/>
  <c r="E302" i="2"/>
  <c r="F302" i="2"/>
  <c r="G302" i="2"/>
  <c r="H302" i="2"/>
  <c r="I302" i="2"/>
  <c r="J302" i="2"/>
  <c r="K302" i="2"/>
  <c r="L302" i="2"/>
  <c r="M302" i="2"/>
  <c r="N302" i="2"/>
  <c r="O302" i="2"/>
  <c r="P302" i="2"/>
  <c r="Q302" i="2"/>
  <c r="R302" i="2"/>
  <c r="S302" i="2"/>
  <c r="T302" i="2"/>
  <c r="U302" i="2"/>
  <c r="V302" i="2"/>
  <c r="W302" i="2"/>
  <c r="X302" i="2"/>
  <c r="Y302" i="2"/>
  <c r="Z302" i="2"/>
  <c r="AA302" i="2"/>
  <c r="AB302" i="2"/>
  <c r="AC302" i="2"/>
  <c r="AD302" i="2"/>
  <c r="AE302" i="2"/>
  <c r="AF302" i="2"/>
  <c r="AG302" i="2"/>
  <c r="AH302" i="2"/>
  <c r="AI302" i="2"/>
  <c r="AJ302" i="2"/>
  <c r="AK302" i="2"/>
  <c r="AL302" i="2"/>
  <c r="AM302" i="2"/>
  <c r="AN302" i="2"/>
  <c r="AO302" i="2"/>
  <c r="AP302" i="2"/>
  <c r="AQ302" i="2"/>
  <c r="AR302" i="2"/>
  <c r="AS302" i="2"/>
  <c r="AT302" i="2"/>
  <c r="AU302" i="2"/>
  <c r="AV302" i="2"/>
  <c r="AW302" i="2"/>
  <c r="AX302" i="2"/>
  <c r="AY302"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87" i="2"/>
  <c r="D86" i="2"/>
  <c r="D85" i="2"/>
  <c r="D84" i="2"/>
  <c r="D83" i="2"/>
  <c r="D82" i="2"/>
  <c r="D81" i="2"/>
  <c r="D80" i="2"/>
  <c r="D79" i="2"/>
  <c r="D78" i="2"/>
  <c r="D77" i="2"/>
  <c r="D76" i="2"/>
  <c r="D75" i="2"/>
  <c r="D74" i="2"/>
  <c r="D73" i="2"/>
  <c r="D72" i="2"/>
  <c r="D71" i="2"/>
  <c r="D70" i="2"/>
  <c r="D69" i="2"/>
  <c r="D68" i="2"/>
  <c r="D67" i="2"/>
  <c r="D66" i="2"/>
  <c r="D64" i="2"/>
  <c r="D63" i="2"/>
  <c r="D62" i="2"/>
  <c r="D61" i="2"/>
  <c r="D60" i="2"/>
  <c r="D59" i="2"/>
  <c r="D58" i="2"/>
  <c r="D57" i="2"/>
  <c r="D56" i="2"/>
  <c r="D55" i="2"/>
  <c r="D54" i="2"/>
  <c r="D53" i="2"/>
  <c r="D52" i="2"/>
  <c r="D51" i="2"/>
  <c r="D50" i="2"/>
  <c r="D49" i="2"/>
  <c r="D48" i="2"/>
  <c r="D47"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AN4" i="2"/>
  <c r="AO4" i="2"/>
  <c r="AP4" i="2"/>
  <c r="AQ4" i="2"/>
  <c r="AR4" i="2"/>
  <c r="AS4" i="2"/>
  <c r="AT4" i="2"/>
  <c r="AU4" i="2"/>
  <c r="AV4" i="2"/>
  <c r="AW4" i="2"/>
  <c r="AX4" i="2"/>
  <c r="AY4"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O5" i="1" s="1"/>
  <c r="AY6" i="2"/>
  <c r="P5" i="1" s="1"/>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AT7" i="2"/>
  <c r="AU7" i="2"/>
  <c r="AV7" i="2"/>
  <c r="AW7" i="2"/>
  <c r="AX7" i="2"/>
  <c r="AY7" i="2"/>
  <c r="P8" i="1" s="1"/>
  <c r="E8" i="2"/>
  <c r="F8" i="2"/>
  <c r="G8" i="2"/>
  <c r="H8" i="2"/>
  <c r="I8" i="2"/>
  <c r="J8" i="2"/>
  <c r="K8" i="2"/>
  <c r="L8" i="2"/>
  <c r="M8" i="2"/>
  <c r="N8" i="2"/>
  <c r="O8" i="2"/>
  <c r="P8" i="2"/>
  <c r="Q8" i="2"/>
  <c r="R8" i="2"/>
  <c r="S8" i="2"/>
  <c r="T8" i="2"/>
  <c r="U8" i="2"/>
  <c r="V8" i="2"/>
  <c r="W8" i="2"/>
  <c r="X8" i="2"/>
  <c r="Y8" i="2"/>
  <c r="Z8" i="2"/>
  <c r="AA8" i="2"/>
  <c r="AB8" i="2"/>
  <c r="AC8" i="2"/>
  <c r="AD8" i="2"/>
  <c r="AE8" i="2"/>
  <c r="AF8" i="2"/>
  <c r="AG8" i="2"/>
  <c r="AH8" i="2"/>
  <c r="AI8" i="2"/>
  <c r="AJ8" i="2"/>
  <c r="AK8" i="2"/>
  <c r="AL8" i="2"/>
  <c r="AM8" i="2"/>
  <c r="AN8" i="2"/>
  <c r="AO8" i="2"/>
  <c r="AP8" i="2"/>
  <c r="AQ8" i="2"/>
  <c r="AR8" i="2"/>
  <c r="AS8" i="2"/>
  <c r="AT8" i="2"/>
  <c r="AU8" i="2"/>
  <c r="AV8" i="2"/>
  <c r="AW8" i="2"/>
  <c r="AX8" i="2"/>
  <c r="AY8" i="2"/>
  <c r="P19" i="1" s="1"/>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AM9" i="2"/>
  <c r="AN9" i="2"/>
  <c r="AO9" i="2"/>
  <c r="AP9" i="2"/>
  <c r="AQ9" i="2"/>
  <c r="AR9" i="2"/>
  <c r="AS9" i="2"/>
  <c r="AT9" i="2"/>
  <c r="AU9" i="2"/>
  <c r="AV9" i="2"/>
  <c r="AW9" i="2"/>
  <c r="AX9" i="2"/>
  <c r="AY9" i="2"/>
  <c r="P20" i="1" s="1"/>
  <c r="E10" i="2"/>
  <c r="F10" i="2"/>
  <c r="G10"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AM10" i="2"/>
  <c r="AN10" i="2"/>
  <c r="AO10" i="2"/>
  <c r="AP10" i="2"/>
  <c r="AQ10" i="2"/>
  <c r="AR10" i="2"/>
  <c r="AS10" i="2"/>
  <c r="AT10" i="2"/>
  <c r="AU10" i="2"/>
  <c r="AV10" i="2"/>
  <c r="AW10" i="2"/>
  <c r="AX10" i="2"/>
  <c r="AY10"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AT11" i="2"/>
  <c r="AU11" i="2"/>
  <c r="AV11" i="2"/>
  <c r="AW11" i="2"/>
  <c r="AX11" i="2"/>
  <c r="AY11" i="2"/>
  <c r="P46" i="1" s="1"/>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V15" i="2"/>
  <c r="AW15" i="2"/>
  <c r="AX15" i="2"/>
  <c r="AY15"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AT17" i="2"/>
  <c r="AU17" i="2"/>
  <c r="AV17" i="2"/>
  <c r="AW17" i="2"/>
  <c r="AX17" i="2"/>
  <c r="AY17"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AO19" i="2"/>
  <c r="AP19" i="2"/>
  <c r="AQ19" i="2"/>
  <c r="AR19" i="2"/>
  <c r="AS19" i="2"/>
  <c r="AT19" i="2"/>
  <c r="AU19" i="2"/>
  <c r="AV19" i="2"/>
  <c r="AW19" i="2"/>
  <c r="AX19" i="2"/>
  <c r="AY19"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AT20" i="2"/>
  <c r="AU20" i="2"/>
  <c r="AV20" i="2"/>
  <c r="AW20" i="2"/>
  <c r="AX20" i="2"/>
  <c r="AY20" i="2"/>
  <c r="P11" i="1" s="1"/>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V21" i="2"/>
  <c r="AW21" i="2"/>
  <c r="AX21" i="2"/>
  <c r="AY21"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AO22" i="2"/>
  <c r="AP22" i="2"/>
  <c r="AQ22" i="2"/>
  <c r="AR22" i="2"/>
  <c r="AS22" i="2"/>
  <c r="AT22" i="2"/>
  <c r="AU22" i="2"/>
  <c r="AV22" i="2"/>
  <c r="AW22" i="2"/>
  <c r="AX22" i="2"/>
  <c r="AY22" i="2"/>
  <c r="P12" i="1" s="1"/>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AU24" i="2"/>
  <c r="AV24" i="2"/>
  <c r="AW24" i="2"/>
  <c r="AX24" i="2"/>
  <c r="AY24" i="2"/>
  <c r="P6" i="1" s="1"/>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AO25" i="2"/>
  <c r="AP25" i="2"/>
  <c r="AQ25" i="2"/>
  <c r="AR25" i="2"/>
  <c r="AS25" i="2"/>
  <c r="AT25" i="2"/>
  <c r="AU25" i="2"/>
  <c r="AV25" i="2"/>
  <c r="AW25" i="2"/>
  <c r="AX25" i="2"/>
  <c r="AY25" i="2"/>
  <c r="P9" i="1" s="1"/>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AO26" i="2"/>
  <c r="AP26" i="2"/>
  <c r="AQ26" i="2"/>
  <c r="AR26" i="2"/>
  <c r="AS26" i="2"/>
  <c r="AT26" i="2"/>
  <c r="AU26" i="2"/>
  <c r="AV26" i="2"/>
  <c r="AW26" i="2"/>
  <c r="AX26" i="2"/>
  <c r="AY26" i="2"/>
  <c r="E27" i="2"/>
  <c r="F27" i="2"/>
  <c r="G27"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AM27" i="2"/>
  <c r="AN27" i="2"/>
  <c r="AO27" i="2"/>
  <c r="AP27" i="2"/>
  <c r="AQ27" i="2"/>
  <c r="AR27" i="2"/>
  <c r="AS27" i="2"/>
  <c r="AT27" i="2"/>
  <c r="AU27" i="2"/>
  <c r="AV27" i="2"/>
  <c r="AW27" i="2"/>
  <c r="AX27" i="2"/>
  <c r="AY27" i="2"/>
  <c r="P13" i="1" s="1"/>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P14" i="1" s="1"/>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AU29" i="2"/>
  <c r="AV29" i="2"/>
  <c r="AW29" i="2"/>
  <c r="AX29" i="2"/>
  <c r="AY29"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AO31" i="2"/>
  <c r="AP31" i="2"/>
  <c r="AQ31" i="2"/>
  <c r="AR31" i="2"/>
  <c r="AS31" i="2"/>
  <c r="AT31" i="2"/>
  <c r="AU31" i="2"/>
  <c r="AV31" i="2"/>
  <c r="AW31" i="2"/>
  <c r="AX31" i="2"/>
  <c r="AY31"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AO32" i="2"/>
  <c r="AP32" i="2"/>
  <c r="AQ32" i="2"/>
  <c r="AR32" i="2"/>
  <c r="AS32" i="2"/>
  <c r="AT32" i="2"/>
  <c r="AU32" i="2"/>
  <c r="AV32" i="2"/>
  <c r="AW32" i="2"/>
  <c r="AX32" i="2"/>
  <c r="AY32" i="2"/>
  <c r="P45" i="1" s="1"/>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AO33" i="2"/>
  <c r="AP33" i="2"/>
  <c r="AQ33" i="2"/>
  <c r="AR33" i="2"/>
  <c r="AS33" i="2"/>
  <c r="AT33" i="2"/>
  <c r="AU33" i="2"/>
  <c r="AV33" i="2"/>
  <c r="AW33" i="2"/>
  <c r="AX33" i="2"/>
  <c r="AY33"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P43" i="1" s="1"/>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P32" i="1" s="1"/>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P21" i="1" s="1"/>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P23" i="1" s="1"/>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P61" i="1" s="1"/>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P42" i="1" s="1"/>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E474" i="11"/>
  <c r="F474" i="11"/>
  <c r="G474" i="11"/>
  <c r="H474" i="11"/>
  <c r="I474" i="11"/>
  <c r="J474" i="11"/>
  <c r="K474" i="11"/>
  <c r="L474" i="11"/>
  <c r="M474" i="11"/>
  <c r="N474" i="11"/>
  <c r="O474" i="11"/>
  <c r="E475" i="11"/>
  <c r="F475" i="11"/>
  <c r="G475" i="11"/>
  <c r="H475" i="11"/>
  <c r="I475" i="11"/>
  <c r="J475" i="11"/>
  <c r="K475" i="11"/>
  <c r="L475" i="11"/>
  <c r="M475" i="11"/>
  <c r="N475" i="11"/>
  <c r="O475" i="11"/>
  <c r="E476" i="11"/>
  <c r="F476" i="11"/>
  <c r="G476" i="11"/>
  <c r="H476" i="11"/>
  <c r="I476" i="11"/>
  <c r="J476" i="11"/>
  <c r="K476" i="11"/>
  <c r="L476" i="11"/>
  <c r="M476" i="11"/>
  <c r="N476" i="11"/>
  <c r="O476" i="11"/>
  <c r="D475" i="11"/>
  <c r="D476" i="11"/>
  <c r="D474" i="11"/>
  <c r="E473" i="11"/>
  <c r="F473" i="11"/>
  <c r="G473" i="11"/>
  <c r="H473" i="11"/>
  <c r="I473" i="11"/>
  <c r="J473" i="11"/>
  <c r="K473" i="11"/>
  <c r="L473" i="11"/>
  <c r="M473" i="11"/>
  <c r="N473" i="11"/>
  <c r="O473" i="11"/>
  <c r="D473" i="11"/>
  <c r="E472" i="11"/>
  <c r="F472" i="11"/>
  <c r="G472" i="11"/>
  <c r="H472" i="11"/>
  <c r="I472" i="11"/>
  <c r="J472" i="11"/>
  <c r="K472" i="11"/>
  <c r="L472" i="11"/>
  <c r="M472" i="11"/>
  <c r="N472" i="11"/>
  <c r="O472" i="11"/>
  <c r="D472" i="11"/>
  <c r="E462" i="11"/>
  <c r="F462" i="11"/>
  <c r="G462" i="11"/>
  <c r="H462" i="11"/>
  <c r="I462" i="11"/>
  <c r="J462" i="11"/>
  <c r="K462" i="11"/>
  <c r="L462" i="11"/>
  <c r="M462" i="11"/>
  <c r="N462" i="11"/>
  <c r="O462" i="11"/>
  <c r="E463" i="11"/>
  <c r="F463" i="11"/>
  <c r="G463" i="11"/>
  <c r="H463" i="11"/>
  <c r="I463" i="11"/>
  <c r="J463" i="11"/>
  <c r="K463" i="11"/>
  <c r="L463" i="11"/>
  <c r="M463" i="11"/>
  <c r="N463" i="11"/>
  <c r="O463" i="11"/>
  <c r="E464" i="11"/>
  <c r="F464" i="11"/>
  <c r="G464" i="11"/>
  <c r="H464" i="11"/>
  <c r="I464" i="11"/>
  <c r="J464" i="11"/>
  <c r="K464" i="11"/>
  <c r="L464" i="11"/>
  <c r="M464" i="11"/>
  <c r="N464" i="11"/>
  <c r="O464" i="11"/>
  <c r="E465" i="11"/>
  <c r="F465" i="11"/>
  <c r="G465" i="11"/>
  <c r="H465" i="11"/>
  <c r="I465" i="11"/>
  <c r="J465" i="11"/>
  <c r="K465" i="11"/>
  <c r="L465" i="11"/>
  <c r="M465" i="11"/>
  <c r="N465" i="11"/>
  <c r="O465" i="11"/>
  <c r="E466" i="11"/>
  <c r="F466" i="11"/>
  <c r="G466" i="11"/>
  <c r="H466" i="11"/>
  <c r="I466" i="11"/>
  <c r="J466" i="11"/>
  <c r="K466" i="11"/>
  <c r="L466" i="11"/>
  <c r="M466" i="11"/>
  <c r="N466" i="11"/>
  <c r="O466" i="11"/>
  <c r="E467" i="11"/>
  <c r="F467" i="11"/>
  <c r="G467" i="11"/>
  <c r="H467" i="11"/>
  <c r="I467" i="11"/>
  <c r="J467" i="11"/>
  <c r="K467" i="11"/>
  <c r="L467" i="11"/>
  <c r="M467" i="11"/>
  <c r="N467" i="11"/>
  <c r="O467" i="11"/>
  <c r="D467" i="11"/>
  <c r="D466" i="11"/>
  <c r="D465" i="11"/>
  <c r="D464" i="11"/>
  <c r="D463" i="11"/>
  <c r="D462" i="11"/>
  <c r="E405" i="11"/>
  <c r="F405" i="11"/>
  <c r="G405" i="11"/>
  <c r="H405" i="11"/>
  <c r="I405" i="11"/>
  <c r="J405" i="11"/>
  <c r="K405" i="11"/>
  <c r="L405" i="11"/>
  <c r="M405" i="11"/>
  <c r="N405" i="11"/>
  <c r="O405" i="11"/>
  <c r="E406" i="11"/>
  <c r="F406" i="11"/>
  <c r="G406" i="11"/>
  <c r="H406" i="11"/>
  <c r="I406" i="11"/>
  <c r="J406" i="11"/>
  <c r="K406" i="11"/>
  <c r="L406" i="11"/>
  <c r="M406" i="11"/>
  <c r="N406" i="11"/>
  <c r="O406" i="11"/>
  <c r="E407" i="11"/>
  <c r="F407" i="11"/>
  <c r="G407" i="11"/>
  <c r="H407" i="11"/>
  <c r="I407" i="11"/>
  <c r="J407" i="11"/>
  <c r="K407" i="11"/>
  <c r="L407" i="11"/>
  <c r="M407" i="11"/>
  <c r="N407" i="11"/>
  <c r="O407" i="11"/>
  <c r="E408" i="11"/>
  <c r="F408" i="11"/>
  <c r="G408" i="11"/>
  <c r="H408" i="11"/>
  <c r="I408" i="11"/>
  <c r="J408" i="11"/>
  <c r="K408" i="11"/>
  <c r="L408" i="11"/>
  <c r="M408" i="11"/>
  <c r="N408" i="11"/>
  <c r="O408" i="11"/>
  <c r="E409" i="11"/>
  <c r="F409" i="11"/>
  <c r="G409" i="11"/>
  <c r="H409" i="11"/>
  <c r="I409" i="11"/>
  <c r="J409" i="11"/>
  <c r="K409" i="11"/>
  <c r="L409" i="11"/>
  <c r="M409" i="11"/>
  <c r="N409" i="11"/>
  <c r="O409" i="11"/>
  <c r="E410" i="11"/>
  <c r="F410" i="11"/>
  <c r="G410" i="11"/>
  <c r="H410" i="11"/>
  <c r="I410" i="11"/>
  <c r="J410" i="11"/>
  <c r="K410" i="11"/>
  <c r="L410" i="11"/>
  <c r="M410" i="11"/>
  <c r="N410" i="11"/>
  <c r="O410" i="11"/>
  <c r="E411" i="11"/>
  <c r="F411" i="11"/>
  <c r="G411" i="11"/>
  <c r="H411" i="11"/>
  <c r="I411" i="11"/>
  <c r="J411" i="11"/>
  <c r="K411" i="11"/>
  <c r="L411" i="11"/>
  <c r="M411" i="11"/>
  <c r="O411" i="11"/>
  <c r="E413" i="11"/>
  <c r="F413" i="11"/>
  <c r="G413" i="11"/>
  <c r="H413" i="11"/>
  <c r="I413" i="11"/>
  <c r="J413" i="11"/>
  <c r="K413" i="11"/>
  <c r="L413" i="11"/>
  <c r="M413" i="11"/>
  <c r="N413" i="11"/>
  <c r="O413" i="11"/>
  <c r="E414" i="11"/>
  <c r="F414" i="11"/>
  <c r="G414" i="11"/>
  <c r="H414" i="11"/>
  <c r="I414" i="11"/>
  <c r="J414" i="11"/>
  <c r="K414" i="11"/>
  <c r="L414" i="11"/>
  <c r="M414" i="11"/>
  <c r="N414" i="11"/>
  <c r="O414" i="11"/>
  <c r="E415" i="11"/>
  <c r="F415" i="11"/>
  <c r="G415" i="11"/>
  <c r="H415" i="11"/>
  <c r="I415" i="11"/>
  <c r="J415" i="11"/>
  <c r="K415" i="11"/>
  <c r="L415" i="11"/>
  <c r="M415" i="11"/>
  <c r="N415" i="11"/>
  <c r="O415" i="11"/>
  <c r="E416" i="11"/>
  <c r="F416" i="11"/>
  <c r="G416" i="11"/>
  <c r="H416" i="11"/>
  <c r="I416" i="11"/>
  <c r="J416" i="11"/>
  <c r="K416" i="11"/>
  <c r="L416" i="11"/>
  <c r="M416" i="11"/>
  <c r="N416" i="11"/>
  <c r="O416" i="11"/>
  <c r="E417" i="11"/>
  <c r="F417" i="11"/>
  <c r="G417" i="11"/>
  <c r="H417" i="11"/>
  <c r="I417" i="11"/>
  <c r="J417" i="11"/>
  <c r="K417" i="11"/>
  <c r="L417" i="11"/>
  <c r="M417" i="11"/>
  <c r="N417" i="11"/>
  <c r="O417" i="11"/>
  <c r="E418" i="11"/>
  <c r="F418" i="11"/>
  <c r="G418" i="11"/>
  <c r="H418" i="11"/>
  <c r="I418" i="11"/>
  <c r="J418" i="11"/>
  <c r="K418" i="11"/>
  <c r="L418" i="11"/>
  <c r="M418" i="11"/>
  <c r="N418" i="11"/>
  <c r="O418" i="11"/>
  <c r="E419" i="11"/>
  <c r="F419" i="11"/>
  <c r="G419" i="11"/>
  <c r="H419" i="11"/>
  <c r="I419" i="11"/>
  <c r="J419" i="11"/>
  <c r="K419" i="11"/>
  <c r="L419" i="11"/>
  <c r="M419" i="11"/>
  <c r="N419" i="11"/>
  <c r="O419" i="11"/>
  <c r="E421" i="11"/>
  <c r="F421" i="11"/>
  <c r="G421" i="11"/>
  <c r="H421" i="11"/>
  <c r="I421" i="11"/>
  <c r="J421" i="11"/>
  <c r="K421" i="11"/>
  <c r="L421" i="11"/>
  <c r="M421" i="11"/>
  <c r="N421" i="11"/>
  <c r="O421" i="11"/>
  <c r="E422" i="11"/>
  <c r="F422" i="11"/>
  <c r="G422" i="11"/>
  <c r="H422" i="11"/>
  <c r="I422" i="11"/>
  <c r="J422" i="11"/>
  <c r="K422" i="11"/>
  <c r="L422" i="11"/>
  <c r="M422" i="11"/>
  <c r="N422" i="11"/>
  <c r="O422" i="11"/>
  <c r="E423" i="11"/>
  <c r="F423" i="11"/>
  <c r="G423" i="11"/>
  <c r="H423" i="11"/>
  <c r="I423" i="11"/>
  <c r="J423" i="11"/>
  <c r="K423" i="11"/>
  <c r="L423" i="11"/>
  <c r="M423" i="11"/>
  <c r="N423" i="11"/>
  <c r="O423" i="11"/>
  <c r="E424" i="11"/>
  <c r="F424" i="11"/>
  <c r="G424" i="11"/>
  <c r="H424" i="11"/>
  <c r="I424" i="11"/>
  <c r="J424" i="11"/>
  <c r="K424" i="11"/>
  <c r="L424" i="11"/>
  <c r="M424" i="11"/>
  <c r="N424" i="11"/>
  <c r="O424" i="11"/>
  <c r="E425" i="11"/>
  <c r="F425" i="11"/>
  <c r="G425" i="11"/>
  <c r="H425" i="11"/>
  <c r="I425" i="11"/>
  <c r="J425" i="11"/>
  <c r="K425" i="11"/>
  <c r="L425" i="11"/>
  <c r="M425" i="11"/>
  <c r="N425" i="11"/>
  <c r="O425" i="11"/>
  <c r="E426" i="11"/>
  <c r="F426" i="11"/>
  <c r="G426" i="11"/>
  <c r="H426" i="11"/>
  <c r="I426" i="11"/>
  <c r="J426" i="11"/>
  <c r="K426" i="11"/>
  <c r="L426" i="11"/>
  <c r="M426" i="11"/>
  <c r="N426" i="11"/>
  <c r="O426" i="11"/>
  <c r="E427" i="11"/>
  <c r="F427" i="11"/>
  <c r="G427" i="11"/>
  <c r="H427" i="11"/>
  <c r="I427" i="11"/>
  <c r="J427" i="11"/>
  <c r="K427" i="11"/>
  <c r="L427" i="11"/>
  <c r="M427" i="11"/>
  <c r="N427" i="11"/>
  <c r="O427" i="11"/>
  <c r="E429" i="11"/>
  <c r="F429" i="11"/>
  <c r="G429" i="11"/>
  <c r="H429" i="11"/>
  <c r="I429" i="11"/>
  <c r="J429" i="11"/>
  <c r="K429" i="11"/>
  <c r="L429" i="11"/>
  <c r="M429" i="11"/>
  <c r="N429" i="11"/>
  <c r="O429" i="11"/>
  <c r="E430" i="11"/>
  <c r="F430" i="11"/>
  <c r="G430" i="11"/>
  <c r="H430" i="11"/>
  <c r="I430" i="11"/>
  <c r="J430" i="11"/>
  <c r="K430" i="11"/>
  <c r="L430" i="11"/>
  <c r="M430" i="11"/>
  <c r="N430" i="11"/>
  <c r="O430" i="11"/>
  <c r="E431" i="11"/>
  <c r="F431" i="11"/>
  <c r="G431" i="11"/>
  <c r="H431" i="11"/>
  <c r="I431" i="11"/>
  <c r="J431" i="11"/>
  <c r="K431" i="11"/>
  <c r="L431" i="11"/>
  <c r="M431" i="11"/>
  <c r="N431" i="11"/>
  <c r="O431" i="11"/>
  <c r="E432" i="11"/>
  <c r="F432" i="11"/>
  <c r="G432" i="11"/>
  <c r="H432" i="11"/>
  <c r="I432" i="11"/>
  <c r="J432" i="11"/>
  <c r="K432" i="11"/>
  <c r="L432" i="11"/>
  <c r="M432" i="11"/>
  <c r="N432" i="11"/>
  <c r="O432" i="11"/>
  <c r="E433" i="11"/>
  <c r="F433" i="11"/>
  <c r="G433" i="11"/>
  <c r="H433" i="11"/>
  <c r="I433" i="11"/>
  <c r="J433" i="11"/>
  <c r="K433" i="11"/>
  <c r="L433" i="11"/>
  <c r="M433" i="11"/>
  <c r="N433" i="11"/>
  <c r="O433" i="11"/>
  <c r="E434" i="11"/>
  <c r="F434" i="11"/>
  <c r="G434" i="11"/>
  <c r="H434" i="11"/>
  <c r="I434" i="11"/>
  <c r="J434" i="11"/>
  <c r="K434" i="11"/>
  <c r="L434" i="11"/>
  <c r="M434" i="11"/>
  <c r="N434" i="11"/>
  <c r="O434" i="11"/>
  <c r="E435" i="11"/>
  <c r="F435" i="11"/>
  <c r="G435" i="11"/>
  <c r="H435" i="11"/>
  <c r="I435" i="11"/>
  <c r="J435" i="11"/>
  <c r="K435" i="11"/>
  <c r="L435" i="11"/>
  <c r="M435" i="11"/>
  <c r="N435" i="11"/>
  <c r="O435" i="11"/>
  <c r="E437" i="11"/>
  <c r="F437" i="11"/>
  <c r="G437" i="11"/>
  <c r="H437" i="11"/>
  <c r="I437" i="11"/>
  <c r="J437" i="11"/>
  <c r="K437" i="11"/>
  <c r="L437" i="11"/>
  <c r="M437" i="11"/>
  <c r="N437" i="11"/>
  <c r="O437" i="11"/>
  <c r="E438" i="11"/>
  <c r="F438" i="11"/>
  <c r="G438" i="11"/>
  <c r="H438" i="11"/>
  <c r="I438" i="11"/>
  <c r="J438" i="11"/>
  <c r="K438" i="11"/>
  <c r="L438" i="11"/>
  <c r="M438" i="11"/>
  <c r="N438" i="11"/>
  <c r="O438" i="11"/>
  <c r="E439" i="11"/>
  <c r="F439" i="11"/>
  <c r="G439" i="11"/>
  <c r="H439" i="11"/>
  <c r="I439" i="11"/>
  <c r="J439" i="11"/>
  <c r="K439" i="11"/>
  <c r="L439" i="11"/>
  <c r="M439" i="11"/>
  <c r="N439" i="11"/>
  <c r="O439" i="11"/>
  <c r="E440" i="11"/>
  <c r="F440" i="11"/>
  <c r="G440" i="11"/>
  <c r="H440" i="11"/>
  <c r="I440" i="11"/>
  <c r="J440" i="11"/>
  <c r="K440" i="11"/>
  <c r="L440" i="11"/>
  <c r="M440" i="11"/>
  <c r="N440" i="11"/>
  <c r="O440" i="11"/>
  <c r="E441" i="11"/>
  <c r="F441" i="11"/>
  <c r="G441" i="11"/>
  <c r="H441" i="11"/>
  <c r="I441" i="11"/>
  <c r="J441" i="11"/>
  <c r="K441" i="11"/>
  <c r="L441" i="11"/>
  <c r="M441" i="11"/>
  <c r="N441" i="11"/>
  <c r="O441" i="11"/>
  <c r="E442" i="11"/>
  <c r="F442" i="11"/>
  <c r="G442" i="11"/>
  <c r="H442" i="11"/>
  <c r="I442" i="11"/>
  <c r="J442" i="11"/>
  <c r="K442" i="11"/>
  <c r="L442" i="11"/>
  <c r="M442" i="11"/>
  <c r="N442" i="11"/>
  <c r="O442" i="11"/>
  <c r="E443" i="11"/>
  <c r="F443" i="11"/>
  <c r="G443" i="11"/>
  <c r="H443" i="11"/>
  <c r="I443" i="11"/>
  <c r="J443" i="11"/>
  <c r="K443" i="11"/>
  <c r="L443" i="11"/>
  <c r="M443" i="11"/>
  <c r="N443" i="11"/>
  <c r="O443" i="11"/>
  <c r="E445" i="11"/>
  <c r="F445" i="11"/>
  <c r="G445" i="11"/>
  <c r="H445" i="11"/>
  <c r="I445" i="11"/>
  <c r="J445" i="11"/>
  <c r="K445" i="11"/>
  <c r="L445" i="11"/>
  <c r="M445" i="11"/>
  <c r="N445" i="11"/>
  <c r="O445" i="11"/>
  <c r="E446" i="11"/>
  <c r="F446" i="11"/>
  <c r="G446" i="11"/>
  <c r="H446" i="11"/>
  <c r="I446" i="11"/>
  <c r="J446" i="11"/>
  <c r="K446" i="11"/>
  <c r="L446" i="11"/>
  <c r="M446" i="11"/>
  <c r="N446" i="11"/>
  <c r="O446" i="11"/>
  <c r="E447" i="11"/>
  <c r="F447" i="11"/>
  <c r="G447" i="11"/>
  <c r="H447" i="11"/>
  <c r="I447" i="11"/>
  <c r="J447" i="11"/>
  <c r="K447" i="11"/>
  <c r="L447" i="11"/>
  <c r="M447" i="11"/>
  <c r="N447" i="11"/>
  <c r="O447" i="11"/>
  <c r="E448" i="11"/>
  <c r="F448" i="11"/>
  <c r="G448" i="11"/>
  <c r="H448" i="11"/>
  <c r="I448" i="11"/>
  <c r="J448" i="11"/>
  <c r="K448" i="11"/>
  <c r="L448" i="11"/>
  <c r="M448" i="11"/>
  <c r="N448" i="11"/>
  <c r="O448" i="11"/>
  <c r="E449" i="11"/>
  <c r="F449" i="11"/>
  <c r="G449" i="11"/>
  <c r="H449" i="11"/>
  <c r="I449" i="11"/>
  <c r="J449" i="11"/>
  <c r="K449" i="11"/>
  <c r="L449" i="11"/>
  <c r="M449" i="11"/>
  <c r="N449" i="11"/>
  <c r="O449" i="11"/>
  <c r="E450" i="11"/>
  <c r="F450" i="11"/>
  <c r="G450" i="11"/>
  <c r="H450" i="11"/>
  <c r="I450" i="11"/>
  <c r="J450" i="11"/>
  <c r="K450" i="11"/>
  <c r="L450" i="11"/>
  <c r="M450" i="11"/>
  <c r="N450" i="11"/>
  <c r="O450" i="11"/>
  <c r="E451" i="11"/>
  <c r="F451" i="11"/>
  <c r="G451" i="11"/>
  <c r="H451" i="11"/>
  <c r="I451" i="11"/>
  <c r="J451" i="11"/>
  <c r="K451" i="11"/>
  <c r="L451" i="11"/>
  <c r="M451" i="11"/>
  <c r="N451" i="11"/>
  <c r="O451" i="11"/>
  <c r="E453" i="11"/>
  <c r="F453" i="11"/>
  <c r="G453" i="11"/>
  <c r="H453" i="11"/>
  <c r="I453" i="11"/>
  <c r="J453" i="11"/>
  <c r="K453" i="11"/>
  <c r="L453" i="11"/>
  <c r="M453" i="11"/>
  <c r="N453" i="11"/>
  <c r="O453" i="11"/>
  <c r="E454" i="11"/>
  <c r="F454" i="11"/>
  <c r="G454" i="11"/>
  <c r="H454" i="11"/>
  <c r="I454" i="11"/>
  <c r="J454" i="11"/>
  <c r="K454" i="11"/>
  <c r="L454" i="11"/>
  <c r="M454" i="11"/>
  <c r="N454" i="11"/>
  <c r="O454" i="11"/>
  <c r="E455" i="11"/>
  <c r="F455" i="11"/>
  <c r="G455" i="11"/>
  <c r="H455" i="11"/>
  <c r="I455" i="11"/>
  <c r="J455" i="11"/>
  <c r="K455" i="11"/>
  <c r="L455" i="11"/>
  <c r="M455" i="11"/>
  <c r="N455" i="11"/>
  <c r="O455" i="11"/>
  <c r="E456" i="11"/>
  <c r="F456" i="11"/>
  <c r="G456" i="11"/>
  <c r="H456" i="11"/>
  <c r="I456" i="11"/>
  <c r="J456" i="11"/>
  <c r="K456" i="11"/>
  <c r="L456" i="11"/>
  <c r="M456" i="11"/>
  <c r="N456" i="11"/>
  <c r="O456" i="11"/>
  <c r="E457" i="11"/>
  <c r="F457" i="11"/>
  <c r="G457" i="11"/>
  <c r="H457" i="11"/>
  <c r="I457" i="11"/>
  <c r="J457" i="11"/>
  <c r="K457" i="11"/>
  <c r="L457" i="11"/>
  <c r="M457" i="11"/>
  <c r="N457" i="11"/>
  <c r="O457" i="11"/>
  <c r="E458" i="11"/>
  <c r="F458" i="11"/>
  <c r="G458" i="11"/>
  <c r="H458" i="11"/>
  <c r="I458" i="11"/>
  <c r="J458" i="11"/>
  <c r="K458" i="11"/>
  <c r="L458" i="11"/>
  <c r="M458" i="11"/>
  <c r="N458" i="11"/>
  <c r="O458" i="11"/>
  <c r="E459" i="11"/>
  <c r="F459" i="11"/>
  <c r="G459" i="11"/>
  <c r="H459" i="11"/>
  <c r="I459" i="11"/>
  <c r="J459" i="11"/>
  <c r="K459" i="11"/>
  <c r="L459" i="11"/>
  <c r="M459" i="11"/>
  <c r="N459" i="11"/>
  <c r="O459" i="11"/>
  <c r="E460" i="11"/>
  <c r="F460" i="11"/>
  <c r="G460" i="11"/>
  <c r="H460" i="11"/>
  <c r="I460" i="11"/>
  <c r="J460" i="11"/>
  <c r="K460" i="11"/>
  <c r="L460" i="11"/>
  <c r="M460" i="11"/>
  <c r="N460" i="11"/>
  <c r="O460" i="11"/>
  <c r="D460" i="11"/>
  <c r="D459" i="11"/>
  <c r="D458" i="11"/>
  <c r="D457" i="11"/>
  <c r="D456" i="11"/>
  <c r="D455" i="11"/>
  <c r="D454" i="11"/>
  <c r="D453" i="11"/>
  <c r="D451" i="11"/>
  <c r="D450" i="11"/>
  <c r="D449" i="11"/>
  <c r="D448" i="11"/>
  <c r="D447" i="11"/>
  <c r="D446" i="11"/>
  <c r="D445" i="11"/>
  <c r="D443" i="11"/>
  <c r="D442" i="11"/>
  <c r="D441" i="11"/>
  <c r="D440" i="11"/>
  <c r="D439" i="11"/>
  <c r="D438" i="11"/>
  <c r="D437" i="11"/>
  <c r="D435" i="11"/>
  <c r="D434" i="11"/>
  <c r="D433" i="11"/>
  <c r="D432" i="11"/>
  <c r="D431" i="11"/>
  <c r="D430" i="11"/>
  <c r="D429" i="11"/>
  <c r="D427" i="11"/>
  <c r="D426" i="11"/>
  <c r="D425" i="11"/>
  <c r="D424" i="11"/>
  <c r="D423" i="11"/>
  <c r="D422" i="11"/>
  <c r="D421" i="11"/>
  <c r="D419" i="11"/>
  <c r="D418" i="11"/>
  <c r="D417" i="11"/>
  <c r="D416" i="11"/>
  <c r="D415" i="11"/>
  <c r="D414" i="11"/>
  <c r="D413" i="11"/>
  <c r="D411" i="11"/>
  <c r="D410" i="11"/>
  <c r="D409" i="11"/>
  <c r="D408" i="11"/>
  <c r="D407" i="11"/>
  <c r="D406" i="11"/>
  <c r="D405" i="11"/>
  <c r="E403" i="11"/>
  <c r="F403" i="11"/>
  <c r="G403" i="11"/>
  <c r="H403" i="11"/>
  <c r="I403" i="11"/>
  <c r="J403" i="11"/>
  <c r="K403" i="11"/>
  <c r="L403" i="11"/>
  <c r="M403" i="11"/>
  <c r="N403" i="11"/>
  <c r="O403" i="11"/>
  <c r="D403" i="11"/>
  <c r="E351" i="11"/>
  <c r="F351" i="11"/>
  <c r="G351" i="11"/>
  <c r="H351" i="11"/>
  <c r="I351" i="11"/>
  <c r="J351" i="11"/>
  <c r="K351" i="11"/>
  <c r="L351" i="11"/>
  <c r="M351" i="11"/>
  <c r="N351" i="11"/>
  <c r="O351" i="11"/>
  <c r="E352" i="11"/>
  <c r="F352" i="11"/>
  <c r="G352" i="11"/>
  <c r="H352" i="11"/>
  <c r="I352" i="11"/>
  <c r="J352" i="11"/>
  <c r="K352" i="11"/>
  <c r="L352" i="11"/>
  <c r="M352" i="11"/>
  <c r="N352" i="11"/>
  <c r="O352" i="11"/>
  <c r="E353" i="11"/>
  <c r="F353" i="11"/>
  <c r="G353" i="11"/>
  <c r="H353" i="11"/>
  <c r="I353" i="11"/>
  <c r="J353" i="11"/>
  <c r="K353" i="11"/>
  <c r="L353" i="11"/>
  <c r="M353" i="11"/>
  <c r="N353" i="11"/>
  <c r="O353" i="11"/>
  <c r="E354" i="11"/>
  <c r="F354" i="11"/>
  <c r="G354" i="11"/>
  <c r="H354" i="11"/>
  <c r="I354" i="11"/>
  <c r="J354" i="11"/>
  <c r="K354" i="11"/>
  <c r="L354" i="11"/>
  <c r="M354" i="11"/>
  <c r="N354" i="11"/>
  <c r="O354" i="11"/>
  <c r="E355" i="11"/>
  <c r="F355" i="11"/>
  <c r="G355" i="11"/>
  <c r="H355" i="11"/>
  <c r="I355" i="11"/>
  <c r="J355" i="11"/>
  <c r="K355" i="11"/>
  <c r="L355" i="11"/>
  <c r="M355" i="11"/>
  <c r="N355" i="11"/>
  <c r="O355" i="11"/>
  <c r="E356" i="11"/>
  <c r="F356" i="11"/>
  <c r="G356" i="11"/>
  <c r="H356" i="11"/>
  <c r="I356" i="11"/>
  <c r="J356" i="11"/>
  <c r="K356" i="11"/>
  <c r="L356" i="11"/>
  <c r="M356" i="11"/>
  <c r="N356" i="11"/>
  <c r="O356" i="11"/>
  <c r="E357" i="11"/>
  <c r="F357" i="11"/>
  <c r="G357" i="11"/>
  <c r="H357" i="11"/>
  <c r="I357" i="11"/>
  <c r="J357" i="11"/>
  <c r="K357" i="11"/>
  <c r="L357" i="11"/>
  <c r="M357" i="11"/>
  <c r="N357" i="11"/>
  <c r="O357" i="11"/>
  <c r="D357" i="11"/>
  <c r="D356" i="11"/>
  <c r="D355" i="11"/>
  <c r="D354" i="11"/>
  <c r="D353" i="11"/>
  <c r="D352" i="11"/>
  <c r="D351" i="11"/>
  <c r="E341" i="11"/>
  <c r="F341" i="11"/>
  <c r="G341" i="11"/>
  <c r="H341" i="11"/>
  <c r="I341" i="11"/>
  <c r="J341" i="11"/>
  <c r="K341" i="11"/>
  <c r="L341" i="11"/>
  <c r="M341" i="11"/>
  <c r="N341" i="11"/>
  <c r="O341" i="11"/>
  <c r="E342" i="11"/>
  <c r="F342" i="11"/>
  <c r="G342" i="11"/>
  <c r="H342" i="11"/>
  <c r="I342" i="11"/>
  <c r="J342" i="11"/>
  <c r="K342" i="11"/>
  <c r="L342" i="11"/>
  <c r="M342" i="11"/>
  <c r="N342" i="11"/>
  <c r="O342" i="11"/>
  <c r="E343" i="11"/>
  <c r="F343" i="11"/>
  <c r="G343" i="11"/>
  <c r="H343" i="11"/>
  <c r="I343" i="11"/>
  <c r="J343" i="11"/>
  <c r="K343" i="11"/>
  <c r="L343" i="11"/>
  <c r="M343" i="11"/>
  <c r="N343" i="11"/>
  <c r="O343" i="11"/>
  <c r="E344" i="11"/>
  <c r="F344" i="11"/>
  <c r="G344" i="11"/>
  <c r="H344" i="11"/>
  <c r="I344" i="11"/>
  <c r="J344" i="11"/>
  <c r="K344" i="11"/>
  <c r="L344" i="11"/>
  <c r="M344" i="11"/>
  <c r="N344" i="11"/>
  <c r="O344" i="11"/>
  <c r="E345" i="11"/>
  <c r="F345" i="11"/>
  <c r="G345" i="11"/>
  <c r="H345" i="11"/>
  <c r="I345" i="11"/>
  <c r="J345" i="11"/>
  <c r="K345" i="11"/>
  <c r="L345" i="11"/>
  <c r="M345" i="11"/>
  <c r="N345" i="11"/>
  <c r="O345" i="11"/>
  <c r="E346" i="11"/>
  <c r="F346" i="11"/>
  <c r="G346" i="11"/>
  <c r="H346" i="11"/>
  <c r="I346" i="11"/>
  <c r="J346" i="11"/>
  <c r="K346" i="11"/>
  <c r="L346" i="11"/>
  <c r="M346" i="11"/>
  <c r="N346" i="11"/>
  <c r="O346" i="11"/>
  <c r="E347" i="11"/>
  <c r="F347" i="11"/>
  <c r="G347" i="11"/>
  <c r="H347" i="11"/>
  <c r="I347" i="11"/>
  <c r="J347" i="11"/>
  <c r="K347" i="11"/>
  <c r="L347" i="11"/>
  <c r="M347" i="11"/>
  <c r="N347" i="11"/>
  <c r="O347" i="11"/>
  <c r="D347" i="11"/>
  <c r="D346" i="11"/>
  <c r="D345" i="11"/>
  <c r="D344" i="11"/>
  <c r="D343" i="11"/>
  <c r="D342" i="11"/>
  <c r="D341" i="11"/>
  <c r="E333" i="11"/>
  <c r="F333" i="11"/>
  <c r="G333" i="11"/>
  <c r="H333" i="11"/>
  <c r="I333" i="11"/>
  <c r="J333" i="11"/>
  <c r="K333" i="11"/>
  <c r="L333" i="11"/>
  <c r="M333" i="11"/>
  <c r="N333" i="11"/>
  <c r="O333" i="11"/>
  <c r="E334" i="11"/>
  <c r="F334" i="11"/>
  <c r="G334" i="11"/>
  <c r="H334" i="11"/>
  <c r="I334" i="11"/>
  <c r="J334" i="11"/>
  <c r="K334" i="11"/>
  <c r="L334" i="11"/>
  <c r="M334" i="11"/>
  <c r="N334" i="11"/>
  <c r="O334" i="11"/>
  <c r="E335" i="11"/>
  <c r="F335" i="11"/>
  <c r="G335" i="11"/>
  <c r="H335" i="11"/>
  <c r="I335" i="11"/>
  <c r="J335" i="11"/>
  <c r="K335" i="11"/>
  <c r="L335" i="11"/>
  <c r="M335" i="11"/>
  <c r="N335" i="11"/>
  <c r="O335" i="11"/>
  <c r="E336" i="11"/>
  <c r="F336" i="11"/>
  <c r="G336" i="11"/>
  <c r="H336" i="11"/>
  <c r="I336" i="11"/>
  <c r="J336" i="11"/>
  <c r="K336" i="11"/>
  <c r="L336" i="11"/>
  <c r="M336" i="11"/>
  <c r="N336" i="11"/>
  <c r="O336" i="11"/>
  <c r="E337" i="11"/>
  <c r="F337" i="11"/>
  <c r="G337" i="11"/>
  <c r="H337" i="11"/>
  <c r="I337" i="11"/>
  <c r="J337" i="11"/>
  <c r="K337" i="11"/>
  <c r="L337" i="11"/>
  <c r="M337" i="11"/>
  <c r="N337" i="11"/>
  <c r="O337" i="11"/>
  <c r="E338" i="11"/>
  <c r="F338" i="11"/>
  <c r="G338" i="11"/>
  <c r="H338" i="11"/>
  <c r="I338" i="11"/>
  <c r="J338" i="11"/>
  <c r="K338" i="11"/>
  <c r="L338" i="11"/>
  <c r="M338" i="11"/>
  <c r="N338" i="11"/>
  <c r="O338" i="11"/>
  <c r="E339" i="11"/>
  <c r="F339" i="11"/>
  <c r="G339" i="11"/>
  <c r="H339" i="11"/>
  <c r="I339" i="11"/>
  <c r="J339" i="11"/>
  <c r="K339" i="11"/>
  <c r="L339" i="11"/>
  <c r="M339" i="11"/>
  <c r="N339" i="11"/>
  <c r="O339" i="11"/>
  <c r="D339" i="11"/>
  <c r="D338" i="11"/>
  <c r="D337" i="11"/>
  <c r="D336" i="11"/>
  <c r="D335" i="11"/>
  <c r="D334" i="11"/>
  <c r="D333" i="11"/>
  <c r="E238" i="11"/>
  <c r="F238" i="11"/>
  <c r="G238" i="11"/>
  <c r="H238" i="11"/>
  <c r="I238" i="11"/>
  <c r="J238" i="11"/>
  <c r="K238" i="11"/>
  <c r="L238" i="11"/>
  <c r="M238" i="11"/>
  <c r="N238" i="11"/>
  <c r="O238" i="11"/>
  <c r="E239" i="11"/>
  <c r="F239" i="11"/>
  <c r="G239" i="11"/>
  <c r="H239" i="11"/>
  <c r="I239" i="11"/>
  <c r="J239" i="11"/>
  <c r="K239" i="11"/>
  <c r="L239" i="11"/>
  <c r="M239" i="11"/>
  <c r="N239" i="11"/>
  <c r="O239" i="11"/>
  <c r="E240" i="11"/>
  <c r="F240" i="11"/>
  <c r="G240" i="11"/>
  <c r="H240" i="11"/>
  <c r="I240" i="11"/>
  <c r="J240" i="11"/>
  <c r="K240" i="11"/>
  <c r="L240" i="11"/>
  <c r="M240" i="11"/>
  <c r="N240" i="11"/>
  <c r="O240" i="11"/>
  <c r="E241" i="11"/>
  <c r="F241" i="11"/>
  <c r="G241" i="11"/>
  <c r="H241" i="11"/>
  <c r="I241" i="11"/>
  <c r="J241" i="11"/>
  <c r="K241" i="11"/>
  <c r="L241" i="11"/>
  <c r="M241" i="11"/>
  <c r="N241" i="11"/>
  <c r="O241" i="11"/>
  <c r="E242" i="11"/>
  <c r="F242" i="11"/>
  <c r="G242" i="11"/>
  <c r="H242" i="11"/>
  <c r="I242" i="11"/>
  <c r="J242" i="11"/>
  <c r="K242" i="11"/>
  <c r="L242" i="11"/>
  <c r="M242" i="11"/>
  <c r="N242" i="11"/>
  <c r="O242" i="11"/>
  <c r="E243" i="11"/>
  <c r="F243" i="11"/>
  <c r="G243" i="11"/>
  <c r="H243" i="11"/>
  <c r="I243" i="11"/>
  <c r="J243" i="11"/>
  <c r="K243" i="11"/>
  <c r="L243" i="11"/>
  <c r="M243" i="11"/>
  <c r="N243" i="11"/>
  <c r="O243" i="11"/>
  <c r="E244" i="11"/>
  <c r="F244" i="11"/>
  <c r="G244" i="11"/>
  <c r="H244" i="11"/>
  <c r="I244" i="11"/>
  <c r="J244" i="11"/>
  <c r="K244" i="11"/>
  <c r="L244" i="11"/>
  <c r="M244" i="11"/>
  <c r="N244" i="11"/>
  <c r="O244" i="11"/>
  <c r="E245" i="11"/>
  <c r="F245" i="11"/>
  <c r="G245" i="11"/>
  <c r="H245" i="11"/>
  <c r="I245" i="11"/>
  <c r="J245" i="11"/>
  <c r="K245" i="11"/>
  <c r="L245" i="11"/>
  <c r="M245" i="11"/>
  <c r="N245" i="11"/>
  <c r="O245" i="11"/>
  <c r="E246" i="11"/>
  <c r="F246" i="11"/>
  <c r="G246" i="11"/>
  <c r="H246" i="11"/>
  <c r="I246" i="11"/>
  <c r="J246" i="11"/>
  <c r="K246" i="11"/>
  <c r="L246" i="11"/>
  <c r="M246" i="11"/>
  <c r="N246" i="11"/>
  <c r="O246" i="11"/>
  <c r="E247" i="11"/>
  <c r="F247" i="11"/>
  <c r="G247" i="11"/>
  <c r="H247" i="11"/>
  <c r="I247" i="11"/>
  <c r="J247" i="11"/>
  <c r="K247" i="11"/>
  <c r="L247" i="11"/>
  <c r="M247" i="11"/>
  <c r="N247" i="11"/>
  <c r="O247" i="11"/>
  <c r="E248" i="11"/>
  <c r="F248" i="11"/>
  <c r="G248" i="11"/>
  <c r="H248" i="11"/>
  <c r="I248" i="11"/>
  <c r="J248" i="11"/>
  <c r="K248" i="11"/>
  <c r="L248" i="11"/>
  <c r="M248" i="11"/>
  <c r="N248" i="11"/>
  <c r="O248" i="11"/>
  <c r="E249" i="11"/>
  <c r="F249" i="11"/>
  <c r="G249" i="11"/>
  <c r="H249" i="11"/>
  <c r="I249" i="11"/>
  <c r="J249" i="11"/>
  <c r="K249" i="11"/>
  <c r="L249" i="11"/>
  <c r="M249" i="11"/>
  <c r="N249" i="11"/>
  <c r="O249" i="11"/>
  <c r="E250" i="11"/>
  <c r="F250" i="11"/>
  <c r="G250" i="11"/>
  <c r="H250" i="11"/>
  <c r="I250" i="11"/>
  <c r="J250" i="11"/>
  <c r="K250" i="11"/>
  <c r="L250" i="11"/>
  <c r="M250" i="11"/>
  <c r="N250" i="11"/>
  <c r="O250" i="11"/>
  <c r="E251" i="11"/>
  <c r="F251" i="11"/>
  <c r="G251" i="11"/>
  <c r="H251" i="11"/>
  <c r="I251" i="11"/>
  <c r="J251" i="11"/>
  <c r="K251" i="11"/>
  <c r="L251" i="11"/>
  <c r="M251" i="11"/>
  <c r="N251" i="11"/>
  <c r="O251" i="11"/>
  <c r="E252" i="11"/>
  <c r="F252" i="11"/>
  <c r="G252" i="11"/>
  <c r="H252" i="11"/>
  <c r="I252" i="11"/>
  <c r="J252" i="11"/>
  <c r="K252" i="11"/>
  <c r="L252" i="11"/>
  <c r="M252" i="11"/>
  <c r="N252" i="11"/>
  <c r="O252" i="11"/>
  <c r="E253" i="11"/>
  <c r="F253" i="11"/>
  <c r="G253" i="11"/>
  <c r="H253" i="11"/>
  <c r="I253" i="11"/>
  <c r="J253" i="11"/>
  <c r="K253" i="11"/>
  <c r="L253" i="11"/>
  <c r="M253" i="11"/>
  <c r="N253" i="11"/>
  <c r="O253" i="11"/>
  <c r="E255" i="11"/>
  <c r="F255" i="11"/>
  <c r="G255" i="11"/>
  <c r="H255" i="11"/>
  <c r="I255" i="11"/>
  <c r="J255" i="11"/>
  <c r="K255" i="11"/>
  <c r="L255" i="11"/>
  <c r="M255" i="11"/>
  <c r="N255" i="11"/>
  <c r="O255" i="11"/>
  <c r="E256" i="11"/>
  <c r="F256" i="11"/>
  <c r="G256" i="11"/>
  <c r="H256" i="11"/>
  <c r="I256" i="11"/>
  <c r="J256" i="11"/>
  <c r="K256" i="11"/>
  <c r="L256" i="11"/>
  <c r="M256" i="11"/>
  <c r="N256" i="11"/>
  <c r="O256" i="11"/>
  <c r="E259" i="11"/>
  <c r="F259" i="11"/>
  <c r="G259" i="11"/>
  <c r="H259" i="11"/>
  <c r="I259" i="11"/>
  <c r="J259" i="11"/>
  <c r="K259" i="11"/>
  <c r="L259" i="11"/>
  <c r="M259" i="11"/>
  <c r="N259" i="11"/>
  <c r="O259" i="11"/>
  <c r="E260" i="11"/>
  <c r="F260" i="11"/>
  <c r="G260" i="11"/>
  <c r="H260" i="11"/>
  <c r="I260" i="11"/>
  <c r="J260" i="11"/>
  <c r="K260" i="11"/>
  <c r="L260" i="11"/>
  <c r="M260" i="11"/>
  <c r="N260" i="11"/>
  <c r="O260" i="11"/>
  <c r="E261" i="11"/>
  <c r="F261" i="11"/>
  <c r="G261" i="11"/>
  <c r="H261" i="11"/>
  <c r="I261" i="11"/>
  <c r="J261" i="11"/>
  <c r="K261" i="11"/>
  <c r="L261" i="11"/>
  <c r="M261" i="11"/>
  <c r="N261" i="11"/>
  <c r="O261" i="11"/>
  <c r="E262" i="11"/>
  <c r="F262" i="11"/>
  <c r="G262" i="11"/>
  <c r="H262" i="11"/>
  <c r="I262" i="11"/>
  <c r="J262" i="11"/>
  <c r="K262" i="11"/>
  <c r="L262" i="11"/>
  <c r="M262" i="11"/>
  <c r="N262" i="11"/>
  <c r="O262" i="11"/>
  <c r="E263" i="11"/>
  <c r="F263" i="11"/>
  <c r="G263" i="11"/>
  <c r="H263" i="11"/>
  <c r="I263" i="11"/>
  <c r="J263" i="11"/>
  <c r="K263" i="11"/>
  <c r="L263" i="11"/>
  <c r="M263" i="11"/>
  <c r="N263" i="11"/>
  <c r="O263" i="11"/>
  <c r="E264" i="11"/>
  <c r="F264" i="11"/>
  <c r="G264" i="11"/>
  <c r="H264" i="11"/>
  <c r="I264" i="11"/>
  <c r="J264" i="11"/>
  <c r="K264" i="11"/>
  <c r="L264" i="11"/>
  <c r="M264" i="11"/>
  <c r="N264" i="11"/>
  <c r="O264" i="11"/>
  <c r="E265" i="11"/>
  <c r="F265" i="11"/>
  <c r="G265" i="11"/>
  <c r="H265" i="11"/>
  <c r="I265" i="11"/>
  <c r="J265" i="11"/>
  <c r="K265" i="11"/>
  <c r="L265" i="11"/>
  <c r="M265" i="11"/>
  <c r="N265" i="11"/>
  <c r="O265" i="11"/>
  <c r="E266" i="11"/>
  <c r="F266" i="11"/>
  <c r="G266" i="11"/>
  <c r="H266" i="11"/>
  <c r="I266" i="11"/>
  <c r="J266" i="11"/>
  <c r="K266" i="11"/>
  <c r="L266" i="11"/>
  <c r="M266" i="11"/>
  <c r="N266" i="11"/>
  <c r="O266" i="11"/>
  <c r="E268" i="11"/>
  <c r="F268" i="11"/>
  <c r="G268" i="11"/>
  <c r="H268" i="11"/>
  <c r="I268" i="11"/>
  <c r="J268" i="11"/>
  <c r="K268" i="11"/>
  <c r="L268" i="11"/>
  <c r="M268" i="11"/>
  <c r="N268" i="11"/>
  <c r="O268" i="11"/>
  <c r="E269" i="11"/>
  <c r="F269" i="11"/>
  <c r="G269" i="11"/>
  <c r="H269" i="11"/>
  <c r="I269" i="11"/>
  <c r="J269" i="11"/>
  <c r="K269" i="11"/>
  <c r="L269" i="11"/>
  <c r="M269" i="11"/>
  <c r="N269" i="11"/>
  <c r="O269" i="11"/>
  <c r="E270" i="11"/>
  <c r="F270" i="11"/>
  <c r="G270" i="11"/>
  <c r="H270" i="11"/>
  <c r="I270" i="11"/>
  <c r="J270" i="11"/>
  <c r="K270" i="11"/>
  <c r="L270" i="11"/>
  <c r="M270" i="11"/>
  <c r="N270" i="11"/>
  <c r="O270" i="11"/>
  <c r="E271" i="11"/>
  <c r="F271" i="11"/>
  <c r="G271" i="11"/>
  <c r="H271" i="11"/>
  <c r="I271" i="11"/>
  <c r="J271" i="11"/>
  <c r="K271" i="11"/>
  <c r="L271" i="11"/>
  <c r="M271" i="11"/>
  <c r="N271" i="11"/>
  <c r="O271" i="11"/>
  <c r="E272" i="11"/>
  <c r="F272" i="11"/>
  <c r="G272" i="11"/>
  <c r="H272" i="11"/>
  <c r="I272" i="11"/>
  <c r="J272" i="11"/>
  <c r="K272" i="11"/>
  <c r="L272" i="11"/>
  <c r="M272" i="11"/>
  <c r="N272" i="11"/>
  <c r="O272" i="11"/>
  <c r="E273" i="11"/>
  <c r="F273" i="11"/>
  <c r="G273" i="11"/>
  <c r="H273" i="11"/>
  <c r="I273" i="11"/>
  <c r="J273" i="11"/>
  <c r="K273" i="11"/>
  <c r="L273" i="11"/>
  <c r="M273" i="11"/>
  <c r="N273" i="11"/>
  <c r="O273" i="11"/>
  <c r="E274" i="11"/>
  <c r="F274" i="11"/>
  <c r="G274" i="11"/>
  <c r="H274" i="11"/>
  <c r="I274" i="11"/>
  <c r="J274" i="11"/>
  <c r="K274" i="11"/>
  <c r="L274" i="11"/>
  <c r="M274" i="11"/>
  <c r="N274" i="11"/>
  <c r="O274" i="11"/>
  <c r="E276" i="11"/>
  <c r="F276" i="11"/>
  <c r="G276" i="11"/>
  <c r="H276" i="11"/>
  <c r="I276" i="11"/>
  <c r="J276" i="11"/>
  <c r="K276" i="11"/>
  <c r="L276" i="11"/>
  <c r="M276" i="11"/>
  <c r="N276" i="11"/>
  <c r="O276" i="11"/>
  <c r="E277" i="11"/>
  <c r="F277" i="11"/>
  <c r="G277" i="11"/>
  <c r="H277" i="11"/>
  <c r="I277" i="11"/>
  <c r="J277" i="11"/>
  <c r="K277" i="11"/>
  <c r="L277" i="11"/>
  <c r="M277" i="11"/>
  <c r="N277" i="11"/>
  <c r="O277" i="11"/>
  <c r="E278" i="11"/>
  <c r="F278" i="11"/>
  <c r="G278" i="11"/>
  <c r="H278" i="11"/>
  <c r="I278" i="11"/>
  <c r="J278" i="11"/>
  <c r="K278" i="11"/>
  <c r="L278" i="11"/>
  <c r="M278" i="11"/>
  <c r="N278" i="11"/>
  <c r="O278" i="11"/>
  <c r="E279" i="11"/>
  <c r="F279" i="11"/>
  <c r="G279" i="11"/>
  <c r="H279" i="11"/>
  <c r="I279" i="11"/>
  <c r="J279" i="11"/>
  <c r="K279" i="11"/>
  <c r="L279" i="11"/>
  <c r="M279" i="11"/>
  <c r="N279" i="11"/>
  <c r="O279" i="11"/>
  <c r="E280" i="11"/>
  <c r="F280" i="11"/>
  <c r="G280" i="11"/>
  <c r="H280" i="11"/>
  <c r="I280" i="11"/>
  <c r="J280" i="11"/>
  <c r="K280" i="11"/>
  <c r="L280" i="11"/>
  <c r="M280" i="11"/>
  <c r="N280" i="11"/>
  <c r="O280" i="11"/>
  <c r="E282" i="11"/>
  <c r="F282" i="11"/>
  <c r="G282" i="11"/>
  <c r="H282" i="11"/>
  <c r="I282" i="11"/>
  <c r="J282" i="11"/>
  <c r="K282" i="11"/>
  <c r="L282" i="11"/>
  <c r="M282" i="11"/>
  <c r="N282" i="11"/>
  <c r="O282" i="11"/>
  <c r="E283" i="11"/>
  <c r="F283" i="11"/>
  <c r="G283" i="11"/>
  <c r="H283" i="11"/>
  <c r="I283" i="11"/>
  <c r="J283" i="11"/>
  <c r="K283" i="11"/>
  <c r="L283" i="11"/>
  <c r="M283" i="11"/>
  <c r="N283" i="11"/>
  <c r="O283" i="11"/>
  <c r="E190" i="11"/>
  <c r="F190" i="11"/>
  <c r="G190" i="11"/>
  <c r="H190" i="11"/>
  <c r="I190" i="11"/>
  <c r="J190" i="11"/>
  <c r="K190" i="11"/>
  <c r="L190" i="11"/>
  <c r="M190" i="11"/>
  <c r="N190" i="11"/>
  <c r="O190" i="11"/>
  <c r="E191" i="11"/>
  <c r="F191" i="11"/>
  <c r="G191" i="11"/>
  <c r="H191" i="11"/>
  <c r="I191" i="11"/>
  <c r="J191" i="11"/>
  <c r="K191" i="11"/>
  <c r="L191" i="11"/>
  <c r="M191" i="11"/>
  <c r="N191" i="11"/>
  <c r="O191" i="11"/>
  <c r="E192" i="11"/>
  <c r="F192" i="11"/>
  <c r="G192" i="11"/>
  <c r="H192" i="11"/>
  <c r="I192" i="11"/>
  <c r="J192" i="11"/>
  <c r="K192" i="11"/>
  <c r="L192" i="11"/>
  <c r="M192" i="11"/>
  <c r="N192" i="11"/>
  <c r="O192" i="11"/>
  <c r="E193" i="11"/>
  <c r="F193" i="11"/>
  <c r="G193" i="11"/>
  <c r="H193" i="11"/>
  <c r="I193" i="11"/>
  <c r="J193" i="11"/>
  <c r="K193" i="11"/>
  <c r="L193" i="11"/>
  <c r="M193" i="11"/>
  <c r="N193" i="11"/>
  <c r="O193" i="11"/>
  <c r="E194" i="11"/>
  <c r="F194" i="11"/>
  <c r="G194" i="11"/>
  <c r="H194" i="11"/>
  <c r="I194" i="11"/>
  <c r="J194" i="11"/>
  <c r="K194" i="11"/>
  <c r="L194" i="11"/>
  <c r="M194" i="11"/>
  <c r="N194" i="11"/>
  <c r="O194" i="11"/>
  <c r="E195" i="11"/>
  <c r="F195" i="11"/>
  <c r="G195" i="11"/>
  <c r="H195" i="11"/>
  <c r="I195" i="11"/>
  <c r="J195" i="11"/>
  <c r="K195" i="11"/>
  <c r="L195" i="11"/>
  <c r="M195" i="11"/>
  <c r="N195" i="11"/>
  <c r="O195" i="11"/>
  <c r="E196" i="11"/>
  <c r="F196" i="11"/>
  <c r="G196" i="11"/>
  <c r="H196" i="11"/>
  <c r="I196" i="11"/>
  <c r="J196" i="11"/>
  <c r="K196" i="11"/>
  <c r="L196" i="11"/>
  <c r="M196" i="11"/>
  <c r="N196" i="11"/>
  <c r="O196" i="11"/>
  <c r="E197" i="11"/>
  <c r="F197" i="11"/>
  <c r="G197" i="11"/>
  <c r="H197" i="11"/>
  <c r="I197" i="11"/>
  <c r="J197" i="11"/>
  <c r="K197" i="11"/>
  <c r="L197" i="11"/>
  <c r="M197" i="11"/>
  <c r="N197" i="11"/>
  <c r="O197" i="11"/>
  <c r="E198" i="11"/>
  <c r="F198" i="11"/>
  <c r="G198" i="11"/>
  <c r="H198" i="11"/>
  <c r="I198" i="11"/>
  <c r="J198" i="11"/>
  <c r="K198" i="11"/>
  <c r="L198" i="11"/>
  <c r="M198" i="11"/>
  <c r="N198" i="11"/>
  <c r="O198" i="11"/>
  <c r="E199" i="11"/>
  <c r="F199" i="11"/>
  <c r="G199" i="11"/>
  <c r="H199" i="11"/>
  <c r="I199" i="11"/>
  <c r="J199" i="11"/>
  <c r="K199" i="11"/>
  <c r="L199" i="11"/>
  <c r="M199" i="11"/>
  <c r="N199" i="11"/>
  <c r="O199" i="11"/>
  <c r="E200" i="11"/>
  <c r="F200" i="11"/>
  <c r="G200" i="11"/>
  <c r="H200" i="11"/>
  <c r="I200" i="11"/>
  <c r="J200" i="11"/>
  <c r="K200" i="11"/>
  <c r="L200" i="11"/>
  <c r="M200" i="11"/>
  <c r="N200" i="11"/>
  <c r="O200" i="11"/>
  <c r="E201" i="11"/>
  <c r="F201" i="11"/>
  <c r="G201" i="11"/>
  <c r="H201" i="11"/>
  <c r="I201" i="11"/>
  <c r="J201" i="11"/>
  <c r="K201" i="11"/>
  <c r="L201" i="11"/>
  <c r="M201" i="11"/>
  <c r="N201" i="11"/>
  <c r="O201" i="11"/>
  <c r="E202" i="11"/>
  <c r="F202" i="11"/>
  <c r="G202" i="11"/>
  <c r="H202" i="11"/>
  <c r="I202" i="11"/>
  <c r="J202" i="11"/>
  <c r="K202" i="11"/>
  <c r="L202" i="11"/>
  <c r="M202" i="11"/>
  <c r="N202" i="11"/>
  <c r="O202" i="11"/>
  <c r="E203" i="11"/>
  <c r="F203" i="11"/>
  <c r="G203" i="11"/>
  <c r="H203" i="11"/>
  <c r="I203" i="11"/>
  <c r="J203" i="11"/>
  <c r="K203" i="11"/>
  <c r="L203" i="11"/>
  <c r="M203" i="11"/>
  <c r="N203" i="11"/>
  <c r="O203" i="11"/>
  <c r="E204" i="11"/>
  <c r="F204" i="11"/>
  <c r="G204" i="11"/>
  <c r="H204" i="11"/>
  <c r="I204" i="11"/>
  <c r="J204" i="11"/>
  <c r="K204" i="11"/>
  <c r="L204" i="11"/>
  <c r="M204" i="11"/>
  <c r="N204" i="11"/>
  <c r="O204" i="11"/>
  <c r="E205" i="11"/>
  <c r="F205" i="11"/>
  <c r="G205" i="11"/>
  <c r="H205" i="11"/>
  <c r="I205" i="11"/>
  <c r="J205" i="11"/>
  <c r="K205" i="11"/>
  <c r="L205" i="11"/>
  <c r="M205" i="11"/>
  <c r="N205" i="11"/>
  <c r="O205" i="11"/>
  <c r="E207" i="11"/>
  <c r="F207" i="11"/>
  <c r="G207" i="11"/>
  <c r="H207" i="11"/>
  <c r="I207" i="11"/>
  <c r="J207" i="11"/>
  <c r="K207" i="11"/>
  <c r="L207" i="11"/>
  <c r="M207" i="11"/>
  <c r="N207" i="11"/>
  <c r="O207" i="11"/>
  <c r="E208" i="11"/>
  <c r="F208" i="11"/>
  <c r="G208" i="11"/>
  <c r="H208" i="11"/>
  <c r="I208" i="11"/>
  <c r="J208" i="11"/>
  <c r="K208" i="11"/>
  <c r="L208" i="11"/>
  <c r="M208" i="11"/>
  <c r="N208" i="11"/>
  <c r="O208" i="11"/>
  <c r="E211" i="11"/>
  <c r="F211" i="11"/>
  <c r="G211" i="11"/>
  <c r="H211" i="11"/>
  <c r="I211" i="11"/>
  <c r="J211" i="11"/>
  <c r="K211" i="11"/>
  <c r="L211" i="11"/>
  <c r="M211" i="11"/>
  <c r="N211" i="11"/>
  <c r="O211" i="11"/>
  <c r="E212" i="11"/>
  <c r="F212" i="11"/>
  <c r="G212" i="11"/>
  <c r="H212" i="11"/>
  <c r="I212" i="11"/>
  <c r="J212" i="11"/>
  <c r="K212" i="11"/>
  <c r="L212" i="11"/>
  <c r="M212" i="11"/>
  <c r="N212" i="11"/>
  <c r="O212" i="11"/>
  <c r="E213" i="11"/>
  <c r="F213" i="11"/>
  <c r="G213" i="11"/>
  <c r="H213" i="11"/>
  <c r="I213" i="11"/>
  <c r="J213" i="11"/>
  <c r="K213" i="11"/>
  <c r="L213" i="11"/>
  <c r="M213" i="11"/>
  <c r="N213" i="11"/>
  <c r="O213" i="11"/>
  <c r="E214" i="11"/>
  <c r="F214" i="11"/>
  <c r="G214" i="11"/>
  <c r="H214" i="11"/>
  <c r="I214" i="11"/>
  <c r="J214" i="11"/>
  <c r="K214" i="11"/>
  <c r="L214" i="11"/>
  <c r="M214" i="11"/>
  <c r="N214" i="11"/>
  <c r="O214" i="11"/>
  <c r="E215" i="11"/>
  <c r="F215" i="11"/>
  <c r="G215" i="11"/>
  <c r="H215" i="11"/>
  <c r="I215" i="11"/>
  <c r="J215" i="11"/>
  <c r="K215" i="11"/>
  <c r="L215" i="11"/>
  <c r="M215" i="11"/>
  <c r="N215" i="11"/>
  <c r="O215" i="11"/>
  <c r="E216" i="11"/>
  <c r="F216" i="11"/>
  <c r="G216" i="11"/>
  <c r="H216" i="11"/>
  <c r="I216" i="11"/>
  <c r="J216" i="11"/>
  <c r="K216" i="11"/>
  <c r="L216" i="11"/>
  <c r="M216" i="11"/>
  <c r="N216" i="11"/>
  <c r="O216" i="11"/>
  <c r="E217" i="11"/>
  <c r="F217" i="11"/>
  <c r="G217" i="11"/>
  <c r="H217" i="11"/>
  <c r="I217" i="11"/>
  <c r="J217" i="11"/>
  <c r="K217" i="11"/>
  <c r="L217" i="11"/>
  <c r="M217" i="11"/>
  <c r="N217" i="11"/>
  <c r="O217" i="11"/>
  <c r="E218" i="11"/>
  <c r="F218" i="11"/>
  <c r="G218" i="11"/>
  <c r="H218" i="11"/>
  <c r="I218" i="11"/>
  <c r="J218" i="11"/>
  <c r="K218" i="11"/>
  <c r="L218" i="11"/>
  <c r="M218" i="11"/>
  <c r="N218" i="11"/>
  <c r="O218" i="11"/>
  <c r="E220" i="11"/>
  <c r="F220" i="11"/>
  <c r="G220" i="11"/>
  <c r="H220" i="11"/>
  <c r="I220" i="11"/>
  <c r="J220" i="11"/>
  <c r="K220" i="11"/>
  <c r="L220" i="11"/>
  <c r="M220" i="11"/>
  <c r="N220" i="11"/>
  <c r="O220" i="11"/>
  <c r="E221" i="11"/>
  <c r="F221" i="11"/>
  <c r="G221" i="11"/>
  <c r="H221" i="11"/>
  <c r="I221" i="11"/>
  <c r="J221" i="11"/>
  <c r="K221" i="11"/>
  <c r="L221" i="11"/>
  <c r="M221" i="11"/>
  <c r="N221" i="11"/>
  <c r="O221" i="11"/>
  <c r="E222" i="11"/>
  <c r="F222" i="11"/>
  <c r="G222" i="11"/>
  <c r="H222" i="11"/>
  <c r="I222" i="11"/>
  <c r="J222" i="11"/>
  <c r="K222" i="11"/>
  <c r="L222" i="11"/>
  <c r="M222" i="11"/>
  <c r="N222" i="11"/>
  <c r="O222" i="11"/>
  <c r="E223" i="11"/>
  <c r="F223" i="11"/>
  <c r="G223" i="11"/>
  <c r="H223" i="11"/>
  <c r="I223" i="11"/>
  <c r="J223" i="11"/>
  <c r="K223" i="11"/>
  <c r="L223" i="11"/>
  <c r="M223" i="11"/>
  <c r="N223" i="11"/>
  <c r="O223" i="11"/>
  <c r="E224" i="11"/>
  <c r="F224" i="11"/>
  <c r="G224" i="11"/>
  <c r="H224" i="11"/>
  <c r="I224" i="11"/>
  <c r="J224" i="11"/>
  <c r="K224" i="11"/>
  <c r="L224" i="11"/>
  <c r="M224" i="11"/>
  <c r="N224" i="11"/>
  <c r="O224" i="11"/>
  <c r="E225" i="11"/>
  <c r="F225" i="11"/>
  <c r="G225" i="11"/>
  <c r="H225" i="11"/>
  <c r="I225" i="11"/>
  <c r="J225" i="11"/>
  <c r="K225" i="11"/>
  <c r="L225" i="11"/>
  <c r="M225" i="11"/>
  <c r="N225" i="11"/>
  <c r="O225" i="11"/>
  <c r="E226" i="11"/>
  <c r="F226" i="11"/>
  <c r="G226" i="11"/>
  <c r="H226" i="11"/>
  <c r="I226" i="11"/>
  <c r="J226" i="11"/>
  <c r="K226" i="11"/>
  <c r="L226" i="11"/>
  <c r="M226" i="11"/>
  <c r="N226" i="11"/>
  <c r="O226" i="11"/>
  <c r="E228" i="11"/>
  <c r="F228" i="11"/>
  <c r="G228" i="11"/>
  <c r="H228" i="11"/>
  <c r="I228" i="11"/>
  <c r="J228" i="11"/>
  <c r="K228" i="11"/>
  <c r="L228" i="11"/>
  <c r="M228" i="11"/>
  <c r="N228" i="11"/>
  <c r="O228" i="11"/>
  <c r="E229" i="11"/>
  <c r="F229" i="11"/>
  <c r="G229" i="11"/>
  <c r="H229" i="11"/>
  <c r="I229" i="11"/>
  <c r="J229" i="11"/>
  <c r="K229" i="11"/>
  <c r="L229" i="11"/>
  <c r="M229" i="11"/>
  <c r="N229" i="11"/>
  <c r="O229" i="11"/>
  <c r="E230" i="11"/>
  <c r="F230" i="11"/>
  <c r="G230" i="11"/>
  <c r="H230" i="11"/>
  <c r="I230" i="11"/>
  <c r="J230" i="11"/>
  <c r="K230" i="11"/>
  <c r="L230" i="11"/>
  <c r="M230" i="11"/>
  <c r="N230" i="11"/>
  <c r="O230" i="11"/>
  <c r="E231" i="11"/>
  <c r="F231" i="11"/>
  <c r="G231" i="11"/>
  <c r="H231" i="11"/>
  <c r="I231" i="11"/>
  <c r="J231" i="11"/>
  <c r="K231" i="11"/>
  <c r="L231" i="11"/>
  <c r="M231" i="11"/>
  <c r="N231" i="11"/>
  <c r="O231" i="11"/>
  <c r="E232" i="11"/>
  <c r="F232" i="11"/>
  <c r="G232" i="11"/>
  <c r="H232" i="11"/>
  <c r="I232" i="11"/>
  <c r="J232" i="11"/>
  <c r="K232" i="11"/>
  <c r="L232" i="11"/>
  <c r="M232" i="11"/>
  <c r="N232" i="11"/>
  <c r="O232" i="11"/>
  <c r="E234" i="11"/>
  <c r="F234" i="11"/>
  <c r="G234" i="11"/>
  <c r="H234" i="11"/>
  <c r="I234" i="11"/>
  <c r="J234" i="11"/>
  <c r="K234" i="11"/>
  <c r="L234" i="11"/>
  <c r="M234" i="11"/>
  <c r="N234" i="11"/>
  <c r="O234" i="11"/>
  <c r="E235" i="11"/>
  <c r="F235" i="11"/>
  <c r="G235" i="11"/>
  <c r="H235" i="11"/>
  <c r="I235" i="11"/>
  <c r="J235" i="11"/>
  <c r="K235" i="11"/>
  <c r="L235" i="11"/>
  <c r="M235" i="11"/>
  <c r="N235" i="11"/>
  <c r="O235" i="11"/>
  <c r="E145" i="11"/>
  <c r="F145" i="11"/>
  <c r="G145" i="11"/>
  <c r="H145" i="11"/>
  <c r="I145" i="11"/>
  <c r="J145" i="11"/>
  <c r="K145" i="11"/>
  <c r="L145" i="11"/>
  <c r="M145" i="11"/>
  <c r="N145" i="11"/>
  <c r="O145" i="11"/>
  <c r="E146" i="11"/>
  <c r="F146" i="11"/>
  <c r="G146" i="11"/>
  <c r="H146" i="11"/>
  <c r="I146" i="11"/>
  <c r="J146" i="11"/>
  <c r="K146" i="11"/>
  <c r="L146" i="11"/>
  <c r="M146" i="11"/>
  <c r="N146" i="11"/>
  <c r="O146" i="11"/>
  <c r="E147" i="11"/>
  <c r="F147" i="11"/>
  <c r="G147" i="11"/>
  <c r="H147" i="11"/>
  <c r="I147" i="11"/>
  <c r="J147" i="11"/>
  <c r="K147" i="11"/>
  <c r="L147" i="11"/>
  <c r="M147" i="11"/>
  <c r="N147" i="11"/>
  <c r="O147" i="11"/>
  <c r="E148" i="11"/>
  <c r="F148" i="11"/>
  <c r="G148" i="11"/>
  <c r="H148" i="11"/>
  <c r="I148" i="11"/>
  <c r="J148" i="11"/>
  <c r="K148" i="11"/>
  <c r="L148" i="11"/>
  <c r="M148" i="11"/>
  <c r="N148" i="11"/>
  <c r="O148" i="11"/>
  <c r="E149" i="11"/>
  <c r="F149" i="11"/>
  <c r="G149" i="11"/>
  <c r="H149" i="11"/>
  <c r="I149" i="11"/>
  <c r="J149" i="11"/>
  <c r="K149" i="11"/>
  <c r="L149" i="11"/>
  <c r="M149" i="11"/>
  <c r="N149" i="11"/>
  <c r="O149" i="11"/>
  <c r="E150" i="11"/>
  <c r="F150" i="11"/>
  <c r="G150" i="11"/>
  <c r="H150" i="11"/>
  <c r="I150" i="11"/>
  <c r="J150" i="11"/>
  <c r="K150" i="11"/>
  <c r="L150" i="11"/>
  <c r="M150" i="11"/>
  <c r="N150" i="11"/>
  <c r="O150" i="11"/>
  <c r="E151" i="11"/>
  <c r="F151" i="11"/>
  <c r="G151" i="11"/>
  <c r="H151" i="11"/>
  <c r="I151" i="11"/>
  <c r="J151" i="11"/>
  <c r="K151" i="11"/>
  <c r="L151" i="11"/>
  <c r="M151" i="11"/>
  <c r="N151" i="11"/>
  <c r="O151" i="11"/>
  <c r="E152" i="11"/>
  <c r="F152" i="11"/>
  <c r="G152" i="11"/>
  <c r="H152" i="11"/>
  <c r="I152" i="11"/>
  <c r="J152" i="11"/>
  <c r="K152" i="11"/>
  <c r="L152" i="11"/>
  <c r="M152" i="11"/>
  <c r="N152" i="11"/>
  <c r="O152" i="11"/>
  <c r="E153" i="11"/>
  <c r="F153" i="11"/>
  <c r="G153" i="11"/>
  <c r="H153" i="11"/>
  <c r="I153" i="11"/>
  <c r="J153" i="11"/>
  <c r="K153" i="11"/>
  <c r="L153" i="11"/>
  <c r="M153" i="11"/>
  <c r="N153" i="11"/>
  <c r="O153" i="11"/>
  <c r="E154" i="11"/>
  <c r="F154" i="11"/>
  <c r="G154" i="11"/>
  <c r="H154" i="11"/>
  <c r="I154" i="11"/>
  <c r="J154" i="11"/>
  <c r="K154" i="11"/>
  <c r="L154" i="11"/>
  <c r="M154" i="11"/>
  <c r="N154" i="11"/>
  <c r="O154" i="11"/>
  <c r="E155" i="11"/>
  <c r="F155" i="11"/>
  <c r="G155" i="11"/>
  <c r="H155" i="11"/>
  <c r="I155" i="11"/>
  <c r="J155" i="11"/>
  <c r="K155" i="11"/>
  <c r="L155" i="11"/>
  <c r="M155" i="11"/>
  <c r="N155" i="11"/>
  <c r="O155" i="11"/>
  <c r="E156" i="11"/>
  <c r="F156" i="11"/>
  <c r="G156" i="11"/>
  <c r="H156" i="11"/>
  <c r="I156" i="11"/>
  <c r="J156" i="11"/>
  <c r="K156" i="11"/>
  <c r="L156" i="11"/>
  <c r="M156" i="11"/>
  <c r="N156" i="11"/>
  <c r="O156" i="11"/>
  <c r="E157" i="11"/>
  <c r="F157" i="11"/>
  <c r="G157" i="11"/>
  <c r="H157" i="11"/>
  <c r="I157" i="11"/>
  <c r="J157" i="11"/>
  <c r="K157" i="11"/>
  <c r="L157" i="11"/>
  <c r="M157" i="11"/>
  <c r="N157" i="11"/>
  <c r="O157" i="11"/>
  <c r="E158" i="11"/>
  <c r="F158" i="11"/>
  <c r="G158" i="11"/>
  <c r="H158" i="11"/>
  <c r="I158" i="11"/>
  <c r="J158" i="11"/>
  <c r="K158" i="11"/>
  <c r="L158" i="11"/>
  <c r="M158" i="11"/>
  <c r="N158" i="11"/>
  <c r="O158" i="11"/>
  <c r="E159" i="11"/>
  <c r="F159" i="11"/>
  <c r="G159" i="11"/>
  <c r="H159" i="11"/>
  <c r="I159" i="11"/>
  <c r="J159" i="11"/>
  <c r="K159" i="11"/>
  <c r="L159" i="11"/>
  <c r="M159" i="11"/>
  <c r="N159" i="11"/>
  <c r="O159" i="11"/>
  <c r="E160" i="11"/>
  <c r="F160" i="11"/>
  <c r="G160" i="11"/>
  <c r="H160" i="11"/>
  <c r="I160" i="11"/>
  <c r="J160" i="11"/>
  <c r="K160" i="11"/>
  <c r="L160" i="11"/>
  <c r="M160" i="11"/>
  <c r="N160" i="11"/>
  <c r="O160" i="11"/>
  <c r="E162" i="11"/>
  <c r="F162" i="11"/>
  <c r="G162" i="11"/>
  <c r="H162" i="11"/>
  <c r="I162" i="11"/>
  <c r="J162" i="11"/>
  <c r="K162" i="11"/>
  <c r="L162" i="11"/>
  <c r="M162" i="11"/>
  <c r="N162" i="11"/>
  <c r="O162" i="11"/>
  <c r="E163" i="11"/>
  <c r="F163" i="11"/>
  <c r="G163" i="11"/>
  <c r="H163" i="11"/>
  <c r="I163" i="11"/>
  <c r="J163" i="11"/>
  <c r="K163" i="11"/>
  <c r="L163" i="11"/>
  <c r="M163" i="11"/>
  <c r="N163" i="11"/>
  <c r="O163" i="11"/>
  <c r="E165" i="11"/>
  <c r="F165" i="11"/>
  <c r="G165" i="11"/>
  <c r="H165" i="11"/>
  <c r="I165" i="11"/>
  <c r="J165" i="11"/>
  <c r="K165" i="11"/>
  <c r="L165" i="11"/>
  <c r="M165" i="11"/>
  <c r="N165" i="11"/>
  <c r="O165" i="11"/>
  <c r="E166" i="11"/>
  <c r="F166" i="11"/>
  <c r="G166" i="11"/>
  <c r="H166" i="11"/>
  <c r="I166" i="11"/>
  <c r="J166" i="11"/>
  <c r="K166" i="11"/>
  <c r="L166" i="11"/>
  <c r="M166" i="11"/>
  <c r="N166" i="11"/>
  <c r="O166" i="11"/>
  <c r="E167" i="11"/>
  <c r="F167" i="11"/>
  <c r="G167" i="11"/>
  <c r="H167" i="11"/>
  <c r="I167" i="11"/>
  <c r="J167" i="11"/>
  <c r="K167" i="11"/>
  <c r="L167" i="11"/>
  <c r="M167" i="11"/>
  <c r="N167" i="11"/>
  <c r="O167" i="11"/>
  <c r="E168" i="11"/>
  <c r="F168" i="11"/>
  <c r="G168" i="11"/>
  <c r="H168" i="11"/>
  <c r="I168" i="11"/>
  <c r="J168" i="11"/>
  <c r="K168" i="11"/>
  <c r="L168" i="11"/>
  <c r="M168" i="11"/>
  <c r="N168" i="11"/>
  <c r="O168" i="11"/>
  <c r="E169" i="11"/>
  <c r="F169" i="11"/>
  <c r="G169" i="11"/>
  <c r="H169" i="11"/>
  <c r="I169" i="11"/>
  <c r="J169" i="11"/>
  <c r="K169" i="11"/>
  <c r="L169" i="11"/>
  <c r="M169" i="11"/>
  <c r="N169" i="11"/>
  <c r="O169" i="11"/>
  <c r="E170" i="11"/>
  <c r="F170" i="11"/>
  <c r="G170" i="11"/>
  <c r="H170" i="11"/>
  <c r="I170" i="11"/>
  <c r="J170" i="11"/>
  <c r="K170" i="11"/>
  <c r="L170" i="11"/>
  <c r="M170" i="11"/>
  <c r="N170" i="11"/>
  <c r="O170" i="11"/>
  <c r="E171" i="11"/>
  <c r="F171" i="11"/>
  <c r="G171" i="11"/>
  <c r="H171" i="11"/>
  <c r="I171" i="11"/>
  <c r="J171" i="11"/>
  <c r="K171" i="11"/>
  <c r="L171" i="11"/>
  <c r="M171" i="11"/>
  <c r="N171" i="11"/>
  <c r="O171" i="11"/>
  <c r="E172" i="11"/>
  <c r="F172" i="11"/>
  <c r="G172" i="11"/>
  <c r="H172" i="11"/>
  <c r="I172" i="11"/>
  <c r="J172" i="11"/>
  <c r="K172" i="11"/>
  <c r="L172" i="11"/>
  <c r="M172" i="11"/>
  <c r="N172" i="11"/>
  <c r="O172" i="11"/>
  <c r="E173" i="11"/>
  <c r="F173" i="11"/>
  <c r="G173" i="11"/>
  <c r="H173" i="11"/>
  <c r="I173" i="11"/>
  <c r="J173" i="11"/>
  <c r="K173" i="11"/>
  <c r="L173" i="11"/>
  <c r="M173" i="11"/>
  <c r="N173" i="11"/>
  <c r="O173" i="11"/>
  <c r="E174" i="11"/>
  <c r="F174" i="11"/>
  <c r="G174" i="11"/>
  <c r="H174" i="11"/>
  <c r="I174" i="11"/>
  <c r="J174" i="11"/>
  <c r="K174" i="11"/>
  <c r="L174" i="11"/>
  <c r="M174" i="11"/>
  <c r="N174" i="11"/>
  <c r="O174" i="11"/>
  <c r="E175" i="11"/>
  <c r="F175" i="11"/>
  <c r="G175" i="11"/>
  <c r="H175" i="11"/>
  <c r="I175" i="11"/>
  <c r="J175" i="11"/>
  <c r="K175" i="11"/>
  <c r="L175" i="11"/>
  <c r="M175" i="11"/>
  <c r="N175" i="11"/>
  <c r="O175" i="11"/>
  <c r="E176" i="11"/>
  <c r="F176" i="11"/>
  <c r="G176" i="11"/>
  <c r="H176" i="11"/>
  <c r="I176" i="11"/>
  <c r="J176" i="11"/>
  <c r="K176" i="11"/>
  <c r="L176" i="11"/>
  <c r="M176" i="11"/>
  <c r="N176" i="11"/>
  <c r="O176" i="11"/>
  <c r="E177" i="11"/>
  <c r="F177" i="11"/>
  <c r="G177" i="11"/>
  <c r="H177" i="11"/>
  <c r="I177" i="11"/>
  <c r="J177" i="11"/>
  <c r="K177" i="11"/>
  <c r="L177" i="11"/>
  <c r="M177" i="11"/>
  <c r="N177" i="11"/>
  <c r="O177" i="11"/>
  <c r="E178" i="11"/>
  <c r="F178" i="11"/>
  <c r="G178" i="11"/>
  <c r="H178" i="11"/>
  <c r="I178" i="11"/>
  <c r="J178" i="11"/>
  <c r="K178" i="11"/>
  <c r="L178" i="11"/>
  <c r="M178" i="11"/>
  <c r="N178" i="11"/>
  <c r="O178" i="11"/>
  <c r="E179" i="11"/>
  <c r="F179" i="11"/>
  <c r="G179" i="11"/>
  <c r="H179" i="11"/>
  <c r="I179" i="11"/>
  <c r="J179" i="11"/>
  <c r="K179" i="11"/>
  <c r="L179" i="11"/>
  <c r="M179" i="11"/>
  <c r="N179" i="11"/>
  <c r="O179" i="11"/>
  <c r="E180" i="11"/>
  <c r="F180" i="11"/>
  <c r="G180" i="11"/>
  <c r="H180" i="11"/>
  <c r="I180" i="11"/>
  <c r="J180" i="11"/>
  <c r="K180" i="11"/>
  <c r="L180" i="11"/>
  <c r="M180" i="11"/>
  <c r="N180" i="11"/>
  <c r="O180" i="11"/>
  <c r="E181" i="11"/>
  <c r="F181" i="11"/>
  <c r="G181" i="11"/>
  <c r="H181" i="11"/>
  <c r="I181" i="11"/>
  <c r="J181" i="11"/>
  <c r="K181" i="11"/>
  <c r="L181" i="11"/>
  <c r="M181" i="11"/>
  <c r="N181" i="11"/>
  <c r="O181" i="11"/>
  <c r="E182" i="11"/>
  <c r="F182" i="11"/>
  <c r="G182" i="11"/>
  <c r="H182" i="11"/>
  <c r="I182" i="11"/>
  <c r="J182" i="11"/>
  <c r="K182" i="11"/>
  <c r="L182" i="11"/>
  <c r="M182" i="11"/>
  <c r="N182" i="11"/>
  <c r="O182" i="11"/>
  <c r="E183" i="11"/>
  <c r="F183" i="11"/>
  <c r="G183" i="11"/>
  <c r="H183" i="11"/>
  <c r="I183" i="11"/>
  <c r="J183" i="11"/>
  <c r="K183" i="11"/>
  <c r="L183" i="11"/>
  <c r="M183" i="11"/>
  <c r="N183" i="11"/>
  <c r="O183" i="11"/>
  <c r="E184" i="11"/>
  <c r="F184" i="11"/>
  <c r="G184" i="11"/>
  <c r="H184" i="11"/>
  <c r="I184" i="11"/>
  <c r="J184" i="11"/>
  <c r="K184" i="11"/>
  <c r="L184" i="11"/>
  <c r="M184" i="11"/>
  <c r="N184" i="11"/>
  <c r="O184" i="11"/>
  <c r="E186" i="11"/>
  <c r="F186" i="11"/>
  <c r="G186" i="11"/>
  <c r="H186" i="11"/>
  <c r="I186" i="11"/>
  <c r="J186" i="11"/>
  <c r="K186" i="11"/>
  <c r="L186" i="11"/>
  <c r="M186" i="11"/>
  <c r="N186" i="11"/>
  <c r="O186" i="11"/>
  <c r="E187" i="11"/>
  <c r="F187" i="11"/>
  <c r="G187" i="11"/>
  <c r="H187" i="11"/>
  <c r="I187" i="11"/>
  <c r="J187" i="11"/>
  <c r="K187" i="11"/>
  <c r="L187" i="11"/>
  <c r="M187" i="11"/>
  <c r="N187" i="11"/>
  <c r="O187" i="11"/>
  <c r="E98" i="11"/>
  <c r="F98" i="11"/>
  <c r="G98" i="11"/>
  <c r="H98" i="11"/>
  <c r="I98" i="11"/>
  <c r="J98" i="11"/>
  <c r="K98" i="11"/>
  <c r="L98" i="11"/>
  <c r="M98" i="11"/>
  <c r="N98" i="11"/>
  <c r="O98" i="11"/>
  <c r="E99" i="11"/>
  <c r="F99" i="11"/>
  <c r="G99" i="11"/>
  <c r="H99" i="11"/>
  <c r="I99" i="11"/>
  <c r="J99" i="11"/>
  <c r="K99" i="11"/>
  <c r="L99" i="11"/>
  <c r="M99" i="11"/>
  <c r="N99" i="11"/>
  <c r="O99" i="11"/>
  <c r="E100" i="11"/>
  <c r="F100" i="11"/>
  <c r="G100" i="11"/>
  <c r="H100" i="11"/>
  <c r="I100" i="11"/>
  <c r="J100" i="11"/>
  <c r="K100" i="11"/>
  <c r="L100" i="11"/>
  <c r="M100" i="11"/>
  <c r="N100" i="11"/>
  <c r="O100" i="11"/>
  <c r="E101" i="11"/>
  <c r="F101" i="11"/>
  <c r="G101" i="11"/>
  <c r="H101" i="11"/>
  <c r="I101" i="11"/>
  <c r="J101" i="11"/>
  <c r="K101" i="11"/>
  <c r="L101" i="11"/>
  <c r="M101" i="11"/>
  <c r="N101" i="11"/>
  <c r="O101" i="11"/>
  <c r="E102" i="11"/>
  <c r="F102" i="11"/>
  <c r="G102" i="11"/>
  <c r="H102" i="11"/>
  <c r="I102" i="11"/>
  <c r="J102" i="11"/>
  <c r="K102" i="11"/>
  <c r="L102" i="11"/>
  <c r="M102" i="11"/>
  <c r="N102" i="11"/>
  <c r="O102" i="11"/>
  <c r="E103" i="11"/>
  <c r="F103" i="11"/>
  <c r="G103" i="11"/>
  <c r="H103" i="11"/>
  <c r="I103" i="11"/>
  <c r="J103" i="11"/>
  <c r="K103" i="11"/>
  <c r="L103" i="11"/>
  <c r="M103" i="11"/>
  <c r="N103" i="11"/>
  <c r="O103" i="11"/>
  <c r="E104" i="11"/>
  <c r="F104" i="11"/>
  <c r="G104" i="11"/>
  <c r="H104" i="11"/>
  <c r="I104" i="11"/>
  <c r="J104" i="11"/>
  <c r="K104" i="11"/>
  <c r="L104" i="11"/>
  <c r="M104" i="11"/>
  <c r="N104" i="11"/>
  <c r="O104" i="11"/>
  <c r="E105" i="11"/>
  <c r="F105" i="11"/>
  <c r="G105" i="11"/>
  <c r="H105" i="11"/>
  <c r="I105" i="11"/>
  <c r="J105" i="11"/>
  <c r="K105" i="11"/>
  <c r="L105" i="11"/>
  <c r="M105" i="11"/>
  <c r="N105" i="11"/>
  <c r="O105" i="11"/>
  <c r="E106" i="11"/>
  <c r="F106" i="11"/>
  <c r="G106" i="11"/>
  <c r="H106" i="11"/>
  <c r="I106" i="11"/>
  <c r="J106" i="11"/>
  <c r="K106" i="11"/>
  <c r="L106" i="11"/>
  <c r="M106" i="11"/>
  <c r="N106" i="11"/>
  <c r="O106" i="11"/>
  <c r="E107" i="11"/>
  <c r="F107" i="11"/>
  <c r="G107" i="11"/>
  <c r="H107" i="11"/>
  <c r="I107" i="11"/>
  <c r="J107" i="11"/>
  <c r="K107" i="11"/>
  <c r="L107" i="11"/>
  <c r="M107" i="11"/>
  <c r="N107" i="11"/>
  <c r="O107" i="11"/>
  <c r="E108" i="11"/>
  <c r="F108" i="11"/>
  <c r="G108" i="11"/>
  <c r="H108" i="11"/>
  <c r="I108" i="11"/>
  <c r="J108" i="11"/>
  <c r="K108" i="11"/>
  <c r="L108" i="11"/>
  <c r="M108" i="11"/>
  <c r="N108" i="11"/>
  <c r="O108" i="11"/>
  <c r="E109" i="11"/>
  <c r="F109" i="11"/>
  <c r="G109" i="11"/>
  <c r="H109" i="11"/>
  <c r="I109" i="11"/>
  <c r="J109" i="11"/>
  <c r="K109" i="11"/>
  <c r="L109" i="11"/>
  <c r="M109" i="11"/>
  <c r="N109" i="11"/>
  <c r="O109" i="11"/>
  <c r="E110" i="11"/>
  <c r="F110" i="11"/>
  <c r="G110" i="11"/>
  <c r="H110" i="11"/>
  <c r="I110" i="11"/>
  <c r="J110" i="11"/>
  <c r="K110" i="11"/>
  <c r="L110" i="11"/>
  <c r="M110" i="11"/>
  <c r="N110" i="11"/>
  <c r="O110" i="11"/>
  <c r="E111" i="11"/>
  <c r="F111" i="11"/>
  <c r="G111" i="11"/>
  <c r="H111" i="11"/>
  <c r="I111" i="11"/>
  <c r="J111" i="11"/>
  <c r="K111" i="11"/>
  <c r="L111" i="11"/>
  <c r="M111" i="11"/>
  <c r="N111" i="11"/>
  <c r="O111" i="11"/>
  <c r="E112" i="11"/>
  <c r="F112" i="11"/>
  <c r="G112" i="11"/>
  <c r="H112" i="11"/>
  <c r="I112" i="11"/>
  <c r="J112" i="11"/>
  <c r="K112" i="11"/>
  <c r="L112" i="11"/>
  <c r="M112" i="11"/>
  <c r="N112" i="11"/>
  <c r="O112" i="11"/>
  <c r="E113" i="11"/>
  <c r="F113" i="11"/>
  <c r="G113" i="11"/>
  <c r="H113" i="11"/>
  <c r="I113" i="11"/>
  <c r="J113" i="11"/>
  <c r="K113" i="11"/>
  <c r="L113" i="11"/>
  <c r="M113" i="11"/>
  <c r="N113" i="11"/>
  <c r="O113" i="11"/>
  <c r="E115" i="11"/>
  <c r="F115" i="11"/>
  <c r="G115" i="11"/>
  <c r="H115" i="11"/>
  <c r="I115" i="11"/>
  <c r="J115" i="11"/>
  <c r="K115" i="11"/>
  <c r="L115" i="11"/>
  <c r="M115" i="11"/>
  <c r="N115" i="11"/>
  <c r="O115" i="11"/>
  <c r="E116" i="11"/>
  <c r="F116" i="11"/>
  <c r="G116" i="11"/>
  <c r="H116" i="11"/>
  <c r="I116" i="11"/>
  <c r="J116" i="11"/>
  <c r="K116" i="11"/>
  <c r="L116" i="11"/>
  <c r="M116" i="11"/>
  <c r="N116" i="11"/>
  <c r="O116" i="11"/>
  <c r="E118" i="11"/>
  <c r="F118" i="11"/>
  <c r="G118" i="11"/>
  <c r="H118" i="11"/>
  <c r="I118" i="11"/>
  <c r="J118" i="11"/>
  <c r="K118" i="11"/>
  <c r="L118" i="11"/>
  <c r="M118" i="11"/>
  <c r="N118" i="11"/>
  <c r="O118" i="11"/>
  <c r="E119" i="11"/>
  <c r="F119" i="11"/>
  <c r="G119" i="11"/>
  <c r="H119" i="11"/>
  <c r="I119" i="11"/>
  <c r="J119" i="11"/>
  <c r="K119" i="11"/>
  <c r="L119" i="11"/>
  <c r="M119" i="11"/>
  <c r="N119" i="11"/>
  <c r="O119" i="11"/>
  <c r="E120" i="11"/>
  <c r="F120" i="11"/>
  <c r="G120" i="11"/>
  <c r="H120" i="11"/>
  <c r="I120" i="11"/>
  <c r="J120" i="11"/>
  <c r="K120" i="11"/>
  <c r="L120" i="11"/>
  <c r="M120" i="11"/>
  <c r="N120" i="11"/>
  <c r="O120" i="11"/>
  <c r="E121" i="11"/>
  <c r="F121" i="11"/>
  <c r="G121" i="11"/>
  <c r="H121" i="11"/>
  <c r="I121" i="11"/>
  <c r="J121" i="11"/>
  <c r="K121" i="11"/>
  <c r="L121" i="11"/>
  <c r="M121" i="11"/>
  <c r="N121" i="11"/>
  <c r="O121" i="11"/>
  <c r="E122" i="11"/>
  <c r="F122" i="11"/>
  <c r="G122" i="11"/>
  <c r="H122" i="11"/>
  <c r="I122" i="11"/>
  <c r="J122" i="11"/>
  <c r="K122" i="11"/>
  <c r="L122" i="11"/>
  <c r="M122" i="11"/>
  <c r="N122" i="11"/>
  <c r="O122" i="11"/>
  <c r="E123" i="11"/>
  <c r="F123" i="11"/>
  <c r="G123" i="11"/>
  <c r="H123" i="11"/>
  <c r="I123" i="11"/>
  <c r="J123" i="11"/>
  <c r="K123" i="11"/>
  <c r="L123" i="11"/>
  <c r="M123" i="11"/>
  <c r="N123" i="11"/>
  <c r="O123" i="11"/>
  <c r="E124" i="11"/>
  <c r="F124" i="11"/>
  <c r="G124" i="11"/>
  <c r="H124" i="11"/>
  <c r="I124" i="11"/>
  <c r="J124" i="11"/>
  <c r="K124" i="11"/>
  <c r="L124" i="11"/>
  <c r="M124" i="11"/>
  <c r="N124" i="11"/>
  <c r="O124" i="11"/>
  <c r="E125" i="11"/>
  <c r="F125" i="11"/>
  <c r="G125" i="11"/>
  <c r="H125" i="11"/>
  <c r="I125" i="11"/>
  <c r="J125" i="11"/>
  <c r="K125" i="11"/>
  <c r="L125" i="11"/>
  <c r="M125" i="11"/>
  <c r="N125" i="11"/>
  <c r="O125" i="11"/>
  <c r="E127" i="11"/>
  <c r="F127" i="11"/>
  <c r="G127" i="11"/>
  <c r="H127" i="11"/>
  <c r="I127" i="11"/>
  <c r="J127" i="11"/>
  <c r="K127" i="11"/>
  <c r="L127" i="11"/>
  <c r="M127" i="11"/>
  <c r="N127" i="11"/>
  <c r="O127" i="11"/>
  <c r="E128" i="11"/>
  <c r="F128" i="11"/>
  <c r="G128" i="11"/>
  <c r="H128" i="11"/>
  <c r="I128" i="11"/>
  <c r="J128" i="11"/>
  <c r="K128" i="11"/>
  <c r="L128" i="11"/>
  <c r="M128" i="11"/>
  <c r="N128" i="11"/>
  <c r="O128" i="11"/>
  <c r="E129" i="11"/>
  <c r="F129" i="11"/>
  <c r="G129" i="11"/>
  <c r="H129" i="11"/>
  <c r="I129" i="11"/>
  <c r="J129" i="11"/>
  <c r="K129" i="11"/>
  <c r="L129" i="11"/>
  <c r="M129" i="11"/>
  <c r="N129" i="11"/>
  <c r="O129" i="11"/>
  <c r="E130" i="11"/>
  <c r="F130" i="11"/>
  <c r="G130" i="11"/>
  <c r="H130" i="11"/>
  <c r="I130" i="11"/>
  <c r="J130" i="11"/>
  <c r="K130" i="11"/>
  <c r="L130" i="11"/>
  <c r="M130" i="11"/>
  <c r="N130" i="11"/>
  <c r="O130" i="11"/>
  <c r="E131" i="11"/>
  <c r="F131" i="11"/>
  <c r="G131" i="11"/>
  <c r="H131" i="11"/>
  <c r="I131" i="11"/>
  <c r="J131" i="11"/>
  <c r="K131" i="11"/>
  <c r="L131" i="11"/>
  <c r="M131" i="11"/>
  <c r="N131" i="11"/>
  <c r="O131" i="11"/>
  <c r="E132" i="11"/>
  <c r="F132" i="11"/>
  <c r="G132" i="11"/>
  <c r="H132" i="11"/>
  <c r="I132" i="11"/>
  <c r="J132" i="11"/>
  <c r="K132" i="11"/>
  <c r="L132" i="11"/>
  <c r="M132" i="11"/>
  <c r="N132" i="11"/>
  <c r="O132" i="11"/>
  <c r="E133" i="11"/>
  <c r="F133" i="11"/>
  <c r="G133" i="11"/>
  <c r="H133" i="11"/>
  <c r="I133" i="11"/>
  <c r="J133" i="11"/>
  <c r="K133" i="11"/>
  <c r="L133" i="11"/>
  <c r="M133" i="11"/>
  <c r="N133" i="11"/>
  <c r="O133" i="11"/>
  <c r="E135" i="11"/>
  <c r="F135" i="11"/>
  <c r="G135" i="11"/>
  <c r="H135" i="11"/>
  <c r="I135" i="11"/>
  <c r="J135" i="11"/>
  <c r="K135" i="11"/>
  <c r="L135" i="11"/>
  <c r="M135" i="11"/>
  <c r="N135" i="11"/>
  <c r="O135" i="11"/>
  <c r="E136" i="11"/>
  <c r="F136" i="11"/>
  <c r="G136" i="11"/>
  <c r="H136" i="11"/>
  <c r="I136" i="11"/>
  <c r="J136" i="11"/>
  <c r="K136" i="11"/>
  <c r="L136" i="11"/>
  <c r="M136" i="11"/>
  <c r="N136" i="11"/>
  <c r="O136" i="11"/>
  <c r="E137" i="11"/>
  <c r="F137" i="11"/>
  <c r="G137" i="11"/>
  <c r="H137" i="11"/>
  <c r="I137" i="11"/>
  <c r="J137" i="11"/>
  <c r="K137" i="11"/>
  <c r="L137" i="11"/>
  <c r="M137" i="11"/>
  <c r="N137" i="11"/>
  <c r="O137" i="11"/>
  <c r="E138" i="11"/>
  <c r="F138" i="11"/>
  <c r="G138" i="11"/>
  <c r="H138" i="11"/>
  <c r="I138" i="11"/>
  <c r="J138" i="11"/>
  <c r="K138" i="11"/>
  <c r="L138" i="11"/>
  <c r="M138" i="11"/>
  <c r="N138" i="11"/>
  <c r="O138" i="11"/>
  <c r="E139" i="11"/>
  <c r="F139" i="11"/>
  <c r="G139" i="11"/>
  <c r="H139" i="11"/>
  <c r="I139" i="11"/>
  <c r="J139" i="11"/>
  <c r="K139" i="11"/>
  <c r="L139" i="11"/>
  <c r="M139" i="11"/>
  <c r="N139" i="11"/>
  <c r="O139" i="11"/>
  <c r="E141" i="11"/>
  <c r="F141" i="11"/>
  <c r="G141" i="11"/>
  <c r="H141" i="11"/>
  <c r="I141" i="11"/>
  <c r="J141" i="11"/>
  <c r="K141" i="11"/>
  <c r="L141" i="11"/>
  <c r="M141" i="11"/>
  <c r="N141" i="11"/>
  <c r="O141" i="11"/>
  <c r="E142" i="11"/>
  <c r="F142" i="11"/>
  <c r="G142" i="11"/>
  <c r="H142" i="11"/>
  <c r="I142" i="11"/>
  <c r="J142" i="11"/>
  <c r="K142" i="11"/>
  <c r="L142" i="11"/>
  <c r="M142" i="11"/>
  <c r="N142" i="11"/>
  <c r="O142" i="11"/>
  <c r="E51" i="11"/>
  <c r="F51" i="11"/>
  <c r="G51" i="11"/>
  <c r="H51" i="11"/>
  <c r="I51" i="11"/>
  <c r="J51" i="11"/>
  <c r="K51" i="11"/>
  <c r="L51" i="11"/>
  <c r="M51" i="11"/>
  <c r="N51" i="11"/>
  <c r="O51" i="11"/>
  <c r="E52" i="11"/>
  <c r="F52" i="11"/>
  <c r="G52" i="11"/>
  <c r="H52" i="11"/>
  <c r="I52" i="11"/>
  <c r="J52" i="11"/>
  <c r="K52" i="11"/>
  <c r="L52" i="11"/>
  <c r="M52" i="11"/>
  <c r="N52" i="11"/>
  <c r="O52" i="11"/>
  <c r="E53" i="11"/>
  <c r="F53" i="11"/>
  <c r="G53" i="11"/>
  <c r="H53" i="11"/>
  <c r="I53" i="11"/>
  <c r="J53" i="11"/>
  <c r="K53" i="11"/>
  <c r="L53" i="11"/>
  <c r="M53" i="11"/>
  <c r="N53" i="11"/>
  <c r="O53" i="11"/>
  <c r="E54" i="11"/>
  <c r="F54" i="11"/>
  <c r="G54" i="11"/>
  <c r="H54" i="11"/>
  <c r="I54" i="11"/>
  <c r="J54" i="11"/>
  <c r="K54" i="11"/>
  <c r="L54" i="11"/>
  <c r="M54" i="11"/>
  <c r="N54" i="11"/>
  <c r="O54" i="11"/>
  <c r="E55" i="11"/>
  <c r="F55" i="11"/>
  <c r="G55" i="11"/>
  <c r="H55" i="11"/>
  <c r="I55" i="11"/>
  <c r="J55" i="11"/>
  <c r="K55" i="11"/>
  <c r="L55" i="11"/>
  <c r="M55" i="11"/>
  <c r="N55" i="11"/>
  <c r="O55" i="11"/>
  <c r="E56" i="11"/>
  <c r="F56" i="11"/>
  <c r="G56" i="11"/>
  <c r="H56" i="11"/>
  <c r="I56" i="11"/>
  <c r="J56" i="11"/>
  <c r="K56" i="11"/>
  <c r="L56" i="11"/>
  <c r="M56" i="11"/>
  <c r="N56" i="11"/>
  <c r="O56" i="11"/>
  <c r="E57" i="11"/>
  <c r="F57" i="11"/>
  <c r="G57" i="11"/>
  <c r="H57" i="11"/>
  <c r="I57" i="11"/>
  <c r="J57" i="11"/>
  <c r="K57" i="11"/>
  <c r="L57" i="11"/>
  <c r="M57" i="11"/>
  <c r="N57" i="11"/>
  <c r="O57" i="11"/>
  <c r="E58" i="11"/>
  <c r="F58" i="11"/>
  <c r="G58" i="11"/>
  <c r="H58" i="11"/>
  <c r="I58" i="11"/>
  <c r="J58" i="11"/>
  <c r="K58" i="11"/>
  <c r="L58" i="11"/>
  <c r="M58" i="11"/>
  <c r="N58" i="11"/>
  <c r="O58" i="11"/>
  <c r="E59" i="11"/>
  <c r="F59" i="11"/>
  <c r="G59" i="11"/>
  <c r="H59" i="11"/>
  <c r="I59" i="11"/>
  <c r="J59" i="11"/>
  <c r="K59" i="11"/>
  <c r="L59" i="11"/>
  <c r="M59" i="11"/>
  <c r="N59" i="11"/>
  <c r="O59" i="11"/>
  <c r="E60" i="11"/>
  <c r="F60" i="11"/>
  <c r="G60" i="11"/>
  <c r="H60" i="11"/>
  <c r="I60" i="11"/>
  <c r="J60" i="11"/>
  <c r="K60" i="11"/>
  <c r="L60" i="11"/>
  <c r="M60" i="11"/>
  <c r="N60" i="11"/>
  <c r="O60" i="11"/>
  <c r="E61" i="11"/>
  <c r="F61" i="11"/>
  <c r="G61" i="11"/>
  <c r="H61" i="11"/>
  <c r="I61" i="11"/>
  <c r="J61" i="11"/>
  <c r="K61" i="11"/>
  <c r="L61" i="11"/>
  <c r="M61" i="11"/>
  <c r="N61" i="11"/>
  <c r="O61" i="11"/>
  <c r="E62" i="11"/>
  <c r="F62" i="11"/>
  <c r="G62" i="11"/>
  <c r="H62" i="11"/>
  <c r="I62" i="11"/>
  <c r="J62" i="11"/>
  <c r="K62" i="11"/>
  <c r="L62" i="11"/>
  <c r="M62" i="11"/>
  <c r="N62" i="11"/>
  <c r="O62" i="11"/>
  <c r="E63" i="11"/>
  <c r="F63" i="11"/>
  <c r="G63" i="11"/>
  <c r="H63" i="11"/>
  <c r="I63" i="11"/>
  <c r="J63" i="11"/>
  <c r="K63" i="11"/>
  <c r="L63" i="11"/>
  <c r="M63" i="11"/>
  <c r="N63" i="11"/>
  <c r="O63" i="11"/>
  <c r="E64" i="11"/>
  <c r="F64" i="11"/>
  <c r="G64" i="11"/>
  <c r="H64" i="11"/>
  <c r="I64" i="11"/>
  <c r="J64" i="11"/>
  <c r="K64" i="11"/>
  <c r="L64" i="11"/>
  <c r="M64" i="11"/>
  <c r="N64" i="11"/>
  <c r="O64" i="11"/>
  <c r="E65" i="11"/>
  <c r="F65" i="11"/>
  <c r="G65" i="11"/>
  <c r="H65" i="11"/>
  <c r="I65" i="11"/>
  <c r="J65" i="11"/>
  <c r="K65" i="11"/>
  <c r="L65" i="11"/>
  <c r="M65" i="11"/>
  <c r="N65" i="11"/>
  <c r="O65" i="11"/>
  <c r="E66" i="11"/>
  <c r="F66" i="11"/>
  <c r="G66" i="11"/>
  <c r="H66" i="11"/>
  <c r="I66" i="11"/>
  <c r="J66" i="11"/>
  <c r="K66" i="11"/>
  <c r="L66" i="11"/>
  <c r="M66" i="11"/>
  <c r="N66" i="11"/>
  <c r="O66" i="11"/>
  <c r="E68" i="11"/>
  <c r="F68" i="11"/>
  <c r="G68" i="11"/>
  <c r="H68" i="11"/>
  <c r="I68" i="11"/>
  <c r="J68" i="11"/>
  <c r="K68" i="11"/>
  <c r="L68" i="11"/>
  <c r="M68" i="11"/>
  <c r="N68" i="11"/>
  <c r="O68" i="11"/>
  <c r="E69" i="11"/>
  <c r="F69" i="11"/>
  <c r="G69" i="11"/>
  <c r="H69" i="11"/>
  <c r="I69" i="11"/>
  <c r="J69" i="11"/>
  <c r="K69" i="11"/>
  <c r="L69" i="11"/>
  <c r="M69" i="11"/>
  <c r="N69" i="11"/>
  <c r="O69" i="11"/>
  <c r="E71" i="11"/>
  <c r="F71" i="11"/>
  <c r="G71" i="11"/>
  <c r="H71" i="11"/>
  <c r="I71" i="11"/>
  <c r="J71" i="11"/>
  <c r="K71" i="11"/>
  <c r="L71" i="11"/>
  <c r="M71" i="11"/>
  <c r="N71" i="11"/>
  <c r="O71" i="11"/>
  <c r="E72" i="11"/>
  <c r="F72" i="11"/>
  <c r="G72" i="11"/>
  <c r="H72" i="11"/>
  <c r="I72" i="11"/>
  <c r="J72" i="11"/>
  <c r="K72" i="11"/>
  <c r="L72" i="11"/>
  <c r="M72" i="11"/>
  <c r="N72" i="11"/>
  <c r="O72" i="11"/>
  <c r="E73" i="11"/>
  <c r="F73" i="11"/>
  <c r="G73" i="11"/>
  <c r="H73" i="11"/>
  <c r="I73" i="11"/>
  <c r="J73" i="11"/>
  <c r="K73" i="11"/>
  <c r="L73" i="11"/>
  <c r="M73" i="11"/>
  <c r="N73" i="11"/>
  <c r="O73" i="11"/>
  <c r="E74" i="11"/>
  <c r="F74" i="11"/>
  <c r="G74" i="11"/>
  <c r="H74" i="11"/>
  <c r="I74" i="11"/>
  <c r="J74" i="11"/>
  <c r="K74" i="11"/>
  <c r="L74" i="11"/>
  <c r="M74" i="11"/>
  <c r="N74" i="11"/>
  <c r="O74" i="11"/>
  <c r="E75" i="11"/>
  <c r="F75" i="11"/>
  <c r="G75" i="11"/>
  <c r="H75" i="11"/>
  <c r="I75" i="11"/>
  <c r="J75" i="11"/>
  <c r="K75" i="11"/>
  <c r="L75" i="11"/>
  <c r="M75" i="11"/>
  <c r="N75" i="11"/>
  <c r="O75" i="11"/>
  <c r="E76" i="11"/>
  <c r="F76" i="11"/>
  <c r="G76" i="11"/>
  <c r="H76" i="11"/>
  <c r="I76" i="11"/>
  <c r="J76" i="11"/>
  <c r="K76" i="11"/>
  <c r="L76" i="11"/>
  <c r="M76" i="11"/>
  <c r="N76" i="11"/>
  <c r="O76" i="11"/>
  <c r="E77" i="11"/>
  <c r="F77" i="11"/>
  <c r="G77" i="11"/>
  <c r="H77" i="11"/>
  <c r="I77" i="11"/>
  <c r="J77" i="11"/>
  <c r="K77" i="11"/>
  <c r="L77" i="11"/>
  <c r="M77" i="11"/>
  <c r="N77" i="11"/>
  <c r="O77" i="11"/>
  <c r="E78" i="11"/>
  <c r="F78" i="11"/>
  <c r="G78" i="11"/>
  <c r="H78" i="11"/>
  <c r="I78" i="11"/>
  <c r="J78" i="11"/>
  <c r="K78" i="11"/>
  <c r="L78" i="11"/>
  <c r="M78" i="11"/>
  <c r="N78" i="11"/>
  <c r="O78" i="11"/>
  <c r="E80" i="11"/>
  <c r="F80" i="11"/>
  <c r="G80" i="11"/>
  <c r="H80" i="11"/>
  <c r="I80" i="11"/>
  <c r="J80" i="11"/>
  <c r="K80" i="11"/>
  <c r="L80" i="11"/>
  <c r="M80" i="11"/>
  <c r="N80" i="11"/>
  <c r="O80" i="11"/>
  <c r="E81" i="11"/>
  <c r="F81" i="11"/>
  <c r="G81" i="11"/>
  <c r="H81" i="11"/>
  <c r="I81" i="11"/>
  <c r="J81" i="11"/>
  <c r="K81" i="11"/>
  <c r="L81" i="11"/>
  <c r="M81" i="11"/>
  <c r="N81" i="11"/>
  <c r="O81" i="11"/>
  <c r="E82" i="11"/>
  <c r="F82" i="11"/>
  <c r="G82" i="11"/>
  <c r="H82" i="11"/>
  <c r="I82" i="11"/>
  <c r="J82" i="11"/>
  <c r="K82" i="11"/>
  <c r="L82" i="11"/>
  <c r="M82" i="11"/>
  <c r="N82" i="11"/>
  <c r="O82" i="11"/>
  <c r="E83" i="11"/>
  <c r="F83" i="11"/>
  <c r="G83" i="11"/>
  <c r="H83" i="11"/>
  <c r="I83" i="11"/>
  <c r="J83" i="11"/>
  <c r="K83" i="11"/>
  <c r="L83" i="11"/>
  <c r="M83" i="11"/>
  <c r="N83" i="11"/>
  <c r="O83" i="11"/>
  <c r="E84" i="11"/>
  <c r="F84" i="11"/>
  <c r="G84" i="11"/>
  <c r="H84" i="11"/>
  <c r="I84" i="11"/>
  <c r="J84" i="11"/>
  <c r="K84" i="11"/>
  <c r="L84" i="11"/>
  <c r="M84" i="11"/>
  <c r="N84" i="11"/>
  <c r="O84" i="11"/>
  <c r="E85" i="11"/>
  <c r="F85" i="11"/>
  <c r="G85" i="11"/>
  <c r="H85" i="11"/>
  <c r="I85" i="11"/>
  <c r="J85" i="11"/>
  <c r="K85" i="11"/>
  <c r="L85" i="11"/>
  <c r="M85" i="11"/>
  <c r="N85" i="11"/>
  <c r="O85" i="11"/>
  <c r="E86" i="11"/>
  <c r="F86" i="11"/>
  <c r="G86" i="11"/>
  <c r="H86" i="11"/>
  <c r="I86" i="11"/>
  <c r="J86" i="11"/>
  <c r="K86" i="11"/>
  <c r="L86" i="11"/>
  <c r="M86" i="11"/>
  <c r="N86" i="11"/>
  <c r="O86" i="11"/>
  <c r="E88" i="11"/>
  <c r="F88" i="11"/>
  <c r="G88" i="11"/>
  <c r="H88" i="11"/>
  <c r="I88" i="11"/>
  <c r="J88" i="11"/>
  <c r="K88" i="11"/>
  <c r="L88" i="11"/>
  <c r="M88" i="11"/>
  <c r="N88" i="11"/>
  <c r="O88" i="11"/>
  <c r="E89" i="11"/>
  <c r="F89" i="11"/>
  <c r="G89" i="11"/>
  <c r="H89" i="11"/>
  <c r="I89" i="11"/>
  <c r="J89" i="11"/>
  <c r="K89" i="11"/>
  <c r="L89" i="11"/>
  <c r="M89" i="11"/>
  <c r="N89" i="11"/>
  <c r="O89" i="11"/>
  <c r="E90" i="11"/>
  <c r="F90" i="11"/>
  <c r="G90" i="11"/>
  <c r="H90" i="11"/>
  <c r="I90" i="11"/>
  <c r="J90" i="11"/>
  <c r="K90" i="11"/>
  <c r="L90" i="11"/>
  <c r="M90" i="11"/>
  <c r="N90" i="11"/>
  <c r="O90" i="11"/>
  <c r="E91" i="11"/>
  <c r="F91" i="11"/>
  <c r="G91" i="11"/>
  <c r="H91" i="11"/>
  <c r="I91" i="11"/>
  <c r="J91" i="11"/>
  <c r="K91" i="11"/>
  <c r="L91" i="11"/>
  <c r="M91" i="11"/>
  <c r="N91" i="11"/>
  <c r="O91" i="11"/>
  <c r="E92" i="11"/>
  <c r="F92" i="11"/>
  <c r="G92" i="11"/>
  <c r="H92" i="11"/>
  <c r="I92" i="11"/>
  <c r="J92" i="11"/>
  <c r="K92" i="11"/>
  <c r="L92" i="11"/>
  <c r="M92" i="11"/>
  <c r="N92" i="11"/>
  <c r="O92" i="11"/>
  <c r="E94" i="11"/>
  <c r="F94" i="11"/>
  <c r="G94" i="11"/>
  <c r="H94" i="11"/>
  <c r="I94" i="11"/>
  <c r="J94" i="11"/>
  <c r="K94" i="11"/>
  <c r="L94" i="11"/>
  <c r="M94" i="11"/>
  <c r="N94" i="11"/>
  <c r="O94" i="11"/>
  <c r="E95" i="11"/>
  <c r="F95" i="11"/>
  <c r="G95" i="11"/>
  <c r="H95" i="11"/>
  <c r="I95" i="11"/>
  <c r="J95" i="11"/>
  <c r="K95" i="11"/>
  <c r="L95" i="11"/>
  <c r="M95" i="11"/>
  <c r="N95" i="11"/>
  <c r="O95" i="11"/>
  <c r="E4" i="11"/>
  <c r="F4" i="11"/>
  <c r="G4" i="11"/>
  <c r="H4" i="11"/>
  <c r="I4" i="11"/>
  <c r="J4" i="11"/>
  <c r="K4" i="11"/>
  <c r="L4" i="11"/>
  <c r="M4" i="11"/>
  <c r="N4" i="11"/>
  <c r="O4" i="11"/>
  <c r="E5" i="11"/>
  <c r="F5" i="11"/>
  <c r="G5" i="11"/>
  <c r="H5" i="11"/>
  <c r="I5" i="11"/>
  <c r="J5" i="11"/>
  <c r="K5" i="11"/>
  <c r="L5" i="11"/>
  <c r="M5" i="11"/>
  <c r="N5" i="11"/>
  <c r="O5" i="11"/>
  <c r="E6" i="11"/>
  <c r="F6" i="11"/>
  <c r="G6" i="11"/>
  <c r="H6" i="11"/>
  <c r="I6" i="11"/>
  <c r="J6" i="11"/>
  <c r="K6" i="11"/>
  <c r="L6" i="11"/>
  <c r="M6" i="11"/>
  <c r="N6" i="11"/>
  <c r="O6" i="11"/>
  <c r="E7" i="11"/>
  <c r="F7" i="11"/>
  <c r="G7" i="11"/>
  <c r="H7" i="11"/>
  <c r="I7" i="11"/>
  <c r="J7" i="11"/>
  <c r="K7" i="11"/>
  <c r="L7" i="11"/>
  <c r="M7" i="11"/>
  <c r="N7" i="11"/>
  <c r="O7" i="11"/>
  <c r="E8" i="11"/>
  <c r="F8" i="11"/>
  <c r="G8" i="11"/>
  <c r="H8" i="11"/>
  <c r="I8" i="11"/>
  <c r="J8" i="11"/>
  <c r="K8" i="11"/>
  <c r="L8" i="11"/>
  <c r="M8" i="11"/>
  <c r="N8" i="11"/>
  <c r="O8" i="11"/>
  <c r="E9" i="11"/>
  <c r="F9" i="11"/>
  <c r="G9" i="11"/>
  <c r="H9" i="11"/>
  <c r="I9" i="11"/>
  <c r="J9" i="11"/>
  <c r="K9" i="11"/>
  <c r="L9" i="11"/>
  <c r="M9" i="11"/>
  <c r="N9" i="11"/>
  <c r="O9" i="11"/>
  <c r="E10" i="11"/>
  <c r="F10" i="11"/>
  <c r="G10" i="11"/>
  <c r="H10" i="11"/>
  <c r="I10" i="11"/>
  <c r="J10" i="11"/>
  <c r="K10" i="11"/>
  <c r="L10" i="11"/>
  <c r="M10" i="11"/>
  <c r="N10" i="11"/>
  <c r="O10" i="11"/>
  <c r="E11" i="11"/>
  <c r="F11" i="11"/>
  <c r="G11" i="11"/>
  <c r="H11" i="11"/>
  <c r="I11" i="11"/>
  <c r="J11" i="11"/>
  <c r="K11" i="11"/>
  <c r="L11" i="11"/>
  <c r="M11" i="11"/>
  <c r="N11" i="11"/>
  <c r="O11" i="11"/>
  <c r="E12" i="11"/>
  <c r="F12" i="11"/>
  <c r="G12" i="11"/>
  <c r="H12" i="11"/>
  <c r="I12" i="11"/>
  <c r="J12" i="11"/>
  <c r="K12" i="11"/>
  <c r="L12" i="11"/>
  <c r="M12" i="11"/>
  <c r="N12" i="11"/>
  <c r="O12" i="11"/>
  <c r="E13" i="11"/>
  <c r="F13" i="11"/>
  <c r="G13" i="11"/>
  <c r="H13" i="11"/>
  <c r="I13" i="11"/>
  <c r="J13" i="11"/>
  <c r="K13" i="11"/>
  <c r="L13" i="11"/>
  <c r="M13" i="11"/>
  <c r="N13" i="11"/>
  <c r="O13" i="11"/>
  <c r="E14" i="11"/>
  <c r="F14" i="11"/>
  <c r="G14" i="11"/>
  <c r="H14" i="11"/>
  <c r="I14" i="11"/>
  <c r="J14" i="11"/>
  <c r="K14" i="11"/>
  <c r="L14" i="11"/>
  <c r="M14" i="11"/>
  <c r="N14" i="11"/>
  <c r="O14" i="11"/>
  <c r="E15" i="11"/>
  <c r="F15" i="11"/>
  <c r="G15" i="11"/>
  <c r="H15" i="11"/>
  <c r="I15" i="11"/>
  <c r="J15" i="11"/>
  <c r="K15" i="11"/>
  <c r="L15" i="11"/>
  <c r="M15" i="11"/>
  <c r="N15" i="11"/>
  <c r="O15" i="11"/>
  <c r="E16" i="11"/>
  <c r="F16" i="11"/>
  <c r="G16" i="11"/>
  <c r="H16" i="11"/>
  <c r="I16" i="11"/>
  <c r="J16" i="11"/>
  <c r="K16" i="11"/>
  <c r="L16" i="11"/>
  <c r="M16" i="11"/>
  <c r="N16" i="11"/>
  <c r="O16" i="11"/>
  <c r="E17" i="11"/>
  <c r="F17" i="11"/>
  <c r="G17" i="11"/>
  <c r="H17" i="11"/>
  <c r="I17" i="11"/>
  <c r="J17" i="11"/>
  <c r="K17" i="11"/>
  <c r="L17" i="11"/>
  <c r="M17" i="11"/>
  <c r="N17" i="11"/>
  <c r="O17" i="11"/>
  <c r="E18" i="11"/>
  <c r="F18" i="11"/>
  <c r="G18" i="11"/>
  <c r="H18" i="11"/>
  <c r="I18" i="11"/>
  <c r="J18" i="11"/>
  <c r="K18" i="11"/>
  <c r="L18" i="11"/>
  <c r="M18" i="11"/>
  <c r="N18" i="11"/>
  <c r="O18" i="11"/>
  <c r="E19" i="11"/>
  <c r="F19" i="11"/>
  <c r="G19" i="11"/>
  <c r="H19" i="11"/>
  <c r="I19" i="11"/>
  <c r="J19" i="11"/>
  <c r="K19" i="11"/>
  <c r="L19" i="11"/>
  <c r="M19" i="11"/>
  <c r="N19" i="11"/>
  <c r="O19" i="11"/>
  <c r="E21" i="11"/>
  <c r="F21" i="11"/>
  <c r="G21" i="11"/>
  <c r="H21" i="11"/>
  <c r="I21" i="11"/>
  <c r="J21" i="11"/>
  <c r="K21" i="11"/>
  <c r="L21" i="11"/>
  <c r="M21" i="11"/>
  <c r="N21" i="11"/>
  <c r="O21" i="11"/>
  <c r="E22" i="11"/>
  <c r="F22" i="11"/>
  <c r="G22" i="11"/>
  <c r="H22" i="11"/>
  <c r="I22" i="11"/>
  <c r="J22" i="11"/>
  <c r="K22" i="11"/>
  <c r="L22" i="11"/>
  <c r="M22" i="11"/>
  <c r="N22" i="11"/>
  <c r="O22" i="11"/>
  <c r="E25" i="11"/>
  <c r="F25" i="11"/>
  <c r="G25" i="11"/>
  <c r="H25" i="11"/>
  <c r="I25" i="11"/>
  <c r="J25" i="11"/>
  <c r="K25" i="11"/>
  <c r="L25" i="11"/>
  <c r="M25" i="11"/>
  <c r="N25" i="11"/>
  <c r="O25" i="11"/>
  <c r="E26" i="11"/>
  <c r="F26" i="11"/>
  <c r="G26" i="11"/>
  <c r="H26" i="11"/>
  <c r="I26" i="11"/>
  <c r="J26" i="11"/>
  <c r="K26" i="11"/>
  <c r="L26" i="11"/>
  <c r="M26" i="11"/>
  <c r="N26" i="11"/>
  <c r="O26" i="11"/>
  <c r="E27" i="11"/>
  <c r="F27" i="11"/>
  <c r="G27" i="11"/>
  <c r="H27" i="11"/>
  <c r="I27" i="11"/>
  <c r="J27" i="11"/>
  <c r="K27" i="11"/>
  <c r="L27" i="11"/>
  <c r="M27" i="11"/>
  <c r="N27" i="11"/>
  <c r="O27" i="11"/>
  <c r="E28" i="11"/>
  <c r="F28" i="11"/>
  <c r="G28" i="11"/>
  <c r="H28" i="11"/>
  <c r="I28" i="11"/>
  <c r="J28" i="11"/>
  <c r="K28" i="11"/>
  <c r="L28" i="11"/>
  <c r="M28" i="11"/>
  <c r="N28" i="11"/>
  <c r="O28" i="11"/>
  <c r="E29" i="11"/>
  <c r="F29" i="11"/>
  <c r="G29" i="11"/>
  <c r="H29" i="11"/>
  <c r="I29" i="11"/>
  <c r="J29" i="11"/>
  <c r="K29" i="11"/>
  <c r="L29" i="11"/>
  <c r="M29" i="11"/>
  <c r="N29" i="11"/>
  <c r="O29" i="11"/>
  <c r="E30" i="11"/>
  <c r="F30" i="11"/>
  <c r="G30" i="11"/>
  <c r="H30" i="11"/>
  <c r="I30" i="11"/>
  <c r="J30" i="11"/>
  <c r="K30" i="11"/>
  <c r="L30" i="11"/>
  <c r="M30" i="11"/>
  <c r="N30" i="11"/>
  <c r="O30" i="11"/>
  <c r="E31" i="11"/>
  <c r="F31" i="11"/>
  <c r="G31" i="11"/>
  <c r="H31" i="11"/>
  <c r="I31" i="11"/>
  <c r="J31" i="11"/>
  <c r="K31" i="11"/>
  <c r="L31" i="11"/>
  <c r="M31" i="11"/>
  <c r="N31" i="11"/>
  <c r="O31" i="11"/>
  <c r="E32" i="11"/>
  <c r="F32" i="11"/>
  <c r="G32" i="11"/>
  <c r="H32" i="11"/>
  <c r="I32" i="11"/>
  <c r="J32" i="11"/>
  <c r="K32" i="11"/>
  <c r="L32" i="11"/>
  <c r="M32" i="11"/>
  <c r="N32" i="11"/>
  <c r="O32" i="11"/>
  <c r="E34" i="11"/>
  <c r="F34" i="11"/>
  <c r="G34" i="11"/>
  <c r="H34" i="11"/>
  <c r="I34" i="11"/>
  <c r="J34" i="11"/>
  <c r="K34" i="11"/>
  <c r="L34" i="11"/>
  <c r="M34" i="11"/>
  <c r="N34" i="11"/>
  <c r="O34" i="11"/>
  <c r="E35" i="11"/>
  <c r="F35" i="11"/>
  <c r="G35" i="11"/>
  <c r="H35" i="11"/>
  <c r="I35" i="11"/>
  <c r="J35" i="11"/>
  <c r="K35" i="11"/>
  <c r="L35" i="11"/>
  <c r="M35" i="11"/>
  <c r="N35" i="11"/>
  <c r="O35" i="11"/>
  <c r="E36" i="11"/>
  <c r="F36" i="11"/>
  <c r="G36" i="11"/>
  <c r="H36" i="11"/>
  <c r="I36" i="11"/>
  <c r="J36" i="11"/>
  <c r="K36" i="11"/>
  <c r="L36" i="11"/>
  <c r="M36" i="11"/>
  <c r="N36" i="11"/>
  <c r="O36" i="11"/>
  <c r="E37" i="11"/>
  <c r="F37" i="11"/>
  <c r="G37" i="11"/>
  <c r="H37" i="11"/>
  <c r="I37" i="11"/>
  <c r="J37" i="11"/>
  <c r="K37" i="11"/>
  <c r="L37" i="11"/>
  <c r="M37" i="11"/>
  <c r="N37" i="11"/>
  <c r="O37" i="11"/>
  <c r="E38" i="11"/>
  <c r="F38" i="11"/>
  <c r="G38" i="11"/>
  <c r="H38" i="11"/>
  <c r="I38" i="11"/>
  <c r="J38" i="11"/>
  <c r="K38" i="11"/>
  <c r="L38" i="11"/>
  <c r="M38" i="11"/>
  <c r="N38" i="11"/>
  <c r="O38" i="11"/>
  <c r="E39" i="11"/>
  <c r="F39" i="11"/>
  <c r="G39" i="11"/>
  <c r="H39" i="11"/>
  <c r="I39" i="11"/>
  <c r="J39" i="11"/>
  <c r="K39" i="11"/>
  <c r="L39" i="11"/>
  <c r="M39" i="11"/>
  <c r="N39" i="11"/>
  <c r="O39" i="11"/>
  <c r="E40" i="11"/>
  <c r="F40" i="11"/>
  <c r="G40" i="11"/>
  <c r="H40" i="11"/>
  <c r="I40" i="11"/>
  <c r="J40" i="11"/>
  <c r="K40" i="11"/>
  <c r="L40" i="11"/>
  <c r="M40" i="11"/>
  <c r="N40" i="11"/>
  <c r="O40" i="11"/>
  <c r="E41" i="11"/>
  <c r="F41" i="11"/>
  <c r="G41" i="11"/>
  <c r="H41" i="11"/>
  <c r="I41" i="11"/>
  <c r="J41" i="11"/>
  <c r="K41" i="11"/>
  <c r="L41" i="11"/>
  <c r="M41" i="11"/>
  <c r="N41" i="11"/>
  <c r="O41" i="11"/>
  <c r="E42" i="11"/>
  <c r="F42" i="11"/>
  <c r="G42" i="11"/>
  <c r="H42" i="11"/>
  <c r="I42" i="11"/>
  <c r="J42" i="11"/>
  <c r="K42" i="11"/>
  <c r="L42" i="11"/>
  <c r="M42" i="11"/>
  <c r="N42" i="11"/>
  <c r="O42" i="11"/>
  <c r="E43" i="11"/>
  <c r="F43" i="11"/>
  <c r="G43" i="11"/>
  <c r="H43" i="11"/>
  <c r="I43" i="11"/>
  <c r="J43" i="11"/>
  <c r="K43" i="11"/>
  <c r="L43" i="11"/>
  <c r="M43" i="11"/>
  <c r="N43" i="11"/>
  <c r="O43" i="11"/>
  <c r="E44" i="11"/>
  <c r="F44" i="11"/>
  <c r="G44" i="11"/>
  <c r="H44" i="11"/>
  <c r="I44" i="11"/>
  <c r="J44" i="11"/>
  <c r="K44" i="11"/>
  <c r="L44" i="11"/>
  <c r="M44" i="11"/>
  <c r="N44" i="11"/>
  <c r="O44" i="11"/>
  <c r="E45" i="11"/>
  <c r="F45" i="11"/>
  <c r="G45" i="11"/>
  <c r="H45" i="11"/>
  <c r="I45" i="11"/>
  <c r="J45" i="11"/>
  <c r="K45" i="11"/>
  <c r="L45" i="11"/>
  <c r="M45" i="11"/>
  <c r="N45" i="11"/>
  <c r="O45" i="11"/>
  <c r="E47" i="11"/>
  <c r="F47" i="11"/>
  <c r="G47" i="11"/>
  <c r="H47" i="11"/>
  <c r="I47" i="11"/>
  <c r="J47" i="11"/>
  <c r="K47" i="11"/>
  <c r="L47" i="11"/>
  <c r="M47" i="11"/>
  <c r="N47" i="11"/>
  <c r="O47" i="11"/>
  <c r="E48" i="11"/>
  <c r="F48" i="11"/>
  <c r="G48" i="11"/>
  <c r="H48" i="11"/>
  <c r="I48" i="11"/>
  <c r="J48" i="11"/>
  <c r="K48" i="11"/>
  <c r="L48" i="11"/>
  <c r="M48" i="11"/>
  <c r="N48" i="11"/>
  <c r="O48" i="11"/>
  <c r="D283" i="11"/>
  <c r="D282" i="11"/>
  <c r="D235" i="11"/>
  <c r="D234" i="11"/>
  <c r="D187" i="11"/>
  <c r="D186" i="11"/>
  <c r="D142" i="11"/>
  <c r="D141" i="11"/>
  <c r="D95" i="11"/>
  <c r="D94" i="11"/>
  <c r="D48" i="11"/>
  <c r="D47" i="11"/>
  <c r="D280" i="11"/>
  <c r="D232" i="11"/>
  <c r="D184" i="11"/>
  <c r="D139" i="11"/>
  <c r="D92" i="11"/>
  <c r="D45" i="11"/>
  <c r="D279" i="11"/>
  <c r="D278" i="11"/>
  <c r="D277" i="11"/>
  <c r="D276" i="11"/>
  <c r="D274" i="11"/>
  <c r="D273" i="11"/>
  <c r="D272" i="11"/>
  <c r="D271" i="11"/>
  <c r="D270" i="11"/>
  <c r="D269" i="11"/>
  <c r="D268" i="11"/>
  <c r="D266" i="11"/>
  <c r="D265" i="11"/>
  <c r="D264" i="11"/>
  <c r="D263" i="11"/>
  <c r="D262" i="11"/>
  <c r="D261" i="11"/>
  <c r="D260" i="11"/>
  <c r="D259" i="11"/>
  <c r="D256" i="11"/>
  <c r="D255" i="11"/>
  <c r="D253" i="11"/>
  <c r="D252" i="11"/>
  <c r="D251" i="11"/>
  <c r="D250" i="11"/>
  <c r="D249" i="11"/>
  <c r="D248" i="11"/>
  <c r="D247" i="11"/>
  <c r="D246" i="11"/>
  <c r="D245" i="11"/>
  <c r="D244" i="11"/>
  <c r="D243" i="11"/>
  <c r="D242" i="11"/>
  <c r="D241" i="11"/>
  <c r="D240" i="11"/>
  <c r="D239" i="11"/>
  <c r="D238" i="11"/>
  <c r="D231" i="11"/>
  <c r="D230" i="11"/>
  <c r="D229" i="11"/>
  <c r="D228" i="11"/>
  <c r="D226" i="11"/>
  <c r="D225" i="11"/>
  <c r="D224" i="11"/>
  <c r="D223" i="11"/>
  <c r="D222" i="11"/>
  <c r="D221" i="11"/>
  <c r="D220" i="11"/>
  <c r="D218" i="11"/>
  <c r="D217" i="11"/>
  <c r="D216" i="11"/>
  <c r="D215" i="11"/>
  <c r="D214" i="11"/>
  <c r="D213" i="11"/>
  <c r="D212" i="11"/>
  <c r="D211" i="11"/>
  <c r="D208" i="11"/>
  <c r="D207" i="11"/>
  <c r="D205" i="11"/>
  <c r="D204" i="11"/>
  <c r="D203" i="11"/>
  <c r="D202" i="11"/>
  <c r="D201" i="11"/>
  <c r="D200" i="11"/>
  <c r="D199" i="11"/>
  <c r="D198" i="11"/>
  <c r="D197" i="11"/>
  <c r="D196" i="11"/>
  <c r="D195" i="11"/>
  <c r="D194" i="11"/>
  <c r="D193" i="11"/>
  <c r="D192" i="11"/>
  <c r="D191" i="11"/>
  <c r="D190" i="11"/>
  <c r="D183" i="11"/>
  <c r="D182" i="11"/>
  <c r="D181" i="11"/>
  <c r="D180" i="11"/>
  <c r="D179" i="11"/>
  <c r="D178" i="11"/>
  <c r="D177" i="11"/>
  <c r="D176" i="11"/>
  <c r="D175" i="11"/>
  <c r="D174" i="11"/>
  <c r="D173" i="11"/>
  <c r="D172" i="11"/>
  <c r="D171" i="11"/>
  <c r="D170" i="11"/>
  <c r="D169" i="11"/>
  <c r="D168" i="11"/>
  <c r="D167" i="11"/>
  <c r="D166" i="11"/>
  <c r="D165" i="11"/>
  <c r="D163" i="11"/>
  <c r="D162" i="11"/>
  <c r="D160" i="11"/>
  <c r="D159" i="11"/>
  <c r="D158" i="11"/>
  <c r="D157" i="11"/>
  <c r="D156" i="11"/>
  <c r="D155" i="11"/>
  <c r="D154" i="11"/>
  <c r="D153" i="11"/>
  <c r="D152" i="11"/>
  <c r="D151" i="11"/>
  <c r="D150" i="11"/>
  <c r="D149" i="11"/>
  <c r="D148" i="11"/>
  <c r="D147" i="11"/>
  <c r="D146" i="11"/>
  <c r="D145" i="11"/>
  <c r="D138" i="11"/>
  <c r="D137" i="11"/>
  <c r="D136" i="11"/>
  <c r="D135" i="11"/>
  <c r="D133" i="11"/>
  <c r="D132" i="11"/>
  <c r="D131" i="11"/>
  <c r="D130" i="11"/>
  <c r="D129" i="11"/>
  <c r="D128" i="11"/>
  <c r="D127" i="11"/>
  <c r="D125" i="11"/>
  <c r="D124" i="11"/>
  <c r="D123" i="11"/>
  <c r="D122" i="11"/>
  <c r="D121" i="11"/>
  <c r="D120" i="11"/>
  <c r="D119" i="11"/>
  <c r="D118" i="11"/>
  <c r="D116" i="11"/>
  <c r="D115" i="11"/>
  <c r="D113" i="11"/>
  <c r="D112" i="11"/>
  <c r="D111" i="11"/>
  <c r="D110" i="11"/>
  <c r="D109" i="11"/>
  <c r="D108" i="11"/>
  <c r="D107" i="11"/>
  <c r="D106" i="11"/>
  <c r="D105" i="11"/>
  <c r="D104" i="11"/>
  <c r="D103" i="11"/>
  <c r="D102" i="11"/>
  <c r="D101" i="11"/>
  <c r="D100" i="11"/>
  <c r="D99" i="11"/>
  <c r="D98" i="11"/>
  <c r="D91" i="11"/>
  <c r="D90" i="11"/>
  <c r="D89" i="11"/>
  <c r="D88" i="11"/>
  <c r="D86" i="11"/>
  <c r="D85" i="11"/>
  <c r="D84" i="11"/>
  <c r="D83" i="11"/>
  <c r="D82" i="11"/>
  <c r="D81" i="11"/>
  <c r="D80" i="11"/>
  <c r="D78" i="11"/>
  <c r="D77" i="11"/>
  <c r="D76" i="11"/>
  <c r="D75" i="11"/>
  <c r="D74" i="11"/>
  <c r="D73" i="11"/>
  <c r="D72" i="11"/>
  <c r="D71" i="11"/>
  <c r="D69" i="11"/>
  <c r="D68" i="11"/>
  <c r="D66" i="11"/>
  <c r="D65" i="11"/>
  <c r="D64" i="11"/>
  <c r="D63" i="11"/>
  <c r="D62" i="11"/>
  <c r="D61" i="11"/>
  <c r="D60" i="11"/>
  <c r="D59" i="11"/>
  <c r="D58" i="11"/>
  <c r="D57" i="11"/>
  <c r="D56" i="11"/>
  <c r="D55" i="11"/>
  <c r="D54" i="11"/>
  <c r="D53" i="11"/>
  <c r="D52" i="11"/>
  <c r="D51" i="11"/>
  <c r="D44" i="11"/>
  <c r="D43" i="11"/>
  <c r="D42" i="11"/>
  <c r="D41" i="11"/>
  <c r="D40" i="11"/>
  <c r="D39" i="11"/>
  <c r="D38" i="11"/>
  <c r="D37" i="11"/>
  <c r="D36" i="11"/>
  <c r="D35" i="11"/>
  <c r="D34" i="11"/>
  <c r="D32" i="11"/>
  <c r="D31" i="11"/>
  <c r="D30" i="11"/>
  <c r="D29" i="11"/>
  <c r="D28" i="11"/>
  <c r="D27" i="11"/>
  <c r="D26" i="11"/>
  <c r="D25" i="11"/>
  <c r="D22" i="11"/>
  <c r="D21" i="11"/>
  <c r="D19" i="11"/>
  <c r="D18" i="11"/>
  <c r="D17" i="11"/>
  <c r="D16" i="11"/>
  <c r="D15" i="11"/>
  <c r="D14" i="11"/>
  <c r="D13" i="11"/>
  <c r="D12" i="11"/>
  <c r="D11" i="11"/>
  <c r="D10" i="11"/>
  <c r="D9" i="11"/>
  <c r="D8" i="11"/>
  <c r="D7" i="11"/>
  <c r="D6" i="11"/>
  <c r="D5" i="11"/>
  <c r="D4" i="11"/>
  <c r="P10" i="1" l="1"/>
  <c r="P44" i="1"/>
  <c r="P7" i="1"/>
  <c r="Z395" i="2"/>
  <c r="Z327" i="2"/>
  <c r="M326" i="2"/>
  <c r="M161" i="11"/>
  <c r="K209" i="11"/>
  <c r="J209" i="11"/>
  <c r="Y395" i="2"/>
  <c r="D475" i="2"/>
  <c r="D396" i="2"/>
  <c r="P328" i="2"/>
  <c r="N397" i="2"/>
  <c r="AB395" i="2"/>
  <c r="H395" i="2"/>
  <c r="AG397" i="2"/>
  <c r="M397" i="2"/>
  <c r="G395" i="2"/>
  <c r="V398" i="2"/>
  <c r="AC397" i="2"/>
  <c r="I397" i="2"/>
  <c r="AJ396" i="2"/>
  <c r="P396" i="2"/>
  <c r="W395" i="2"/>
  <c r="D65" i="2"/>
  <c r="G46" i="11"/>
  <c r="AS65" i="2"/>
  <c r="Y65" i="2"/>
  <c r="E65" i="2"/>
  <c r="AC327" i="2"/>
  <c r="P326" i="2"/>
  <c r="N65" i="2"/>
  <c r="AG65" i="2"/>
  <c r="M65" i="2"/>
  <c r="R328" i="2"/>
  <c r="AS327" i="2"/>
  <c r="Q328" i="2"/>
  <c r="AR327" i="2"/>
  <c r="AY326" i="2"/>
  <c r="AE326" i="2"/>
  <c r="U397" i="2"/>
  <c r="AB396" i="2"/>
  <c r="AI395" i="2"/>
  <c r="Z475" i="2"/>
  <c r="K257" i="11"/>
  <c r="AL397" i="2"/>
  <c r="D476" i="2"/>
  <c r="AB327" i="2"/>
  <c r="H327" i="2"/>
  <c r="O326" i="2"/>
  <c r="H257" i="11"/>
  <c r="AA327" i="2"/>
  <c r="N326" i="2"/>
  <c r="I209" i="11"/>
  <c r="I257" i="11"/>
  <c r="G209" i="11"/>
  <c r="G257" i="11"/>
  <c r="Y327" i="2"/>
  <c r="AF326" i="2"/>
  <c r="L326" i="2"/>
  <c r="AM398" i="2"/>
  <c r="S398" i="2"/>
  <c r="Z397" i="2"/>
  <c r="F397" i="2"/>
  <c r="AG396" i="2"/>
  <c r="M396" i="2"/>
  <c r="T395" i="2"/>
  <c r="S328" i="2"/>
  <c r="O281" i="11"/>
  <c r="N281" i="11"/>
  <c r="F114" i="11"/>
  <c r="F161" i="11"/>
  <c r="M281" i="11"/>
  <c r="F254" i="11"/>
  <c r="H206" i="11"/>
  <c r="G67" i="11"/>
  <c r="O117" i="11"/>
  <c r="N164" i="11"/>
  <c r="E161" i="11"/>
  <c r="L233" i="11"/>
  <c r="H219" i="11"/>
  <c r="H227" i="11" s="1"/>
  <c r="L281" i="11"/>
  <c r="H267" i="11"/>
  <c r="H275" i="11" s="1"/>
  <c r="E254" i="11"/>
  <c r="AC475" i="2"/>
  <c r="G114" i="11"/>
  <c r="F67" i="11"/>
  <c r="G33" i="11"/>
  <c r="M23" i="11"/>
  <c r="K185" i="11"/>
  <c r="O161" i="11"/>
  <c r="K233" i="11"/>
  <c r="G267" i="11"/>
  <c r="G275" i="11" s="1"/>
  <c r="AB475" i="2"/>
  <c r="J46" i="11"/>
  <c r="N161" i="11"/>
  <c r="J233" i="11"/>
  <c r="F219" i="11"/>
  <c r="F227" i="11" s="1"/>
  <c r="L209" i="11"/>
  <c r="K327" i="2"/>
  <c r="I327" i="2"/>
  <c r="M126" i="11"/>
  <c r="M134" i="11" s="1"/>
  <c r="M219" i="11"/>
  <c r="M227" i="11" s="1"/>
  <c r="E33" i="11"/>
  <c r="AK328" i="2"/>
  <c r="X327" i="2"/>
  <c r="K326" i="2"/>
  <c r="J79" i="11"/>
  <c r="J87" i="11" s="1"/>
  <c r="AQ327" i="2"/>
  <c r="AD327" i="2"/>
  <c r="H20" i="11"/>
  <c r="M93" i="11"/>
  <c r="H209" i="11"/>
  <c r="I67" i="11"/>
  <c r="H254" i="11"/>
  <c r="D398" i="2"/>
  <c r="AE327" i="2"/>
  <c r="G20" i="11"/>
  <c r="L257" i="11"/>
  <c r="G254" i="11"/>
  <c r="AT65" i="2"/>
  <c r="Z65" i="2"/>
  <c r="F65" i="2"/>
  <c r="D326" i="2"/>
  <c r="E140" i="11"/>
  <c r="AR65" i="2"/>
  <c r="X65" i="2"/>
  <c r="I79" i="11"/>
  <c r="I87" i="11" s="1"/>
  <c r="N140" i="11"/>
  <c r="N267" i="11"/>
  <c r="N275" i="11" s="1"/>
  <c r="I33" i="11"/>
  <c r="O23" i="11"/>
  <c r="F206" i="11"/>
  <c r="AR328" i="2"/>
  <c r="X328" i="2"/>
  <c r="AQ328" i="2"/>
  <c r="W328" i="2"/>
  <c r="AX327" i="2"/>
  <c r="E327" i="2"/>
  <c r="Y398" i="2"/>
  <c r="E398" i="2"/>
  <c r="O395" i="2"/>
  <c r="K126" i="11"/>
  <c r="K134" i="11" s="1"/>
  <c r="L46" i="11"/>
  <c r="N70" i="11"/>
  <c r="E206" i="11"/>
  <c r="AF397" i="2"/>
  <c r="L397" i="2"/>
  <c r="O20" i="11"/>
  <c r="F20" i="11"/>
  <c r="H67" i="11"/>
  <c r="M140" i="11"/>
  <c r="K114" i="11"/>
  <c r="M209" i="11"/>
  <c r="K281" i="11"/>
  <c r="N20" i="11"/>
  <c r="E20" i="11"/>
  <c r="F126" i="11"/>
  <c r="F134" i="11" s="1"/>
  <c r="J114" i="11"/>
  <c r="F185" i="11"/>
  <c r="J281" i="11"/>
  <c r="AX326" i="2"/>
  <c r="AD326" i="2"/>
  <c r="V397" i="2"/>
  <c r="AC396" i="2"/>
  <c r="AD397" i="2"/>
  <c r="X395" i="2"/>
  <c r="O67" i="11"/>
  <c r="E126" i="11"/>
  <c r="E134" i="11" s="1"/>
  <c r="N117" i="11"/>
  <c r="I114" i="11"/>
  <c r="E185" i="11"/>
  <c r="AI65" i="2"/>
  <c r="O65" i="2"/>
  <c r="N67" i="11"/>
  <c r="H114" i="11"/>
  <c r="L206" i="11"/>
  <c r="AH65" i="2"/>
  <c r="N328" i="2"/>
  <c r="AO327" i="2"/>
  <c r="U327" i="2"/>
  <c r="AV326" i="2"/>
  <c r="AB326" i="2"/>
  <c r="H326" i="2"/>
  <c r="D397" i="2"/>
  <c r="AG398" i="2"/>
  <c r="M398" i="2"/>
  <c r="T397" i="2"/>
  <c r="AA396" i="2"/>
  <c r="G396" i="2"/>
  <c r="AH395" i="2"/>
  <c r="N395" i="2"/>
  <c r="M67" i="11"/>
  <c r="H23" i="11"/>
  <c r="L67" i="11"/>
  <c r="O126" i="11"/>
  <c r="O134" i="11" s="1"/>
  <c r="J206" i="11"/>
  <c r="J210" i="11" s="1"/>
  <c r="AE398" i="2"/>
  <c r="Y396" i="2"/>
  <c r="L395" i="2"/>
  <c r="G70" i="11"/>
  <c r="E114" i="11"/>
  <c r="X396" i="2"/>
  <c r="AM395" i="2"/>
  <c r="K33" i="11"/>
  <c r="O257" i="11"/>
  <c r="J254" i="11"/>
  <c r="AX328" i="2"/>
  <c r="AD328" i="2"/>
  <c r="J328" i="2"/>
  <c r="AK327" i="2"/>
  <c r="Q327" i="2"/>
  <c r="AR326" i="2"/>
  <c r="X326" i="2"/>
  <c r="I398" i="2"/>
  <c r="AJ397" i="2"/>
  <c r="Q398" i="2"/>
  <c r="AL395" i="2"/>
  <c r="E67" i="11"/>
  <c r="L117" i="11"/>
  <c r="H70" i="11"/>
  <c r="K117" i="11"/>
  <c r="G23" i="11"/>
  <c r="N126" i="11"/>
  <c r="N134" i="11" s="1"/>
  <c r="L126" i="11"/>
  <c r="L134" i="11" s="1"/>
  <c r="E209" i="11"/>
  <c r="N257" i="11"/>
  <c r="E257" i="11"/>
  <c r="I254" i="11"/>
  <c r="AB398" i="2"/>
  <c r="H398" i="2"/>
  <c r="AI397" i="2"/>
  <c r="O397" i="2"/>
  <c r="I395" i="2"/>
  <c r="P398" i="2"/>
  <c r="W397" i="2"/>
  <c r="AD396" i="2"/>
  <c r="AK395" i="2"/>
  <c r="AG475" i="2"/>
  <c r="M475" i="2"/>
  <c r="AL476" i="2"/>
  <c r="AA475" i="2"/>
  <c r="AH475" i="2"/>
  <c r="N475" i="2"/>
  <c r="AS475" i="2"/>
  <c r="Y475" i="2"/>
  <c r="S476" i="2"/>
  <c r="AR475" i="2"/>
  <c r="X475" i="2"/>
  <c r="AY475" i="2"/>
  <c r="AE475" i="2"/>
  <c r="K475" i="2"/>
  <c r="AK475" i="2"/>
  <c r="Q475" i="2"/>
  <c r="R476" i="2"/>
  <c r="AJ475" i="2"/>
  <c r="P475" i="2"/>
  <c r="AI475" i="2"/>
  <c r="O475" i="2"/>
  <c r="AH328" i="2"/>
  <c r="AF475" i="2"/>
  <c r="L475" i="2"/>
  <c r="I126" i="11"/>
  <c r="I134" i="11" s="1"/>
  <c r="G219" i="11"/>
  <c r="G227" i="11" s="1"/>
  <c r="M257" i="11"/>
  <c r="AD476" i="11"/>
  <c r="AI328" i="2"/>
  <c r="O328" i="2"/>
  <c r="AP327" i="2"/>
  <c r="V327" i="2"/>
  <c r="AW326" i="2"/>
  <c r="AC326" i="2"/>
  <c r="I326" i="2"/>
  <c r="AM476" i="2"/>
  <c r="AX476" i="2"/>
  <c r="AD476" i="2"/>
  <c r="J476" i="2"/>
  <c r="M20" i="11"/>
  <c r="L140" i="11"/>
  <c r="G206" i="11"/>
  <c r="J257" i="11"/>
  <c r="AF328" i="2"/>
  <c r="L328" i="2"/>
  <c r="AM327" i="2"/>
  <c r="S327" i="2"/>
  <c r="AT326" i="2"/>
  <c r="Z326" i="2"/>
  <c r="F326" i="2"/>
  <c r="AW328" i="2"/>
  <c r="AC328" i="2"/>
  <c r="AJ327" i="2"/>
  <c r="AY328" i="2"/>
  <c r="AE328" i="2"/>
  <c r="K328" i="2"/>
  <c r="AL327" i="2"/>
  <c r="R327" i="2"/>
  <c r="AS326" i="2"/>
  <c r="Y326" i="2"/>
  <c r="E326" i="2"/>
  <c r="O398" i="2"/>
  <c r="AJ395" i="2"/>
  <c r="AS476" i="2"/>
  <c r="Y476" i="2"/>
  <c r="E476" i="2"/>
  <c r="O114" i="11"/>
  <c r="W65" i="2"/>
  <c r="F70" i="11"/>
  <c r="I117" i="11"/>
  <c r="N114" i="11"/>
  <c r="J185" i="11"/>
  <c r="E219" i="11"/>
  <c r="E227" i="11" s="1"/>
  <c r="F267" i="11"/>
  <c r="F275" i="11" s="1"/>
  <c r="AP65" i="2"/>
  <c r="V65" i="2"/>
  <c r="K46" i="11"/>
  <c r="O33" i="11"/>
  <c r="H33" i="11"/>
  <c r="N23" i="11"/>
  <c r="O70" i="11"/>
  <c r="H117" i="11"/>
  <c r="M114" i="11"/>
  <c r="I185" i="11"/>
  <c r="E267" i="11"/>
  <c r="E275" i="11" s="1"/>
  <c r="AS328" i="2"/>
  <c r="Y328" i="2"/>
  <c r="E328" i="2"/>
  <c r="AF327" i="2"/>
  <c r="L327" i="2"/>
  <c r="AM326" i="2"/>
  <c r="S326" i="2"/>
  <c r="S397" i="2"/>
  <c r="Z396" i="2"/>
  <c r="F396" i="2"/>
  <c r="AG395" i="2"/>
  <c r="AV475" i="2"/>
  <c r="H475" i="2"/>
  <c r="AP476" i="2"/>
  <c r="V476" i="2"/>
  <c r="AN65" i="2"/>
  <c r="T65" i="2"/>
  <c r="AY327" i="2"/>
  <c r="AL326" i="2"/>
  <c r="R326" i="2"/>
  <c r="W398" i="2"/>
  <c r="J397" i="2"/>
  <c r="AK396" i="2"/>
  <c r="Q396" i="2"/>
  <c r="K398" i="2"/>
  <c r="R397" i="2"/>
  <c r="E396" i="2"/>
  <c r="AF395" i="2"/>
  <c r="AU475" i="2"/>
  <c r="G475" i="2"/>
  <c r="AO476" i="2"/>
  <c r="U476" i="2"/>
  <c r="N33" i="11"/>
  <c r="O79" i="11"/>
  <c r="O87" i="11" s="1"/>
  <c r="G117" i="11"/>
  <c r="L114" i="11"/>
  <c r="H185" i="11"/>
  <c r="I46" i="11"/>
  <c r="M33" i="11"/>
  <c r="F33" i="11"/>
  <c r="L23" i="11"/>
  <c r="N79" i="11"/>
  <c r="N87" i="11" s="1"/>
  <c r="M70" i="11"/>
  <c r="F117" i="11"/>
  <c r="H233" i="11"/>
  <c r="O219" i="11"/>
  <c r="O227" i="11" s="1"/>
  <c r="I206" i="11"/>
  <c r="J267" i="11"/>
  <c r="J275" i="11" s="1"/>
  <c r="D327" i="2"/>
  <c r="J327" i="2"/>
  <c r="AK326" i="2"/>
  <c r="Q326" i="2"/>
  <c r="AT475" i="2"/>
  <c r="F475" i="2"/>
  <c r="AN476" i="2"/>
  <c r="T476" i="2"/>
  <c r="AL65" i="2"/>
  <c r="R65" i="2"/>
  <c r="AP328" i="2"/>
  <c r="V328" i="2"/>
  <c r="AW327" i="2"/>
  <c r="AJ326" i="2"/>
  <c r="U398" i="2"/>
  <c r="AB397" i="2"/>
  <c r="H397" i="2"/>
  <c r="AI396" i="2"/>
  <c r="O396" i="2"/>
  <c r="V395" i="2"/>
  <c r="E475" i="2"/>
  <c r="AK65" i="2"/>
  <c r="Q65" i="2"/>
  <c r="T398" i="2"/>
  <c r="AA397" i="2"/>
  <c r="G397" i="2"/>
  <c r="AH396" i="2"/>
  <c r="N396" i="2"/>
  <c r="U395" i="2"/>
  <c r="J117" i="11"/>
  <c r="H46" i="11"/>
  <c r="L33" i="11"/>
  <c r="G233" i="11"/>
  <c r="E79" i="11"/>
  <c r="E87" i="11" s="1"/>
  <c r="O46" i="11"/>
  <c r="F46" i="11"/>
  <c r="L20" i="11"/>
  <c r="K79" i="11"/>
  <c r="K87" i="11" s="1"/>
  <c r="I161" i="11"/>
  <c r="E233" i="11"/>
  <c r="AJ65" i="2"/>
  <c r="P65" i="2"/>
  <c r="AN328" i="2"/>
  <c r="T328" i="2"/>
  <c r="AU327" i="2"/>
  <c r="G327" i="2"/>
  <c r="AH326" i="2"/>
  <c r="D395" i="2"/>
  <c r="N46" i="11"/>
  <c r="E46" i="11"/>
  <c r="H161" i="11"/>
  <c r="O233" i="11"/>
  <c r="AM328" i="2"/>
  <c r="AT327" i="2"/>
  <c r="F327" i="2"/>
  <c r="AG326" i="2"/>
  <c r="G161" i="11"/>
  <c r="N233" i="11"/>
  <c r="AJ328" i="2"/>
  <c r="W327" i="2"/>
  <c r="J326" i="2"/>
  <c r="AL328" i="2"/>
  <c r="AM396" i="2"/>
  <c r="S396" i="2"/>
  <c r="F395" i="2"/>
  <c r="E23" i="11"/>
  <c r="K23" i="11"/>
  <c r="M79" i="11"/>
  <c r="M87" i="11" s="1"/>
  <c r="L70" i="11"/>
  <c r="O209" i="11"/>
  <c r="L79" i="11"/>
  <c r="L87" i="11" s="1"/>
  <c r="H126" i="11"/>
  <c r="H134" i="11" s="1"/>
  <c r="F233" i="11"/>
  <c r="N209" i="11"/>
  <c r="O164" i="11"/>
  <c r="M233" i="11"/>
  <c r="I219" i="11"/>
  <c r="I227" i="11" s="1"/>
  <c r="AX475" i="2"/>
  <c r="AD475" i="2"/>
  <c r="J475" i="2"/>
  <c r="AY476" i="2"/>
  <c r="P15" i="1" s="1"/>
  <c r="AE476" i="2"/>
  <c r="K476" i="2"/>
  <c r="AW475" i="2"/>
  <c r="I475" i="2"/>
  <c r="J126" i="11"/>
  <c r="J134" i="11" s="1"/>
  <c r="AO328" i="2"/>
  <c r="U328" i="2"/>
  <c r="AV327" i="2"/>
  <c r="AI326" i="2"/>
  <c r="K70" i="11"/>
  <c r="J70" i="11"/>
  <c r="M267" i="11"/>
  <c r="M275" i="11" s="1"/>
  <c r="R398" i="2"/>
  <c r="S395" i="2"/>
  <c r="I328" i="2"/>
  <c r="AQ326" i="2"/>
  <c r="J23" i="11"/>
  <c r="I23" i="11"/>
  <c r="I70" i="11"/>
  <c r="H79" i="11"/>
  <c r="H87" i="11" s="1"/>
  <c r="G79" i="11"/>
  <c r="G87" i="11" s="1"/>
  <c r="M117" i="11"/>
  <c r="P327" i="2"/>
  <c r="W326" i="2"/>
  <c r="AD398" i="2"/>
  <c r="AM65" i="2"/>
  <c r="S65" i="2"/>
  <c r="L267" i="11"/>
  <c r="L275" i="11" s="1"/>
  <c r="M46" i="11"/>
  <c r="J33" i="11"/>
  <c r="I20" i="11"/>
  <c r="N93" i="11"/>
  <c r="E93" i="11"/>
  <c r="J67" i="11"/>
  <c r="O140" i="11"/>
  <c r="F140" i="11"/>
  <c r="E164" i="11"/>
  <c r="I233" i="11"/>
  <c r="E281" i="11"/>
  <c r="O267" i="11"/>
  <c r="O275" i="11" s="1"/>
  <c r="AU65" i="2"/>
  <c r="AA65" i="2"/>
  <c r="G65" i="2"/>
  <c r="AL475" i="2"/>
  <c r="R475" i="2"/>
  <c r="AF476" i="2"/>
  <c r="L476" i="2"/>
  <c r="AW476" i="2"/>
  <c r="AC476" i="2"/>
  <c r="I476" i="2"/>
  <c r="AV328" i="2"/>
  <c r="AB328" i="2"/>
  <c r="H328" i="2"/>
  <c r="AI327" i="2"/>
  <c r="O327" i="2"/>
  <c r="AP326" i="2"/>
  <c r="V326" i="2"/>
  <c r="AV476" i="2"/>
  <c r="AB476" i="2"/>
  <c r="H476" i="2"/>
  <c r="N219" i="11"/>
  <c r="N227" i="11" s="1"/>
  <c r="AU328" i="2"/>
  <c r="AA328" i="2"/>
  <c r="G328" i="2"/>
  <c r="AH327" i="2"/>
  <c r="N327" i="2"/>
  <c r="AO326" i="2"/>
  <c r="U326" i="2"/>
  <c r="AU476" i="2"/>
  <c r="AA476" i="2"/>
  <c r="G476" i="2"/>
  <c r="F23" i="11"/>
  <c r="I267" i="11"/>
  <c r="I275" i="11" s="1"/>
  <c r="AD474" i="11"/>
  <c r="AO65" i="2"/>
  <c r="U65" i="2"/>
  <c r="AT328" i="2"/>
  <c r="Z328" i="2"/>
  <c r="F328" i="2"/>
  <c r="AG327" i="2"/>
  <c r="M327" i="2"/>
  <c r="AN326" i="2"/>
  <c r="T326" i="2"/>
  <c r="AT476" i="2"/>
  <c r="Z476" i="2"/>
  <c r="F476" i="2"/>
  <c r="O254" i="11"/>
  <c r="L161" i="11"/>
  <c r="M254" i="11"/>
  <c r="F257" i="11"/>
  <c r="K93" i="11"/>
  <c r="N185" i="11"/>
  <c r="K164" i="11"/>
  <c r="J161" i="11"/>
  <c r="L219" i="11"/>
  <c r="L227" i="11" s="1"/>
  <c r="O206" i="11"/>
  <c r="K254" i="11"/>
  <c r="AK398" i="2"/>
  <c r="X397" i="2"/>
  <c r="AE396" i="2"/>
  <c r="K396" i="2"/>
  <c r="R395" i="2"/>
  <c r="AK397" i="2"/>
  <c r="K395" i="2"/>
  <c r="E117" i="11"/>
  <c r="G185" i="11"/>
  <c r="P397" i="2"/>
  <c r="W396" i="2"/>
  <c r="AD395" i="2"/>
  <c r="K267" i="11"/>
  <c r="K275" i="11" s="1"/>
  <c r="N254" i="11"/>
  <c r="AA398" i="2"/>
  <c r="AH397" i="2"/>
  <c r="L93" i="11"/>
  <c r="K161" i="11"/>
  <c r="L254" i="11"/>
  <c r="E397" i="2"/>
  <c r="L396" i="2"/>
  <c r="F398" i="2"/>
  <c r="T396" i="2"/>
  <c r="J93" i="11"/>
  <c r="K140" i="11"/>
  <c r="M185" i="11"/>
  <c r="J164" i="11"/>
  <c r="K219" i="11"/>
  <c r="K227" i="11" s="1"/>
  <c r="N206" i="11"/>
  <c r="AF65" i="2"/>
  <c r="L65" i="2"/>
  <c r="AJ398" i="2"/>
  <c r="J396" i="2"/>
  <c r="Q395" i="2"/>
  <c r="X398" i="2"/>
  <c r="AE397" i="2"/>
  <c r="K397" i="2"/>
  <c r="AL396" i="2"/>
  <c r="R396" i="2"/>
  <c r="E395" i="2"/>
  <c r="AQ475" i="2"/>
  <c r="W475" i="2"/>
  <c r="AK476" i="2"/>
  <c r="Q476" i="2"/>
  <c r="AR476" i="2"/>
  <c r="X476" i="2"/>
  <c r="I93" i="11"/>
  <c r="J140" i="11"/>
  <c r="L185" i="11"/>
  <c r="I164" i="11"/>
  <c r="J219" i="11"/>
  <c r="J227" i="11" s="1"/>
  <c r="M206" i="11"/>
  <c r="I281" i="11"/>
  <c r="AY65" i="2"/>
  <c r="AE65" i="2"/>
  <c r="K65" i="2"/>
  <c r="D328" i="2"/>
  <c r="AI398" i="2"/>
  <c r="I396" i="2"/>
  <c r="P395" i="2"/>
  <c r="AP475" i="2"/>
  <c r="V475" i="2"/>
  <c r="AJ476" i="2"/>
  <c r="P476" i="2"/>
  <c r="AQ476" i="2"/>
  <c r="W476" i="2"/>
  <c r="H93" i="11"/>
  <c r="I140" i="11"/>
  <c r="H164" i="11"/>
  <c r="F209" i="11"/>
  <c r="H281" i="11"/>
  <c r="AQ65" i="2"/>
  <c r="AX65" i="2"/>
  <c r="AD65" i="2"/>
  <c r="J65" i="2"/>
  <c r="AH398" i="2"/>
  <c r="N398" i="2"/>
  <c r="H396" i="2"/>
  <c r="AO475" i="2"/>
  <c r="U475" i="2"/>
  <c r="AI476" i="2"/>
  <c r="O476" i="2"/>
  <c r="J398" i="2"/>
  <c r="Q397" i="2"/>
  <c r="AE395" i="2"/>
  <c r="F79" i="11"/>
  <c r="F87" i="11" s="1"/>
  <c r="AC398" i="2"/>
  <c r="J395" i="2"/>
  <c r="G126" i="11"/>
  <c r="G134" i="11" s="1"/>
  <c r="V396" i="2"/>
  <c r="AC395" i="2"/>
  <c r="M164" i="11"/>
  <c r="G398" i="2"/>
  <c r="U396" i="2"/>
  <c r="O185" i="11"/>
  <c r="L164" i="11"/>
  <c r="AL398" i="2"/>
  <c r="Y397" i="2"/>
  <c r="AF396" i="2"/>
  <c r="Z398" i="2"/>
  <c r="AA395" i="2"/>
  <c r="K20" i="11"/>
  <c r="G93" i="11"/>
  <c r="E70" i="11"/>
  <c r="H140" i="11"/>
  <c r="G164" i="11"/>
  <c r="K206" i="11"/>
  <c r="K210" i="11" s="1"/>
  <c r="G281" i="11"/>
  <c r="AW65" i="2"/>
  <c r="AC65" i="2"/>
  <c r="I65" i="2"/>
  <c r="AN475" i="2"/>
  <c r="T475" i="2"/>
  <c r="AH476" i="2"/>
  <c r="N476" i="2"/>
  <c r="J20" i="11"/>
  <c r="O93" i="11"/>
  <c r="F93" i="11"/>
  <c r="K67" i="11"/>
  <c r="G140" i="11"/>
  <c r="F164" i="11"/>
  <c r="F281" i="11"/>
  <c r="AV65" i="2"/>
  <c r="AB65" i="2"/>
  <c r="H65" i="2"/>
  <c r="AG328" i="2"/>
  <c r="M328" i="2"/>
  <c r="AN327" i="2"/>
  <c r="T327" i="2"/>
  <c r="AU326" i="2"/>
  <c r="AA326" i="2"/>
  <c r="G326" i="2"/>
  <c r="AF398" i="2"/>
  <c r="L398" i="2"/>
  <c r="AM397" i="2"/>
  <c r="M395" i="2"/>
  <c r="AM475" i="2"/>
  <c r="S475" i="2"/>
  <c r="AG476" i="2"/>
  <c r="M476" i="2"/>
  <c r="G258" i="11" l="1"/>
  <c r="K258" i="11"/>
  <c r="L210" i="11"/>
  <c r="I210" i="11"/>
  <c r="H258" i="11"/>
  <c r="H24" i="11"/>
  <c r="F210" i="11"/>
  <c r="M24" i="11"/>
  <c r="G24" i="11"/>
  <c r="H210" i="11"/>
  <c r="I258" i="11"/>
  <c r="O24" i="11"/>
  <c r="E258" i="11"/>
  <c r="M210" i="11"/>
  <c r="F258" i="11"/>
  <c r="N24" i="11"/>
  <c r="G210" i="11"/>
  <c r="K24" i="11"/>
  <c r="I24" i="11"/>
  <c r="L258" i="11"/>
  <c r="J258" i="11"/>
  <c r="O258" i="11"/>
  <c r="N258" i="11"/>
  <c r="F24" i="11"/>
  <c r="E24" i="11"/>
  <c r="M258" i="11"/>
  <c r="E210" i="11"/>
  <c r="J24" i="11"/>
  <c r="L24" i="11"/>
  <c r="O210" i="11"/>
  <c r="N210" i="11"/>
  <c r="D40" i="1"/>
  <c r="M53" i="1"/>
  <c r="M40" i="1" l="1"/>
  <c r="M22" i="1"/>
  <c r="J22" i="1" l="1"/>
  <c r="J40" i="1"/>
  <c r="BX22" i="14" l="1"/>
  <c r="BY22" i="14"/>
  <c r="BZ22" i="14"/>
  <c r="CA22" i="14"/>
  <c r="CB22" i="14"/>
  <c r="CC22" i="14"/>
  <c r="CD22" i="14"/>
  <c r="CE22" i="14"/>
  <c r="CF22" i="14"/>
  <c r="CG22" i="14"/>
  <c r="BX23" i="14"/>
  <c r="BY23" i="14"/>
  <c r="BZ23" i="14"/>
  <c r="CA23" i="14"/>
  <c r="CB23" i="14"/>
  <c r="CC23" i="14"/>
  <c r="CD23" i="14"/>
  <c r="CE23" i="14"/>
  <c r="CF23" i="14"/>
  <c r="CG23" i="14"/>
  <c r="BX24" i="14"/>
  <c r="BY24" i="14"/>
  <c r="BZ24" i="14"/>
  <c r="CA24" i="14"/>
  <c r="CB24" i="14"/>
  <c r="CC24" i="14"/>
  <c r="CD24" i="14"/>
  <c r="CE24" i="14"/>
  <c r="CF24" i="14"/>
  <c r="CG24" i="14"/>
  <c r="BX25" i="14"/>
  <c r="BY25" i="14"/>
  <c r="BZ25" i="14"/>
  <c r="CA25" i="14"/>
  <c r="CB25" i="14"/>
  <c r="CC25" i="14"/>
  <c r="CD25" i="14"/>
  <c r="CE25" i="14"/>
  <c r="CF25" i="14"/>
  <c r="CG25" i="14"/>
  <c r="BX26" i="14"/>
  <c r="BY26" i="14"/>
  <c r="BZ26" i="14"/>
  <c r="CA26" i="14"/>
  <c r="CB26" i="14"/>
  <c r="CC26" i="14"/>
  <c r="CD26" i="14"/>
  <c r="CE26" i="14"/>
  <c r="CF26" i="14"/>
  <c r="CG26" i="14"/>
  <c r="BX27" i="14"/>
  <c r="BY27" i="14"/>
  <c r="BZ27" i="14"/>
  <c r="CA27" i="14"/>
  <c r="CB27" i="14"/>
  <c r="CC27" i="14"/>
  <c r="CD27" i="14"/>
  <c r="CE27" i="14"/>
  <c r="CF27" i="14"/>
  <c r="CG27" i="14"/>
  <c r="BX28" i="14"/>
  <c r="BY28" i="14"/>
  <c r="BZ28" i="14"/>
  <c r="CA28" i="14"/>
  <c r="CB28" i="14"/>
  <c r="CC28" i="14"/>
  <c r="CD28" i="14"/>
  <c r="CE28" i="14"/>
  <c r="CF28" i="14"/>
  <c r="CG28" i="14"/>
  <c r="BX29" i="14"/>
  <c r="BY29" i="14"/>
  <c r="BZ29" i="14"/>
  <c r="CA29" i="14"/>
  <c r="CB29" i="14"/>
  <c r="CC29" i="14"/>
  <c r="CD29" i="14"/>
  <c r="CE29" i="14"/>
  <c r="CF29" i="14"/>
  <c r="CG29" i="14"/>
  <c r="BX36" i="14"/>
  <c r="BY36" i="14"/>
  <c r="BZ36" i="14"/>
  <c r="CA36" i="14"/>
  <c r="CB36" i="14"/>
  <c r="CC36" i="14"/>
  <c r="CD36" i="14"/>
  <c r="CE36" i="14"/>
  <c r="CF36" i="14"/>
  <c r="CG36" i="14"/>
  <c r="BX37" i="14"/>
  <c r="BY37" i="14"/>
  <c r="BZ37" i="14"/>
  <c r="CA37" i="14"/>
  <c r="CB37" i="14"/>
  <c r="CC37" i="14"/>
  <c r="CD37" i="14"/>
  <c r="CE37" i="14"/>
  <c r="CF37" i="14"/>
  <c r="CG37" i="14"/>
  <c r="BX38" i="14"/>
  <c r="BY38" i="14"/>
  <c r="BZ38" i="14"/>
  <c r="CA38" i="14"/>
  <c r="CB38" i="14"/>
  <c r="CC38" i="14"/>
  <c r="CD38" i="14"/>
  <c r="CE38" i="14"/>
  <c r="CF38" i="14"/>
  <c r="CG38" i="14"/>
  <c r="BX39" i="14"/>
  <c r="BY39" i="14"/>
  <c r="BZ39" i="14"/>
  <c r="CA39" i="14"/>
  <c r="CB39" i="14"/>
  <c r="CC39" i="14"/>
  <c r="CD39" i="14"/>
  <c r="CE39" i="14"/>
  <c r="CF39" i="14"/>
  <c r="CG39" i="14"/>
  <c r="BX40" i="14"/>
  <c r="BY40" i="14"/>
  <c r="BZ40" i="14"/>
  <c r="CA40" i="14"/>
  <c r="CB40" i="14"/>
  <c r="CC40" i="14"/>
  <c r="CD40" i="14"/>
  <c r="CE40" i="14"/>
  <c r="CF40" i="14"/>
  <c r="CG40" i="14"/>
  <c r="BX41" i="14"/>
  <c r="BY41" i="14"/>
  <c r="BZ41" i="14"/>
  <c r="CA41" i="14"/>
  <c r="CB41" i="14"/>
  <c r="CC41" i="14"/>
  <c r="CD41" i="14"/>
  <c r="CE41" i="14"/>
  <c r="CF41" i="14"/>
  <c r="CG41" i="14"/>
  <c r="BX42" i="14"/>
  <c r="BY42" i="14"/>
  <c r="BZ42" i="14"/>
  <c r="CA42" i="14"/>
  <c r="CB42" i="14"/>
  <c r="CC42" i="14"/>
  <c r="CD42" i="14"/>
  <c r="CE42" i="14"/>
  <c r="CF42" i="14"/>
  <c r="CG42" i="14"/>
  <c r="BX43" i="14"/>
  <c r="BY43" i="14"/>
  <c r="BZ43" i="14"/>
  <c r="CA43" i="14"/>
  <c r="CB43" i="14"/>
  <c r="CC43" i="14"/>
  <c r="CD43" i="14"/>
  <c r="CE43" i="14"/>
  <c r="CF43" i="14"/>
  <c r="CG43" i="14"/>
  <c r="BX44" i="14"/>
  <c r="BY44" i="14"/>
  <c r="BZ44" i="14"/>
  <c r="CA44" i="14"/>
  <c r="CB44" i="14"/>
  <c r="CC44" i="14"/>
  <c r="CD44" i="14"/>
  <c r="CE44" i="14"/>
  <c r="CF44" i="14"/>
  <c r="CG44" i="14"/>
  <c r="BX53" i="14"/>
  <c r="BY53" i="14"/>
  <c r="BZ53" i="14"/>
  <c r="CA53" i="14"/>
  <c r="CB53" i="14"/>
  <c r="CC53" i="14"/>
  <c r="CD53" i="14"/>
  <c r="CE53" i="14"/>
  <c r="CF53" i="14"/>
  <c r="CG53" i="14"/>
  <c r="BX54" i="14"/>
  <c r="BY54" i="14"/>
  <c r="BZ54" i="14"/>
  <c r="CA54" i="14"/>
  <c r="CB54" i="14"/>
  <c r="CC54" i="14"/>
  <c r="CD54" i="14"/>
  <c r="CE54" i="14"/>
  <c r="CF54" i="14"/>
  <c r="CG54" i="14"/>
  <c r="BX55" i="14"/>
  <c r="BY55" i="14"/>
  <c r="BZ55" i="14"/>
  <c r="CA55" i="14"/>
  <c r="CB55" i="14"/>
  <c r="CC55" i="14"/>
  <c r="CD55" i="14"/>
  <c r="CE55" i="14"/>
  <c r="CF55" i="14"/>
  <c r="CG55" i="14"/>
  <c r="BX56" i="14"/>
  <c r="BY56" i="14"/>
  <c r="BZ56" i="14"/>
  <c r="CA56" i="14"/>
  <c r="CB56" i="14"/>
  <c r="CC56" i="14"/>
  <c r="CD56" i="14"/>
  <c r="CE56" i="14"/>
  <c r="CF56" i="14"/>
  <c r="CG56" i="14"/>
  <c r="BX57" i="14"/>
  <c r="BY57" i="14"/>
  <c r="BZ57" i="14"/>
  <c r="CA57" i="14"/>
  <c r="CB57" i="14"/>
  <c r="CC57" i="14"/>
  <c r="CD57" i="14"/>
  <c r="CE57" i="14"/>
  <c r="CF57" i="14"/>
  <c r="CG57" i="14"/>
  <c r="BX58" i="14"/>
  <c r="BY58" i="14"/>
  <c r="BZ58" i="14"/>
  <c r="CA58" i="14"/>
  <c r="CB58" i="14"/>
  <c r="CC58" i="14"/>
  <c r="CD58" i="14"/>
  <c r="CE58" i="14"/>
  <c r="CF58" i="14"/>
  <c r="CG58" i="14"/>
  <c r="BX59" i="14"/>
  <c r="BY59" i="14"/>
  <c r="BZ59" i="14"/>
  <c r="CA59" i="14"/>
  <c r="CB59" i="14"/>
  <c r="CC59" i="14"/>
  <c r="CD59" i="14"/>
  <c r="CE59" i="14"/>
  <c r="CF59" i="14"/>
  <c r="CG59" i="14"/>
  <c r="BX60" i="14"/>
  <c r="BY60" i="14"/>
  <c r="BZ60" i="14"/>
  <c r="CA60" i="14"/>
  <c r="CB60" i="14"/>
  <c r="CC60" i="14"/>
  <c r="CD60" i="14"/>
  <c r="CE60" i="14"/>
  <c r="CF60" i="14"/>
  <c r="CG60" i="14"/>
  <c r="BX67" i="14"/>
  <c r="BY67" i="14"/>
  <c r="BZ67" i="14"/>
  <c r="CA67" i="14"/>
  <c r="CB67" i="14"/>
  <c r="CC67" i="14"/>
  <c r="CD67" i="14"/>
  <c r="CE67" i="14"/>
  <c r="CF67" i="14"/>
  <c r="CG67" i="14"/>
  <c r="BX68" i="14"/>
  <c r="BY68" i="14"/>
  <c r="BZ68" i="14"/>
  <c r="CA68" i="14"/>
  <c r="CB68" i="14"/>
  <c r="CC68" i="14"/>
  <c r="CD68" i="14"/>
  <c r="CE68" i="14"/>
  <c r="CF68" i="14"/>
  <c r="CG68" i="14"/>
  <c r="BX69" i="14"/>
  <c r="BY69" i="14"/>
  <c r="BZ69" i="14"/>
  <c r="CA69" i="14"/>
  <c r="CB69" i="14"/>
  <c r="CC69" i="14"/>
  <c r="CD69" i="14"/>
  <c r="CE69" i="14"/>
  <c r="CF69" i="14"/>
  <c r="CG69" i="14"/>
  <c r="BX70" i="14"/>
  <c r="BY70" i="14"/>
  <c r="BZ70" i="14"/>
  <c r="CA70" i="14"/>
  <c r="CB70" i="14"/>
  <c r="CC70" i="14"/>
  <c r="CD70" i="14"/>
  <c r="CE70" i="14"/>
  <c r="CF70" i="14"/>
  <c r="CG70" i="14"/>
  <c r="BX71" i="14"/>
  <c r="BY71" i="14"/>
  <c r="BZ71" i="14"/>
  <c r="CA71" i="14"/>
  <c r="CB71" i="14"/>
  <c r="CC71" i="14"/>
  <c r="CD71" i="14"/>
  <c r="CE71" i="14"/>
  <c r="CF71" i="14"/>
  <c r="CG71" i="14"/>
  <c r="BX72" i="14"/>
  <c r="BY72" i="14"/>
  <c r="BZ72" i="14"/>
  <c r="CA72" i="14"/>
  <c r="CB72" i="14"/>
  <c r="CC72" i="14"/>
  <c r="CD72" i="14"/>
  <c r="CE72" i="14"/>
  <c r="CF72" i="14"/>
  <c r="CG72" i="14"/>
  <c r="BX73" i="14"/>
  <c r="BY73" i="14"/>
  <c r="BZ73" i="14"/>
  <c r="CA73" i="14"/>
  <c r="CB73" i="14"/>
  <c r="CC73" i="14"/>
  <c r="CD73" i="14"/>
  <c r="CE73" i="14"/>
  <c r="CF73" i="14"/>
  <c r="CG73" i="14"/>
  <c r="BX74" i="14"/>
  <c r="BY74" i="14"/>
  <c r="BZ74" i="14"/>
  <c r="CA74" i="14"/>
  <c r="CB74" i="14"/>
  <c r="CC74" i="14"/>
  <c r="CD74" i="14"/>
  <c r="CE74" i="14"/>
  <c r="CF74" i="14"/>
  <c r="CG74" i="14"/>
  <c r="BX76" i="14"/>
  <c r="BY76" i="14"/>
  <c r="BZ76" i="14"/>
  <c r="CA76" i="14"/>
  <c r="CB76" i="14"/>
  <c r="CC76" i="14"/>
  <c r="CD76" i="14"/>
  <c r="CE76" i="14"/>
  <c r="CF76" i="14"/>
  <c r="CG76" i="14"/>
  <c r="BX83" i="14"/>
  <c r="BY83" i="14"/>
  <c r="BZ83" i="14"/>
  <c r="CA83" i="14"/>
  <c r="CB83" i="14"/>
  <c r="CC83" i="14"/>
  <c r="CD83" i="14"/>
  <c r="CE83" i="14"/>
  <c r="CF83" i="14"/>
  <c r="CG83" i="14"/>
  <c r="BX84" i="14"/>
  <c r="BY84" i="14"/>
  <c r="BZ84" i="14"/>
  <c r="CA84" i="14"/>
  <c r="CB84" i="14"/>
  <c r="CC84" i="14"/>
  <c r="CD84" i="14"/>
  <c r="CE84" i="14"/>
  <c r="CF84" i="14"/>
  <c r="CG84" i="14"/>
  <c r="BX85" i="14"/>
  <c r="BY85" i="14"/>
  <c r="BZ85" i="14"/>
  <c r="CA85" i="14"/>
  <c r="CB85" i="14"/>
  <c r="CC85" i="14"/>
  <c r="CD85" i="14"/>
  <c r="CE85" i="14"/>
  <c r="CF85" i="14"/>
  <c r="CG85" i="14"/>
  <c r="BX86" i="14"/>
  <c r="BY86" i="14"/>
  <c r="BZ86" i="14"/>
  <c r="CA86" i="14"/>
  <c r="CB86" i="14"/>
  <c r="CC86" i="14"/>
  <c r="CD86" i="14"/>
  <c r="CE86" i="14"/>
  <c r="CF86" i="14"/>
  <c r="CG86" i="14"/>
  <c r="BX87" i="14"/>
  <c r="BY87" i="14"/>
  <c r="BZ87" i="14"/>
  <c r="CA87" i="14"/>
  <c r="CB87" i="14"/>
  <c r="CC87" i="14"/>
  <c r="CD87" i="14"/>
  <c r="CE87" i="14"/>
  <c r="CF87" i="14"/>
  <c r="CG87" i="14"/>
  <c r="BX88" i="14"/>
  <c r="BY88" i="14"/>
  <c r="BZ88" i="14"/>
  <c r="CA88" i="14"/>
  <c r="CB88" i="14"/>
  <c r="CC88" i="14"/>
  <c r="CD88" i="14"/>
  <c r="CE88" i="14"/>
  <c r="CF88" i="14"/>
  <c r="CG88" i="14"/>
  <c r="BX89" i="14"/>
  <c r="BY89" i="14"/>
  <c r="BZ89" i="14"/>
  <c r="CA89" i="14"/>
  <c r="CB89" i="14"/>
  <c r="CC89" i="14"/>
  <c r="CD89" i="14"/>
  <c r="CE89" i="14"/>
  <c r="CF89" i="14"/>
  <c r="CG89" i="14"/>
  <c r="BX90" i="14"/>
  <c r="BY90" i="14"/>
  <c r="BZ90" i="14"/>
  <c r="CA90" i="14"/>
  <c r="CB90" i="14"/>
  <c r="CC90" i="14"/>
  <c r="CD90" i="14"/>
  <c r="CE90" i="14"/>
  <c r="CF90" i="14"/>
  <c r="CG90" i="14"/>
  <c r="BX92" i="14"/>
  <c r="BY92" i="14"/>
  <c r="BZ92" i="14"/>
  <c r="CA92" i="14"/>
  <c r="CB92" i="14"/>
  <c r="CC92" i="14"/>
  <c r="CD92" i="14"/>
  <c r="CE92" i="14"/>
  <c r="CF92" i="14"/>
  <c r="CG92" i="14"/>
  <c r="BX99" i="14"/>
  <c r="BY99" i="14"/>
  <c r="BZ99" i="14"/>
  <c r="CA99" i="14"/>
  <c r="CB99" i="14"/>
  <c r="CC99" i="14"/>
  <c r="CD99" i="14"/>
  <c r="CE99" i="14"/>
  <c r="CF99" i="14"/>
  <c r="CG99" i="14"/>
  <c r="BX100" i="14"/>
  <c r="BY100" i="14"/>
  <c r="BZ100" i="14"/>
  <c r="CA100" i="14"/>
  <c r="CB100" i="14"/>
  <c r="CC100" i="14"/>
  <c r="CD100" i="14"/>
  <c r="CE100" i="14"/>
  <c r="CF100" i="14"/>
  <c r="CG100" i="14"/>
  <c r="BX101" i="14"/>
  <c r="BY101" i="14"/>
  <c r="BZ101" i="14"/>
  <c r="CA101" i="14"/>
  <c r="CB101" i="14"/>
  <c r="CC101" i="14"/>
  <c r="CD101" i="14"/>
  <c r="CE101" i="14"/>
  <c r="CF101" i="14"/>
  <c r="CG101" i="14"/>
  <c r="BX102" i="14"/>
  <c r="BY102" i="14"/>
  <c r="BZ102" i="14"/>
  <c r="CA102" i="14"/>
  <c r="CB102" i="14"/>
  <c r="CC102" i="14"/>
  <c r="CD102" i="14"/>
  <c r="CE102" i="14"/>
  <c r="CF102" i="14"/>
  <c r="CG102" i="14"/>
  <c r="BX103" i="14"/>
  <c r="BY103" i="14"/>
  <c r="BZ103" i="14"/>
  <c r="CA103" i="14"/>
  <c r="CB103" i="14"/>
  <c r="CC103" i="14"/>
  <c r="CD103" i="14"/>
  <c r="CE103" i="14"/>
  <c r="CF103" i="14"/>
  <c r="CG103" i="14"/>
  <c r="BX104" i="14"/>
  <c r="BY104" i="14"/>
  <c r="BZ104" i="14"/>
  <c r="CA104" i="14"/>
  <c r="CB104" i="14"/>
  <c r="CC104" i="14"/>
  <c r="CD104" i="14"/>
  <c r="CE104" i="14"/>
  <c r="CF104" i="14"/>
  <c r="CG104" i="14"/>
  <c r="BX105" i="14"/>
  <c r="BY105" i="14"/>
  <c r="BZ105" i="14"/>
  <c r="CA105" i="14"/>
  <c r="CB105" i="14"/>
  <c r="CC105" i="14"/>
  <c r="CD105" i="14"/>
  <c r="CE105" i="14"/>
  <c r="CF105" i="14"/>
  <c r="CG105" i="14"/>
  <c r="BX106" i="14"/>
  <c r="BY106" i="14"/>
  <c r="BZ106" i="14"/>
  <c r="CA106" i="14"/>
  <c r="CB106" i="14"/>
  <c r="CC106" i="14"/>
  <c r="CD106" i="14"/>
  <c r="CE106" i="14"/>
  <c r="CF106" i="14"/>
  <c r="CG106" i="14"/>
  <c r="BX108" i="14"/>
  <c r="BY108" i="14"/>
  <c r="BZ108" i="14"/>
  <c r="CA108" i="14"/>
  <c r="CB108" i="14"/>
  <c r="CC108" i="14"/>
  <c r="CD108" i="14"/>
  <c r="CE108" i="14"/>
  <c r="CF108" i="14"/>
  <c r="CG108" i="14"/>
  <c r="CD6" i="14"/>
  <c r="CE6" i="14"/>
  <c r="CF6" i="14"/>
  <c r="CG6" i="14"/>
  <c r="CD7" i="14"/>
  <c r="CE7" i="14"/>
  <c r="CF7" i="14"/>
  <c r="CG7" i="14"/>
  <c r="CD8" i="14"/>
  <c r="CE8" i="14"/>
  <c r="CF8" i="14"/>
  <c r="CG8" i="14"/>
  <c r="CD9" i="14"/>
  <c r="CE9" i="14"/>
  <c r="CF9" i="14"/>
  <c r="CG9" i="14"/>
  <c r="CD10" i="14"/>
  <c r="CE10" i="14"/>
  <c r="CF10" i="14"/>
  <c r="CG10" i="14"/>
  <c r="CD11" i="14"/>
  <c r="CE11" i="14"/>
  <c r="CF11" i="14"/>
  <c r="CG11" i="14"/>
  <c r="CD12" i="14"/>
  <c r="CE12" i="14"/>
  <c r="CF12" i="14"/>
  <c r="CG12" i="14"/>
  <c r="CD13" i="14"/>
  <c r="CE13" i="14"/>
  <c r="CF13" i="14"/>
  <c r="CG13" i="14"/>
  <c r="CD14" i="14"/>
  <c r="CE14" i="14"/>
  <c r="CF14" i="14"/>
  <c r="CG14" i="14"/>
  <c r="BX6" i="14"/>
  <c r="BY6" i="14"/>
  <c r="BZ6" i="14"/>
  <c r="CA6" i="14"/>
  <c r="CB6" i="14"/>
  <c r="CC6" i="14"/>
  <c r="BX7" i="14"/>
  <c r="BY7" i="14"/>
  <c r="BZ7" i="14"/>
  <c r="CA7" i="14"/>
  <c r="CB7" i="14"/>
  <c r="CC7" i="14"/>
  <c r="BX8" i="14"/>
  <c r="BY8" i="14"/>
  <c r="BZ8" i="14"/>
  <c r="CA8" i="14"/>
  <c r="CB8" i="14"/>
  <c r="CC8" i="14"/>
  <c r="BX9" i="14"/>
  <c r="BY9" i="14"/>
  <c r="BZ9" i="14"/>
  <c r="CA9" i="14"/>
  <c r="CB9" i="14"/>
  <c r="CC9" i="14"/>
  <c r="BX10" i="14"/>
  <c r="BY10" i="14"/>
  <c r="BZ10" i="14"/>
  <c r="CA10" i="14"/>
  <c r="CB10" i="14"/>
  <c r="CC10" i="14"/>
  <c r="BX11" i="14"/>
  <c r="BY11" i="14"/>
  <c r="BZ11" i="14"/>
  <c r="CA11" i="14"/>
  <c r="CB11" i="14"/>
  <c r="CC11" i="14"/>
  <c r="BX12" i="14"/>
  <c r="BY12" i="14"/>
  <c r="BZ12" i="14"/>
  <c r="CA12" i="14"/>
  <c r="CB12" i="14"/>
  <c r="CC12" i="14"/>
  <c r="BX13" i="14"/>
  <c r="BY13" i="14"/>
  <c r="BZ13" i="14"/>
  <c r="CA13" i="14"/>
  <c r="CB13" i="14"/>
  <c r="CC13" i="14"/>
  <c r="BX14" i="14"/>
  <c r="BY14" i="14"/>
  <c r="BZ14" i="14"/>
  <c r="CA14" i="14"/>
  <c r="CB14" i="14"/>
  <c r="CC14" i="14"/>
  <c r="G22" i="1"/>
  <c r="CD91" i="14" l="1"/>
  <c r="CD79" i="14" s="1"/>
  <c r="BZ91" i="14"/>
  <c r="BZ79" i="14" s="1"/>
  <c r="CA18" i="14"/>
  <c r="CE15" i="14"/>
  <c r="BY15" i="14"/>
  <c r="CA107" i="14"/>
  <c r="CE75" i="14"/>
  <c r="CE63" i="14" s="1"/>
  <c r="BZ75" i="14"/>
  <c r="BZ63" i="14" s="1"/>
  <c r="CC15" i="14"/>
  <c r="CD107" i="14"/>
  <c r="BZ18" i="14"/>
  <c r="BZ107" i="14"/>
  <c r="CG75" i="14"/>
  <c r="CG63" i="14" s="1"/>
  <c r="CG62" i="14" s="1"/>
  <c r="CG18" i="14"/>
  <c r="CG17" i="14" s="1"/>
  <c r="BY18" i="14"/>
  <c r="CF91" i="14"/>
  <c r="CF79" i="14" s="1"/>
  <c r="CG91" i="14"/>
  <c r="CG79" i="14" s="1"/>
  <c r="CG78" i="14" s="1"/>
  <c r="BY91" i="14"/>
  <c r="BY79" i="14" s="1"/>
  <c r="BZ15" i="14"/>
  <c r="BX75" i="14"/>
  <c r="BX63" i="14" s="1"/>
  <c r="CA75" i="14"/>
  <c r="CA63" i="14" s="1"/>
  <c r="CF107" i="14"/>
  <c r="BX107" i="14"/>
  <c r="CA91" i="14"/>
  <c r="CA79" i="14" s="1"/>
  <c r="BY75" i="14"/>
  <c r="BY63" i="14" s="1"/>
  <c r="CG107" i="14"/>
  <c r="CC18" i="14"/>
  <c r="CG15" i="14"/>
  <c r="CG2" i="14"/>
  <c r="CB49" i="14"/>
  <c r="CF18" i="14"/>
  <c r="BX18" i="14"/>
  <c r="CB18" i="14"/>
  <c r="CD18" i="14"/>
  <c r="BY49" i="14"/>
  <c r="BX15" i="14"/>
  <c r="BX91" i="14"/>
  <c r="BX79" i="14" s="1"/>
  <c r="CD75" i="14"/>
  <c r="CD63" i="14" s="1"/>
  <c r="CC75" i="14"/>
  <c r="CC63" i="14" s="1"/>
  <c r="BY107" i="14"/>
  <c r="CE91" i="14"/>
  <c r="CE79" i="14" s="1"/>
  <c r="CE107" i="14"/>
  <c r="CF15" i="14"/>
  <c r="CF2" i="14"/>
  <c r="CC95" i="14"/>
  <c r="CA95" i="14"/>
  <c r="CE2" i="14"/>
  <c r="CF32" i="14"/>
  <c r="BX32" i="14"/>
  <c r="CB32" i="14"/>
  <c r="CB15" i="14"/>
  <c r="BZ2" i="14"/>
  <c r="BX2" i="14"/>
  <c r="CD15" i="14"/>
  <c r="CD2" i="14"/>
  <c r="CC107" i="14"/>
  <c r="CG95" i="14"/>
  <c r="CG94" i="14" s="1"/>
  <c r="BY95" i="14"/>
  <c r="CC91" i="14"/>
  <c r="CC79" i="14" s="1"/>
  <c r="CB75" i="14"/>
  <c r="CB63" i="14" s="1"/>
  <c r="CF75" i="14"/>
  <c r="CF63" i="14" s="1"/>
  <c r="CF49" i="14"/>
  <c r="BX49" i="14"/>
  <c r="CC32" i="14"/>
  <c r="CA32" i="14"/>
  <c r="CA49" i="14"/>
  <c r="CA15" i="14"/>
  <c r="CC2" i="14"/>
  <c r="BY2" i="14"/>
  <c r="CB107" i="14"/>
  <c r="BZ95" i="14"/>
  <c r="CD95" i="14"/>
  <c r="CF95" i="14"/>
  <c r="BX95" i="14"/>
  <c r="CB91" i="14"/>
  <c r="CB79" i="14" s="1"/>
  <c r="BZ32" i="14"/>
  <c r="CB2" i="14"/>
  <c r="CA2" i="14"/>
  <c r="CB95" i="14"/>
  <c r="CD32" i="14"/>
  <c r="CE95" i="14"/>
  <c r="BZ49" i="14"/>
  <c r="CD49" i="14"/>
  <c r="CE32" i="14"/>
  <c r="CG32" i="14"/>
  <c r="CG31" i="14" s="1"/>
  <c r="BY32" i="14"/>
  <c r="CE18" i="14"/>
  <c r="CE49" i="14"/>
  <c r="CG49" i="14"/>
  <c r="CG48" i="14" s="1"/>
  <c r="CC49" i="14"/>
  <c r="AF476" i="11"/>
  <c r="AF474" i="11"/>
  <c r="AE476" i="11"/>
  <c r="AC476" i="11"/>
  <c r="AB476" i="11"/>
  <c r="Z476" i="11"/>
  <c r="Y476" i="11"/>
  <c r="W476" i="11"/>
  <c r="V476" i="11"/>
  <c r="U476" i="11"/>
  <c r="X476" i="11" s="1"/>
  <c r="AA476" i="11" s="1"/>
  <c r="T476" i="11"/>
  <c r="S476" i="11"/>
  <c r="U475" i="11"/>
  <c r="X475" i="11" s="1"/>
  <c r="AA475" i="11" s="1"/>
  <c r="AD475" i="11" s="1"/>
  <c r="V475" i="11"/>
  <c r="W475" i="11"/>
  <c r="Y475" i="11"/>
  <c r="Z475" i="11"/>
  <c r="AB475" i="11"/>
  <c r="AC475" i="11"/>
  <c r="V474" i="11"/>
  <c r="W474" i="11"/>
  <c r="Y474" i="11"/>
  <c r="Z474" i="11"/>
  <c r="AB474" i="11"/>
  <c r="AC474" i="11"/>
  <c r="T474" i="11"/>
  <c r="T475" i="11"/>
  <c r="U474" i="11"/>
  <c r="X474" i="11" s="1"/>
  <c r="AA474" i="11" s="1"/>
  <c r="CF17" i="14" l="1"/>
  <c r="CE17" i="14" s="1"/>
  <c r="CD17" i="14" s="1"/>
  <c r="CC17" i="14" s="1"/>
  <c r="CB17" i="14" s="1"/>
  <c r="CA17" i="14" s="1"/>
  <c r="BZ17" i="14" s="1"/>
  <c r="BY17" i="14" s="1"/>
  <c r="BX17" i="14" s="1"/>
  <c r="CF31" i="14"/>
  <c r="CE31" i="14" s="1"/>
  <c r="CD31" i="14" s="1"/>
  <c r="CC31" i="14" s="1"/>
  <c r="CB31" i="14" s="1"/>
  <c r="CA31" i="14" s="1"/>
  <c r="BZ31" i="14" s="1"/>
  <c r="BY31" i="14" s="1"/>
  <c r="BX31" i="14" s="1"/>
  <c r="CF94" i="14"/>
  <c r="CE94" i="14" s="1"/>
  <c r="CD94" i="14" s="1"/>
  <c r="CC94" i="14" s="1"/>
  <c r="CB94" i="14" s="1"/>
  <c r="CA94" i="14" s="1"/>
  <c r="BZ94" i="14" s="1"/>
  <c r="BY94" i="14" s="1"/>
  <c r="BX94" i="14" s="1"/>
  <c r="CF62" i="14"/>
  <c r="CE62" i="14" s="1"/>
  <c r="CD62" i="14" s="1"/>
  <c r="CC62" i="14" s="1"/>
  <c r="CB62" i="14" s="1"/>
  <c r="CA62" i="14" s="1"/>
  <c r="BZ62" i="14" s="1"/>
  <c r="BY62" i="14" s="1"/>
  <c r="BX62" i="14" s="1"/>
  <c r="CF78" i="14"/>
  <c r="CE78" i="14" s="1"/>
  <c r="CD78" i="14" s="1"/>
  <c r="CC78" i="14" s="1"/>
  <c r="CB78" i="14" s="1"/>
  <c r="CA78" i="14" s="1"/>
  <c r="BZ78" i="14" s="1"/>
  <c r="BY78" i="14" s="1"/>
  <c r="BX78" i="14" s="1"/>
  <c r="CF48" i="14"/>
  <c r="CE48" i="14" s="1"/>
  <c r="CD48" i="14" s="1"/>
  <c r="CC48" i="14" s="1"/>
  <c r="CB48" i="14" s="1"/>
  <c r="CA48" i="14" s="1"/>
  <c r="BZ48" i="14" s="1"/>
  <c r="BY48" i="14" s="1"/>
  <c r="BX48" i="14" s="1"/>
  <c r="F22" i="1" l="1"/>
  <c r="H22" i="1"/>
  <c r="I22" i="1"/>
  <c r="K22" i="1"/>
  <c r="L22" i="1"/>
  <c r="N22" i="1"/>
  <c r="O22" i="1"/>
  <c r="E22" i="1"/>
  <c r="F40" i="1"/>
  <c r="G40" i="1"/>
  <c r="H40" i="1"/>
  <c r="I40" i="1"/>
  <c r="K40" i="1"/>
  <c r="L40" i="1"/>
  <c r="N40" i="1"/>
  <c r="O40" i="1"/>
  <c r="E40" i="1"/>
  <c r="F53" i="1"/>
  <c r="H53" i="1"/>
  <c r="I53" i="1"/>
  <c r="K53" i="1"/>
  <c r="L53" i="1"/>
  <c r="N53" i="1"/>
  <c r="O53" i="1"/>
  <c r="E53" i="1"/>
  <c r="S475" i="11"/>
  <c r="AE475" i="11"/>
  <c r="AF475" i="11"/>
  <c r="D53" i="1" s="1"/>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10" i="14"/>
  <c r="Q53" i="1" l="1"/>
  <c r="AE474" i="11"/>
  <c r="S474" i="11"/>
  <c r="E5" i="1" l="1"/>
  <c r="F5" i="1"/>
  <c r="G5" i="1"/>
  <c r="H5" i="1"/>
  <c r="I5" i="1"/>
  <c r="J5" i="1"/>
  <c r="K5" i="1"/>
  <c r="L5" i="1"/>
  <c r="M5" i="1"/>
  <c r="N5" i="1"/>
  <c r="E8" i="1"/>
  <c r="F8" i="1"/>
  <c r="G8" i="1"/>
  <c r="H8" i="1"/>
  <c r="I8" i="1"/>
  <c r="J8" i="1"/>
  <c r="K8" i="1"/>
  <c r="L8" i="1"/>
  <c r="M8" i="1"/>
  <c r="N8" i="1"/>
  <c r="O8" i="1"/>
  <c r="E19" i="1"/>
  <c r="F19" i="1"/>
  <c r="G19" i="1"/>
  <c r="H19" i="1"/>
  <c r="I19" i="1"/>
  <c r="J19" i="1"/>
  <c r="K19" i="1"/>
  <c r="L19" i="1"/>
  <c r="M19" i="1"/>
  <c r="N19" i="1"/>
  <c r="O19" i="1"/>
  <c r="E20" i="1"/>
  <c r="F20" i="1"/>
  <c r="G20" i="1"/>
  <c r="H20" i="1"/>
  <c r="I20" i="1"/>
  <c r="J20" i="1"/>
  <c r="K20" i="1"/>
  <c r="L20" i="1"/>
  <c r="M20" i="1"/>
  <c r="N20" i="1"/>
  <c r="O20" i="1"/>
  <c r="E46" i="1"/>
  <c r="F46" i="1"/>
  <c r="G46" i="1"/>
  <c r="H46" i="1"/>
  <c r="I46" i="1"/>
  <c r="J46" i="1"/>
  <c r="K46" i="1"/>
  <c r="L46" i="1"/>
  <c r="M46" i="1"/>
  <c r="N46" i="1"/>
  <c r="O46" i="1"/>
  <c r="E6" i="1"/>
  <c r="F6" i="1"/>
  <c r="G6" i="1"/>
  <c r="H6" i="1"/>
  <c r="I6" i="1"/>
  <c r="J6" i="1"/>
  <c r="K6" i="1"/>
  <c r="L6" i="1"/>
  <c r="M6" i="1"/>
  <c r="N6" i="1"/>
  <c r="O6" i="1"/>
  <c r="E9" i="1"/>
  <c r="F9" i="1"/>
  <c r="G9" i="1"/>
  <c r="H9" i="1"/>
  <c r="I9" i="1"/>
  <c r="J9" i="1"/>
  <c r="K9" i="1"/>
  <c r="L9" i="1"/>
  <c r="M9" i="1"/>
  <c r="N9" i="1"/>
  <c r="O9" i="1"/>
  <c r="E13" i="1"/>
  <c r="F13" i="1"/>
  <c r="G13" i="1"/>
  <c r="H13" i="1"/>
  <c r="I13" i="1"/>
  <c r="J13" i="1"/>
  <c r="K13" i="1"/>
  <c r="L13" i="1"/>
  <c r="M13" i="1"/>
  <c r="N13" i="1"/>
  <c r="O13" i="1"/>
  <c r="E14" i="1"/>
  <c r="F14" i="1"/>
  <c r="G14" i="1"/>
  <c r="H14" i="1"/>
  <c r="I14" i="1"/>
  <c r="J14" i="1"/>
  <c r="K14" i="1"/>
  <c r="L14" i="1"/>
  <c r="M14" i="1"/>
  <c r="N14" i="1"/>
  <c r="O14" i="1"/>
  <c r="E45" i="1"/>
  <c r="F45" i="1"/>
  <c r="G45" i="1"/>
  <c r="H45" i="1"/>
  <c r="I45" i="1"/>
  <c r="J45" i="1"/>
  <c r="K45" i="1"/>
  <c r="L45" i="1"/>
  <c r="M45" i="1"/>
  <c r="N45" i="1"/>
  <c r="O45" i="1"/>
  <c r="E43" i="1"/>
  <c r="F43" i="1"/>
  <c r="G43" i="1"/>
  <c r="H43" i="1"/>
  <c r="I43" i="1"/>
  <c r="J43" i="1"/>
  <c r="K43" i="1"/>
  <c r="L43" i="1"/>
  <c r="M43" i="1"/>
  <c r="N43" i="1"/>
  <c r="O43" i="1"/>
  <c r="E32" i="1"/>
  <c r="F32" i="1"/>
  <c r="G32" i="1"/>
  <c r="H32" i="1"/>
  <c r="I32" i="1"/>
  <c r="J32" i="1"/>
  <c r="K32" i="1"/>
  <c r="L32" i="1"/>
  <c r="M32" i="1"/>
  <c r="N32" i="1"/>
  <c r="O32" i="1"/>
  <c r="E21" i="1"/>
  <c r="F21" i="1"/>
  <c r="G21" i="1"/>
  <c r="H21" i="1"/>
  <c r="I21" i="1"/>
  <c r="J21" i="1"/>
  <c r="K21" i="1"/>
  <c r="L21" i="1"/>
  <c r="M21" i="1"/>
  <c r="N21" i="1"/>
  <c r="O21" i="1"/>
  <c r="E23" i="1"/>
  <c r="F23" i="1"/>
  <c r="G23" i="1"/>
  <c r="H23" i="1"/>
  <c r="I23" i="1"/>
  <c r="J23" i="1"/>
  <c r="K23" i="1"/>
  <c r="L23" i="1"/>
  <c r="M23" i="1"/>
  <c r="N23" i="1"/>
  <c r="O23" i="1"/>
  <c r="E61" i="1"/>
  <c r="F61" i="1"/>
  <c r="G61" i="1"/>
  <c r="H61" i="1"/>
  <c r="I61" i="1"/>
  <c r="J61" i="1"/>
  <c r="K61" i="1"/>
  <c r="L61" i="1"/>
  <c r="M61" i="1"/>
  <c r="N61" i="1"/>
  <c r="O61" i="1"/>
  <c r="E42" i="1"/>
  <c r="F42" i="1"/>
  <c r="G42" i="1"/>
  <c r="H42" i="1"/>
  <c r="I42" i="1"/>
  <c r="J42" i="1"/>
  <c r="K42" i="1"/>
  <c r="L42" i="1"/>
  <c r="M42" i="1"/>
  <c r="N42" i="1"/>
  <c r="O42" i="1"/>
  <c r="E6" i="5"/>
  <c r="F6" i="5"/>
  <c r="G6" i="5"/>
  <c r="H6" i="5"/>
  <c r="I6" i="5"/>
  <c r="J6" i="5"/>
  <c r="K6" i="5"/>
  <c r="L6" i="5"/>
  <c r="M6" i="5"/>
  <c r="N6" i="5"/>
  <c r="O6" i="5"/>
  <c r="P6" i="5"/>
  <c r="E10" i="5"/>
  <c r="F10" i="5"/>
  <c r="G10" i="5"/>
  <c r="H10" i="5"/>
  <c r="I10" i="5"/>
  <c r="J10" i="5"/>
  <c r="K10" i="5"/>
  <c r="L10" i="5"/>
  <c r="M10" i="5"/>
  <c r="N10" i="5"/>
  <c r="O10" i="5"/>
  <c r="P10" i="5"/>
  <c r="E15" i="5"/>
  <c r="F15" i="5"/>
  <c r="G15" i="5"/>
  <c r="H15" i="5"/>
  <c r="I15" i="5"/>
  <c r="J15" i="5"/>
  <c r="K15" i="5"/>
  <c r="L15" i="5"/>
  <c r="M15" i="5"/>
  <c r="N15" i="5"/>
  <c r="O15" i="5"/>
  <c r="P15" i="5"/>
  <c r="E16" i="5"/>
  <c r="F16" i="5"/>
  <c r="G16" i="5"/>
  <c r="H16" i="5"/>
  <c r="I16" i="5"/>
  <c r="J16" i="5"/>
  <c r="K16" i="5"/>
  <c r="L16" i="5"/>
  <c r="M16" i="5"/>
  <c r="N16" i="5"/>
  <c r="O16" i="5"/>
  <c r="P16" i="5"/>
  <c r="E39" i="5"/>
  <c r="F39" i="5"/>
  <c r="G39" i="5"/>
  <c r="H39" i="5"/>
  <c r="I39" i="5"/>
  <c r="J39" i="5"/>
  <c r="K39" i="5"/>
  <c r="L39" i="5"/>
  <c r="M39" i="5"/>
  <c r="N39" i="5"/>
  <c r="O39" i="5"/>
  <c r="P39" i="5"/>
  <c r="E9" i="5"/>
  <c r="F9" i="5"/>
  <c r="G9" i="5"/>
  <c r="H9" i="5"/>
  <c r="I9" i="5"/>
  <c r="J9" i="5"/>
  <c r="K9" i="5"/>
  <c r="L9" i="5"/>
  <c r="M9" i="5"/>
  <c r="N9" i="5"/>
  <c r="O9" i="5"/>
  <c r="P9" i="5"/>
  <c r="E13" i="5"/>
  <c r="F13" i="5"/>
  <c r="I13" i="5"/>
  <c r="J13" i="5"/>
  <c r="L13" i="5"/>
  <c r="M13" i="5"/>
  <c r="N13" i="5"/>
  <c r="E7" i="5"/>
  <c r="F7" i="5"/>
  <c r="G7" i="5"/>
  <c r="H7" i="5"/>
  <c r="I7" i="5"/>
  <c r="J7" i="5"/>
  <c r="K7" i="5"/>
  <c r="L7" i="5"/>
  <c r="M7" i="5"/>
  <c r="N7" i="5"/>
  <c r="O7" i="5"/>
  <c r="P7" i="5"/>
  <c r="E11" i="5"/>
  <c r="F11" i="5"/>
  <c r="G11" i="5"/>
  <c r="H11" i="5"/>
  <c r="I11" i="5"/>
  <c r="J11" i="5"/>
  <c r="K11" i="5"/>
  <c r="L11" i="5"/>
  <c r="M11" i="5"/>
  <c r="N11" i="5"/>
  <c r="O11" i="5"/>
  <c r="P11" i="5"/>
  <c r="E17" i="5"/>
  <c r="F17" i="5"/>
  <c r="G17" i="5"/>
  <c r="H17" i="5"/>
  <c r="I17" i="5"/>
  <c r="J17" i="5"/>
  <c r="K17" i="5"/>
  <c r="L17" i="5"/>
  <c r="M17" i="5"/>
  <c r="N17" i="5"/>
  <c r="O17" i="5"/>
  <c r="P17" i="5"/>
  <c r="E18" i="5"/>
  <c r="F18" i="5"/>
  <c r="G18" i="5"/>
  <c r="H18" i="5"/>
  <c r="I18" i="5"/>
  <c r="J18" i="5"/>
  <c r="K18" i="5"/>
  <c r="L18" i="5"/>
  <c r="M18" i="5"/>
  <c r="N18" i="5"/>
  <c r="O18" i="5"/>
  <c r="P18" i="5"/>
  <c r="E37" i="5"/>
  <c r="F37" i="5"/>
  <c r="G37" i="5"/>
  <c r="H37" i="5"/>
  <c r="I37" i="5"/>
  <c r="J37" i="5"/>
  <c r="K37" i="5"/>
  <c r="L37" i="5"/>
  <c r="M37" i="5"/>
  <c r="N37" i="5"/>
  <c r="O37" i="5"/>
  <c r="P37" i="5"/>
  <c r="E41" i="5"/>
  <c r="F41" i="5"/>
  <c r="G41" i="5"/>
  <c r="H41" i="5"/>
  <c r="I41" i="5"/>
  <c r="J41" i="5"/>
  <c r="K41" i="5"/>
  <c r="L41" i="5"/>
  <c r="M41" i="5"/>
  <c r="N41" i="5"/>
  <c r="O41" i="5"/>
  <c r="P41" i="5"/>
  <c r="E42" i="5"/>
  <c r="F42" i="5"/>
  <c r="G42" i="5"/>
  <c r="H42" i="5"/>
  <c r="I42" i="5"/>
  <c r="J42" i="5"/>
  <c r="K42" i="5"/>
  <c r="L42" i="5"/>
  <c r="M42" i="5"/>
  <c r="N42" i="5"/>
  <c r="O42" i="5"/>
  <c r="P42" i="5"/>
  <c r="E43" i="5"/>
  <c r="F43" i="5"/>
  <c r="G43" i="5"/>
  <c r="H43" i="5"/>
  <c r="I43" i="5"/>
  <c r="J43" i="5"/>
  <c r="K43" i="5"/>
  <c r="L43" i="5"/>
  <c r="M43" i="5"/>
  <c r="N43" i="5"/>
  <c r="O43" i="5"/>
  <c r="P43" i="5"/>
  <c r="E38" i="5"/>
  <c r="F38" i="5"/>
  <c r="G38" i="5"/>
  <c r="H38" i="5"/>
  <c r="I38" i="5"/>
  <c r="J38" i="5"/>
  <c r="K38" i="5"/>
  <c r="L38" i="5"/>
  <c r="M38" i="5"/>
  <c r="N38" i="5"/>
  <c r="O38" i="5"/>
  <c r="P38" i="5"/>
  <c r="E6" i="6"/>
  <c r="F6" i="6"/>
  <c r="G6" i="6"/>
  <c r="H6" i="6"/>
  <c r="I6" i="6"/>
  <c r="J6" i="6"/>
  <c r="K6" i="6"/>
  <c r="L6" i="6"/>
  <c r="M6" i="6"/>
  <c r="N6" i="6"/>
  <c r="O6" i="6"/>
  <c r="P6" i="6"/>
  <c r="E9" i="6"/>
  <c r="F9" i="6"/>
  <c r="G9" i="6"/>
  <c r="H9" i="6"/>
  <c r="I9" i="6"/>
  <c r="J9" i="6"/>
  <c r="K9" i="6"/>
  <c r="L9" i="6"/>
  <c r="M9" i="6"/>
  <c r="N9" i="6"/>
  <c r="O9" i="6"/>
  <c r="P9" i="6"/>
  <c r="E12" i="6"/>
  <c r="F12" i="6"/>
  <c r="G12" i="6"/>
  <c r="H12" i="6"/>
  <c r="I12" i="6"/>
  <c r="J12" i="6"/>
  <c r="K12" i="6"/>
  <c r="L12" i="6"/>
  <c r="M12" i="6"/>
  <c r="N12" i="6"/>
  <c r="O12" i="6"/>
  <c r="P12" i="6"/>
  <c r="E13" i="6"/>
  <c r="F13" i="6"/>
  <c r="G13" i="6"/>
  <c r="H13" i="6"/>
  <c r="I13" i="6"/>
  <c r="J13" i="6"/>
  <c r="K13" i="6"/>
  <c r="L13" i="6"/>
  <c r="M13" i="6"/>
  <c r="N13" i="6"/>
  <c r="O13" i="6"/>
  <c r="P13" i="6"/>
  <c r="E30" i="6"/>
  <c r="F30" i="6"/>
  <c r="G30" i="6"/>
  <c r="H30" i="6"/>
  <c r="I30" i="6"/>
  <c r="J30" i="6"/>
  <c r="K30" i="6"/>
  <c r="L30" i="6"/>
  <c r="M30" i="6"/>
  <c r="N30" i="6"/>
  <c r="O30" i="6"/>
  <c r="P30" i="6"/>
  <c r="E7" i="6"/>
  <c r="F7" i="6"/>
  <c r="G7" i="6"/>
  <c r="H7" i="6"/>
  <c r="I7" i="6"/>
  <c r="J7" i="6"/>
  <c r="K7" i="6"/>
  <c r="L7" i="6"/>
  <c r="M7" i="6"/>
  <c r="N7" i="6"/>
  <c r="O7" i="6"/>
  <c r="P7" i="6"/>
  <c r="E10" i="6"/>
  <c r="F10" i="6"/>
  <c r="G10" i="6"/>
  <c r="H10" i="6"/>
  <c r="I10" i="6"/>
  <c r="J10" i="6"/>
  <c r="K10" i="6"/>
  <c r="L10" i="6"/>
  <c r="M10" i="6"/>
  <c r="N10" i="6"/>
  <c r="O10" i="6"/>
  <c r="P10" i="6"/>
  <c r="E14" i="6"/>
  <c r="F14" i="6"/>
  <c r="G14" i="6"/>
  <c r="H14" i="6"/>
  <c r="I14" i="6"/>
  <c r="J14" i="6"/>
  <c r="K14" i="6"/>
  <c r="L14" i="6"/>
  <c r="M14" i="6"/>
  <c r="N14" i="6"/>
  <c r="O14" i="6"/>
  <c r="P14" i="6"/>
  <c r="E15" i="6"/>
  <c r="F15" i="6"/>
  <c r="G15" i="6"/>
  <c r="H15" i="6"/>
  <c r="I15" i="6"/>
  <c r="J15" i="6"/>
  <c r="K15" i="6"/>
  <c r="L15" i="6"/>
  <c r="M15" i="6"/>
  <c r="N15" i="6"/>
  <c r="O15" i="6"/>
  <c r="P15" i="6"/>
  <c r="E28" i="6"/>
  <c r="F28" i="6"/>
  <c r="G28" i="6"/>
  <c r="H28" i="6"/>
  <c r="I28" i="6"/>
  <c r="J28" i="6"/>
  <c r="K28" i="6"/>
  <c r="L28" i="6"/>
  <c r="M28" i="6"/>
  <c r="N28" i="6"/>
  <c r="O28" i="6"/>
  <c r="P28" i="6"/>
  <c r="E32" i="6"/>
  <c r="F32" i="6"/>
  <c r="G32" i="6"/>
  <c r="H32" i="6"/>
  <c r="I32" i="6"/>
  <c r="J32" i="6"/>
  <c r="K32" i="6"/>
  <c r="L32" i="6"/>
  <c r="M32" i="6"/>
  <c r="N32" i="6"/>
  <c r="O32" i="6"/>
  <c r="P32" i="6"/>
  <c r="E34" i="6"/>
  <c r="F34" i="6"/>
  <c r="G34" i="6"/>
  <c r="H34" i="6"/>
  <c r="I34" i="6"/>
  <c r="J34" i="6"/>
  <c r="K34" i="6"/>
  <c r="L34" i="6"/>
  <c r="M34" i="6"/>
  <c r="N34" i="6"/>
  <c r="O34" i="6"/>
  <c r="P34" i="6"/>
  <c r="E35" i="6"/>
  <c r="F35" i="6"/>
  <c r="G35" i="6"/>
  <c r="H35" i="6"/>
  <c r="I35" i="6"/>
  <c r="J35" i="6"/>
  <c r="K35" i="6"/>
  <c r="L35" i="6"/>
  <c r="M35" i="6"/>
  <c r="N35" i="6"/>
  <c r="O35" i="6"/>
  <c r="P35" i="6"/>
  <c r="E29" i="6"/>
  <c r="F29" i="6"/>
  <c r="G29" i="6"/>
  <c r="H29" i="6"/>
  <c r="I29" i="6"/>
  <c r="J29" i="6"/>
  <c r="K29" i="6"/>
  <c r="L29" i="6"/>
  <c r="M29" i="6"/>
  <c r="N29" i="6"/>
  <c r="O29" i="6"/>
  <c r="P29" i="6"/>
  <c r="E6" i="7"/>
  <c r="F6" i="7"/>
  <c r="G6" i="7"/>
  <c r="H6" i="7"/>
  <c r="I6" i="7"/>
  <c r="J6" i="7"/>
  <c r="K6" i="7"/>
  <c r="L6" i="7"/>
  <c r="M6" i="7"/>
  <c r="N6" i="7"/>
  <c r="O6" i="7"/>
  <c r="P6" i="7"/>
  <c r="E9" i="7"/>
  <c r="F9" i="7"/>
  <c r="G9" i="7"/>
  <c r="H9" i="7"/>
  <c r="I9" i="7"/>
  <c r="J9" i="7"/>
  <c r="K9" i="7"/>
  <c r="L9" i="7"/>
  <c r="M9" i="7"/>
  <c r="N9" i="7"/>
  <c r="O9" i="7"/>
  <c r="P9" i="7"/>
  <c r="E25" i="7"/>
  <c r="F25" i="7"/>
  <c r="G25" i="7"/>
  <c r="H25" i="7"/>
  <c r="I25" i="7"/>
  <c r="J25" i="7"/>
  <c r="K25" i="7"/>
  <c r="L25" i="7"/>
  <c r="M25" i="7"/>
  <c r="N25" i="7"/>
  <c r="O25" i="7"/>
  <c r="P25" i="7"/>
  <c r="E28" i="7"/>
  <c r="F28" i="7"/>
  <c r="G28" i="7"/>
  <c r="H28" i="7"/>
  <c r="I28" i="7"/>
  <c r="J28" i="7"/>
  <c r="K28" i="7"/>
  <c r="L28" i="7"/>
  <c r="M28" i="7"/>
  <c r="N28" i="7"/>
  <c r="O28" i="7"/>
  <c r="P28" i="7"/>
  <c r="E7" i="7"/>
  <c r="F7" i="7"/>
  <c r="G7" i="7"/>
  <c r="H7" i="7"/>
  <c r="I7" i="7"/>
  <c r="J7" i="7"/>
  <c r="K7" i="7"/>
  <c r="L7" i="7"/>
  <c r="M7" i="7"/>
  <c r="N7" i="7"/>
  <c r="O7" i="7"/>
  <c r="P7" i="7"/>
  <c r="E10" i="7"/>
  <c r="F10" i="7"/>
  <c r="G10" i="7"/>
  <c r="H10" i="7"/>
  <c r="I10" i="7"/>
  <c r="J10" i="7"/>
  <c r="K10" i="7"/>
  <c r="L10" i="7"/>
  <c r="M10" i="7"/>
  <c r="N10" i="7"/>
  <c r="O10" i="7"/>
  <c r="P10" i="7"/>
  <c r="E12" i="7"/>
  <c r="F12" i="7"/>
  <c r="G12" i="7"/>
  <c r="H12" i="7"/>
  <c r="I12" i="7"/>
  <c r="J12" i="7"/>
  <c r="K12" i="7"/>
  <c r="L12" i="7"/>
  <c r="M12" i="7"/>
  <c r="N12" i="7"/>
  <c r="O12" i="7"/>
  <c r="P12" i="7"/>
  <c r="E13" i="7"/>
  <c r="F13" i="7"/>
  <c r="G13" i="7"/>
  <c r="H13" i="7"/>
  <c r="I13" i="7"/>
  <c r="J13" i="7"/>
  <c r="K13" i="7"/>
  <c r="L13" i="7"/>
  <c r="M13" i="7"/>
  <c r="N13" i="7"/>
  <c r="O13" i="7"/>
  <c r="P13" i="7"/>
  <c r="E31" i="7"/>
  <c r="F31" i="7"/>
  <c r="G31" i="7"/>
  <c r="H31" i="7"/>
  <c r="I31" i="7"/>
  <c r="J31" i="7"/>
  <c r="K31" i="7"/>
  <c r="L31" i="7"/>
  <c r="M31" i="7"/>
  <c r="N31" i="7"/>
  <c r="O31" i="7"/>
  <c r="P31" i="7"/>
  <c r="E32" i="7"/>
  <c r="F32" i="7"/>
  <c r="G32" i="7"/>
  <c r="H32" i="7"/>
  <c r="I32" i="7"/>
  <c r="J32" i="7"/>
  <c r="K32" i="7"/>
  <c r="L32" i="7"/>
  <c r="M32" i="7"/>
  <c r="N32" i="7"/>
  <c r="O32" i="7"/>
  <c r="P32" i="7"/>
  <c r="E33" i="7"/>
  <c r="F33" i="7"/>
  <c r="G33" i="7"/>
  <c r="H33" i="7"/>
  <c r="I33" i="7"/>
  <c r="J33" i="7"/>
  <c r="K33" i="7"/>
  <c r="L33" i="7"/>
  <c r="M33" i="7"/>
  <c r="N33" i="7"/>
  <c r="O33" i="7"/>
  <c r="P33" i="7"/>
  <c r="E27" i="7"/>
  <c r="F27" i="7"/>
  <c r="G27" i="7"/>
  <c r="H27" i="7"/>
  <c r="I27" i="7"/>
  <c r="J27" i="7"/>
  <c r="K27" i="7"/>
  <c r="L27" i="7"/>
  <c r="M27" i="7"/>
  <c r="N27" i="7"/>
  <c r="O27" i="7"/>
  <c r="P27" i="7"/>
  <c r="E5" i="9"/>
  <c r="F5" i="9"/>
  <c r="G5" i="9"/>
  <c r="H5" i="9"/>
  <c r="I5" i="9"/>
  <c r="J5" i="9"/>
  <c r="K5" i="9"/>
  <c r="L5" i="9"/>
  <c r="M5" i="9"/>
  <c r="N5" i="9"/>
  <c r="O5" i="9"/>
  <c r="P5" i="9"/>
  <c r="E8" i="9"/>
  <c r="F8" i="9"/>
  <c r="G8" i="9"/>
  <c r="H8" i="9"/>
  <c r="I8" i="9"/>
  <c r="J8" i="9"/>
  <c r="K8" i="9"/>
  <c r="L8" i="9"/>
  <c r="M8" i="9"/>
  <c r="N8" i="9"/>
  <c r="O8" i="9"/>
  <c r="P8" i="9"/>
  <c r="E12" i="9"/>
  <c r="F12" i="9"/>
  <c r="G12" i="9"/>
  <c r="H12" i="9"/>
  <c r="I12" i="9"/>
  <c r="J12" i="9"/>
  <c r="K12" i="9"/>
  <c r="L12" i="9"/>
  <c r="M12" i="9"/>
  <c r="N12" i="9"/>
  <c r="O12" i="9"/>
  <c r="P12" i="9"/>
  <c r="E13" i="9"/>
  <c r="F13" i="9"/>
  <c r="G13" i="9"/>
  <c r="H13" i="9"/>
  <c r="I13" i="9"/>
  <c r="J13" i="9"/>
  <c r="K13" i="9"/>
  <c r="L13" i="9"/>
  <c r="M13" i="9"/>
  <c r="N13" i="9"/>
  <c r="O13" i="9"/>
  <c r="P13" i="9"/>
  <c r="E33" i="9"/>
  <c r="F33" i="9"/>
  <c r="G33" i="9"/>
  <c r="H33" i="9"/>
  <c r="I33" i="9"/>
  <c r="J33" i="9"/>
  <c r="K33" i="9"/>
  <c r="L33" i="9"/>
  <c r="M33" i="9"/>
  <c r="N33" i="9"/>
  <c r="O33" i="9"/>
  <c r="P33" i="9"/>
  <c r="E6" i="9"/>
  <c r="F6" i="9"/>
  <c r="G6" i="9"/>
  <c r="H6" i="9"/>
  <c r="I6" i="9"/>
  <c r="J6" i="9"/>
  <c r="K6" i="9"/>
  <c r="L6" i="9"/>
  <c r="M6" i="9"/>
  <c r="N6" i="9"/>
  <c r="O6" i="9"/>
  <c r="P6" i="9"/>
  <c r="E9" i="9"/>
  <c r="F9" i="9"/>
  <c r="G9" i="9"/>
  <c r="H9" i="9"/>
  <c r="I9" i="9"/>
  <c r="J9" i="9"/>
  <c r="K9" i="9"/>
  <c r="L9" i="9"/>
  <c r="M9" i="9"/>
  <c r="N9" i="9"/>
  <c r="O9" i="9"/>
  <c r="P9" i="9"/>
  <c r="E15" i="9"/>
  <c r="F15" i="9"/>
  <c r="G15" i="9"/>
  <c r="H15" i="9"/>
  <c r="I15" i="9"/>
  <c r="J15" i="9"/>
  <c r="K15" i="9"/>
  <c r="L15" i="9"/>
  <c r="M15" i="9"/>
  <c r="N15" i="9"/>
  <c r="O15" i="9"/>
  <c r="P15" i="9"/>
  <c r="E16" i="9"/>
  <c r="F16" i="9"/>
  <c r="G16" i="9"/>
  <c r="H16" i="9"/>
  <c r="I16" i="9"/>
  <c r="J16" i="9"/>
  <c r="K16" i="9"/>
  <c r="L16" i="9"/>
  <c r="M16" i="9"/>
  <c r="N16" i="9"/>
  <c r="O16" i="9"/>
  <c r="P16" i="9"/>
  <c r="E31" i="9"/>
  <c r="F31" i="9"/>
  <c r="G31" i="9"/>
  <c r="H31" i="9"/>
  <c r="I31" i="9"/>
  <c r="J31" i="9"/>
  <c r="K31" i="9"/>
  <c r="L31" i="9"/>
  <c r="M31" i="9"/>
  <c r="N31" i="9"/>
  <c r="O31" i="9"/>
  <c r="P31" i="9"/>
  <c r="E37" i="9"/>
  <c r="F37" i="9"/>
  <c r="G37" i="9"/>
  <c r="H37" i="9"/>
  <c r="I37" i="9"/>
  <c r="J37" i="9"/>
  <c r="K37" i="9"/>
  <c r="L37" i="9"/>
  <c r="M37" i="9"/>
  <c r="N37" i="9"/>
  <c r="O37" i="9"/>
  <c r="P37" i="9"/>
  <c r="E48" i="9"/>
  <c r="F48" i="9"/>
  <c r="G48" i="9"/>
  <c r="H48" i="9"/>
  <c r="I48" i="9"/>
  <c r="J48" i="9"/>
  <c r="K48" i="9"/>
  <c r="L48" i="9"/>
  <c r="M48" i="9"/>
  <c r="N48" i="9"/>
  <c r="O48" i="9"/>
  <c r="P48" i="9"/>
  <c r="E26" i="9"/>
  <c r="F26" i="9"/>
  <c r="G26" i="9"/>
  <c r="H26" i="9"/>
  <c r="I26" i="9"/>
  <c r="J26" i="9"/>
  <c r="K26" i="9"/>
  <c r="L26" i="9"/>
  <c r="M26" i="9"/>
  <c r="N26" i="9"/>
  <c r="O26" i="9"/>
  <c r="P26" i="9"/>
  <c r="E30" i="9"/>
  <c r="F30" i="9"/>
  <c r="G30" i="9"/>
  <c r="H30" i="9"/>
  <c r="I30" i="9"/>
  <c r="J30" i="9"/>
  <c r="K30" i="9"/>
  <c r="L30" i="9"/>
  <c r="M30" i="9"/>
  <c r="N30" i="9"/>
  <c r="O30" i="9"/>
  <c r="P30" i="9"/>
  <c r="E5" i="10"/>
  <c r="F5" i="10"/>
  <c r="G5" i="10"/>
  <c r="H5" i="10"/>
  <c r="I5" i="10"/>
  <c r="J5" i="10"/>
  <c r="K5" i="10"/>
  <c r="L5" i="10"/>
  <c r="M5" i="10"/>
  <c r="N5" i="10"/>
  <c r="O5" i="10"/>
  <c r="P5" i="10"/>
  <c r="E8" i="10"/>
  <c r="F8" i="10"/>
  <c r="G8" i="10"/>
  <c r="H8" i="10"/>
  <c r="I8" i="10"/>
  <c r="J8" i="10"/>
  <c r="K8" i="10"/>
  <c r="L8" i="10"/>
  <c r="M8" i="10"/>
  <c r="N8" i="10"/>
  <c r="O8" i="10"/>
  <c r="P8" i="10"/>
  <c r="E12" i="10"/>
  <c r="F12" i="10"/>
  <c r="G12" i="10"/>
  <c r="H12" i="10"/>
  <c r="I12" i="10"/>
  <c r="J12" i="10"/>
  <c r="K12" i="10"/>
  <c r="L12" i="10"/>
  <c r="M12" i="10"/>
  <c r="N12" i="10"/>
  <c r="O12" i="10"/>
  <c r="P12" i="10"/>
  <c r="E13" i="10"/>
  <c r="F13" i="10"/>
  <c r="G13" i="10"/>
  <c r="H13" i="10"/>
  <c r="I13" i="10"/>
  <c r="J13" i="10"/>
  <c r="K13" i="10"/>
  <c r="L13" i="10"/>
  <c r="M13" i="10"/>
  <c r="N13" i="10"/>
  <c r="O13" i="10"/>
  <c r="P13" i="10"/>
  <c r="E6" i="10"/>
  <c r="F6" i="10"/>
  <c r="G6" i="10"/>
  <c r="H6" i="10"/>
  <c r="I6" i="10"/>
  <c r="J6" i="10"/>
  <c r="K6" i="10"/>
  <c r="L6" i="10"/>
  <c r="M6" i="10"/>
  <c r="N6" i="10"/>
  <c r="O6" i="10"/>
  <c r="P6" i="10"/>
  <c r="E9" i="10"/>
  <c r="F9" i="10"/>
  <c r="G9" i="10"/>
  <c r="H9" i="10"/>
  <c r="I9" i="10"/>
  <c r="J9" i="10"/>
  <c r="K9" i="10"/>
  <c r="L9" i="10"/>
  <c r="M9" i="10"/>
  <c r="N9" i="10"/>
  <c r="O9" i="10"/>
  <c r="P9" i="10"/>
  <c r="E15" i="10"/>
  <c r="F15" i="10"/>
  <c r="G15" i="10"/>
  <c r="H15" i="10"/>
  <c r="I15" i="10"/>
  <c r="J15" i="10"/>
  <c r="K15" i="10"/>
  <c r="L15" i="10"/>
  <c r="M15" i="10"/>
  <c r="N15" i="10"/>
  <c r="O15" i="10"/>
  <c r="P15" i="10"/>
  <c r="E16" i="10"/>
  <c r="F16" i="10"/>
  <c r="G16" i="10"/>
  <c r="H16" i="10"/>
  <c r="I16" i="10"/>
  <c r="J16" i="10"/>
  <c r="K16" i="10"/>
  <c r="L16" i="10"/>
  <c r="M16" i="10"/>
  <c r="N16" i="10"/>
  <c r="O16" i="10"/>
  <c r="P16" i="10"/>
  <c r="E31" i="10"/>
  <c r="F31" i="10"/>
  <c r="G31" i="10"/>
  <c r="H31" i="10"/>
  <c r="I31" i="10"/>
  <c r="J31" i="10"/>
  <c r="K31" i="10"/>
  <c r="L31" i="10"/>
  <c r="M31" i="10"/>
  <c r="N31" i="10"/>
  <c r="O31" i="10"/>
  <c r="P31" i="10"/>
  <c r="E36" i="10"/>
  <c r="F36" i="10"/>
  <c r="G36" i="10"/>
  <c r="H36" i="10"/>
  <c r="I36" i="10"/>
  <c r="J36" i="10"/>
  <c r="K36" i="10"/>
  <c r="L36" i="10"/>
  <c r="M36" i="10"/>
  <c r="N36" i="10"/>
  <c r="O36" i="10"/>
  <c r="P36" i="10"/>
  <c r="E47" i="10"/>
  <c r="F47" i="10"/>
  <c r="G47" i="10"/>
  <c r="H47" i="10"/>
  <c r="I47" i="10"/>
  <c r="J47" i="10"/>
  <c r="K47" i="10"/>
  <c r="L47" i="10"/>
  <c r="M47" i="10"/>
  <c r="N47" i="10"/>
  <c r="O47" i="10"/>
  <c r="P47" i="10"/>
  <c r="E26" i="10"/>
  <c r="F26" i="10"/>
  <c r="G26" i="10"/>
  <c r="H26" i="10"/>
  <c r="I26" i="10"/>
  <c r="J26" i="10"/>
  <c r="K26" i="10"/>
  <c r="L26" i="10"/>
  <c r="M26" i="10"/>
  <c r="N26" i="10"/>
  <c r="O26" i="10"/>
  <c r="P26" i="10"/>
  <c r="E30" i="10"/>
  <c r="F30" i="10"/>
  <c r="G30" i="10"/>
  <c r="H30" i="10"/>
  <c r="I30" i="10"/>
  <c r="J30" i="10"/>
  <c r="K30" i="10"/>
  <c r="L30" i="10"/>
  <c r="M30" i="10"/>
  <c r="N30" i="10"/>
  <c r="O30" i="10"/>
  <c r="P30" i="10"/>
  <c r="E5" i="8"/>
  <c r="F5" i="8"/>
  <c r="G5" i="8"/>
  <c r="H5" i="8"/>
  <c r="I5" i="8"/>
  <c r="J5" i="8"/>
  <c r="K5" i="8"/>
  <c r="L5" i="8"/>
  <c r="M5" i="8"/>
  <c r="N5" i="8"/>
  <c r="O5" i="8"/>
  <c r="P5" i="8"/>
  <c r="E8" i="8"/>
  <c r="F8" i="8"/>
  <c r="G8" i="8"/>
  <c r="H8" i="8"/>
  <c r="I8" i="8"/>
  <c r="J8" i="8"/>
  <c r="K8" i="8"/>
  <c r="L8" i="8"/>
  <c r="M8" i="8"/>
  <c r="N8" i="8"/>
  <c r="O8" i="8"/>
  <c r="P8" i="8"/>
  <c r="E17" i="8"/>
  <c r="F17" i="8"/>
  <c r="G17" i="8"/>
  <c r="H17" i="8"/>
  <c r="I17" i="8"/>
  <c r="J17" i="8"/>
  <c r="K17" i="8"/>
  <c r="L17" i="8"/>
  <c r="M17" i="8"/>
  <c r="N17" i="8"/>
  <c r="O17" i="8"/>
  <c r="P17" i="8"/>
  <c r="E18" i="8"/>
  <c r="F18" i="8"/>
  <c r="G18" i="8"/>
  <c r="H18" i="8"/>
  <c r="I18" i="8"/>
  <c r="J18" i="8"/>
  <c r="K18" i="8"/>
  <c r="L18" i="8"/>
  <c r="M18" i="8"/>
  <c r="N18" i="8"/>
  <c r="O18" i="8"/>
  <c r="P18" i="8"/>
  <c r="E39" i="8"/>
  <c r="F39" i="8"/>
  <c r="G39" i="8"/>
  <c r="H39" i="8"/>
  <c r="I39" i="8"/>
  <c r="J39" i="8"/>
  <c r="K39" i="8"/>
  <c r="L39" i="8"/>
  <c r="M39" i="8"/>
  <c r="N39" i="8"/>
  <c r="O39" i="8"/>
  <c r="P39" i="8"/>
  <c r="E6" i="8"/>
  <c r="F6" i="8"/>
  <c r="G6" i="8"/>
  <c r="H6" i="8"/>
  <c r="I6" i="8"/>
  <c r="J6" i="8"/>
  <c r="K6" i="8"/>
  <c r="L6" i="8"/>
  <c r="M6" i="8"/>
  <c r="N6" i="8"/>
  <c r="O6" i="8"/>
  <c r="P6" i="8"/>
  <c r="E9" i="8"/>
  <c r="F9" i="8"/>
  <c r="G9" i="8"/>
  <c r="H9" i="8"/>
  <c r="I9" i="8"/>
  <c r="J9" i="8"/>
  <c r="K9" i="8"/>
  <c r="L9" i="8"/>
  <c r="M9" i="8"/>
  <c r="N9" i="8"/>
  <c r="O9" i="8"/>
  <c r="P9" i="8"/>
  <c r="E20" i="8"/>
  <c r="F20" i="8"/>
  <c r="G20" i="8"/>
  <c r="H20" i="8"/>
  <c r="I20" i="8"/>
  <c r="J20" i="8"/>
  <c r="K20" i="8"/>
  <c r="L20" i="8"/>
  <c r="M20" i="8"/>
  <c r="N20" i="8"/>
  <c r="O20" i="8"/>
  <c r="P20" i="8"/>
  <c r="E21" i="8"/>
  <c r="F21" i="8"/>
  <c r="G21" i="8"/>
  <c r="H21" i="8"/>
  <c r="I21" i="8"/>
  <c r="J21" i="8"/>
  <c r="K21" i="8"/>
  <c r="L21" i="8"/>
  <c r="M21" i="8"/>
  <c r="N21" i="8"/>
  <c r="O21" i="8"/>
  <c r="P21" i="8"/>
  <c r="E37" i="8"/>
  <c r="F37" i="8"/>
  <c r="G37" i="8"/>
  <c r="H37" i="8"/>
  <c r="I37" i="8"/>
  <c r="J37" i="8"/>
  <c r="K37" i="8"/>
  <c r="L37" i="8"/>
  <c r="M37" i="8"/>
  <c r="N37" i="8"/>
  <c r="O37" i="8"/>
  <c r="P37" i="8"/>
  <c r="E43" i="8"/>
  <c r="F43" i="8"/>
  <c r="G43" i="8"/>
  <c r="H43" i="8"/>
  <c r="I43" i="8"/>
  <c r="J43" i="8"/>
  <c r="K43" i="8"/>
  <c r="L43" i="8"/>
  <c r="M43" i="8"/>
  <c r="N43" i="8"/>
  <c r="O43" i="8"/>
  <c r="P43" i="8"/>
  <c r="E54" i="8"/>
  <c r="F54" i="8"/>
  <c r="G54" i="8"/>
  <c r="H54" i="8"/>
  <c r="I54" i="8"/>
  <c r="J54" i="8"/>
  <c r="K54" i="8"/>
  <c r="L54" i="8"/>
  <c r="M54" i="8"/>
  <c r="N54" i="8"/>
  <c r="O54" i="8"/>
  <c r="P54" i="8"/>
  <c r="E31" i="8"/>
  <c r="F31" i="8"/>
  <c r="G31" i="8"/>
  <c r="H31" i="8"/>
  <c r="I31" i="8"/>
  <c r="J31" i="8"/>
  <c r="K31" i="8"/>
  <c r="L31" i="8"/>
  <c r="M31" i="8"/>
  <c r="N31" i="8"/>
  <c r="O31" i="8"/>
  <c r="P31" i="8"/>
  <c r="E36" i="8"/>
  <c r="F36" i="8"/>
  <c r="G36" i="8"/>
  <c r="H36" i="8"/>
  <c r="I36" i="8"/>
  <c r="J36" i="8"/>
  <c r="K36" i="8"/>
  <c r="L36" i="8"/>
  <c r="M36" i="8"/>
  <c r="N36" i="8"/>
  <c r="O36" i="8"/>
  <c r="P36" i="8"/>
  <c r="K31" i="5"/>
  <c r="L31" i="5"/>
  <c r="K32" i="5"/>
  <c r="L32" i="5"/>
  <c r="K33" i="5"/>
  <c r="L33" i="5"/>
  <c r="K52" i="7"/>
  <c r="L52" i="7"/>
  <c r="K53" i="7"/>
  <c r="L53" i="7"/>
  <c r="K54" i="7"/>
  <c r="L54" i="7"/>
  <c r="K57" i="1"/>
  <c r="L57" i="1"/>
  <c r="K58" i="1"/>
  <c r="L58" i="1"/>
  <c r="K59" i="1"/>
  <c r="L59" i="1"/>
  <c r="E45" i="10"/>
  <c r="Q45" i="10" s="1"/>
  <c r="J45" i="10"/>
  <c r="K45" i="10"/>
  <c r="L45" i="10"/>
  <c r="M45" i="10"/>
  <c r="O45" i="10"/>
  <c r="P45" i="10"/>
  <c r="E50" i="6"/>
  <c r="Q50" i="6" s="1"/>
  <c r="J50" i="6"/>
  <c r="K50" i="6"/>
  <c r="L50" i="6"/>
  <c r="M50" i="6"/>
  <c r="O50" i="6"/>
  <c r="P50" i="6"/>
  <c r="E52" i="5"/>
  <c r="Q52" i="5" s="1"/>
  <c r="J52" i="5"/>
  <c r="K52" i="5"/>
  <c r="L52" i="5"/>
  <c r="M52" i="5"/>
  <c r="O52" i="5"/>
  <c r="P52" i="5"/>
  <c r="E50" i="7"/>
  <c r="Q50" i="7" s="1"/>
  <c r="J50" i="7"/>
  <c r="K50" i="7"/>
  <c r="L50" i="7"/>
  <c r="M50" i="7"/>
  <c r="O50" i="7"/>
  <c r="P50" i="7"/>
  <c r="E52" i="1"/>
  <c r="F52" i="1"/>
  <c r="J52" i="1"/>
  <c r="K52" i="1"/>
  <c r="L52" i="1"/>
  <c r="M52" i="1"/>
  <c r="O52" i="1"/>
  <c r="E46" i="9"/>
  <c r="Q46" i="9" s="1"/>
  <c r="J46" i="9"/>
  <c r="K46" i="9"/>
  <c r="L46" i="9"/>
  <c r="M46" i="9"/>
  <c r="O46" i="9"/>
  <c r="P46" i="9"/>
  <c r="E52" i="8"/>
  <c r="Q52" i="8" s="1"/>
  <c r="J52" i="8"/>
  <c r="K52" i="8"/>
  <c r="L52" i="8"/>
  <c r="M52" i="8"/>
  <c r="O52" i="8"/>
  <c r="P52" i="8"/>
  <c r="P47" i="5"/>
  <c r="E48" i="5"/>
  <c r="G48" i="5"/>
  <c r="H48" i="5"/>
  <c r="I48" i="5"/>
  <c r="J48" i="5"/>
  <c r="K48" i="5"/>
  <c r="L48" i="5"/>
  <c r="M48" i="5"/>
  <c r="N48" i="5"/>
  <c r="O48" i="5"/>
  <c r="P48" i="5"/>
  <c r="E49" i="5"/>
  <c r="G49" i="5"/>
  <c r="H49" i="5"/>
  <c r="I49" i="5"/>
  <c r="J49" i="5"/>
  <c r="K49" i="5"/>
  <c r="L49" i="5"/>
  <c r="M49" i="5"/>
  <c r="N49" i="5"/>
  <c r="O49" i="5"/>
  <c r="P49" i="5"/>
  <c r="E50" i="5"/>
  <c r="G50" i="5"/>
  <c r="H50" i="5"/>
  <c r="I50" i="5"/>
  <c r="J50" i="5"/>
  <c r="K50" i="5"/>
  <c r="L50" i="5"/>
  <c r="M50" i="5"/>
  <c r="N50" i="5"/>
  <c r="O50" i="5"/>
  <c r="P50" i="5"/>
  <c r="P45" i="6"/>
  <c r="E46" i="6"/>
  <c r="G46" i="6"/>
  <c r="H46" i="6"/>
  <c r="I46" i="6"/>
  <c r="J46" i="6"/>
  <c r="K46" i="6"/>
  <c r="L46" i="6"/>
  <c r="M46" i="6"/>
  <c r="N46" i="6"/>
  <c r="O46" i="6"/>
  <c r="P46" i="6"/>
  <c r="E47" i="6"/>
  <c r="G47" i="6"/>
  <c r="H47" i="6"/>
  <c r="I47" i="6"/>
  <c r="J47" i="6"/>
  <c r="K47" i="6"/>
  <c r="L47" i="6"/>
  <c r="M47" i="6"/>
  <c r="N47" i="6"/>
  <c r="O47" i="6"/>
  <c r="P47" i="6"/>
  <c r="E48" i="6"/>
  <c r="G48" i="6"/>
  <c r="H48" i="6"/>
  <c r="I48" i="6"/>
  <c r="J48" i="6"/>
  <c r="K48" i="6"/>
  <c r="L48" i="6"/>
  <c r="M48" i="6"/>
  <c r="N48" i="6"/>
  <c r="O48" i="6"/>
  <c r="P48" i="6"/>
  <c r="P45" i="7"/>
  <c r="E46" i="7"/>
  <c r="G46" i="7"/>
  <c r="H46" i="7"/>
  <c r="I46" i="7"/>
  <c r="J46" i="7"/>
  <c r="K46" i="7"/>
  <c r="L46" i="7"/>
  <c r="M46" i="7"/>
  <c r="N46" i="7"/>
  <c r="O46" i="7"/>
  <c r="P46" i="7"/>
  <c r="E47" i="7"/>
  <c r="G47" i="7"/>
  <c r="H47" i="7"/>
  <c r="I47" i="7"/>
  <c r="J47" i="7"/>
  <c r="K47" i="7"/>
  <c r="L47" i="7"/>
  <c r="M47" i="7"/>
  <c r="N47" i="7"/>
  <c r="O47" i="7"/>
  <c r="P47" i="7"/>
  <c r="E48" i="7"/>
  <c r="G48" i="7"/>
  <c r="H48" i="7"/>
  <c r="I48" i="7"/>
  <c r="J48" i="7"/>
  <c r="K48" i="7"/>
  <c r="L48" i="7"/>
  <c r="M48" i="7"/>
  <c r="N48" i="7"/>
  <c r="O48" i="7"/>
  <c r="P48" i="7"/>
  <c r="P41" i="9"/>
  <c r="E42" i="9"/>
  <c r="G42" i="9"/>
  <c r="H42" i="9"/>
  <c r="I42" i="9"/>
  <c r="J42" i="9"/>
  <c r="K42" i="9"/>
  <c r="L42" i="9"/>
  <c r="M42" i="9"/>
  <c r="N42" i="9"/>
  <c r="O42" i="9"/>
  <c r="P42" i="9"/>
  <c r="E43" i="9"/>
  <c r="G43" i="9"/>
  <c r="H43" i="9"/>
  <c r="I43" i="9"/>
  <c r="J43" i="9"/>
  <c r="K43" i="9"/>
  <c r="L43" i="9"/>
  <c r="M43" i="9"/>
  <c r="N43" i="9"/>
  <c r="O43" i="9"/>
  <c r="P43" i="9"/>
  <c r="E44" i="9"/>
  <c r="G44" i="9"/>
  <c r="H44" i="9"/>
  <c r="I44" i="9"/>
  <c r="J44" i="9"/>
  <c r="K44" i="9"/>
  <c r="L44" i="9"/>
  <c r="M44" i="9"/>
  <c r="N44" i="9"/>
  <c r="O44" i="9"/>
  <c r="P44" i="9"/>
  <c r="P40" i="10"/>
  <c r="E41" i="10"/>
  <c r="G41" i="10"/>
  <c r="H41" i="10"/>
  <c r="I41" i="10"/>
  <c r="J41" i="10"/>
  <c r="K41" i="10"/>
  <c r="L41" i="10"/>
  <c r="M41" i="10"/>
  <c r="N41" i="10"/>
  <c r="O41" i="10"/>
  <c r="P41" i="10"/>
  <c r="E42" i="10"/>
  <c r="G42" i="10"/>
  <c r="H42" i="10"/>
  <c r="I42" i="10"/>
  <c r="J42" i="10"/>
  <c r="K42" i="10"/>
  <c r="L42" i="10"/>
  <c r="M42" i="10"/>
  <c r="N42" i="10"/>
  <c r="O42" i="10"/>
  <c r="P42" i="10"/>
  <c r="E43" i="10"/>
  <c r="G43" i="10"/>
  <c r="H43" i="10"/>
  <c r="I43" i="10"/>
  <c r="J43" i="10"/>
  <c r="K43" i="10"/>
  <c r="L43" i="10"/>
  <c r="M43" i="10"/>
  <c r="N43" i="10"/>
  <c r="O43" i="10"/>
  <c r="P43" i="10"/>
  <c r="H29" i="5"/>
  <c r="I29" i="5"/>
  <c r="J29" i="5"/>
  <c r="K29" i="5"/>
  <c r="L29" i="5"/>
  <c r="M29" i="5"/>
  <c r="O29" i="5"/>
  <c r="H35" i="9"/>
  <c r="I35" i="9"/>
  <c r="J35" i="9"/>
  <c r="K35" i="9"/>
  <c r="L35" i="9"/>
  <c r="M35" i="9"/>
  <c r="O35" i="9"/>
  <c r="H34" i="10"/>
  <c r="I34" i="10"/>
  <c r="J34" i="10"/>
  <c r="K34" i="10"/>
  <c r="L34" i="10"/>
  <c r="M34" i="10"/>
  <c r="O34" i="10"/>
  <c r="H41" i="8"/>
  <c r="I41" i="8"/>
  <c r="J41" i="8"/>
  <c r="K41" i="8"/>
  <c r="L41" i="8"/>
  <c r="M41" i="8"/>
  <c r="O41" i="8"/>
  <c r="H60" i="1"/>
  <c r="I60" i="1"/>
  <c r="J60" i="1"/>
  <c r="K60" i="1"/>
  <c r="L60" i="1"/>
  <c r="M60" i="1"/>
  <c r="O60" i="1"/>
  <c r="F51" i="1"/>
  <c r="G51" i="1"/>
  <c r="H51" i="1"/>
  <c r="I51" i="1"/>
  <c r="J51" i="1"/>
  <c r="K51" i="1"/>
  <c r="L51" i="1"/>
  <c r="M51" i="1"/>
  <c r="N51" i="1"/>
  <c r="O51" i="1"/>
  <c r="F51" i="5"/>
  <c r="G51" i="5"/>
  <c r="H51" i="5"/>
  <c r="I51" i="5"/>
  <c r="J51" i="5"/>
  <c r="K51" i="5"/>
  <c r="L51" i="5"/>
  <c r="M51" i="5"/>
  <c r="N51" i="5"/>
  <c r="O51" i="5"/>
  <c r="P51" i="5"/>
  <c r="F49" i="6"/>
  <c r="G49" i="6"/>
  <c r="H49" i="6"/>
  <c r="I49" i="6"/>
  <c r="J49" i="6"/>
  <c r="K49" i="6"/>
  <c r="L49" i="6"/>
  <c r="M49" i="6"/>
  <c r="N49" i="6"/>
  <c r="O49" i="6"/>
  <c r="P49" i="6"/>
  <c r="F49" i="7"/>
  <c r="G49" i="7"/>
  <c r="H49" i="7"/>
  <c r="I49" i="7"/>
  <c r="J49" i="7"/>
  <c r="K49" i="7"/>
  <c r="L49" i="7"/>
  <c r="M49" i="7"/>
  <c r="N49" i="7"/>
  <c r="O49" i="7"/>
  <c r="P49" i="7"/>
  <c r="F45" i="9"/>
  <c r="G45" i="9"/>
  <c r="H45" i="9"/>
  <c r="I45" i="9"/>
  <c r="J45" i="9"/>
  <c r="K45" i="9"/>
  <c r="L45" i="9"/>
  <c r="M45" i="9"/>
  <c r="N45" i="9"/>
  <c r="O45" i="9"/>
  <c r="P45" i="9"/>
  <c r="F44" i="10"/>
  <c r="G44" i="10"/>
  <c r="H44" i="10"/>
  <c r="I44" i="10"/>
  <c r="J44" i="10"/>
  <c r="K44" i="10"/>
  <c r="L44" i="10"/>
  <c r="M44" i="10"/>
  <c r="N44" i="10"/>
  <c r="O44" i="10"/>
  <c r="P44" i="10"/>
  <c r="F51" i="8"/>
  <c r="G51" i="8"/>
  <c r="H51" i="8"/>
  <c r="I51" i="8"/>
  <c r="J51" i="8"/>
  <c r="K51" i="8"/>
  <c r="L51" i="8"/>
  <c r="M51" i="8"/>
  <c r="N51" i="8"/>
  <c r="O51" i="8"/>
  <c r="P51" i="8"/>
  <c r="E19" i="5"/>
  <c r="F19" i="5"/>
  <c r="G19" i="5"/>
  <c r="H19" i="5"/>
  <c r="I19" i="5"/>
  <c r="J19" i="5"/>
  <c r="K19" i="5"/>
  <c r="L19" i="5"/>
  <c r="M19" i="5"/>
  <c r="N19" i="5"/>
  <c r="O19" i="5"/>
  <c r="P19" i="5"/>
  <c r="E16" i="6"/>
  <c r="F16" i="6"/>
  <c r="G16" i="6"/>
  <c r="H16" i="6"/>
  <c r="I16" i="6"/>
  <c r="J16" i="6"/>
  <c r="K16" i="6"/>
  <c r="L16" i="6"/>
  <c r="M16" i="6"/>
  <c r="N16" i="6"/>
  <c r="O16" i="6"/>
  <c r="P16" i="6"/>
  <c r="E14" i="7"/>
  <c r="G14" i="7"/>
  <c r="H14" i="7"/>
  <c r="I14" i="7"/>
  <c r="J14" i="7"/>
  <c r="K14" i="7"/>
  <c r="L14" i="7"/>
  <c r="M14" i="7"/>
  <c r="N14" i="7"/>
  <c r="O14" i="7"/>
  <c r="P14" i="7"/>
  <c r="E17" i="9"/>
  <c r="F17" i="9"/>
  <c r="G17" i="9"/>
  <c r="H17" i="9"/>
  <c r="I17" i="9"/>
  <c r="J17" i="9"/>
  <c r="K17" i="9"/>
  <c r="L17" i="9"/>
  <c r="M17" i="9"/>
  <c r="N17" i="9"/>
  <c r="O17" i="9"/>
  <c r="P17" i="9"/>
  <c r="E17" i="10"/>
  <c r="F17" i="10"/>
  <c r="G17" i="10"/>
  <c r="H17" i="10"/>
  <c r="I17" i="10"/>
  <c r="J17" i="10"/>
  <c r="K17" i="10"/>
  <c r="L17" i="10"/>
  <c r="M17" i="10"/>
  <c r="O17" i="10"/>
  <c r="P17" i="10"/>
  <c r="E52" i="6"/>
  <c r="F52" i="6"/>
  <c r="G52" i="6"/>
  <c r="H52" i="6"/>
  <c r="I52" i="6"/>
  <c r="J52" i="6"/>
  <c r="K52" i="6"/>
  <c r="L52" i="6"/>
  <c r="M52" i="6"/>
  <c r="N52" i="6"/>
  <c r="O52" i="6"/>
  <c r="P52" i="6"/>
  <c r="E37" i="7"/>
  <c r="F37" i="7"/>
  <c r="G37" i="7"/>
  <c r="H37" i="7"/>
  <c r="I37" i="7"/>
  <c r="J37" i="7"/>
  <c r="K37" i="7"/>
  <c r="L37" i="7"/>
  <c r="M37" i="7"/>
  <c r="N37" i="7"/>
  <c r="O37" i="7"/>
  <c r="P37" i="7"/>
  <c r="E39" i="9"/>
  <c r="G39" i="9"/>
  <c r="H39" i="9"/>
  <c r="I39" i="9"/>
  <c r="J39" i="9"/>
  <c r="K39" i="9"/>
  <c r="L39" i="9"/>
  <c r="M39" i="9"/>
  <c r="N39" i="9"/>
  <c r="O39" i="9"/>
  <c r="P39" i="9"/>
  <c r="E38" i="10"/>
  <c r="G38" i="10"/>
  <c r="H38" i="10"/>
  <c r="I38" i="10"/>
  <c r="J38" i="10"/>
  <c r="K38" i="10"/>
  <c r="L38" i="10"/>
  <c r="M38" i="10"/>
  <c r="N38" i="10"/>
  <c r="O38" i="10"/>
  <c r="P38" i="10"/>
  <c r="P45" i="8"/>
  <c r="E29" i="7"/>
  <c r="F29" i="7"/>
  <c r="G29" i="7"/>
  <c r="H29" i="7"/>
  <c r="I29" i="7"/>
  <c r="J29" i="7"/>
  <c r="K29" i="7"/>
  <c r="L29" i="7"/>
  <c r="M29" i="7"/>
  <c r="N29" i="7"/>
  <c r="O29" i="7"/>
  <c r="P29" i="7"/>
  <c r="E26" i="5"/>
  <c r="F26" i="5"/>
  <c r="G26" i="5"/>
  <c r="H26" i="5"/>
  <c r="I26" i="5"/>
  <c r="J26" i="5"/>
  <c r="K26" i="5"/>
  <c r="L26" i="5"/>
  <c r="M26" i="5"/>
  <c r="N26" i="5"/>
  <c r="O26" i="5"/>
  <c r="P26" i="5"/>
  <c r="E23" i="6"/>
  <c r="F23" i="6"/>
  <c r="G23" i="6"/>
  <c r="H23" i="6"/>
  <c r="I23" i="6"/>
  <c r="J23" i="6"/>
  <c r="K23" i="6"/>
  <c r="L23" i="6"/>
  <c r="M23" i="6"/>
  <c r="N23" i="6"/>
  <c r="O23" i="6"/>
  <c r="P23" i="6"/>
  <c r="E16" i="7"/>
  <c r="F16" i="7"/>
  <c r="G16" i="7"/>
  <c r="H16" i="7"/>
  <c r="I16" i="7"/>
  <c r="J16" i="7"/>
  <c r="K16" i="7"/>
  <c r="L16" i="7"/>
  <c r="M16" i="7"/>
  <c r="N16" i="7"/>
  <c r="O16" i="7"/>
  <c r="P16" i="7"/>
  <c r="E19" i="9"/>
  <c r="F19" i="9"/>
  <c r="G19" i="9"/>
  <c r="H19" i="9"/>
  <c r="I19" i="9"/>
  <c r="J19" i="9"/>
  <c r="K19" i="9"/>
  <c r="L19" i="9"/>
  <c r="M19" i="9"/>
  <c r="N19" i="9"/>
  <c r="O19" i="9"/>
  <c r="P19" i="9"/>
  <c r="E19" i="10"/>
  <c r="F19" i="10"/>
  <c r="G19" i="10"/>
  <c r="H19" i="10"/>
  <c r="I19" i="10"/>
  <c r="J19" i="10"/>
  <c r="K19" i="10"/>
  <c r="L19" i="10"/>
  <c r="M19" i="10"/>
  <c r="N19" i="10"/>
  <c r="O19" i="10"/>
  <c r="P19" i="10"/>
  <c r="P24" i="8"/>
  <c r="E27" i="5"/>
  <c r="F27" i="5"/>
  <c r="G27" i="5"/>
  <c r="H27" i="5"/>
  <c r="I27" i="5"/>
  <c r="J27" i="5"/>
  <c r="K27" i="5"/>
  <c r="L27" i="5"/>
  <c r="M27" i="5"/>
  <c r="N27" i="5"/>
  <c r="O27" i="5"/>
  <c r="P27" i="5"/>
  <c r="E24" i="6"/>
  <c r="F24" i="6"/>
  <c r="G24" i="6"/>
  <c r="H24" i="6"/>
  <c r="I24" i="6"/>
  <c r="J24" i="6"/>
  <c r="K24" i="6"/>
  <c r="L24" i="6"/>
  <c r="M24" i="6"/>
  <c r="N24" i="6"/>
  <c r="O24" i="6"/>
  <c r="P24" i="6"/>
  <c r="E17" i="7"/>
  <c r="F17" i="7"/>
  <c r="G17" i="7"/>
  <c r="H17" i="7"/>
  <c r="I17" i="7"/>
  <c r="J17" i="7"/>
  <c r="K17" i="7"/>
  <c r="L17" i="7"/>
  <c r="M17" i="7"/>
  <c r="N17" i="7"/>
  <c r="O17" i="7"/>
  <c r="P17" i="7"/>
  <c r="E20" i="9"/>
  <c r="F20" i="9"/>
  <c r="G20" i="9"/>
  <c r="H20" i="9"/>
  <c r="I20" i="9"/>
  <c r="J20" i="9"/>
  <c r="K20" i="9"/>
  <c r="L20" i="9"/>
  <c r="M20" i="9"/>
  <c r="N20" i="9"/>
  <c r="O20" i="9"/>
  <c r="P20" i="9"/>
  <c r="E20" i="10"/>
  <c r="F20" i="10"/>
  <c r="G20" i="10"/>
  <c r="H20" i="10"/>
  <c r="I20" i="10"/>
  <c r="J20" i="10"/>
  <c r="K20" i="10"/>
  <c r="L20" i="10"/>
  <c r="M20" i="10"/>
  <c r="N20" i="10"/>
  <c r="O20" i="10"/>
  <c r="P20" i="10"/>
  <c r="P25" i="8"/>
  <c r="E44" i="5"/>
  <c r="F44" i="5"/>
  <c r="G44" i="5"/>
  <c r="H44" i="5"/>
  <c r="I44" i="5"/>
  <c r="J44" i="5"/>
  <c r="K44" i="5"/>
  <c r="L44" i="5"/>
  <c r="M44" i="5"/>
  <c r="N44" i="5"/>
  <c r="O44" i="5"/>
  <c r="P44" i="5"/>
  <c r="E36" i="6"/>
  <c r="F36" i="6"/>
  <c r="G36" i="6"/>
  <c r="H36" i="6"/>
  <c r="I36" i="6"/>
  <c r="J36" i="6"/>
  <c r="K36" i="6"/>
  <c r="L36" i="6"/>
  <c r="M36" i="6"/>
  <c r="N36" i="6"/>
  <c r="O36" i="6"/>
  <c r="P36" i="6"/>
  <c r="E34" i="7"/>
  <c r="F34" i="7"/>
  <c r="G34" i="7"/>
  <c r="H34" i="7"/>
  <c r="I34" i="7"/>
  <c r="J34" i="7"/>
  <c r="K34" i="7"/>
  <c r="L34" i="7"/>
  <c r="M34" i="7"/>
  <c r="N34" i="7"/>
  <c r="O34" i="7"/>
  <c r="P34" i="7"/>
  <c r="E27" i="10"/>
  <c r="F27" i="10"/>
  <c r="G27" i="10"/>
  <c r="H27" i="10"/>
  <c r="I27" i="10"/>
  <c r="J27" i="10"/>
  <c r="K27" i="10"/>
  <c r="L27" i="10"/>
  <c r="M27" i="10"/>
  <c r="N27" i="10"/>
  <c r="O27" i="10"/>
  <c r="P27" i="10"/>
  <c r="E32" i="8"/>
  <c r="F32" i="8"/>
  <c r="G32" i="8"/>
  <c r="H32" i="8"/>
  <c r="I32" i="8"/>
  <c r="J32" i="8"/>
  <c r="K32" i="8"/>
  <c r="L32" i="8"/>
  <c r="M32" i="8"/>
  <c r="N32" i="8"/>
  <c r="O32" i="8"/>
  <c r="P32" i="8"/>
  <c r="E24" i="1"/>
  <c r="F24" i="1"/>
  <c r="G24" i="1"/>
  <c r="H24" i="1"/>
  <c r="I24" i="1"/>
  <c r="J24" i="1"/>
  <c r="K24" i="1"/>
  <c r="L24" i="1"/>
  <c r="M24" i="1"/>
  <c r="N24" i="1"/>
  <c r="O24" i="1"/>
  <c r="E45" i="5"/>
  <c r="F45" i="5"/>
  <c r="G45" i="5"/>
  <c r="H45" i="5"/>
  <c r="I45" i="5"/>
  <c r="J45" i="5"/>
  <c r="K45" i="5"/>
  <c r="L45" i="5"/>
  <c r="M45" i="5"/>
  <c r="N45" i="5"/>
  <c r="O45" i="5"/>
  <c r="P45" i="5"/>
  <c r="E37" i="6"/>
  <c r="F37" i="6"/>
  <c r="G37" i="6"/>
  <c r="H37" i="6"/>
  <c r="I37" i="6"/>
  <c r="J37" i="6"/>
  <c r="K37" i="6"/>
  <c r="L37" i="6"/>
  <c r="M37" i="6"/>
  <c r="N37" i="6"/>
  <c r="O37" i="6"/>
  <c r="P37" i="6"/>
  <c r="E35" i="7"/>
  <c r="F35" i="7"/>
  <c r="G35" i="7"/>
  <c r="H35" i="7"/>
  <c r="I35" i="7"/>
  <c r="J35" i="7"/>
  <c r="K35" i="7"/>
  <c r="L35" i="7"/>
  <c r="M35" i="7"/>
  <c r="N35" i="7"/>
  <c r="O35" i="7"/>
  <c r="P35" i="7"/>
  <c r="E27" i="9"/>
  <c r="F27" i="9"/>
  <c r="G27" i="9"/>
  <c r="H27" i="9"/>
  <c r="I27" i="9"/>
  <c r="J27" i="9"/>
  <c r="K27" i="9"/>
  <c r="L27" i="9"/>
  <c r="M27" i="9"/>
  <c r="N27" i="9"/>
  <c r="O27" i="9"/>
  <c r="P27" i="9"/>
  <c r="E28" i="10"/>
  <c r="F28" i="10"/>
  <c r="G28" i="10"/>
  <c r="H28" i="10"/>
  <c r="I28" i="10"/>
  <c r="J28" i="10"/>
  <c r="K28" i="10"/>
  <c r="L28" i="10"/>
  <c r="M28" i="10"/>
  <c r="N28" i="10"/>
  <c r="O28" i="10"/>
  <c r="P28" i="10"/>
  <c r="E33" i="8"/>
  <c r="F33" i="8"/>
  <c r="G33" i="8"/>
  <c r="H33" i="8"/>
  <c r="I33" i="8"/>
  <c r="J33" i="8"/>
  <c r="K33" i="8"/>
  <c r="L33" i="8"/>
  <c r="M33" i="8"/>
  <c r="N33" i="8"/>
  <c r="O33" i="8"/>
  <c r="P33" i="8"/>
  <c r="E63" i="1"/>
  <c r="F63" i="1"/>
  <c r="G63" i="1"/>
  <c r="H63" i="1"/>
  <c r="I63" i="1"/>
  <c r="J63" i="1"/>
  <c r="K63" i="1"/>
  <c r="L63" i="1"/>
  <c r="M63" i="1"/>
  <c r="N63" i="1"/>
  <c r="O63" i="1"/>
  <c r="E41" i="6"/>
  <c r="F41" i="6"/>
  <c r="G41" i="6"/>
  <c r="H41" i="6"/>
  <c r="I41" i="6"/>
  <c r="J41" i="6"/>
  <c r="K41" i="6"/>
  <c r="L41" i="6"/>
  <c r="M41" i="6"/>
  <c r="N41" i="6"/>
  <c r="O41" i="6"/>
  <c r="P41" i="6"/>
  <c r="E41" i="7"/>
  <c r="F41" i="7"/>
  <c r="G41" i="7"/>
  <c r="H41" i="7"/>
  <c r="I41" i="7"/>
  <c r="J41" i="7"/>
  <c r="K41" i="7"/>
  <c r="L41" i="7"/>
  <c r="M41" i="7"/>
  <c r="N41" i="7"/>
  <c r="O41" i="7"/>
  <c r="P41" i="7"/>
  <c r="E23" i="9"/>
  <c r="F23" i="9"/>
  <c r="G23" i="9"/>
  <c r="H23" i="9"/>
  <c r="I23" i="9"/>
  <c r="J23" i="9"/>
  <c r="K23" i="9"/>
  <c r="L23" i="9"/>
  <c r="M23" i="9"/>
  <c r="N23" i="9"/>
  <c r="O23" i="9"/>
  <c r="P23" i="9"/>
  <c r="E23" i="10"/>
  <c r="F23" i="10"/>
  <c r="G23" i="10"/>
  <c r="H23" i="10"/>
  <c r="I23" i="10"/>
  <c r="J23" i="10"/>
  <c r="K23" i="10"/>
  <c r="L23" i="10"/>
  <c r="M23" i="10"/>
  <c r="N23" i="10"/>
  <c r="O23" i="10"/>
  <c r="P23" i="10"/>
  <c r="P28" i="8"/>
  <c r="E42" i="6"/>
  <c r="F42" i="6"/>
  <c r="G42" i="6"/>
  <c r="H42" i="6"/>
  <c r="I42" i="6"/>
  <c r="J42" i="6"/>
  <c r="K42" i="6"/>
  <c r="L42" i="6"/>
  <c r="M42" i="6"/>
  <c r="N42" i="6"/>
  <c r="O42" i="6"/>
  <c r="P42" i="6"/>
  <c r="E42" i="7"/>
  <c r="F42" i="7"/>
  <c r="G42" i="7"/>
  <c r="H42" i="7"/>
  <c r="I42" i="7"/>
  <c r="J42" i="7"/>
  <c r="K42" i="7"/>
  <c r="L42" i="7"/>
  <c r="M42" i="7"/>
  <c r="N42" i="7"/>
  <c r="O42" i="7"/>
  <c r="P42" i="7"/>
  <c r="E24" i="9"/>
  <c r="F24" i="9"/>
  <c r="G24" i="9"/>
  <c r="H24" i="9"/>
  <c r="I24" i="9"/>
  <c r="J24" i="9"/>
  <c r="K24" i="9"/>
  <c r="L24" i="9"/>
  <c r="M24" i="9"/>
  <c r="N24" i="9"/>
  <c r="O24" i="9"/>
  <c r="P24" i="9"/>
  <c r="E24" i="10"/>
  <c r="F24" i="10"/>
  <c r="G24" i="10"/>
  <c r="H24" i="10"/>
  <c r="I24" i="10"/>
  <c r="J24" i="10"/>
  <c r="K24" i="10"/>
  <c r="L24" i="10"/>
  <c r="M24" i="10"/>
  <c r="N24" i="10"/>
  <c r="O24" i="10"/>
  <c r="P24" i="10"/>
  <c r="P29" i="8"/>
  <c r="E43" i="6"/>
  <c r="F43" i="6"/>
  <c r="G43" i="6"/>
  <c r="H43" i="6"/>
  <c r="I43" i="6"/>
  <c r="J43" i="6"/>
  <c r="K43" i="6"/>
  <c r="L43" i="6"/>
  <c r="M43" i="6"/>
  <c r="N43" i="6"/>
  <c r="O43" i="6"/>
  <c r="P43" i="6"/>
  <c r="E43" i="7"/>
  <c r="F43" i="7"/>
  <c r="G43" i="7"/>
  <c r="H43" i="7"/>
  <c r="I43" i="7"/>
  <c r="J43" i="7"/>
  <c r="K43" i="7"/>
  <c r="L43" i="7"/>
  <c r="M43" i="7"/>
  <c r="N43" i="7"/>
  <c r="O43" i="7"/>
  <c r="P43" i="7"/>
  <c r="E25" i="9"/>
  <c r="F25" i="9"/>
  <c r="G25" i="9"/>
  <c r="H25" i="9"/>
  <c r="I25" i="9"/>
  <c r="J25" i="9"/>
  <c r="K25" i="9"/>
  <c r="L25" i="9"/>
  <c r="M25" i="9"/>
  <c r="N25" i="9"/>
  <c r="O25" i="9"/>
  <c r="P25" i="9"/>
  <c r="E25" i="10"/>
  <c r="F25" i="10"/>
  <c r="G25" i="10"/>
  <c r="H25" i="10"/>
  <c r="I25" i="10"/>
  <c r="J25" i="10"/>
  <c r="K25" i="10"/>
  <c r="L25" i="10"/>
  <c r="M25" i="10"/>
  <c r="N25" i="10"/>
  <c r="O25" i="10"/>
  <c r="P25" i="10"/>
  <c r="P30" i="8"/>
  <c r="E15" i="7"/>
  <c r="G15" i="7"/>
  <c r="H15" i="7"/>
  <c r="I15" i="7"/>
  <c r="J15" i="7"/>
  <c r="K15" i="7"/>
  <c r="L15" i="7"/>
  <c r="M15" i="7"/>
  <c r="N15" i="7"/>
  <c r="O15" i="7"/>
  <c r="P15" i="7"/>
  <c r="E33" i="1"/>
  <c r="F33" i="1"/>
  <c r="G33" i="1"/>
  <c r="H33" i="1"/>
  <c r="I33" i="1"/>
  <c r="J33" i="1"/>
  <c r="K33" i="1"/>
  <c r="L33" i="1"/>
  <c r="M33" i="1"/>
  <c r="N33" i="1"/>
  <c r="O33" i="1"/>
  <c r="E34" i="1"/>
  <c r="F34" i="1"/>
  <c r="G34" i="1"/>
  <c r="H34" i="1"/>
  <c r="I34" i="1"/>
  <c r="J34" i="1"/>
  <c r="K34" i="1"/>
  <c r="L34" i="1"/>
  <c r="M34" i="1"/>
  <c r="N34" i="1"/>
  <c r="O34" i="1"/>
  <c r="E35" i="1"/>
  <c r="F35" i="1"/>
  <c r="G35" i="1"/>
  <c r="H35" i="1"/>
  <c r="I35" i="1"/>
  <c r="J35" i="1"/>
  <c r="K35" i="1"/>
  <c r="L35" i="1"/>
  <c r="M35" i="1"/>
  <c r="N35" i="1"/>
  <c r="O35" i="1"/>
  <c r="E36" i="1"/>
  <c r="F36" i="1"/>
  <c r="G36" i="1"/>
  <c r="H36" i="1"/>
  <c r="I36" i="1"/>
  <c r="J36" i="1"/>
  <c r="K36" i="1"/>
  <c r="L36" i="1"/>
  <c r="M36" i="1"/>
  <c r="N36" i="1"/>
  <c r="O36" i="1"/>
  <c r="E37" i="1"/>
  <c r="F37" i="1"/>
  <c r="G37" i="1"/>
  <c r="H37" i="1"/>
  <c r="I37" i="1"/>
  <c r="J37" i="1"/>
  <c r="K37" i="1"/>
  <c r="L37" i="1"/>
  <c r="M37" i="1"/>
  <c r="N37" i="1"/>
  <c r="O37" i="1"/>
  <c r="E38" i="1"/>
  <c r="F38" i="1"/>
  <c r="G38" i="1"/>
  <c r="H38" i="1"/>
  <c r="I38" i="1"/>
  <c r="J38" i="1"/>
  <c r="K38" i="1"/>
  <c r="L38" i="1"/>
  <c r="M38" i="1"/>
  <c r="N38" i="1"/>
  <c r="O38" i="1"/>
  <c r="E64" i="1"/>
  <c r="F64" i="1"/>
  <c r="G64" i="1"/>
  <c r="H64" i="1"/>
  <c r="I64" i="1"/>
  <c r="J64" i="1"/>
  <c r="K64" i="1"/>
  <c r="L64" i="1"/>
  <c r="M64" i="1"/>
  <c r="N64" i="1"/>
  <c r="O64" i="1"/>
  <c r="E39" i="1"/>
  <c r="F39" i="1"/>
  <c r="G39" i="1"/>
  <c r="H39" i="1"/>
  <c r="I39" i="1"/>
  <c r="J39" i="1"/>
  <c r="K39" i="1"/>
  <c r="L39" i="1"/>
  <c r="M39" i="1"/>
  <c r="N39" i="1"/>
  <c r="O39" i="1"/>
  <c r="Q52" i="1" l="1"/>
  <c r="J10" i="8"/>
  <c r="J10" i="9"/>
  <c r="J11" i="7"/>
  <c r="J11" i="6"/>
  <c r="K7" i="8"/>
  <c r="J10" i="10"/>
  <c r="J7" i="8"/>
  <c r="J7" i="10"/>
  <c r="J7" i="9"/>
  <c r="J8" i="6"/>
  <c r="K8" i="6"/>
  <c r="K7" i="10"/>
  <c r="K7" i="9"/>
  <c r="J8" i="7"/>
  <c r="H7" i="8"/>
  <c r="H7" i="10"/>
  <c r="H7" i="9"/>
  <c r="P11" i="7"/>
  <c r="H8" i="6"/>
  <c r="H11" i="7"/>
  <c r="H12" i="5"/>
  <c r="G11" i="7"/>
  <c r="G11" i="6"/>
  <c r="AY395" i="2"/>
  <c r="P47" i="8" s="1"/>
  <c r="P7" i="8"/>
  <c r="P7" i="10"/>
  <c r="P7" i="9"/>
  <c r="P8" i="6"/>
  <c r="O7" i="8"/>
  <c r="O7" i="10"/>
  <c r="O7" i="9"/>
  <c r="L7" i="8"/>
  <c r="L7" i="10"/>
  <c r="L7" i="9"/>
  <c r="L8" i="7"/>
  <c r="L8" i="6"/>
  <c r="L8" i="5"/>
  <c r="O11" i="7"/>
  <c r="G8" i="7"/>
  <c r="O11" i="6"/>
  <c r="G8" i="6"/>
  <c r="M10" i="8"/>
  <c r="M10" i="10"/>
  <c r="M10" i="9"/>
  <c r="M11" i="7"/>
  <c r="M11" i="6"/>
  <c r="M10" i="1"/>
  <c r="G7" i="9"/>
  <c r="L10" i="8"/>
  <c r="L10" i="10"/>
  <c r="K10" i="8"/>
  <c r="K10" i="10"/>
  <c r="K10" i="9"/>
  <c r="AN396" i="2"/>
  <c r="E48" i="8" s="1"/>
  <c r="G7" i="8"/>
  <c r="O10" i="10"/>
  <c r="L10" i="9"/>
  <c r="L11" i="7"/>
  <c r="G7" i="10"/>
  <c r="I10" i="8"/>
  <c r="I10" i="10"/>
  <c r="I10" i="9"/>
  <c r="I11" i="7"/>
  <c r="I11" i="6"/>
  <c r="M7" i="10"/>
  <c r="G10" i="10"/>
  <c r="O8" i="7"/>
  <c r="O8" i="6"/>
  <c r="O7" i="1"/>
  <c r="N8" i="7"/>
  <c r="I7" i="8"/>
  <c r="I7" i="10"/>
  <c r="I7" i="9"/>
  <c r="I8" i="7"/>
  <c r="I8" i="6"/>
  <c r="G7" i="1"/>
  <c r="N10" i="8"/>
  <c r="N10" i="10"/>
  <c r="N10" i="9"/>
  <c r="N11" i="7"/>
  <c r="N11" i="6"/>
  <c r="F7" i="1"/>
  <c r="M8" i="7"/>
  <c r="AV396" i="2"/>
  <c r="M48" i="8" s="1"/>
  <c r="AU396" i="2"/>
  <c r="L48" i="8" s="1"/>
  <c r="AU398" i="2"/>
  <c r="L50" i="8" s="1"/>
  <c r="AP397" i="2"/>
  <c r="G49" i="8" s="1"/>
  <c r="AR396" i="2"/>
  <c r="I48" i="8" s="1"/>
  <c r="AT398" i="2"/>
  <c r="K50" i="8" s="1"/>
  <c r="AO397" i="2"/>
  <c r="F49" i="8" s="1"/>
  <c r="O10" i="1"/>
  <c r="G10" i="1"/>
  <c r="AS398" i="2"/>
  <c r="J50" i="8" s="1"/>
  <c r="AX397" i="2"/>
  <c r="O49" i="8" s="1"/>
  <c r="AT396" i="2"/>
  <c r="K48" i="8" s="1"/>
  <c r="AW397" i="2"/>
  <c r="N49" i="8" s="1"/>
  <c r="AS396" i="2"/>
  <c r="J48" i="8" s="1"/>
  <c r="AT397" i="2"/>
  <c r="K49" i="8" s="1"/>
  <c r="AP396" i="2"/>
  <c r="G48" i="8" s="1"/>
  <c r="AX396" i="2"/>
  <c r="O48" i="8" s="1"/>
  <c r="L304" i="11"/>
  <c r="O303" i="11"/>
  <c r="G303" i="11"/>
  <c r="H299" i="11"/>
  <c r="F297" i="11"/>
  <c r="I296" i="11"/>
  <c r="G294" i="11"/>
  <c r="H291" i="11"/>
  <c r="K290" i="11"/>
  <c r="I288" i="11"/>
  <c r="L287" i="11"/>
  <c r="J318" i="11"/>
  <c r="K304" i="11"/>
  <c r="N303" i="11"/>
  <c r="F303" i="11"/>
  <c r="AQ396" i="2"/>
  <c r="H48" i="8" s="1"/>
  <c r="AW396" i="2"/>
  <c r="N48" i="8" s="1"/>
  <c r="AO396" i="2"/>
  <c r="F48" i="8" s="1"/>
  <c r="AO398" i="2"/>
  <c r="F50" i="8" s="1"/>
  <c r="AY398" i="2"/>
  <c r="P50" i="8" s="1"/>
  <c r="AY397" i="2"/>
  <c r="P49" i="8" s="1"/>
  <c r="AX398" i="2"/>
  <c r="O50" i="8" s="1"/>
  <c r="AW398" i="2"/>
  <c r="N50" i="8" s="1"/>
  <c r="Q23" i="1"/>
  <c r="AS397" i="2"/>
  <c r="J49" i="8" s="1"/>
  <c r="AQ397" i="2"/>
  <c r="H49" i="8" s="1"/>
  <c r="AP398" i="2"/>
  <c r="G50" i="8" s="1"/>
  <c r="AN397" i="2"/>
  <c r="E49" i="8" s="1"/>
  <c r="AV397" i="2"/>
  <c r="M49" i="8" s="1"/>
  <c r="AR398" i="2"/>
  <c r="I50" i="8" s="1"/>
  <c r="AR397" i="2"/>
  <c r="I49" i="8" s="1"/>
  <c r="AN398" i="2"/>
  <c r="E50" i="8" s="1"/>
  <c r="I7" i="1"/>
  <c r="AV398" i="2"/>
  <c r="M50" i="8" s="1"/>
  <c r="AQ398" i="2"/>
  <c r="H50" i="8" s="1"/>
  <c r="AY396" i="2"/>
  <c r="P48" i="8" s="1"/>
  <c r="AU397" i="2"/>
  <c r="L49" i="8" s="1"/>
  <c r="I322" i="11"/>
  <c r="L321" i="11"/>
  <c r="O320" i="11"/>
  <c r="M318" i="11"/>
  <c r="E318" i="11"/>
  <c r="K316" i="11"/>
  <c r="L27" i="8"/>
  <c r="L26" i="8"/>
  <c r="G312" i="11"/>
  <c r="I304" i="11"/>
  <c r="I314" i="11"/>
  <c r="H309" i="11"/>
  <c r="M312" i="11"/>
  <c r="E312" i="11"/>
  <c r="K310" i="11"/>
  <c r="N309" i="11"/>
  <c r="F309" i="11"/>
  <c r="I308" i="11"/>
  <c r="L307" i="11"/>
  <c r="L303" i="11"/>
  <c r="K308" i="11"/>
  <c r="J311" i="11"/>
  <c r="O318" i="11"/>
  <c r="G318" i="11"/>
  <c r="L318" i="11"/>
  <c r="O308" i="11"/>
  <c r="K301" i="11"/>
  <c r="N300" i="11"/>
  <c r="F300" i="11"/>
  <c r="I299" i="11"/>
  <c r="L298" i="11"/>
  <c r="O297" i="11"/>
  <c r="G297" i="11"/>
  <c r="J296" i="11"/>
  <c r="M295" i="11"/>
  <c r="E295" i="11"/>
  <c r="H294" i="11"/>
  <c r="K293" i="11"/>
  <c r="N292" i="11"/>
  <c r="F292" i="11"/>
  <c r="I291" i="11"/>
  <c r="L290" i="11"/>
  <c r="O289" i="11"/>
  <c r="G289" i="11"/>
  <c r="J288" i="11"/>
  <c r="M287" i="11"/>
  <c r="E287" i="11"/>
  <c r="H286" i="11"/>
  <c r="H12" i="1"/>
  <c r="G288" i="11"/>
  <c r="H22" i="8"/>
  <c r="N12" i="1"/>
  <c r="F12" i="1"/>
  <c r="N44" i="1"/>
  <c r="N11" i="1"/>
  <c r="L22" i="9"/>
  <c r="L21" i="9"/>
  <c r="L40" i="7"/>
  <c r="J304" i="11"/>
  <c r="M303" i="11"/>
  <c r="E303" i="11"/>
  <c r="H301" i="11"/>
  <c r="N299" i="11"/>
  <c r="I298" i="11"/>
  <c r="O296" i="11"/>
  <c r="J295" i="11"/>
  <c r="E294" i="11"/>
  <c r="H293" i="11"/>
  <c r="K292" i="11"/>
  <c r="F291" i="11"/>
  <c r="I290" i="11"/>
  <c r="L289" i="11"/>
  <c r="J287" i="11"/>
  <c r="M286" i="11"/>
  <c r="G15" i="1"/>
  <c r="H304" i="11"/>
  <c r="K303" i="11"/>
  <c r="L38" i="8"/>
  <c r="L35" i="8" s="1"/>
  <c r="L32" i="10"/>
  <c r="L22" i="10"/>
  <c r="L21" i="10"/>
  <c r="L32" i="9"/>
  <c r="L29" i="9" s="1"/>
  <c r="L39" i="7"/>
  <c r="N14" i="5"/>
  <c r="F44" i="1"/>
  <c r="F11" i="1"/>
  <c r="M314" i="11"/>
  <c r="N311" i="11"/>
  <c r="E300" i="11"/>
  <c r="J293" i="11"/>
  <c r="G296" i="11"/>
  <c r="O312" i="11"/>
  <c r="M294" i="11"/>
  <c r="E286" i="11"/>
  <c r="M310" i="11"/>
  <c r="F299" i="11"/>
  <c r="F307" i="11"/>
  <c r="L297" i="11"/>
  <c r="N314" i="11"/>
  <c r="F314" i="11"/>
  <c r="I313" i="11"/>
  <c r="L312" i="11"/>
  <c r="O311" i="11"/>
  <c r="G311" i="11"/>
  <c r="J310" i="11"/>
  <c r="M309" i="11"/>
  <c r="E309" i="11"/>
  <c r="H308" i="11"/>
  <c r="K307" i="11"/>
  <c r="J32" i="10"/>
  <c r="J22" i="10"/>
  <c r="J21" i="10"/>
  <c r="J32" i="9"/>
  <c r="J29" i="9" s="1"/>
  <c r="J22" i="9"/>
  <c r="J21" i="9"/>
  <c r="J40" i="7"/>
  <c r="J39" i="7"/>
  <c r="J27" i="6"/>
  <c r="J26" i="6" s="1"/>
  <c r="J40" i="6"/>
  <c r="J39" i="6"/>
  <c r="J36" i="5"/>
  <c r="J35" i="5" s="1"/>
  <c r="N12" i="5"/>
  <c r="J8" i="5"/>
  <c r="L44" i="1"/>
  <c r="L12" i="1"/>
  <c r="L11" i="1"/>
  <c r="E310" i="11"/>
  <c r="K300" i="11"/>
  <c r="I38" i="8"/>
  <c r="I35" i="8" s="1"/>
  <c r="I27" i="8"/>
  <c r="I26" i="8"/>
  <c r="I8" i="5"/>
  <c r="L313" i="11"/>
  <c r="N307" i="11"/>
  <c r="O288" i="11"/>
  <c r="M322" i="11"/>
  <c r="E322" i="11"/>
  <c r="H321" i="11"/>
  <c r="K320" i="11"/>
  <c r="N319" i="11"/>
  <c r="F319" i="11"/>
  <c r="I318" i="11"/>
  <c r="L317" i="11"/>
  <c r="O316" i="11"/>
  <c r="G316" i="11"/>
  <c r="L12" i="5"/>
  <c r="P8" i="5"/>
  <c r="H8" i="5"/>
  <c r="J44" i="1"/>
  <c r="J12" i="1"/>
  <c r="J11" i="1"/>
  <c r="N291" i="11"/>
  <c r="H318" i="11"/>
  <c r="I44" i="1"/>
  <c r="I12" i="1"/>
  <c r="I11" i="1"/>
  <c r="O322" i="11"/>
  <c r="G322" i="11"/>
  <c r="J321" i="11"/>
  <c r="M320" i="11"/>
  <c r="E320" i="11"/>
  <c r="H319" i="11"/>
  <c r="K318" i="11"/>
  <c r="N317" i="11"/>
  <c r="F317" i="11"/>
  <c r="I316" i="11"/>
  <c r="K322" i="11"/>
  <c r="N321" i="11"/>
  <c r="O301" i="11"/>
  <c r="G301" i="11"/>
  <c r="J300" i="11"/>
  <c r="M299" i="11"/>
  <c r="E299" i="11"/>
  <c r="H298" i="11"/>
  <c r="K297" i="11"/>
  <c r="N296" i="11"/>
  <c r="F296" i="11"/>
  <c r="I295" i="11"/>
  <c r="L294" i="11"/>
  <c r="O293" i="11"/>
  <c r="G293" i="11"/>
  <c r="J292" i="11"/>
  <c r="M291" i="11"/>
  <c r="E291" i="11"/>
  <c r="H290" i="11"/>
  <c r="K289" i="11"/>
  <c r="N288" i="11"/>
  <c r="F288" i="11"/>
  <c r="I287" i="11"/>
  <c r="L286" i="11"/>
  <c r="O304" i="11"/>
  <c r="G304" i="11"/>
  <c r="J303" i="11"/>
  <c r="K299" i="11"/>
  <c r="N298" i="11"/>
  <c r="F298" i="11"/>
  <c r="L299" i="11"/>
  <c r="O298" i="11"/>
  <c r="G298" i="11"/>
  <c r="J297" i="11"/>
  <c r="M296" i="11"/>
  <c r="E296" i="11"/>
  <c r="H295" i="11"/>
  <c r="K294" i="11"/>
  <c r="N293" i="11"/>
  <c r="F293" i="11"/>
  <c r="I292" i="11"/>
  <c r="L291" i="11"/>
  <c r="O290" i="11"/>
  <c r="G290" i="11"/>
  <c r="J289" i="11"/>
  <c r="M288" i="11"/>
  <c r="E288" i="11"/>
  <c r="H287" i="11"/>
  <c r="K286" i="11"/>
  <c r="G320" i="11"/>
  <c r="J319" i="11"/>
  <c r="H317" i="11"/>
  <c r="H322" i="11"/>
  <c r="K321" i="11"/>
  <c r="N320" i="11"/>
  <c r="F320" i="11"/>
  <c r="I319" i="11"/>
  <c r="O317" i="11"/>
  <c r="G317" i="11"/>
  <c r="J316" i="11"/>
  <c r="E314" i="11"/>
  <c r="H313" i="11"/>
  <c r="K312" i="11"/>
  <c r="F311" i="11"/>
  <c r="I310" i="11"/>
  <c r="L309" i="11"/>
  <c r="G308" i="11"/>
  <c r="J307" i="11"/>
  <c r="N304" i="11"/>
  <c r="F304" i="11"/>
  <c r="M22" i="8"/>
  <c r="I22" i="8"/>
  <c r="I15" i="1"/>
  <c r="E15" i="1"/>
  <c r="N322" i="11"/>
  <c r="F322" i="11"/>
  <c r="I321" i="11"/>
  <c r="L320" i="11"/>
  <c r="O319" i="11"/>
  <c r="G319" i="11"/>
  <c r="M317" i="11"/>
  <c r="E317" i="11"/>
  <c r="H316" i="11"/>
  <c r="J301" i="11"/>
  <c r="M300" i="11"/>
  <c r="K298" i="11"/>
  <c r="N297" i="11"/>
  <c r="L295" i="11"/>
  <c r="O294" i="11"/>
  <c r="M292" i="11"/>
  <c r="E292" i="11"/>
  <c r="N289" i="11"/>
  <c r="F289" i="11"/>
  <c r="O286" i="11"/>
  <c r="G286" i="11"/>
  <c r="M15" i="1"/>
  <c r="M14" i="5"/>
  <c r="M8" i="5"/>
  <c r="M44" i="1"/>
  <c r="E44" i="1"/>
  <c r="M12" i="1"/>
  <c r="E12" i="1"/>
  <c r="M11" i="1"/>
  <c r="E11" i="1"/>
  <c r="L314" i="11"/>
  <c r="O313" i="11"/>
  <c r="G313" i="11"/>
  <c r="J312" i="11"/>
  <c r="M311" i="11"/>
  <c r="E311" i="11"/>
  <c r="H310" i="11"/>
  <c r="K309" i="11"/>
  <c r="N308" i="11"/>
  <c r="F308" i="11"/>
  <c r="I307" i="11"/>
  <c r="L301" i="11"/>
  <c r="J299" i="11"/>
  <c r="M298" i="11"/>
  <c r="E298" i="11"/>
  <c r="H297" i="11"/>
  <c r="K296" i="11"/>
  <c r="N295" i="11"/>
  <c r="F295" i="11"/>
  <c r="I294" i="11"/>
  <c r="L293" i="11"/>
  <c r="O292" i="11"/>
  <c r="G292" i="11"/>
  <c r="J291" i="11"/>
  <c r="M290" i="11"/>
  <c r="E290" i="11"/>
  <c r="H289" i="11"/>
  <c r="K288" i="11"/>
  <c r="N287" i="11"/>
  <c r="F287" i="11"/>
  <c r="I286" i="11"/>
  <c r="L322" i="11"/>
  <c r="O321" i="11"/>
  <c r="G321" i="11"/>
  <c r="J320" i="11"/>
  <c r="M319" i="11"/>
  <c r="E319" i="11"/>
  <c r="K317" i="11"/>
  <c r="N316" i="11"/>
  <c r="F316" i="11"/>
  <c r="K314" i="11"/>
  <c r="N313" i="11"/>
  <c r="F313" i="11"/>
  <c r="I312" i="11"/>
  <c r="L311" i="11"/>
  <c r="O310" i="11"/>
  <c r="G310" i="11"/>
  <c r="J309" i="11"/>
  <c r="M308" i="11"/>
  <c r="E308" i="11"/>
  <c r="H307" i="11"/>
  <c r="O38" i="8"/>
  <c r="O35" i="8" s="1"/>
  <c r="G38" i="8"/>
  <c r="G35" i="8" s="1"/>
  <c r="O27" i="8"/>
  <c r="G27" i="8"/>
  <c r="O26" i="8"/>
  <c r="G26" i="8"/>
  <c r="O22" i="10"/>
  <c r="O21" i="10"/>
  <c r="K12" i="5"/>
  <c r="O8" i="5"/>
  <c r="G8" i="5"/>
  <c r="K44" i="1"/>
  <c r="K12" i="1"/>
  <c r="K11" i="1"/>
  <c r="F321" i="11"/>
  <c r="I320" i="11"/>
  <c r="L319" i="11"/>
  <c r="J317" i="11"/>
  <c r="M316" i="11"/>
  <c r="E316" i="11"/>
  <c r="J314" i="11"/>
  <c r="M313" i="11"/>
  <c r="E313" i="11"/>
  <c r="H312" i="11"/>
  <c r="K311" i="11"/>
  <c r="N310" i="11"/>
  <c r="F310" i="11"/>
  <c r="I309" i="11"/>
  <c r="L308" i="11"/>
  <c r="O307" i="11"/>
  <c r="G307" i="11"/>
  <c r="N38" i="8"/>
  <c r="N35" i="8" s="1"/>
  <c r="F38" i="8"/>
  <c r="N27" i="8"/>
  <c r="F27" i="8"/>
  <c r="N26" i="8"/>
  <c r="F26" i="8"/>
  <c r="J12" i="5"/>
  <c r="I297" i="11"/>
  <c r="L296" i="11"/>
  <c r="O295" i="11"/>
  <c r="G295" i="11"/>
  <c r="J294" i="11"/>
  <c r="M293" i="11"/>
  <c r="E293" i="11"/>
  <c r="H292" i="11"/>
  <c r="K291" i="11"/>
  <c r="N290" i="11"/>
  <c r="F290" i="11"/>
  <c r="I289" i="11"/>
  <c r="L288" i="11"/>
  <c r="O287" i="11"/>
  <c r="G287" i="11"/>
  <c r="J286" i="11"/>
  <c r="J322" i="11"/>
  <c r="M321" i="11"/>
  <c r="E321" i="11"/>
  <c r="H320" i="11"/>
  <c r="K319" i="11"/>
  <c r="N318" i="11"/>
  <c r="F318" i="11"/>
  <c r="I317" i="11"/>
  <c r="L316" i="11"/>
  <c r="I301" i="11"/>
  <c r="L300" i="11"/>
  <c r="O299" i="11"/>
  <c r="G299" i="11"/>
  <c r="J298" i="11"/>
  <c r="M297" i="11"/>
  <c r="E297" i="11"/>
  <c r="H296" i="11"/>
  <c r="K295" i="11"/>
  <c r="N294" i="11"/>
  <c r="F294" i="11"/>
  <c r="I293" i="11"/>
  <c r="L292" i="11"/>
  <c r="O291" i="11"/>
  <c r="G291" i="11"/>
  <c r="J290" i="11"/>
  <c r="M289" i="11"/>
  <c r="E289" i="11"/>
  <c r="H288" i="11"/>
  <c r="K287" i="11"/>
  <c r="N286" i="11"/>
  <c r="F286" i="11"/>
  <c r="M32" i="10"/>
  <c r="E32" i="10"/>
  <c r="M22" i="10"/>
  <c r="E22" i="10"/>
  <c r="M21" i="10"/>
  <c r="E21" i="10"/>
  <c r="M32" i="9"/>
  <c r="M29" i="9" s="1"/>
  <c r="E32" i="9"/>
  <c r="M22" i="9"/>
  <c r="E22" i="9"/>
  <c r="M21" i="9"/>
  <c r="E21" i="9"/>
  <c r="M40" i="7"/>
  <c r="E40" i="7"/>
  <c r="M39" i="7"/>
  <c r="E39" i="7"/>
  <c r="M27" i="6"/>
  <c r="M26" i="6" s="1"/>
  <c r="E27" i="6"/>
  <c r="M40" i="6"/>
  <c r="E40" i="6"/>
  <c r="M39" i="6"/>
  <c r="E39" i="6"/>
  <c r="H314" i="11"/>
  <c r="N312" i="11"/>
  <c r="F312" i="11"/>
  <c r="L310" i="11"/>
  <c r="O309" i="11"/>
  <c r="G309" i="11"/>
  <c r="J308" i="11"/>
  <c r="M307" i="11"/>
  <c r="E307" i="11"/>
  <c r="L27" i="6"/>
  <c r="L26" i="6" s="1"/>
  <c r="L40" i="6"/>
  <c r="L39" i="6"/>
  <c r="L36" i="5"/>
  <c r="L35" i="5" s="1"/>
  <c r="H44" i="1"/>
  <c r="H11" i="1"/>
  <c r="K313" i="11"/>
  <c r="I311" i="11"/>
  <c r="F15" i="1"/>
  <c r="E22" i="8"/>
  <c r="M38" i="8"/>
  <c r="M35" i="8" s="1"/>
  <c r="E38" i="8"/>
  <c r="M27" i="8"/>
  <c r="E27" i="8"/>
  <c r="M26" i="8"/>
  <c r="E26" i="8"/>
  <c r="M7" i="8"/>
  <c r="O314" i="11"/>
  <c r="G314" i="11"/>
  <c r="J313" i="11"/>
  <c r="H311" i="11"/>
  <c r="I303" i="11"/>
  <c r="P10" i="8"/>
  <c r="H10" i="8"/>
  <c r="H7" i="1"/>
  <c r="N7" i="8"/>
  <c r="M304" i="11"/>
  <c r="E304" i="11"/>
  <c r="H303" i="11"/>
  <c r="O15" i="1"/>
  <c r="P22" i="8"/>
  <c r="O22" i="8"/>
  <c r="G22" i="8"/>
  <c r="K15" i="1"/>
  <c r="K38" i="8"/>
  <c r="K35" i="8" s="1"/>
  <c r="K27" i="8"/>
  <c r="K26" i="8"/>
  <c r="O44" i="1"/>
  <c r="G44" i="1"/>
  <c r="O12" i="1"/>
  <c r="G12" i="1"/>
  <c r="O11" i="1"/>
  <c r="G11" i="1"/>
  <c r="N301" i="11"/>
  <c r="F301" i="11"/>
  <c r="I300" i="11"/>
  <c r="N15" i="1"/>
  <c r="N22" i="8"/>
  <c r="N17" i="10"/>
  <c r="F22" i="8"/>
  <c r="J15" i="1"/>
  <c r="J38" i="8"/>
  <c r="J35" i="8" s="1"/>
  <c r="J27" i="8"/>
  <c r="J26" i="8"/>
  <c r="M301" i="11"/>
  <c r="E301" i="11"/>
  <c r="H300" i="11"/>
  <c r="K22" i="8"/>
  <c r="O300" i="11"/>
  <c r="G300" i="11"/>
  <c r="L15" i="1"/>
  <c r="J22" i="8"/>
  <c r="L22" i="8"/>
  <c r="H15" i="1"/>
  <c r="P38" i="8"/>
  <c r="P35" i="8" s="1"/>
  <c r="H38" i="8"/>
  <c r="H35" i="8" s="1"/>
  <c r="P27" i="8"/>
  <c r="H27" i="8"/>
  <c r="P26" i="8"/>
  <c r="H26" i="8"/>
  <c r="O13" i="5"/>
  <c r="O14" i="5" s="1"/>
  <c r="G13" i="5"/>
  <c r="G14" i="5" s="1"/>
  <c r="K7" i="1"/>
  <c r="J7" i="1"/>
  <c r="I32" i="10"/>
  <c r="I22" i="10"/>
  <c r="I21" i="10"/>
  <c r="I32" i="9"/>
  <c r="I29" i="9" s="1"/>
  <c r="I22" i="9"/>
  <c r="I21" i="9"/>
  <c r="I40" i="7"/>
  <c r="I39" i="7"/>
  <c r="I27" i="6"/>
  <c r="I26" i="6" s="1"/>
  <c r="I40" i="6"/>
  <c r="I39" i="6"/>
  <c r="I36" i="5"/>
  <c r="I35" i="5" s="1"/>
  <c r="J14" i="5"/>
  <c r="P32" i="10"/>
  <c r="H32" i="10"/>
  <c r="P22" i="10"/>
  <c r="H22" i="10"/>
  <c r="P21" i="10"/>
  <c r="H21" i="10"/>
  <c r="P32" i="9"/>
  <c r="P29" i="9" s="1"/>
  <c r="H32" i="9"/>
  <c r="H29" i="9" s="1"/>
  <c r="P22" i="9"/>
  <c r="H22" i="9"/>
  <c r="P21" i="9"/>
  <c r="H21" i="9"/>
  <c r="P40" i="7"/>
  <c r="H40" i="7"/>
  <c r="P39" i="7"/>
  <c r="H39" i="7"/>
  <c r="P8" i="7"/>
  <c r="H8" i="7"/>
  <c r="P27" i="6"/>
  <c r="P26" i="6" s="1"/>
  <c r="H27" i="6"/>
  <c r="H26" i="6" s="1"/>
  <c r="P40" i="6"/>
  <c r="H40" i="6"/>
  <c r="P39" i="6"/>
  <c r="H39" i="6"/>
  <c r="L11" i="6"/>
  <c r="P36" i="5"/>
  <c r="P35" i="5" s="1"/>
  <c r="H36" i="5"/>
  <c r="H35" i="5" s="1"/>
  <c r="I14" i="5"/>
  <c r="M12" i="5"/>
  <c r="O32" i="10"/>
  <c r="G32" i="10"/>
  <c r="G22" i="10"/>
  <c r="G21" i="10"/>
  <c r="O32" i="9"/>
  <c r="O29" i="9" s="1"/>
  <c r="G32" i="9"/>
  <c r="G29" i="9" s="1"/>
  <c r="O22" i="9"/>
  <c r="G22" i="9"/>
  <c r="O21" i="9"/>
  <c r="G21" i="9"/>
  <c r="O40" i="7"/>
  <c r="G40" i="7"/>
  <c r="O39" i="7"/>
  <c r="G39" i="7"/>
  <c r="K11" i="7"/>
  <c r="O27" i="6"/>
  <c r="O26" i="6" s="1"/>
  <c r="G27" i="6"/>
  <c r="G26" i="6" s="1"/>
  <c r="O40" i="6"/>
  <c r="G40" i="6"/>
  <c r="O39" i="6"/>
  <c r="G39" i="6"/>
  <c r="K11" i="6"/>
  <c r="O36" i="5"/>
  <c r="O35" i="5" s="1"/>
  <c r="G36" i="5"/>
  <c r="G35" i="5" s="1"/>
  <c r="N32" i="10"/>
  <c r="F32" i="10"/>
  <c r="N22" i="10"/>
  <c r="F22" i="10"/>
  <c r="N21" i="10"/>
  <c r="F21" i="10"/>
  <c r="N7" i="10"/>
  <c r="N32" i="9"/>
  <c r="N29" i="9" s="1"/>
  <c r="F32" i="9"/>
  <c r="N22" i="9"/>
  <c r="F22" i="9"/>
  <c r="N21" i="9"/>
  <c r="F21" i="9"/>
  <c r="N7" i="9"/>
  <c r="N40" i="7"/>
  <c r="F40" i="7"/>
  <c r="N39" i="7"/>
  <c r="F39" i="7"/>
  <c r="N27" i="6"/>
  <c r="N26" i="6" s="1"/>
  <c r="F27" i="6"/>
  <c r="N40" i="6"/>
  <c r="F40" i="6"/>
  <c r="N39" i="6"/>
  <c r="F39" i="6"/>
  <c r="N8" i="6"/>
  <c r="N36" i="5"/>
  <c r="N35" i="5" s="1"/>
  <c r="F36" i="5"/>
  <c r="K13" i="5"/>
  <c r="K14" i="5" s="1"/>
  <c r="M7" i="9"/>
  <c r="M8" i="6"/>
  <c r="M36" i="5"/>
  <c r="M35" i="5" s="1"/>
  <c r="E36" i="5"/>
  <c r="I12" i="5"/>
  <c r="N8" i="5"/>
  <c r="P10" i="10"/>
  <c r="H10" i="10"/>
  <c r="P10" i="9"/>
  <c r="H10" i="9"/>
  <c r="P11" i="6"/>
  <c r="H11" i="6"/>
  <c r="O10" i="8"/>
  <c r="G10" i="8"/>
  <c r="K32" i="10"/>
  <c r="K22" i="10"/>
  <c r="K21" i="10"/>
  <c r="K32" i="9"/>
  <c r="K29" i="9" s="1"/>
  <c r="K22" i="9"/>
  <c r="K21" i="9"/>
  <c r="O10" i="9"/>
  <c r="G10" i="9"/>
  <c r="K40" i="7"/>
  <c r="K39" i="7"/>
  <c r="K8" i="7"/>
  <c r="K27" i="6"/>
  <c r="K26" i="6" s="1"/>
  <c r="K40" i="6"/>
  <c r="K39" i="6"/>
  <c r="K36" i="5"/>
  <c r="K35" i="5" s="1"/>
  <c r="O12" i="5"/>
  <c r="G12" i="5"/>
  <c r="K8" i="5"/>
  <c r="P13" i="5"/>
  <c r="P14" i="5" s="1"/>
  <c r="H13" i="5"/>
  <c r="H14" i="5" s="1"/>
  <c r="L14" i="5"/>
  <c r="P12" i="5"/>
  <c r="J10" i="1"/>
  <c r="L10" i="1"/>
  <c r="L7" i="1"/>
  <c r="N7" i="1"/>
  <c r="M7" i="1"/>
  <c r="N10" i="1"/>
  <c r="I10" i="1"/>
  <c r="F10" i="1"/>
  <c r="K10" i="1"/>
  <c r="H10" i="1"/>
  <c r="G305" i="11" l="1"/>
  <c r="K315" i="11"/>
  <c r="N305" i="11"/>
  <c r="H315" i="11"/>
  <c r="O305" i="11"/>
  <c r="F302" i="11"/>
  <c r="M305" i="11"/>
  <c r="F305" i="11"/>
  <c r="H305" i="11"/>
  <c r="K305" i="11"/>
  <c r="N302" i="11"/>
  <c r="G302" i="11"/>
  <c r="H302" i="11"/>
  <c r="K302" i="11"/>
  <c r="O315" i="11"/>
  <c r="L305" i="11"/>
  <c r="J315" i="11"/>
  <c r="E305" i="11"/>
  <c r="I305" i="11"/>
  <c r="I315" i="11"/>
  <c r="G315" i="11"/>
  <c r="L315" i="11"/>
  <c r="J305" i="11"/>
  <c r="H323" i="11"/>
  <c r="E302" i="11"/>
  <c r="I323" i="11"/>
  <c r="I302" i="11"/>
  <c r="L323" i="11"/>
  <c r="K323" i="11"/>
  <c r="G323" i="11"/>
  <c r="M315" i="11"/>
  <c r="O323" i="11"/>
  <c r="M302" i="11"/>
  <c r="O302" i="11"/>
  <c r="M323" i="11"/>
  <c r="J323" i="11"/>
  <c r="L302" i="11"/>
  <c r="J302" i="11"/>
  <c r="E323" i="11"/>
  <c r="E315" i="11"/>
  <c r="F323" i="11"/>
  <c r="F315" i="11"/>
  <c r="N323" i="11"/>
  <c r="N315" i="11"/>
  <c r="AE473" i="11"/>
  <c r="Q473" i="11"/>
  <c r="Q474" i="11" s="1"/>
  <c r="Q475" i="11" s="1"/>
  <c r="Q476" i="11" s="1"/>
  <c r="Q477" i="11" s="1"/>
  <c r="Q478" i="11" s="1"/>
  <c r="Q479" i="11" s="1"/>
  <c r="AF473" i="11"/>
  <c r="S473" i="11"/>
  <c r="T473" i="11" s="1"/>
  <c r="U473" i="11" s="1"/>
  <c r="V473" i="11" s="1"/>
  <c r="W473" i="11" s="1"/>
  <c r="X473" i="11" s="1"/>
  <c r="Y473" i="11" s="1"/>
  <c r="Z473" i="11" s="1"/>
  <c r="AA473" i="11" s="1"/>
  <c r="AB473" i="11" s="1"/>
  <c r="AC473" i="11" s="1"/>
  <c r="AD473" i="11" s="1"/>
  <c r="D39" i="1" s="1"/>
  <c r="S469" i="11"/>
  <c r="T469" i="11"/>
  <c r="U469" i="11" s="1"/>
  <c r="V469" i="11" s="1"/>
  <c r="W469" i="11" s="1"/>
  <c r="X469" i="11" s="1"/>
  <c r="Y469" i="11" s="1"/>
  <c r="Z469" i="11" s="1"/>
  <c r="AA469" i="11" s="1"/>
  <c r="AB469" i="11" s="1"/>
  <c r="AC469" i="11" s="1"/>
  <c r="AD469" i="11" s="1"/>
  <c r="S470" i="11"/>
  <c r="T470" i="11" s="1"/>
  <c r="U470" i="11" s="1"/>
  <c r="V470" i="11" s="1"/>
  <c r="W470" i="11" s="1"/>
  <c r="X470" i="11" s="1"/>
  <c r="Y470" i="11" s="1"/>
  <c r="Z470" i="11" s="1"/>
  <c r="AA470" i="11" s="1"/>
  <c r="AB470" i="11" s="1"/>
  <c r="AC470" i="11" s="1"/>
  <c r="AD470" i="11" s="1"/>
  <c r="S472" i="11"/>
  <c r="T472" i="11" s="1"/>
  <c r="U472" i="11" s="1"/>
  <c r="V472" i="11" s="1"/>
  <c r="W472" i="11" s="1"/>
  <c r="AF461" i="11"/>
  <c r="AF468" i="11"/>
  <c r="AF469" i="11"/>
  <c r="AF470" i="11"/>
  <c r="AF471" i="11"/>
  <c r="AE461" i="11"/>
  <c r="AE462" i="11" s="1"/>
  <c r="AE463" i="11" s="1"/>
  <c r="AE464" i="11" s="1"/>
  <c r="AE465" i="11" s="1"/>
  <c r="AE466" i="11" s="1"/>
  <c r="AE467" i="11" s="1"/>
  <c r="AE468" i="11" s="1"/>
  <c r="AE469" i="11" s="1"/>
  <c r="AE470" i="11" s="1"/>
  <c r="AE471" i="11" s="1"/>
  <c r="AE472" i="11" s="1"/>
  <c r="AF472" i="11"/>
  <c r="S463" i="11"/>
  <c r="T463" i="11" s="1"/>
  <c r="U463" i="11" s="1"/>
  <c r="S464" i="11"/>
  <c r="S462" i="11"/>
  <c r="Q461" i="11"/>
  <c r="Q462" i="11" s="1"/>
  <c r="Q463" i="11" s="1"/>
  <c r="Q464" i="11" s="1"/>
  <c r="Q465" i="11" s="1"/>
  <c r="Q466" i="11" s="1"/>
  <c r="Q467" i="11" s="1"/>
  <c r="Q468" i="11" s="1"/>
  <c r="Q469" i="11" s="1"/>
  <c r="Q470" i="11" s="1"/>
  <c r="Q471" i="11" s="1"/>
  <c r="Q472" i="11" s="1"/>
  <c r="B468" i="11"/>
  <c r="B469" i="11" s="1"/>
  <c r="B470" i="11" s="1"/>
  <c r="B471" i="11" s="1"/>
  <c r="B472" i="11" s="1"/>
  <c r="B473" i="11" s="1"/>
  <c r="B474" i="11" s="1"/>
  <c r="B475" i="11" s="1"/>
  <c r="B476" i="11" s="1"/>
  <c r="B477" i="11" s="1"/>
  <c r="O306" i="11" l="1"/>
  <c r="G306" i="11"/>
  <c r="K306" i="11"/>
  <c r="F306" i="11"/>
  <c r="H306" i="11"/>
  <c r="N306" i="11"/>
  <c r="E306" i="11"/>
  <c r="J306" i="11"/>
  <c r="I306" i="11"/>
  <c r="L306" i="11"/>
  <c r="M306" i="11"/>
  <c r="T462" i="11"/>
  <c r="U462" i="11" s="1"/>
  <c r="V462" i="11" s="1"/>
  <c r="W462" i="11" s="1"/>
  <c r="X462" i="11" s="1"/>
  <c r="Y462" i="11" s="1"/>
  <c r="Z462" i="11" s="1"/>
  <c r="AA462" i="11" s="1"/>
  <c r="AB462" i="11" s="1"/>
  <c r="AC462" i="11" s="1"/>
  <c r="AD462" i="11" s="1"/>
  <c r="D33" i="1" s="1"/>
  <c r="V463" i="11"/>
  <c r="W463" i="11" s="1"/>
  <c r="X463" i="11" s="1"/>
  <c r="Y463" i="11" s="1"/>
  <c r="Z463" i="11" s="1"/>
  <c r="AA463" i="11" s="1"/>
  <c r="AB463" i="11" s="1"/>
  <c r="AC463" i="11" s="1"/>
  <c r="AD463" i="11" s="1"/>
  <c r="D34" i="1" s="1"/>
  <c r="X472" i="11"/>
  <c r="Y472" i="11" s="1"/>
  <c r="Z472" i="11" s="1"/>
  <c r="AA472" i="11" s="1"/>
  <c r="AB472" i="11" s="1"/>
  <c r="AC472" i="11" s="1"/>
  <c r="AD472" i="11" s="1"/>
  <c r="D64" i="1" s="1"/>
  <c r="AF463" i="11"/>
  <c r="AF466" i="11"/>
  <c r="AF467" i="11"/>
  <c r="AF465" i="11"/>
  <c r="AF464" i="11"/>
  <c r="AF462" i="11"/>
  <c r="S466" i="11"/>
  <c r="T466" i="11" s="1"/>
  <c r="U466" i="11" s="1"/>
  <c r="V466" i="11" s="1"/>
  <c r="W466" i="11" s="1"/>
  <c r="X466" i="11" s="1"/>
  <c r="Y466" i="11" s="1"/>
  <c r="Z466" i="11" s="1"/>
  <c r="AA466" i="11" s="1"/>
  <c r="AB466" i="11" s="1"/>
  <c r="AC466" i="11" s="1"/>
  <c r="AD466" i="11" s="1"/>
  <c r="D37" i="1" s="1"/>
  <c r="S465" i="11"/>
  <c r="T465" i="11" s="1"/>
  <c r="U465" i="11" s="1"/>
  <c r="V465" i="11" s="1"/>
  <c r="W465" i="11" s="1"/>
  <c r="X465" i="11" s="1"/>
  <c r="Y465" i="11" s="1"/>
  <c r="Z465" i="11" s="1"/>
  <c r="AA465" i="11" s="1"/>
  <c r="AB465" i="11" s="1"/>
  <c r="AC465" i="11" s="1"/>
  <c r="AD465" i="11" s="1"/>
  <c r="D36" i="1" s="1"/>
  <c r="S467" i="11"/>
  <c r="T467" i="11" s="1"/>
  <c r="U467" i="11" s="1"/>
  <c r="V467" i="11" s="1"/>
  <c r="W467" i="11" s="1"/>
  <c r="X467" i="11" s="1"/>
  <c r="Y467" i="11" s="1"/>
  <c r="Z467" i="11" s="1"/>
  <c r="AA467" i="11" s="1"/>
  <c r="AB467" i="11" s="1"/>
  <c r="AC467" i="11" s="1"/>
  <c r="AD467" i="11" s="1"/>
  <c r="D38" i="1" s="1"/>
  <c r="T464" i="11"/>
  <c r="U464" i="11" s="1"/>
  <c r="V464" i="11" s="1"/>
  <c r="W464" i="11" s="1"/>
  <c r="X464" i="11" s="1"/>
  <c r="Y464" i="11" s="1"/>
  <c r="Z464" i="11" s="1"/>
  <c r="AA464" i="11" s="1"/>
  <c r="AB464" i="11" s="1"/>
  <c r="AC464" i="11" s="1"/>
  <c r="AD464" i="11" s="1"/>
  <c r="D35" i="1" s="1"/>
  <c r="Q33" i="1" l="1"/>
  <c r="R33" i="1" s="1"/>
  <c r="Q34" i="1"/>
  <c r="R34" i="1" s="1"/>
  <c r="Q35" i="1"/>
  <c r="R35" i="1" s="1"/>
  <c r="Q36" i="1"/>
  <c r="R36" i="1" s="1"/>
  <c r="Q37" i="1"/>
  <c r="R37" i="1" s="1"/>
  <c r="Q38" i="1"/>
  <c r="R38" i="1" s="1"/>
  <c r="Q39" i="1"/>
  <c r="R39" i="1" s="1"/>
  <c r="Q64" i="1"/>
  <c r="S460" i="11" l="1"/>
  <c r="T460" i="11" l="1"/>
  <c r="U460" i="11" s="1"/>
  <c r="V460" i="11" s="1"/>
  <c r="W460" i="11" s="1"/>
  <c r="X460" i="11" s="1"/>
  <c r="Y460" i="11" s="1"/>
  <c r="Z460" i="11" s="1"/>
  <c r="AA460" i="11" s="1"/>
  <c r="AB460" i="11" s="1"/>
  <c r="AC460" i="11" s="1"/>
  <c r="AD460" i="11" s="1"/>
  <c r="AF460" i="11"/>
  <c r="D15" i="7" s="1"/>
  <c r="Q15" i="7" l="1"/>
  <c r="R15" i="7" s="1"/>
  <c r="BL11" i="14"/>
  <c r="C106" i="14" l="1"/>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10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90"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AG74" i="14"/>
  <c r="AH74" i="14"/>
  <c r="AI74" i="14"/>
  <c r="AJ74" i="14"/>
  <c r="AK74" i="14"/>
  <c r="AL74" i="14"/>
  <c r="AM74" i="14"/>
  <c r="AN74" i="14"/>
  <c r="AO74" i="14"/>
  <c r="AP74" i="14"/>
  <c r="AQ74" i="14"/>
  <c r="AR74" i="14"/>
  <c r="AS74" i="14"/>
  <c r="AT74" i="14"/>
  <c r="AU74" i="14"/>
  <c r="AV74" i="14"/>
  <c r="AW74" i="14"/>
  <c r="AX74" i="14"/>
  <c r="AY74" i="14"/>
  <c r="AZ74" i="14"/>
  <c r="BA74" i="14"/>
  <c r="BB74" i="14"/>
  <c r="BC74" i="14"/>
  <c r="BD74" i="14"/>
  <c r="BE74" i="14"/>
  <c r="BF74" i="14"/>
  <c r="BG74" i="14"/>
  <c r="BH74" i="14"/>
  <c r="BI74" i="14"/>
  <c r="BJ74" i="14"/>
  <c r="BK74" i="14"/>
  <c r="BL74" i="14"/>
  <c r="BM74" i="14"/>
  <c r="BN74" i="14"/>
  <c r="BO74" i="14"/>
  <c r="BP74" i="14"/>
  <c r="BQ74" i="14"/>
  <c r="BR74" i="14"/>
  <c r="BS74" i="14"/>
  <c r="BT74" i="14"/>
  <c r="BU74" i="14"/>
  <c r="BV74" i="14"/>
  <c r="BW74" i="14"/>
  <c r="B74"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5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40"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26" i="14"/>
  <c r="BJ6" i="14"/>
  <c r="BK6" i="14"/>
  <c r="BL6" i="14"/>
  <c r="BM6" i="14"/>
  <c r="BN6" i="14"/>
  <c r="BO6" i="14"/>
  <c r="BP6" i="14"/>
  <c r="BQ6" i="14"/>
  <c r="BR6" i="14"/>
  <c r="BS6" i="14"/>
  <c r="BT6" i="14"/>
  <c r="BU6" i="14"/>
  <c r="BV6" i="14"/>
  <c r="BW6" i="14"/>
  <c r="BJ7" i="14"/>
  <c r="BK7" i="14"/>
  <c r="BL7" i="14"/>
  <c r="BM7" i="14"/>
  <c r="BN7" i="14"/>
  <c r="BO7" i="14"/>
  <c r="BP7" i="14"/>
  <c r="BQ7" i="14"/>
  <c r="BR7" i="14"/>
  <c r="BS7" i="14"/>
  <c r="BT7" i="14"/>
  <c r="BU7" i="14"/>
  <c r="BV7" i="14"/>
  <c r="BW7" i="14"/>
  <c r="BJ8" i="14"/>
  <c r="BK8" i="14"/>
  <c r="BL8" i="14"/>
  <c r="BM8" i="14"/>
  <c r="BN8" i="14"/>
  <c r="BO8" i="14"/>
  <c r="BP8" i="14"/>
  <c r="BQ8" i="14"/>
  <c r="BR8" i="14"/>
  <c r="BS8" i="14"/>
  <c r="BT8" i="14"/>
  <c r="BU8" i="14"/>
  <c r="BV8" i="14"/>
  <c r="BW8" i="14"/>
  <c r="BJ9" i="14"/>
  <c r="BK9" i="14"/>
  <c r="BL9" i="14"/>
  <c r="BM9" i="14"/>
  <c r="BN9" i="14"/>
  <c r="BO9" i="14"/>
  <c r="BP9" i="14"/>
  <c r="BQ9" i="14"/>
  <c r="BR9" i="14"/>
  <c r="BS9" i="14"/>
  <c r="BT9" i="14"/>
  <c r="BU9" i="14"/>
  <c r="BV9" i="14"/>
  <c r="BW9" i="14"/>
  <c r="BJ11" i="14"/>
  <c r="BK11" i="14"/>
  <c r="BM11" i="14"/>
  <c r="BN11" i="14"/>
  <c r="BO11" i="14"/>
  <c r="BP11" i="14"/>
  <c r="BQ11" i="14"/>
  <c r="BR11" i="14"/>
  <c r="BS11" i="14"/>
  <c r="BT11" i="14"/>
  <c r="BU11" i="14"/>
  <c r="BV11" i="14"/>
  <c r="BW11" i="14"/>
  <c r="BJ12" i="14"/>
  <c r="BK12" i="14"/>
  <c r="BL12" i="14"/>
  <c r="BM12" i="14"/>
  <c r="BN12" i="14"/>
  <c r="BO12" i="14"/>
  <c r="BP12" i="14"/>
  <c r="BQ12" i="14"/>
  <c r="BR12" i="14"/>
  <c r="BS12" i="14"/>
  <c r="BT12" i="14"/>
  <c r="BU12" i="14"/>
  <c r="BV12" i="14"/>
  <c r="BW12" i="14"/>
  <c r="BJ13" i="14"/>
  <c r="BK13" i="14"/>
  <c r="BL13" i="14"/>
  <c r="BM13" i="14"/>
  <c r="BN13" i="14"/>
  <c r="BO13" i="14"/>
  <c r="BP13" i="14"/>
  <c r="BQ13" i="14"/>
  <c r="BR13" i="14"/>
  <c r="BS13" i="14"/>
  <c r="BT13" i="14"/>
  <c r="BU13" i="14"/>
  <c r="BV13" i="14"/>
  <c r="BW13" i="14"/>
  <c r="BJ14" i="14"/>
  <c r="BK14" i="14"/>
  <c r="BL14" i="14"/>
  <c r="BM14" i="14"/>
  <c r="BN14" i="14"/>
  <c r="BO14" i="14"/>
  <c r="BP14" i="14"/>
  <c r="BQ14" i="14"/>
  <c r="BR14" i="14"/>
  <c r="BS14" i="14"/>
  <c r="BT14" i="14"/>
  <c r="BU14" i="14"/>
  <c r="BV14" i="14"/>
  <c r="BW14" i="14"/>
  <c r="BJ22" i="14"/>
  <c r="BK22" i="14"/>
  <c r="BL22" i="14"/>
  <c r="BM22" i="14"/>
  <c r="BN22" i="14"/>
  <c r="BO22" i="14"/>
  <c r="BP22" i="14"/>
  <c r="BQ22" i="14"/>
  <c r="BR22" i="14"/>
  <c r="BS22" i="14"/>
  <c r="BT22" i="14"/>
  <c r="BU22" i="14"/>
  <c r="BV22" i="14"/>
  <c r="BW22" i="14"/>
  <c r="BJ23" i="14"/>
  <c r="BK23" i="14"/>
  <c r="BL23" i="14"/>
  <c r="BM23" i="14"/>
  <c r="BN23" i="14"/>
  <c r="BO23" i="14"/>
  <c r="BP23" i="14"/>
  <c r="BQ23" i="14"/>
  <c r="BR23" i="14"/>
  <c r="BS23" i="14"/>
  <c r="BT23" i="14"/>
  <c r="BU23" i="14"/>
  <c r="BV23" i="14"/>
  <c r="BW23" i="14"/>
  <c r="BJ24" i="14"/>
  <c r="BK24" i="14"/>
  <c r="BL24" i="14"/>
  <c r="BM24" i="14"/>
  <c r="BN24" i="14"/>
  <c r="BO24" i="14"/>
  <c r="BP24" i="14"/>
  <c r="BQ24" i="14"/>
  <c r="BR24" i="14"/>
  <c r="BS24" i="14"/>
  <c r="BT24" i="14"/>
  <c r="BU24" i="14"/>
  <c r="BV24" i="14"/>
  <c r="BW24" i="14"/>
  <c r="BJ25" i="14"/>
  <c r="BK25" i="14"/>
  <c r="BL25" i="14"/>
  <c r="BM25" i="14"/>
  <c r="BN25" i="14"/>
  <c r="BO25" i="14"/>
  <c r="BP25" i="14"/>
  <c r="BQ25" i="14"/>
  <c r="BR25" i="14"/>
  <c r="BS25" i="14"/>
  <c r="BT25" i="14"/>
  <c r="BU25" i="14"/>
  <c r="BV25" i="14"/>
  <c r="BW25" i="14"/>
  <c r="BJ27" i="14"/>
  <c r="BK27" i="14"/>
  <c r="BL27" i="14"/>
  <c r="BM27" i="14"/>
  <c r="BN27" i="14"/>
  <c r="BO27" i="14"/>
  <c r="BP27" i="14"/>
  <c r="BQ27" i="14"/>
  <c r="BR27" i="14"/>
  <c r="BS27" i="14"/>
  <c r="BT27" i="14"/>
  <c r="BU27" i="14"/>
  <c r="BV27" i="14"/>
  <c r="BW27" i="14"/>
  <c r="BJ28" i="14"/>
  <c r="BK28" i="14"/>
  <c r="BL28" i="14"/>
  <c r="BM28" i="14"/>
  <c r="BN28" i="14"/>
  <c r="BO28" i="14"/>
  <c r="BP28" i="14"/>
  <c r="BQ28" i="14"/>
  <c r="BR28" i="14"/>
  <c r="BS28" i="14"/>
  <c r="BT28" i="14"/>
  <c r="BU28" i="14"/>
  <c r="BV28" i="14"/>
  <c r="BW28" i="14"/>
  <c r="BJ29" i="14"/>
  <c r="BK29" i="14"/>
  <c r="BL29" i="14"/>
  <c r="BM29" i="14"/>
  <c r="BN29" i="14"/>
  <c r="BO29" i="14"/>
  <c r="BP29" i="14"/>
  <c r="BQ29" i="14"/>
  <c r="BR29" i="14"/>
  <c r="BS29" i="14"/>
  <c r="BT29" i="14"/>
  <c r="BU29" i="14"/>
  <c r="BV29" i="14"/>
  <c r="BW29" i="14"/>
  <c r="BJ36" i="14"/>
  <c r="BK36" i="14"/>
  <c r="BL36" i="14"/>
  <c r="BM36" i="14"/>
  <c r="BN36" i="14"/>
  <c r="BO36" i="14"/>
  <c r="BP36" i="14"/>
  <c r="BQ36" i="14"/>
  <c r="BR36" i="14"/>
  <c r="BS36" i="14"/>
  <c r="BT36" i="14"/>
  <c r="BU36" i="14"/>
  <c r="BV36" i="14"/>
  <c r="BW36" i="14"/>
  <c r="BJ37" i="14"/>
  <c r="BK37" i="14"/>
  <c r="BL37" i="14"/>
  <c r="BM37" i="14"/>
  <c r="BN37" i="14"/>
  <c r="BO37" i="14"/>
  <c r="BP37" i="14"/>
  <c r="BQ37" i="14"/>
  <c r="BR37" i="14"/>
  <c r="BS37" i="14"/>
  <c r="BT37" i="14"/>
  <c r="BU37" i="14"/>
  <c r="BV37" i="14"/>
  <c r="BW37" i="14"/>
  <c r="BJ38" i="14"/>
  <c r="BK38" i="14"/>
  <c r="BL38" i="14"/>
  <c r="BM38" i="14"/>
  <c r="BN38" i="14"/>
  <c r="BO38" i="14"/>
  <c r="BP38" i="14"/>
  <c r="BQ38" i="14"/>
  <c r="BR38" i="14"/>
  <c r="BS38" i="14"/>
  <c r="BT38" i="14"/>
  <c r="BU38" i="14"/>
  <c r="BV38" i="14"/>
  <c r="BW38" i="14"/>
  <c r="BJ39" i="14"/>
  <c r="BK39" i="14"/>
  <c r="BL39" i="14"/>
  <c r="BM39" i="14"/>
  <c r="BN39" i="14"/>
  <c r="BO39" i="14"/>
  <c r="BP39" i="14"/>
  <c r="BQ39" i="14"/>
  <c r="BR39" i="14"/>
  <c r="BS39" i="14"/>
  <c r="BT39" i="14"/>
  <c r="BU39" i="14"/>
  <c r="BV39" i="14"/>
  <c r="BW39" i="14"/>
  <c r="BJ41" i="14"/>
  <c r="BK41" i="14"/>
  <c r="BL41" i="14"/>
  <c r="BM41" i="14"/>
  <c r="BN41" i="14"/>
  <c r="BO41" i="14"/>
  <c r="BP41" i="14"/>
  <c r="BQ41" i="14"/>
  <c r="BR41" i="14"/>
  <c r="BS41" i="14"/>
  <c r="BT41" i="14"/>
  <c r="BU41" i="14"/>
  <c r="BV41" i="14"/>
  <c r="BW41" i="14"/>
  <c r="BJ42" i="14"/>
  <c r="BK42" i="14"/>
  <c r="BL42" i="14"/>
  <c r="BM42" i="14"/>
  <c r="BN42" i="14"/>
  <c r="BO42" i="14"/>
  <c r="BP42" i="14"/>
  <c r="BQ42" i="14"/>
  <c r="BR42" i="14"/>
  <c r="BS42" i="14"/>
  <c r="BT42" i="14"/>
  <c r="BU42" i="14"/>
  <c r="BV42" i="14"/>
  <c r="BW42" i="14"/>
  <c r="BJ43" i="14"/>
  <c r="BK43" i="14"/>
  <c r="BL43" i="14"/>
  <c r="BM43" i="14"/>
  <c r="BN43" i="14"/>
  <c r="BO43" i="14"/>
  <c r="BP43" i="14"/>
  <c r="BQ43" i="14"/>
  <c r="BR43" i="14"/>
  <c r="BS43" i="14"/>
  <c r="BT43" i="14"/>
  <c r="BU43" i="14"/>
  <c r="BV43" i="14"/>
  <c r="BW43" i="14"/>
  <c r="BJ44" i="14"/>
  <c r="BK44" i="14"/>
  <c r="BL44" i="14"/>
  <c r="BM44" i="14"/>
  <c r="BN44" i="14"/>
  <c r="BO44" i="14"/>
  <c r="BP44" i="14"/>
  <c r="BQ44" i="14"/>
  <c r="BR44" i="14"/>
  <c r="BS44" i="14"/>
  <c r="BT44" i="14"/>
  <c r="BU44" i="14"/>
  <c r="BV44" i="14"/>
  <c r="BW44" i="14"/>
  <c r="BJ53" i="14"/>
  <c r="BK53" i="14"/>
  <c r="BL53" i="14"/>
  <c r="BM53" i="14"/>
  <c r="BN53" i="14"/>
  <c r="BO53" i="14"/>
  <c r="BP53" i="14"/>
  <c r="BQ53" i="14"/>
  <c r="BR53" i="14"/>
  <c r="BS53" i="14"/>
  <c r="BT53" i="14"/>
  <c r="BU53" i="14"/>
  <c r="BV53" i="14"/>
  <c r="BW53" i="14"/>
  <c r="BJ54" i="14"/>
  <c r="BK54" i="14"/>
  <c r="BL54" i="14"/>
  <c r="BM54" i="14"/>
  <c r="BN54" i="14"/>
  <c r="BO54" i="14"/>
  <c r="BP54" i="14"/>
  <c r="BQ54" i="14"/>
  <c r="BR54" i="14"/>
  <c r="BS54" i="14"/>
  <c r="BT54" i="14"/>
  <c r="BU54" i="14"/>
  <c r="BV54" i="14"/>
  <c r="BW54" i="14"/>
  <c r="BJ55" i="14"/>
  <c r="BK55" i="14"/>
  <c r="BL55" i="14"/>
  <c r="BM55" i="14"/>
  <c r="BN55" i="14"/>
  <c r="BO55" i="14"/>
  <c r="BP55" i="14"/>
  <c r="BQ55" i="14"/>
  <c r="BR55" i="14"/>
  <c r="BS55" i="14"/>
  <c r="BT55" i="14"/>
  <c r="BU55" i="14"/>
  <c r="BV55" i="14"/>
  <c r="BW55" i="14"/>
  <c r="BJ56" i="14"/>
  <c r="BK56" i="14"/>
  <c r="BL56" i="14"/>
  <c r="BM56" i="14"/>
  <c r="BN56" i="14"/>
  <c r="BO56" i="14"/>
  <c r="BP56" i="14"/>
  <c r="BQ56" i="14"/>
  <c r="BR56" i="14"/>
  <c r="BS56" i="14"/>
  <c r="BT56" i="14"/>
  <c r="BU56" i="14"/>
  <c r="BV56" i="14"/>
  <c r="BW56" i="14"/>
  <c r="BJ57" i="14"/>
  <c r="BK57" i="14"/>
  <c r="BL57" i="14"/>
  <c r="BM57" i="14"/>
  <c r="BN57" i="14"/>
  <c r="BO57" i="14"/>
  <c r="BP57" i="14"/>
  <c r="BQ57" i="14"/>
  <c r="BR57" i="14"/>
  <c r="BS57" i="14"/>
  <c r="BT57" i="14"/>
  <c r="BU57" i="14"/>
  <c r="BV57" i="14"/>
  <c r="BW57" i="14"/>
  <c r="BJ58" i="14"/>
  <c r="BK58" i="14"/>
  <c r="BL58" i="14"/>
  <c r="BM58" i="14"/>
  <c r="BN58" i="14"/>
  <c r="BO58" i="14"/>
  <c r="BP58" i="14"/>
  <c r="BQ58" i="14"/>
  <c r="BR58" i="14"/>
  <c r="BS58" i="14"/>
  <c r="BT58" i="14"/>
  <c r="BU58" i="14"/>
  <c r="BV58" i="14"/>
  <c r="BW58" i="14"/>
  <c r="BJ60" i="14"/>
  <c r="BK60" i="14"/>
  <c r="BL60" i="14"/>
  <c r="BM60" i="14"/>
  <c r="BN60" i="14"/>
  <c r="BO60" i="14"/>
  <c r="BP60" i="14"/>
  <c r="BQ60" i="14"/>
  <c r="BR60" i="14"/>
  <c r="BS60" i="14"/>
  <c r="BT60" i="14"/>
  <c r="BU60" i="14"/>
  <c r="BV60" i="14"/>
  <c r="BW60" i="14"/>
  <c r="BJ67" i="14"/>
  <c r="BK67" i="14"/>
  <c r="BL67" i="14"/>
  <c r="BM67" i="14"/>
  <c r="BN67" i="14"/>
  <c r="BO67" i="14"/>
  <c r="BP67" i="14"/>
  <c r="BQ67" i="14"/>
  <c r="BR67" i="14"/>
  <c r="BS67" i="14"/>
  <c r="BT67" i="14"/>
  <c r="BU67" i="14"/>
  <c r="BV67" i="14"/>
  <c r="BW67" i="14"/>
  <c r="BJ68" i="14"/>
  <c r="BK68" i="14"/>
  <c r="BL68" i="14"/>
  <c r="BM68" i="14"/>
  <c r="BN68" i="14"/>
  <c r="BO68" i="14"/>
  <c r="BP68" i="14"/>
  <c r="BQ68" i="14"/>
  <c r="BR68" i="14"/>
  <c r="BS68" i="14"/>
  <c r="BT68" i="14"/>
  <c r="BU68" i="14"/>
  <c r="BV68" i="14"/>
  <c r="BW68" i="14"/>
  <c r="BJ69" i="14"/>
  <c r="BK69" i="14"/>
  <c r="BL69" i="14"/>
  <c r="BM69" i="14"/>
  <c r="BN69" i="14"/>
  <c r="BO69" i="14"/>
  <c r="BP69" i="14"/>
  <c r="BQ69" i="14"/>
  <c r="BR69" i="14"/>
  <c r="BS69" i="14"/>
  <c r="BT69" i="14"/>
  <c r="BU69" i="14"/>
  <c r="BV69" i="14"/>
  <c r="BW69" i="14"/>
  <c r="BJ70" i="14"/>
  <c r="BK70" i="14"/>
  <c r="BL70" i="14"/>
  <c r="BM70" i="14"/>
  <c r="BN70" i="14"/>
  <c r="BO70" i="14"/>
  <c r="BP70" i="14"/>
  <c r="BQ70" i="14"/>
  <c r="BR70" i="14"/>
  <c r="BS70" i="14"/>
  <c r="BT70" i="14"/>
  <c r="BU70" i="14"/>
  <c r="BV70" i="14"/>
  <c r="BW70" i="14"/>
  <c r="BJ71" i="14"/>
  <c r="BK71" i="14"/>
  <c r="BL71" i="14"/>
  <c r="BM71" i="14"/>
  <c r="BN71" i="14"/>
  <c r="BO71" i="14"/>
  <c r="BP71" i="14"/>
  <c r="BQ71" i="14"/>
  <c r="BR71" i="14"/>
  <c r="BS71" i="14"/>
  <c r="BT71" i="14"/>
  <c r="BU71" i="14"/>
  <c r="BV71" i="14"/>
  <c r="BW71" i="14"/>
  <c r="BJ72" i="14"/>
  <c r="BK72" i="14"/>
  <c r="BL72" i="14"/>
  <c r="BM72" i="14"/>
  <c r="BN72" i="14"/>
  <c r="BO72" i="14"/>
  <c r="BP72" i="14"/>
  <c r="BQ72" i="14"/>
  <c r="BR72" i="14"/>
  <c r="BS72" i="14"/>
  <c r="BT72" i="14"/>
  <c r="BU72" i="14"/>
  <c r="BV72" i="14"/>
  <c r="BW72" i="14"/>
  <c r="BJ73" i="14"/>
  <c r="BK73" i="14"/>
  <c r="BL73" i="14"/>
  <c r="BM73" i="14"/>
  <c r="BN73" i="14"/>
  <c r="BO73" i="14"/>
  <c r="BP73" i="14"/>
  <c r="BQ73" i="14"/>
  <c r="BR73" i="14"/>
  <c r="BS73" i="14"/>
  <c r="BT73" i="14"/>
  <c r="BU73" i="14"/>
  <c r="BV73" i="14"/>
  <c r="BW73" i="14"/>
  <c r="BJ76" i="14"/>
  <c r="BK76" i="14"/>
  <c r="BL76" i="14"/>
  <c r="BM76" i="14"/>
  <c r="BN76" i="14"/>
  <c r="BO76" i="14"/>
  <c r="BP76" i="14"/>
  <c r="BQ76" i="14"/>
  <c r="BR76" i="14"/>
  <c r="BS76" i="14"/>
  <c r="BT76" i="14"/>
  <c r="BU76" i="14"/>
  <c r="BV76" i="14"/>
  <c r="BW76" i="14"/>
  <c r="BJ83" i="14"/>
  <c r="BK83" i="14"/>
  <c r="BL83" i="14"/>
  <c r="BM83" i="14"/>
  <c r="BN83" i="14"/>
  <c r="BO83" i="14"/>
  <c r="BP83" i="14"/>
  <c r="BQ83" i="14"/>
  <c r="BR83" i="14"/>
  <c r="BS83" i="14"/>
  <c r="BT83" i="14"/>
  <c r="BU83" i="14"/>
  <c r="BV83" i="14"/>
  <c r="BW83" i="14"/>
  <c r="BJ84" i="14"/>
  <c r="BK84" i="14"/>
  <c r="BL84" i="14"/>
  <c r="BM84" i="14"/>
  <c r="BN84" i="14"/>
  <c r="BO84" i="14"/>
  <c r="BP84" i="14"/>
  <c r="BQ84" i="14"/>
  <c r="BR84" i="14"/>
  <c r="BS84" i="14"/>
  <c r="BT84" i="14"/>
  <c r="BU84" i="14"/>
  <c r="BV84" i="14"/>
  <c r="BW84" i="14"/>
  <c r="BJ85" i="14"/>
  <c r="BK85" i="14"/>
  <c r="BL85" i="14"/>
  <c r="BM85" i="14"/>
  <c r="BN85" i="14"/>
  <c r="BO85" i="14"/>
  <c r="BP85" i="14"/>
  <c r="BQ85" i="14"/>
  <c r="BR85" i="14"/>
  <c r="BS85" i="14"/>
  <c r="BT85" i="14"/>
  <c r="BU85" i="14"/>
  <c r="BV85" i="14"/>
  <c r="BW85" i="14"/>
  <c r="BJ86" i="14"/>
  <c r="BK86" i="14"/>
  <c r="BL86" i="14"/>
  <c r="BM86" i="14"/>
  <c r="BN86" i="14"/>
  <c r="BO86" i="14"/>
  <c r="BP86" i="14"/>
  <c r="BQ86" i="14"/>
  <c r="BR86" i="14"/>
  <c r="BS86" i="14"/>
  <c r="BT86" i="14"/>
  <c r="BU86" i="14"/>
  <c r="BV86" i="14"/>
  <c r="BW86" i="14"/>
  <c r="BJ87" i="14"/>
  <c r="BK87" i="14"/>
  <c r="BL87" i="14"/>
  <c r="BM87" i="14"/>
  <c r="BN87" i="14"/>
  <c r="BO87" i="14"/>
  <c r="BP87" i="14"/>
  <c r="BQ87" i="14"/>
  <c r="BR87" i="14"/>
  <c r="BS87" i="14"/>
  <c r="BT87" i="14"/>
  <c r="BU87" i="14"/>
  <c r="BV87" i="14"/>
  <c r="BW87" i="14"/>
  <c r="BJ88" i="14"/>
  <c r="BK88" i="14"/>
  <c r="BL88" i="14"/>
  <c r="BM88" i="14"/>
  <c r="BN88" i="14"/>
  <c r="BO88" i="14"/>
  <c r="BP88" i="14"/>
  <c r="BQ88" i="14"/>
  <c r="BR88" i="14"/>
  <c r="BS88" i="14"/>
  <c r="BT88" i="14"/>
  <c r="BU88" i="14"/>
  <c r="BV88" i="14"/>
  <c r="BW88" i="14"/>
  <c r="BJ89" i="14"/>
  <c r="BK89" i="14"/>
  <c r="BL89" i="14"/>
  <c r="BM89" i="14"/>
  <c r="BN89" i="14"/>
  <c r="BO89" i="14"/>
  <c r="BP89" i="14"/>
  <c r="BQ89" i="14"/>
  <c r="BR89" i="14"/>
  <c r="BS89" i="14"/>
  <c r="BT89" i="14"/>
  <c r="BU89" i="14"/>
  <c r="BV89" i="14"/>
  <c r="BW89" i="14"/>
  <c r="BJ92" i="14"/>
  <c r="BK92" i="14"/>
  <c r="BL92" i="14"/>
  <c r="BM92" i="14"/>
  <c r="BN92" i="14"/>
  <c r="BO92" i="14"/>
  <c r="BP92" i="14"/>
  <c r="BQ92" i="14"/>
  <c r="BR92" i="14"/>
  <c r="BS92" i="14"/>
  <c r="BT92" i="14"/>
  <c r="BU92" i="14"/>
  <c r="BV92" i="14"/>
  <c r="BW92" i="14"/>
  <c r="BJ99" i="14"/>
  <c r="BK99" i="14"/>
  <c r="BL99" i="14"/>
  <c r="BM99" i="14"/>
  <c r="BN99" i="14"/>
  <c r="BO99" i="14"/>
  <c r="BP99" i="14"/>
  <c r="BQ99" i="14"/>
  <c r="BR99" i="14"/>
  <c r="BS99" i="14"/>
  <c r="BT99" i="14"/>
  <c r="BU99" i="14"/>
  <c r="BV99" i="14"/>
  <c r="BW99" i="14"/>
  <c r="BJ100" i="14"/>
  <c r="BK100" i="14"/>
  <c r="BL100" i="14"/>
  <c r="BM100" i="14"/>
  <c r="BN100" i="14"/>
  <c r="BO100" i="14"/>
  <c r="BP100" i="14"/>
  <c r="BQ100" i="14"/>
  <c r="BR100" i="14"/>
  <c r="BS100" i="14"/>
  <c r="BT100" i="14"/>
  <c r="BU100" i="14"/>
  <c r="BV100" i="14"/>
  <c r="BW100" i="14"/>
  <c r="BJ101" i="14"/>
  <c r="BK101" i="14"/>
  <c r="BL101" i="14"/>
  <c r="BM101" i="14"/>
  <c r="BN101" i="14"/>
  <c r="BO101" i="14"/>
  <c r="BP101" i="14"/>
  <c r="BQ101" i="14"/>
  <c r="BR101" i="14"/>
  <c r="BS101" i="14"/>
  <c r="BT101" i="14"/>
  <c r="BU101" i="14"/>
  <c r="BV101" i="14"/>
  <c r="BW101" i="14"/>
  <c r="BJ102" i="14"/>
  <c r="BK102" i="14"/>
  <c r="BL102" i="14"/>
  <c r="BM102" i="14"/>
  <c r="BN102" i="14"/>
  <c r="BO102" i="14"/>
  <c r="BP102" i="14"/>
  <c r="BQ102" i="14"/>
  <c r="BR102" i="14"/>
  <c r="BS102" i="14"/>
  <c r="BT102" i="14"/>
  <c r="BU102" i="14"/>
  <c r="BV102" i="14"/>
  <c r="BW102" i="14"/>
  <c r="BJ103" i="14"/>
  <c r="BK103" i="14"/>
  <c r="BL103" i="14"/>
  <c r="BM103" i="14"/>
  <c r="BN103" i="14"/>
  <c r="BO103" i="14"/>
  <c r="BP103" i="14"/>
  <c r="BQ103" i="14"/>
  <c r="BR103" i="14"/>
  <c r="BS103" i="14"/>
  <c r="BT103" i="14"/>
  <c r="BU103" i="14"/>
  <c r="BV103" i="14"/>
  <c r="BW103" i="14"/>
  <c r="BJ104" i="14"/>
  <c r="BK104" i="14"/>
  <c r="BL104" i="14"/>
  <c r="BM104" i="14"/>
  <c r="BN104" i="14"/>
  <c r="BO104" i="14"/>
  <c r="BP104" i="14"/>
  <c r="BQ104" i="14"/>
  <c r="BR104" i="14"/>
  <c r="BS104" i="14"/>
  <c r="BT104" i="14"/>
  <c r="BU104" i="14"/>
  <c r="BV104" i="14"/>
  <c r="BW104" i="14"/>
  <c r="BJ105" i="14"/>
  <c r="BK105" i="14"/>
  <c r="BL105" i="14"/>
  <c r="BM105" i="14"/>
  <c r="BN105" i="14"/>
  <c r="BO105" i="14"/>
  <c r="BP105" i="14"/>
  <c r="BQ105" i="14"/>
  <c r="BR105" i="14"/>
  <c r="BS105" i="14"/>
  <c r="BT105" i="14"/>
  <c r="BU105" i="14"/>
  <c r="BV105" i="14"/>
  <c r="BW105" i="14"/>
  <c r="BJ108" i="14"/>
  <c r="BK108" i="14"/>
  <c r="BL108" i="14"/>
  <c r="BM108" i="14"/>
  <c r="BN108" i="14"/>
  <c r="BO108" i="14"/>
  <c r="BP108" i="14"/>
  <c r="BQ108" i="14"/>
  <c r="BR108" i="14"/>
  <c r="BS108" i="14"/>
  <c r="BT108" i="14"/>
  <c r="BU108" i="14"/>
  <c r="BV108" i="14"/>
  <c r="BW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I108" i="14"/>
  <c r="H108" i="14"/>
  <c r="G108" i="14"/>
  <c r="F108" i="14"/>
  <c r="E108" i="14"/>
  <c r="D108" i="14"/>
  <c r="C108" i="14"/>
  <c r="B108"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D105" i="14"/>
  <c r="C105" i="14"/>
  <c r="B105"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E104" i="14"/>
  <c r="D104" i="14"/>
  <c r="C104" i="14"/>
  <c r="B104"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G103" i="14"/>
  <c r="F103" i="14"/>
  <c r="E103" i="14"/>
  <c r="D103" i="14"/>
  <c r="C103" i="14"/>
  <c r="B103"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D102" i="14"/>
  <c r="C102" i="14"/>
  <c r="B102"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E101" i="14"/>
  <c r="D101" i="14"/>
  <c r="C101" i="14"/>
  <c r="B101"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G100" i="14"/>
  <c r="F100" i="14"/>
  <c r="E100" i="14"/>
  <c r="D100" i="14"/>
  <c r="C100" i="14"/>
  <c r="B100"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G99" i="14"/>
  <c r="F99" i="14"/>
  <c r="E99" i="14"/>
  <c r="D99" i="14"/>
  <c r="C99" i="14"/>
  <c r="B99"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G92" i="14"/>
  <c r="F92" i="14"/>
  <c r="E92" i="14"/>
  <c r="D92" i="14"/>
  <c r="C92" i="14"/>
  <c r="B92"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E89" i="14"/>
  <c r="D89" i="14"/>
  <c r="C89" i="14"/>
  <c r="B89"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G88" i="14"/>
  <c r="F88" i="14"/>
  <c r="E88" i="14"/>
  <c r="D88" i="14"/>
  <c r="C88" i="14"/>
  <c r="B88"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D87" i="14"/>
  <c r="C87" i="14"/>
  <c r="B87"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G86" i="14"/>
  <c r="F86" i="14"/>
  <c r="E86" i="14"/>
  <c r="D86" i="14"/>
  <c r="C86" i="14"/>
  <c r="B86"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D85" i="14"/>
  <c r="C85" i="14"/>
  <c r="B85"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D84" i="14"/>
  <c r="C84" i="14"/>
  <c r="B84"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D83" i="14"/>
  <c r="C83" i="14"/>
  <c r="B83"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D76" i="14"/>
  <c r="C76" i="14"/>
  <c r="B76"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D73" i="14"/>
  <c r="C73" i="14"/>
  <c r="B73"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D72" i="14"/>
  <c r="C72" i="14"/>
  <c r="B72" i="14"/>
  <c r="BI71" i="14"/>
  <c r="BI75" i="14" s="1"/>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D71" i="14"/>
  <c r="C71" i="14"/>
  <c r="B71"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D70" i="14"/>
  <c r="C70" i="14"/>
  <c r="B70"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D69" i="14"/>
  <c r="C69" i="14"/>
  <c r="B69"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B68"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D67" i="14"/>
  <c r="C67" i="14"/>
  <c r="B67"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B60"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B58"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B57"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D56" i="14"/>
  <c r="C56" i="14"/>
  <c r="B56"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D55" i="14"/>
  <c r="C55" i="14"/>
  <c r="B55"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D54" i="14"/>
  <c r="C54" i="14"/>
  <c r="B54"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H53" i="14"/>
  <c r="G53" i="14"/>
  <c r="F53" i="14"/>
  <c r="E53" i="14"/>
  <c r="D53" i="14"/>
  <c r="C53" i="14"/>
  <c r="B53"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D44" i="14"/>
  <c r="C44" i="14"/>
  <c r="B44"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B43"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B42"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B41"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B39"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B38"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B37"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36" i="14"/>
  <c r="C36" i="14"/>
  <c r="B36"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B29"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B28"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F27" i="14"/>
  <c r="E27" i="14"/>
  <c r="D27" i="14"/>
  <c r="C27" i="14"/>
  <c r="B27"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B25"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B24"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B23"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B22"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D14" i="14"/>
  <c r="C14" i="14"/>
  <c r="B14"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C13" i="14"/>
  <c r="B13" i="14"/>
  <c r="BI12" i="14"/>
  <c r="BI15" i="14" s="1"/>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G12" i="14"/>
  <c r="F12" i="14"/>
  <c r="E12" i="14"/>
  <c r="D12" i="14"/>
  <c r="C12" i="14"/>
  <c r="B12"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D11" i="14"/>
  <c r="C11" i="14"/>
  <c r="B11"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D9" i="14"/>
  <c r="C9" i="14"/>
  <c r="B9"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D8" i="14"/>
  <c r="C8" i="14"/>
  <c r="B8"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I7" i="14"/>
  <c r="H7" i="14"/>
  <c r="G7" i="14"/>
  <c r="F7" i="14"/>
  <c r="E7" i="14"/>
  <c r="D7" i="14"/>
  <c r="C7" i="14"/>
  <c r="B7"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C6" i="14"/>
  <c r="B6" i="14"/>
  <c r="BS75" i="14" l="1"/>
  <c r="BS63" i="14" s="1"/>
  <c r="BQ15" i="14"/>
  <c r="BV15" i="14"/>
  <c r="BU91" i="14"/>
  <c r="BU79" i="14" s="1"/>
  <c r="BT91" i="14"/>
  <c r="BT79" i="14" s="1"/>
  <c r="BL91" i="14"/>
  <c r="BL79" i="14" s="1"/>
  <c r="BR107" i="14"/>
  <c r="BR75" i="14"/>
  <c r="BR63" i="14" s="1"/>
  <c r="BN15" i="14"/>
  <c r="BQ91" i="14"/>
  <c r="BQ79" i="14" s="1"/>
  <c r="BW75" i="14"/>
  <c r="BW63" i="14" s="1"/>
  <c r="BW62" i="14" s="1"/>
  <c r="BO75" i="14"/>
  <c r="BO63" i="14" s="1"/>
  <c r="BV75" i="14"/>
  <c r="BV63" i="14" s="1"/>
  <c r="BI49" i="14"/>
  <c r="BL75" i="14"/>
  <c r="BL63" i="14" s="1"/>
  <c r="BU107" i="14"/>
  <c r="BM107" i="14"/>
  <c r="BP15" i="14"/>
  <c r="BI32" i="14"/>
  <c r="BK91" i="14"/>
  <c r="BK79" i="14" s="1"/>
  <c r="BM15" i="14"/>
  <c r="BT107" i="14"/>
  <c r="BL107" i="14"/>
  <c r="BV91" i="14"/>
  <c r="BV79" i="14" s="1"/>
  <c r="BR91" i="14"/>
  <c r="BR79" i="14" s="1"/>
  <c r="BS107" i="14"/>
  <c r="BO107" i="14"/>
  <c r="BP75" i="14"/>
  <c r="BP63" i="14" s="1"/>
  <c r="BV107" i="14"/>
  <c r="BT75" i="14"/>
  <c r="BT63" i="14" s="1"/>
  <c r="BR15" i="14"/>
  <c r="BJ15" i="14"/>
  <c r="BP107" i="14"/>
  <c r="BS91" i="14"/>
  <c r="BS79" i="14" s="1"/>
  <c r="BW91" i="14"/>
  <c r="BW79" i="14" s="1"/>
  <c r="BW78" i="14" s="1"/>
  <c r="BW107" i="14"/>
  <c r="BU75" i="14"/>
  <c r="BU63" i="14" s="1"/>
  <c r="BM75" i="14"/>
  <c r="BM63" i="14" s="1"/>
  <c r="BT15" i="14"/>
  <c r="BL15" i="14"/>
  <c r="BN75" i="14"/>
  <c r="BN63" i="14" s="1"/>
  <c r="BW2" i="14"/>
  <c r="BU2" i="14"/>
  <c r="BM2" i="14"/>
  <c r="BI18" i="14"/>
  <c r="BK107" i="14"/>
  <c r="BT2" i="14"/>
  <c r="BL2" i="14"/>
  <c r="BJ107" i="14"/>
  <c r="BO91" i="14"/>
  <c r="BO79" i="14" s="1"/>
  <c r="BU15" i="14"/>
  <c r="BQ2" i="14"/>
  <c r="BS2" i="14"/>
  <c r="BK2" i="14"/>
  <c r="BN91" i="14"/>
  <c r="BN79" i="14" s="1"/>
  <c r="BK75" i="14"/>
  <c r="BK63" i="14" s="1"/>
  <c r="BM91" i="14"/>
  <c r="BM79" i="14" s="1"/>
  <c r="BJ75" i="14"/>
  <c r="BJ63" i="14" s="1"/>
  <c r="D320" i="11"/>
  <c r="BI63" i="14"/>
  <c r="BQ32" i="14"/>
  <c r="BV2" i="14"/>
  <c r="BN2" i="14"/>
  <c r="BR2" i="14"/>
  <c r="BJ2" i="14"/>
  <c r="BP2" i="14"/>
  <c r="BN107" i="14"/>
  <c r="BO2" i="14"/>
  <c r="BJ91" i="14"/>
  <c r="BJ79" i="14" s="1"/>
  <c r="BR95" i="14"/>
  <c r="BJ95" i="14"/>
  <c r="BT95" i="14"/>
  <c r="BL95" i="14"/>
  <c r="BV32" i="14"/>
  <c r="BN32" i="14"/>
  <c r="BP18" i="14"/>
  <c r="BU49" i="14"/>
  <c r="BM49" i="14"/>
  <c r="BU32" i="14"/>
  <c r="BM32" i="14"/>
  <c r="BW18" i="14"/>
  <c r="BW17" i="14" s="1"/>
  <c r="BO18" i="14"/>
  <c r="BT49" i="14"/>
  <c r="BL49" i="14"/>
  <c r="BQ95" i="14"/>
  <c r="BS49" i="14"/>
  <c r="BK49" i="14"/>
  <c r="BS32" i="14"/>
  <c r="BK32" i="14"/>
  <c r="BP95" i="14"/>
  <c r="BP91" i="14"/>
  <c r="BP79" i="14" s="1"/>
  <c r="BR49" i="14"/>
  <c r="BJ49" i="14"/>
  <c r="BP32" i="14"/>
  <c r="BR32" i="14"/>
  <c r="BJ32" i="14"/>
  <c r="BW95" i="14"/>
  <c r="BW94" i="14" s="1"/>
  <c r="BO95" i="14"/>
  <c r="BW49" i="14"/>
  <c r="BW48" i="14" s="1"/>
  <c r="BO49" i="14"/>
  <c r="BQ49" i="14"/>
  <c r="BS18" i="14"/>
  <c r="BW15" i="14"/>
  <c r="BO15" i="14"/>
  <c r="BS15" i="14"/>
  <c r="BK15" i="14"/>
  <c r="BP49" i="14"/>
  <c r="BR18" i="14"/>
  <c r="BJ18" i="14"/>
  <c r="BQ107" i="14"/>
  <c r="BS95" i="14"/>
  <c r="BK95" i="14"/>
  <c r="BU95" i="14"/>
  <c r="BM95" i="14"/>
  <c r="BQ75" i="14"/>
  <c r="BQ63" i="14" s="1"/>
  <c r="BW32" i="14"/>
  <c r="BW31" i="14" s="1"/>
  <c r="BO32" i="14"/>
  <c r="BQ18" i="14"/>
  <c r="BV95" i="14"/>
  <c r="BN95" i="14"/>
  <c r="BV49" i="14"/>
  <c r="BN49" i="14"/>
  <c r="BT32" i="14"/>
  <c r="BL32" i="14"/>
  <c r="BU18" i="14"/>
  <c r="BM18" i="14"/>
  <c r="BT18" i="14"/>
  <c r="BL18" i="14"/>
  <c r="BV18" i="14"/>
  <c r="BN18" i="14"/>
  <c r="BK18" i="14"/>
  <c r="BV62" i="14" l="1"/>
  <c r="BU62" i="14" s="1"/>
  <c r="BT62" i="14" s="1"/>
  <c r="BS62" i="14" s="1"/>
  <c r="BR62" i="14" s="1"/>
  <c r="BQ62" i="14" s="1"/>
  <c r="BP62" i="14" s="1"/>
  <c r="BO62" i="14" s="1"/>
  <c r="BN62" i="14" s="1"/>
  <c r="BM62" i="14" s="1"/>
  <c r="BL62" i="14" s="1"/>
  <c r="BK62" i="14" s="1"/>
  <c r="BJ62" i="14" s="1"/>
  <c r="BI62" i="14" s="1"/>
  <c r="BV31" i="14"/>
  <c r="BU31" i="14" s="1"/>
  <c r="BT31" i="14" s="1"/>
  <c r="BS31" i="14" s="1"/>
  <c r="BR31" i="14" s="1"/>
  <c r="BQ31" i="14" s="1"/>
  <c r="BP31" i="14" s="1"/>
  <c r="BO31" i="14" s="1"/>
  <c r="BN31" i="14" s="1"/>
  <c r="BM31" i="14" s="1"/>
  <c r="BL31" i="14" s="1"/>
  <c r="BK31" i="14" s="1"/>
  <c r="BJ31" i="14" s="1"/>
  <c r="BV78" i="14"/>
  <c r="BU78" i="14" s="1"/>
  <c r="BT78" i="14" s="1"/>
  <c r="BS78" i="14" s="1"/>
  <c r="BR78" i="14" s="1"/>
  <c r="BQ78" i="14" s="1"/>
  <c r="BP78" i="14" s="1"/>
  <c r="BO78" i="14" s="1"/>
  <c r="BN78" i="14" s="1"/>
  <c r="BM78" i="14" s="1"/>
  <c r="BL78" i="14" s="1"/>
  <c r="BK78" i="14" s="1"/>
  <c r="BJ78" i="14" s="1"/>
  <c r="BV17" i="14"/>
  <c r="BU17" i="14" s="1"/>
  <c r="BT17" i="14" s="1"/>
  <c r="BS17" i="14" s="1"/>
  <c r="BR17" i="14" s="1"/>
  <c r="BQ17" i="14" s="1"/>
  <c r="BP17" i="14" s="1"/>
  <c r="BO17" i="14" s="1"/>
  <c r="BN17" i="14" s="1"/>
  <c r="BM17" i="14" s="1"/>
  <c r="BL17" i="14" s="1"/>
  <c r="BK17" i="14" s="1"/>
  <c r="BJ17" i="14" s="1"/>
  <c r="BI17" i="14" s="1"/>
  <c r="BV94" i="14"/>
  <c r="BU94" i="14" s="1"/>
  <c r="BT94" i="14" s="1"/>
  <c r="BS94" i="14" s="1"/>
  <c r="BR94" i="14" s="1"/>
  <c r="BQ94" i="14" s="1"/>
  <c r="BP94" i="14" s="1"/>
  <c r="BO94" i="14" s="1"/>
  <c r="BN94" i="14" s="1"/>
  <c r="BM94" i="14" s="1"/>
  <c r="BL94" i="14" s="1"/>
  <c r="BK94" i="14" s="1"/>
  <c r="BJ94" i="14" s="1"/>
  <c r="BV48" i="14"/>
  <c r="BU48" i="14" s="1"/>
  <c r="BT48" i="14" s="1"/>
  <c r="BS48" i="14" s="1"/>
  <c r="BR48" i="14" s="1"/>
  <c r="BQ48" i="14" s="1"/>
  <c r="BP48" i="14" s="1"/>
  <c r="BO48" i="14" s="1"/>
  <c r="BN48" i="14" s="1"/>
  <c r="BM48" i="14" s="1"/>
  <c r="BL48" i="14" s="1"/>
  <c r="BK48" i="14" s="1"/>
  <c r="BJ48" i="14" s="1"/>
  <c r="BI48" i="14" s="1"/>
  <c r="S492" i="18" l="1"/>
  <c r="T492" i="18" s="1"/>
  <c r="U492" i="18" s="1"/>
  <c r="V492" i="18" s="1"/>
  <c r="W492" i="18" s="1"/>
  <c r="X492" i="18" s="1"/>
  <c r="Y492" i="18" s="1"/>
  <c r="Z492" i="18" s="1"/>
  <c r="AA492" i="18" s="1"/>
  <c r="AB492" i="18" s="1"/>
  <c r="AC492" i="18" s="1"/>
  <c r="AD492" i="18" s="1"/>
  <c r="S491" i="18"/>
  <c r="T491" i="18" s="1"/>
  <c r="U491" i="18" s="1"/>
  <c r="V491" i="18" s="1"/>
  <c r="W491" i="18" s="1"/>
  <c r="X491" i="18" s="1"/>
  <c r="Y491" i="18" s="1"/>
  <c r="Z491" i="18" s="1"/>
  <c r="AA491" i="18" s="1"/>
  <c r="AB491" i="18" s="1"/>
  <c r="AC491" i="18" s="1"/>
  <c r="AD491" i="18" s="1"/>
  <c r="S490" i="18"/>
  <c r="T490" i="18" s="1"/>
  <c r="U490" i="18" s="1"/>
  <c r="V490" i="18" s="1"/>
  <c r="W490" i="18" s="1"/>
  <c r="X490" i="18" s="1"/>
  <c r="Y490" i="18" s="1"/>
  <c r="Z490" i="18" s="1"/>
  <c r="AA490" i="18" s="1"/>
  <c r="AB490" i="18" s="1"/>
  <c r="AC490" i="18" s="1"/>
  <c r="AD490" i="18" s="1"/>
  <c r="S489" i="18"/>
  <c r="T489" i="18" s="1"/>
  <c r="U489" i="18" s="1"/>
  <c r="V489" i="18" s="1"/>
  <c r="W489" i="18" s="1"/>
  <c r="X489" i="18" s="1"/>
  <c r="Y489" i="18" s="1"/>
  <c r="Z489" i="18" s="1"/>
  <c r="AA489" i="18" s="1"/>
  <c r="AB489" i="18" s="1"/>
  <c r="AC489" i="18" s="1"/>
  <c r="AD489" i="18" s="1"/>
  <c r="S488" i="18"/>
  <c r="T488" i="18" s="1"/>
  <c r="U488" i="18" s="1"/>
  <c r="V488" i="18" s="1"/>
  <c r="W488" i="18" s="1"/>
  <c r="X488" i="18" s="1"/>
  <c r="Y488" i="18" s="1"/>
  <c r="Z488" i="18" s="1"/>
  <c r="AA488" i="18" s="1"/>
  <c r="AB488" i="18" s="1"/>
  <c r="AC488" i="18" s="1"/>
  <c r="AD488" i="18" s="1"/>
  <c r="S487" i="18"/>
  <c r="T487" i="18" s="1"/>
  <c r="U487" i="18" s="1"/>
  <c r="V487" i="18" s="1"/>
  <c r="W487" i="18" s="1"/>
  <c r="X487" i="18" s="1"/>
  <c r="Y487" i="18" s="1"/>
  <c r="Z487" i="18" s="1"/>
  <c r="AA487" i="18" s="1"/>
  <c r="AB487" i="18" s="1"/>
  <c r="AC487" i="18" s="1"/>
  <c r="AD487" i="18" s="1"/>
  <c r="S486" i="18"/>
  <c r="T486" i="18" s="1"/>
  <c r="U486" i="18" s="1"/>
  <c r="V486" i="18" s="1"/>
  <c r="W486" i="18" s="1"/>
  <c r="X486" i="18" s="1"/>
  <c r="Y486" i="18" s="1"/>
  <c r="Z486" i="18" s="1"/>
  <c r="AA486" i="18" s="1"/>
  <c r="AB486" i="18" s="1"/>
  <c r="AC486" i="18" s="1"/>
  <c r="AD486" i="18" s="1"/>
  <c r="S484" i="18"/>
  <c r="T484" i="18" s="1"/>
  <c r="U484" i="18" s="1"/>
  <c r="V484" i="18" s="1"/>
  <c r="W484" i="18" s="1"/>
  <c r="X484" i="18" s="1"/>
  <c r="Y484" i="18" s="1"/>
  <c r="Z484" i="18" s="1"/>
  <c r="AA484" i="18" s="1"/>
  <c r="AB484" i="18" s="1"/>
  <c r="AC484" i="18" s="1"/>
  <c r="AD484" i="18" s="1"/>
  <c r="S483" i="18"/>
  <c r="T483" i="18" s="1"/>
  <c r="U483" i="18" s="1"/>
  <c r="V483" i="18" s="1"/>
  <c r="W483" i="18" s="1"/>
  <c r="X483" i="18" s="1"/>
  <c r="Y483" i="18" s="1"/>
  <c r="Z483" i="18" s="1"/>
  <c r="AA483" i="18" s="1"/>
  <c r="AB483" i="18" s="1"/>
  <c r="AC483" i="18" s="1"/>
  <c r="AD483" i="18" s="1"/>
  <c r="S482" i="18"/>
  <c r="T482" i="18" s="1"/>
  <c r="U482" i="18" s="1"/>
  <c r="V482" i="18" s="1"/>
  <c r="W482" i="18" s="1"/>
  <c r="X482" i="18" s="1"/>
  <c r="Y482" i="18" s="1"/>
  <c r="Z482" i="18" s="1"/>
  <c r="AA482" i="18" s="1"/>
  <c r="AB482" i="18" s="1"/>
  <c r="AC482" i="18" s="1"/>
  <c r="AD482" i="18" s="1"/>
  <c r="S481" i="18"/>
  <c r="T481" i="18" s="1"/>
  <c r="U481" i="18" s="1"/>
  <c r="V481" i="18" s="1"/>
  <c r="W481" i="18" s="1"/>
  <c r="X481" i="18" s="1"/>
  <c r="Y481" i="18" s="1"/>
  <c r="Z481" i="18" s="1"/>
  <c r="AA481" i="18" s="1"/>
  <c r="AB481" i="18" s="1"/>
  <c r="AC481" i="18" s="1"/>
  <c r="AD481" i="18" s="1"/>
  <c r="S480" i="18"/>
  <c r="T480" i="18" s="1"/>
  <c r="U480" i="18" s="1"/>
  <c r="V480" i="18" s="1"/>
  <c r="W480" i="18" s="1"/>
  <c r="X480" i="18" s="1"/>
  <c r="Y480" i="18" s="1"/>
  <c r="Z480" i="18" s="1"/>
  <c r="AA480" i="18" s="1"/>
  <c r="AB480" i="18" s="1"/>
  <c r="AC480" i="18" s="1"/>
  <c r="AD480" i="18" s="1"/>
  <c r="S479" i="18"/>
  <c r="T479" i="18" s="1"/>
  <c r="U479" i="18" s="1"/>
  <c r="V479" i="18" s="1"/>
  <c r="W479" i="18" s="1"/>
  <c r="X479" i="18" s="1"/>
  <c r="Y479" i="18" s="1"/>
  <c r="Z479" i="18" s="1"/>
  <c r="AA479" i="18" s="1"/>
  <c r="AB479" i="18" s="1"/>
  <c r="AC479" i="18" s="1"/>
  <c r="AD479" i="18" s="1"/>
  <c r="S478" i="18"/>
  <c r="T478" i="18" s="1"/>
  <c r="U478" i="18" s="1"/>
  <c r="V478" i="18" s="1"/>
  <c r="W478" i="18" s="1"/>
  <c r="X478" i="18" s="1"/>
  <c r="Y478" i="18" s="1"/>
  <c r="Z478" i="18" s="1"/>
  <c r="AA478" i="18" s="1"/>
  <c r="AB478" i="18" s="1"/>
  <c r="AC478" i="18" s="1"/>
  <c r="AD478" i="18" s="1"/>
  <c r="S471" i="18"/>
  <c r="T471" i="18" s="1"/>
  <c r="U471" i="18" s="1"/>
  <c r="V471" i="18" s="1"/>
  <c r="W471" i="18" s="1"/>
  <c r="X471" i="18" s="1"/>
  <c r="Y471" i="18" s="1"/>
  <c r="Z471" i="18" s="1"/>
  <c r="AA471" i="18" s="1"/>
  <c r="AB471" i="18" s="1"/>
  <c r="AC471" i="18" s="1"/>
  <c r="AD471" i="18" s="1"/>
  <c r="S472" i="18"/>
  <c r="T472" i="18" s="1"/>
  <c r="U472" i="18" s="1"/>
  <c r="V472" i="18" s="1"/>
  <c r="W472" i="18" s="1"/>
  <c r="X472" i="18" s="1"/>
  <c r="Y472" i="18" s="1"/>
  <c r="Z472" i="18" s="1"/>
  <c r="AA472" i="18" s="1"/>
  <c r="AB472" i="18" s="1"/>
  <c r="AC472" i="18" s="1"/>
  <c r="AD472" i="18" s="1"/>
  <c r="S473" i="18"/>
  <c r="T473" i="18" s="1"/>
  <c r="U473" i="18" s="1"/>
  <c r="V473" i="18" s="1"/>
  <c r="W473" i="18" s="1"/>
  <c r="X473" i="18" s="1"/>
  <c r="Y473" i="18" s="1"/>
  <c r="Z473" i="18" s="1"/>
  <c r="AA473" i="18" s="1"/>
  <c r="AB473" i="18" s="1"/>
  <c r="AC473" i="18" s="1"/>
  <c r="AD473" i="18" s="1"/>
  <c r="S474" i="18"/>
  <c r="T474" i="18" s="1"/>
  <c r="U474" i="18" s="1"/>
  <c r="V474" i="18" s="1"/>
  <c r="W474" i="18" s="1"/>
  <c r="X474" i="18" s="1"/>
  <c r="Y474" i="18" s="1"/>
  <c r="Z474" i="18" s="1"/>
  <c r="AA474" i="18" s="1"/>
  <c r="AB474" i="18" s="1"/>
  <c r="AC474" i="18" s="1"/>
  <c r="AD474" i="18" s="1"/>
  <c r="S475" i="18"/>
  <c r="T475" i="18" s="1"/>
  <c r="U475" i="18" s="1"/>
  <c r="V475" i="18" s="1"/>
  <c r="W475" i="18" s="1"/>
  <c r="X475" i="18" s="1"/>
  <c r="Y475" i="18" s="1"/>
  <c r="Z475" i="18" s="1"/>
  <c r="AA475" i="18" s="1"/>
  <c r="AB475" i="18" s="1"/>
  <c r="AC475" i="18" s="1"/>
  <c r="AD475" i="18" s="1"/>
  <c r="S476" i="18"/>
  <c r="T476" i="18"/>
  <c r="U476" i="18"/>
  <c r="V476" i="18" s="1"/>
  <c r="W476" i="18" s="1"/>
  <c r="X476" i="18" s="1"/>
  <c r="Y476" i="18" s="1"/>
  <c r="Z476" i="18" s="1"/>
  <c r="AA476" i="18" s="1"/>
  <c r="AB476" i="18" s="1"/>
  <c r="AC476" i="18" s="1"/>
  <c r="AD476" i="18" s="1"/>
  <c r="S447" i="18"/>
  <c r="T447" i="18" s="1"/>
  <c r="U447" i="18" s="1"/>
  <c r="V447" i="18" s="1"/>
  <c r="W447" i="18" s="1"/>
  <c r="X447" i="18" s="1"/>
  <c r="Y447" i="18" s="1"/>
  <c r="Z447" i="18" s="1"/>
  <c r="AA447" i="18" s="1"/>
  <c r="AB447" i="18" s="1"/>
  <c r="AC447" i="18" s="1"/>
  <c r="AD447" i="18" s="1"/>
  <c r="S448" i="18"/>
  <c r="T448" i="18"/>
  <c r="U448" i="18" s="1"/>
  <c r="V448" i="18" s="1"/>
  <c r="W448" i="18" s="1"/>
  <c r="X448" i="18" s="1"/>
  <c r="Y448" i="18" s="1"/>
  <c r="Z448" i="18" s="1"/>
  <c r="AA448" i="18" s="1"/>
  <c r="AB448" i="18" s="1"/>
  <c r="AC448" i="18" s="1"/>
  <c r="AD448" i="18" s="1"/>
  <c r="S449" i="18"/>
  <c r="T449" i="18"/>
  <c r="U449" i="18" s="1"/>
  <c r="V449" i="18" s="1"/>
  <c r="W449" i="18" s="1"/>
  <c r="X449" i="18" s="1"/>
  <c r="Y449" i="18" s="1"/>
  <c r="Z449" i="18" s="1"/>
  <c r="AA449" i="18" s="1"/>
  <c r="AB449" i="18" s="1"/>
  <c r="AC449" i="18" s="1"/>
  <c r="AD449" i="18" s="1"/>
  <c r="S450" i="18"/>
  <c r="T450" i="18"/>
  <c r="U450" i="18" s="1"/>
  <c r="V450" i="18" s="1"/>
  <c r="W450" i="18" s="1"/>
  <c r="X450" i="18" s="1"/>
  <c r="Y450" i="18" s="1"/>
  <c r="Z450" i="18" s="1"/>
  <c r="AA450" i="18" s="1"/>
  <c r="AB450" i="18" s="1"/>
  <c r="AC450" i="18" s="1"/>
  <c r="AD450" i="18" s="1"/>
  <c r="S451" i="18"/>
  <c r="T451" i="18"/>
  <c r="U451" i="18" s="1"/>
  <c r="V451" i="18" s="1"/>
  <c r="W451" i="18" s="1"/>
  <c r="X451" i="18" s="1"/>
  <c r="Y451" i="18" s="1"/>
  <c r="Z451" i="18" s="1"/>
  <c r="AA451" i="18" s="1"/>
  <c r="AB451" i="18" s="1"/>
  <c r="AC451" i="18" s="1"/>
  <c r="AD451" i="18" s="1"/>
  <c r="S452" i="18"/>
  <c r="T452" i="18"/>
  <c r="U452" i="18" s="1"/>
  <c r="V452" i="18" s="1"/>
  <c r="W452" i="18" s="1"/>
  <c r="X452" i="18" s="1"/>
  <c r="Y452" i="18" s="1"/>
  <c r="Z452" i="18" s="1"/>
  <c r="AA452" i="18" s="1"/>
  <c r="AB452" i="18" s="1"/>
  <c r="AC452" i="18" s="1"/>
  <c r="AD452" i="18" s="1"/>
  <c r="S446" i="18"/>
  <c r="T446" i="18" s="1"/>
  <c r="U446" i="18" s="1"/>
  <c r="V446" i="18" s="1"/>
  <c r="W446" i="18" s="1"/>
  <c r="X446" i="18" s="1"/>
  <c r="Y446" i="18" s="1"/>
  <c r="Z446" i="18" s="1"/>
  <c r="AA446" i="18" s="1"/>
  <c r="AB446" i="18" s="1"/>
  <c r="AC446" i="18" s="1"/>
  <c r="AD446" i="18" s="1"/>
  <c r="S439" i="18"/>
  <c r="T439" i="18" s="1"/>
  <c r="U439" i="18" s="1"/>
  <c r="V439" i="18" s="1"/>
  <c r="W439" i="18" s="1"/>
  <c r="X439" i="18" s="1"/>
  <c r="Y439" i="18" s="1"/>
  <c r="Z439" i="18" s="1"/>
  <c r="AA439" i="18" s="1"/>
  <c r="AB439" i="18" s="1"/>
  <c r="AC439" i="18" s="1"/>
  <c r="AD439" i="18" s="1"/>
  <c r="S440" i="18"/>
  <c r="T440" i="18" s="1"/>
  <c r="U440" i="18" s="1"/>
  <c r="V440" i="18" s="1"/>
  <c r="W440" i="18" s="1"/>
  <c r="X440" i="18" s="1"/>
  <c r="Y440" i="18" s="1"/>
  <c r="Z440" i="18" s="1"/>
  <c r="AA440" i="18" s="1"/>
  <c r="AB440" i="18" s="1"/>
  <c r="AC440" i="18" s="1"/>
  <c r="AD440" i="18" s="1"/>
  <c r="S441" i="18"/>
  <c r="T441" i="18" s="1"/>
  <c r="U441" i="18" s="1"/>
  <c r="V441" i="18" s="1"/>
  <c r="W441" i="18" s="1"/>
  <c r="X441" i="18" s="1"/>
  <c r="Y441" i="18" s="1"/>
  <c r="Z441" i="18" s="1"/>
  <c r="AA441" i="18" s="1"/>
  <c r="AB441" i="18" s="1"/>
  <c r="AC441" i="18" s="1"/>
  <c r="AD441" i="18" s="1"/>
  <c r="S442" i="18"/>
  <c r="T442" i="18" s="1"/>
  <c r="U442" i="18" s="1"/>
  <c r="V442" i="18" s="1"/>
  <c r="W442" i="18" s="1"/>
  <c r="X442" i="18" s="1"/>
  <c r="Y442" i="18" s="1"/>
  <c r="Z442" i="18" s="1"/>
  <c r="AA442" i="18" s="1"/>
  <c r="AB442" i="18" s="1"/>
  <c r="AC442" i="18" s="1"/>
  <c r="AD442" i="18" s="1"/>
  <c r="S443" i="18"/>
  <c r="T443" i="18" s="1"/>
  <c r="U443" i="18" s="1"/>
  <c r="V443" i="18" s="1"/>
  <c r="W443" i="18" s="1"/>
  <c r="X443" i="18" s="1"/>
  <c r="Y443" i="18" s="1"/>
  <c r="Z443" i="18" s="1"/>
  <c r="AA443" i="18" s="1"/>
  <c r="AB443" i="18" s="1"/>
  <c r="AC443" i="18" s="1"/>
  <c r="AD443" i="18" s="1"/>
  <c r="S444" i="18"/>
  <c r="T444" i="18" s="1"/>
  <c r="U444" i="18" s="1"/>
  <c r="V444" i="18" s="1"/>
  <c r="W444" i="18" s="1"/>
  <c r="X444" i="18" s="1"/>
  <c r="Y444" i="18" s="1"/>
  <c r="Z444" i="18" s="1"/>
  <c r="AA444" i="18" s="1"/>
  <c r="AB444" i="18" s="1"/>
  <c r="AC444" i="18" s="1"/>
  <c r="AD444" i="18" s="1"/>
  <c r="S438" i="18"/>
  <c r="T438" i="18" s="1"/>
  <c r="U438" i="18" s="1"/>
  <c r="V438" i="18" s="1"/>
  <c r="W438" i="18" s="1"/>
  <c r="X438" i="18" s="1"/>
  <c r="Y438" i="18" s="1"/>
  <c r="Z438" i="18" s="1"/>
  <c r="AA438" i="18" s="1"/>
  <c r="AB438" i="18" s="1"/>
  <c r="AC438" i="18" s="1"/>
  <c r="AD438" i="18" s="1"/>
  <c r="S470" i="18"/>
  <c r="T470" i="18" s="1"/>
  <c r="U470" i="18" s="1"/>
  <c r="V470" i="18" s="1"/>
  <c r="W470" i="18" s="1"/>
  <c r="X470" i="18" s="1"/>
  <c r="Y470" i="18" s="1"/>
  <c r="Z470" i="18" s="1"/>
  <c r="AA470" i="18" s="1"/>
  <c r="AB470" i="18" s="1"/>
  <c r="AC470" i="18" s="1"/>
  <c r="AD470" i="18" s="1"/>
  <c r="S463" i="18"/>
  <c r="T463" i="18" s="1"/>
  <c r="U463" i="18" s="1"/>
  <c r="V463" i="18" s="1"/>
  <c r="W463" i="18" s="1"/>
  <c r="X463" i="18" s="1"/>
  <c r="Y463" i="18" s="1"/>
  <c r="Z463" i="18" s="1"/>
  <c r="AA463" i="18" s="1"/>
  <c r="AB463" i="18" s="1"/>
  <c r="AC463" i="18" s="1"/>
  <c r="AD463" i="18" s="1"/>
  <c r="S464" i="18"/>
  <c r="T464" i="18"/>
  <c r="U464" i="18" s="1"/>
  <c r="V464" i="18" s="1"/>
  <c r="W464" i="18" s="1"/>
  <c r="X464" i="18" s="1"/>
  <c r="Y464" i="18" s="1"/>
  <c r="Z464" i="18" s="1"/>
  <c r="AA464" i="18" s="1"/>
  <c r="AB464" i="18" s="1"/>
  <c r="AC464" i="18" s="1"/>
  <c r="AD464" i="18" s="1"/>
  <c r="S465" i="18"/>
  <c r="T465" i="18" s="1"/>
  <c r="U465" i="18" s="1"/>
  <c r="V465" i="18" s="1"/>
  <c r="W465" i="18" s="1"/>
  <c r="X465" i="18" s="1"/>
  <c r="Y465" i="18" s="1"/>
  <c r="Z465" i="18" s="1"/>
  <c r="AA465" i="18" s="1"/>
  <c r="AB465" i="18" s="1"/>
  <c r="AC465" i="18" s="1"/>
  <c r="AD465" i="18" s="1"/>
  <c r="S466" i="18"/>
  <c r="T466" i="18"/>
  <c r="U466" i="18" s="1"/>
  <c r="V466" i="18" s="1"/>
  <c r="W466" i="18" s="1"/>
  <c r="X466" i="18" s="1"/>
  <c r="Y466" i="18" s="1"/>
  <c r="Z466" i="18" s="1"/>
  <c r="AA466" i="18" s="1"/>
  <c r="AB466" i="18" s="1"/>
  <c r="AC466" i="18" s="1"/>
  <c r="AD466" i="18" s="1"/>
  <c r="S467" i="18"/>
  <c r="T467" i="18" s="1"/>
  <c r="U467" i="18" s="1"/>
  <c r="V467" i="18" s="1"/>
  <c r="W467" i="18" s="1"/>
  <c r="X467" i="18" s="1"/>
  <c r="Y467" i="18" s="1"/>
  <c r="Z467" i="18" s="1"/>
  <c r="AA467" i="18" s="1"/>
  <c r="AB467" i="18" s="1"/>
  <c r="AC467" i="18" s="1"/>
  <c r="AD467" i="18" s="1"/>
  <c r="S468" i="18"/>
  <c r="T468" i="18"/>
  <c r="U468" i="18" s="1"/>
  <c r="V468" i="18" s="1"/>
  <c r="W468" i="18" s="1"/>
  <c r="X468" i="18" s="1"/>
  <c r="Y468" i="18" s="1"/>
  <c r="Z468" i="18" s="1"/>
  <c r="AA468" i="18" s="1"/>
  <c r="AB468" i="18" s="1"/>
  <c r="AC468" i="18" s="1"/>
  <c r="AD468" i="18" s="1"/>
  <c r="S462" i="18"/>
  <c r="T462" i="18" s="1"/>
  <c r="U462" i="18" s="1"/>
  <c r="V462" i="18" s="1"/>
  <c r="W462" i="18" s="1"/>
  <c r="X462" i="18" s="1"/>
  <c r="Y462" i="18" s="1"/>
  <c r="Z462" i="18" s="1"/>
  <c r="AA462" i="18" s="1"/>
  <c r="AB462" i="18" s="1"/>
  <c r="AC462" i="18" s="1"/>
  <c r="AD462" i="18" s="1"/>
  <c r="AD459" i="18" l="1"/>
  <c r="S455" i="18"/>
  <c r="T455" i="18"/>
  <c r="U455" i="18" s="1"/>
  <c r="V455" i="18" s="1"/>
  <c r="W455" i="18" s="1"/>
  <c r="X455" i="18" s="1"/>
  <c r="Y455" i="18" s="1"/>
  <c r="Z455" i="18" s="1"/>
  <c r="AA455" i="18" s="1"/>
  <c r="AB455" i="18" s="1"/>
  <c r="AC455" i="18" s="1"/>
  <c r="AD455" i="18" s="1"/>
  <c r="S456" i="18"/>
  <c r="T456" i="18" s="1"/>
  <c r="U456" i="18" s="1"/>
  <c r="V456" i="18" s="1"/>
  <c r="W456" i="18" s="1"/>
  <c r="X456" i="18" s="1"/>
  <c r="Y456" i="18" s="1"/>
  <c r="Z456" i="18" s="1"/>
  <c r="AA456" i="18" s="1"/>
  <c r="AB456" i="18" s="1"/>
  <c r="AC456" i="18" s="1"/>
  <c r="AD456" i="18" s="1"/>
  <c r="S457" i="18"/>
  <c r="T457" i="18"/>
  <c r="U457" i="18" s="1"/>
  <c r="V457" i="18" s="1"/>
  <c r="W457" i="18" s="1"/>
  <c r="X457" i="18" s="1"/>
  <c r="Y457" i="18" s="1"/>
  <c r="Z457" i="18" s="1"/>
  <c r="AA457" i="18" s="1"/>
  <c r="AB457" i="18" s="1"/>
  <c r="AC457" i="18" s="1"/>
  <c r="AD457" i="18" s="1"/>
  <c r="S458" i="18"/>
  <c r="T458" i="18" s="1"/>
  <c r="U458" i="18" s="1"/>
  <c r="V458" i="18" s="1"/>
  <c r="W458" i="18" s="1"/>
  <c r="X458" i="18" s="1"/>
  <c r="Y458" i="18" s="1"/>
  <c r="Z458" i="18" s="1"/>
  <c r="AA458" i="18" s="1"/>
  <c r="AB458" i="18" s="1"/>
  <c r="AC458" i="18" s="1"/>
  <c r="AD458" i="18" s="1"/>
  <c r="S459" i="18"/>
  <c r="T459" i="18"/>
  <c r="U459" i="18" s="1"/>
  <c r="V459" i="18" s="1"/>
  <c r="W459" i="18" s="1"/>
  <c r="X459" i="18" s="1"/>
  <c r="Y459" i="18" s="1"/>
  <c r="Z459" i="18" s="1"/>
  <c r="AA459" i="18" s="1"/>
  <c r="AB459" i="18" s="1"/>
  <c r="AC459" i="18" s="1"/>
  <c r="S460" i="18"/>
  <c r="T460" i="18" s="1"/>
  <c r="U460" i="18" s="1"/>
  <c r="V460" i="18" s="1"/>
  <c r="W460" i="18" s="1"/>
  <c r="X460" i="18" s="1"/>
  <c r="Y460" i="18" s="1"/>
  <c r="Z460" i="18" s="1"/>
  <c r="AA460" i="18" s="1"/>
  <c r="AB460" i="18" s="1"/>
  <c r="AC460" i="18" s="1"/>
  <c r="AD460" i="18" s="1"/>
  <c r="S454" i="18"/>
  <c r="T454" i="18" s="1"/>
  <c r="U454" i="18" s="1"/>
  <c r="V454" i="18" s="1"/>
  <c r="W454" i="18" s="1"/>
  <c r="X454" i="18" s="1"/>
  <c r="Y454" i="18" s="1"/>
  <c r="Z454" i="18" s="1"/>
  <c r="AA454" i="18" s="1"/>
  <c r="AB454" i="18" s="1"/>
  <c r="AC454" i="18" s="1"/>
  <c r="AD454" i="18" s="1"/>
  <c r="AE436" i="18"/>
  <c r="AE437" i="18"/>
  <c r="AE438" i="18" s="1"/>
  <c r="AE439" i="18" s="1"/>
  <c r="AE440" i="18" s="1"/>
  <c r="AE441" i="18" s="1"/>
  <c r="AE442" i="18" s="1"/>
  <c r="AE443" i="18" s="1"/>
  <c r="AE444" i="18" s="1"/>
  <c r="AE445" i="18" s="1"/>
  <c r="AE446" i="18" s="1"/>
  <c r="AE447" i="18" s="1"/>
  <c r="AE448" i="18" s="1"/>
  <c r="AE449" i="18" s="1"/>
  <c r="AE450" i="18" s="1"/>
  <c r="AE451" i="18" s="1"/>
  <c r="AE452" i="18" s="1"/>
  <c r="AE453" i="18" s="1"/>
  <c r="AE454" i="18" s="1"/>
  <c r="AE455" i="18" s="1"/>
  <c r="AE456" i="18" s="1"/>
  <c r="AE457" i="18" s="1"/>
  <c r="AE458" i="18" s="1"/>
  <c r="AE459" i="18" s="1"/>
  <c r="AE460" i="18" s="1"/>
  <c r="AE461" i="18" s="1"/>
  <c r="AE462" i="18" s="1"/>
  <c r="AE463" i="18" s="1"/>
  <c r="AE464" i="18" s="1"/>
  <c r="AE465" i="18" s="1"/>
  <c r="AE466" i="18" s="1"/>
  <c r="AE467" i="18" s="1"/>
  <c r="AE468" i="18" s="1"/>
  <c r="AE469" i="18" s="1"/>
  <c r="AE470" i="18" s="1"/>
  <c r="AE471" i="18" s="1"/>
  <c r="AE472" i="18" s="1"/>
  <c r="AE473" i="18" s="1"/>
  <c r="AE474" i="18" s="1"/>
  <c r="AE475" i="18" s="1"/>
  <c r="AE476" i="18" s="1"/>
  <c r="AE477" i="18" s="1"/>
  <c r="AE478" i="18" s="1"/>
  <c r="AE479" i="18" s="1"/>
  <c r="AE480" i="18" s="1"/>
  <c r="AE481" i="18" s="1"/>
  <c r="AE482" i="18" s="1"/>
  <c r="AE483" i="18" s="1"/>
  <c r="AE484" i="18" s="1"/>
  <c r="AE485" i="18" s="1"/>
  <c r="AE486" i="18" s="1"/>
  <c r="AE487" i="18" s="1"/>
  <c r="AE488" i="18" s="1"/>
  <c r="AE489" i="18" s="1"/>
  <c r="AE490" i="18" s="1"/>
  <c r="AE491" i="18" s="1"/>
  <c r="AE492" i="18" s="1"/>
  <c r="AE435" i="18"/>
  <c r="AD436" i="18"/>
  <c r="S436" i="18"/>
  <c r="T436" i="18" s="1"/>
  <c r="U436" i="18" s="1"/>
  <c r="V436" i="18" s="1"/>
  <c r="W436" i="18" s="1"/>
  <c r="X436" i="18" s="1"/>
  <c r="Y436" i="18" s="1"/>
  <c r="Z436" i="18" s="1"/>
  <c r="AA436" i="18" s="1"/>
  <c r="AB436" i="18" s="1"/>
  <c r="AC436" i="18" s="1"/>
  <c r="T431" i="18"/>
  <c r="B436" i="18"/>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35" i="18"/>
  <c r="Q436" i="18"/>
  <c r="Q437" i="18" s="1"/>
  <c r="Q438" i="18" s="1"/>
  <c r="Q439" i="18" s="1"/>
  <c r="Q440" i="18" s="1"/>
  <c r="Q441" i="18" s="1"/>
  <c r="Q442" i="18" s="1"/>
  <c r="Q443" i="18" s="1"/>
  <c r="Q444" i="18" s="1"/>
  <c r="Q445" i="18" s="1"/>
  <c r="Q446" i="18" s="1"/>
  <c r="Q447" i="18" s="1"/>
  <c r="Q448" i="18" s="1"/>
  <c r="Q449" i="18" s="1"/>
  <c r="Q450" i="18" s="1"/>
  <c r="Q451" i="18" s="1"/>
  <c r="Q452" i="18" s="1"/>
  <c r="Q453" i="18" s="1"/>
  <c r="Q454" i="18" s="1"/>
  <c r="Q455" i="18" s="1"/>
  <c r="Q456" i="18" s="1"/>
  <c r="Q457" i="18" s="1"/>
  <c r="Q458" i="18" s="1"/>
  <c r="Q459" i="18" s="1"/>
  <c r="Q460" i="18" s="1"/>
  <c r="Q461" i="18" s="1"/>
  <c r="Q462" i="18" s="1"/>
  <c r="Q463" i="18" s="1"/>
  <c r="Q464" i="18" s="1"/>
  <c r="Q465" i="18" s="1"/>
  <c r="Q466" i="18" s="1"/>
  <c r="Q467" i="18" s="1"/>
  <c r="Q468" i="18" s="1"/>
  <c r="Q469" i="18" s="1"/>
  <c r="Q470" i="18" s="1"/>
  <c r="Q471" i="18" s="1"/>
  <c r="Q472" i="18" s="1"/>
  <c r="Q473" i="18" s="1"/>
  <c r="Q474" i="18" s="1"/>
  <c r="Q475" i="18" s="1"/>
  <c r="Q476" i="18" s="1"/>
  <c r="Q477" i="18" s="1"/>
  <c r="Q478" i="18" s="1"/>
  <c r="Q479" i="18" s="1"/>
  <c r="Q480" i="18" s="1"/>
  <c r="Q481" i="18" s="1"/>
  <c r="Q482" i="18" s="1"/>
  <c r="Q483" i="18" s="1"/>
  <c r="Q484" i="18" s="1"/>
  <c r="Q485" i="18" s="1"/>
  <c r="Q486" i="18" s="1"/>
  <c r="Q487" i="18" s="1"/>
  <c r="Q488" i="18" s="1"/>
  <c r="Q489" i="18" s="1"/>
  <c r="Q490" i="18" s="1"/>
  <c r="Q491" i="18" s="1"/>
  <c r="Q492" i="18" s="1"/>
  <c r="Q435" i="18"/>
  <c r="BI31" i="14" l="1"/>
  <c r="Q27" i="5" l="1"/>
  <c r="S456" i="11"/>
  <c r="S457" i="11"/>
  <c r="S458" i="11"/>
  <c r="S459" i="11"/>
  <c r="T459" i="11" s="1"/>
  <c r="S453" i="11"/>
  <c r="S446" i="11"/>
  <c r="S447" i="11"/>
  <c r="S448" i="11"/>
  <c r="S449" i="11"/>
  <c r="S438" i="11"/>
  <c r="S439" i="11"/>
  <c r="S441" i="11"/>
  <c r="T441" i="11" s="1"/>
  <c r="S451" i="11"/>
  <c r="S450" i="11"/>
  <c r="S443" i="11"/>
  <c r="Q41" i="7" l="1"/>
  <c r="Q35" i="7"/>
  <c r="Q16" i="7"/>
  <c r="Q34" i="7"/>
  <c r="Q42" i="7"/>
  <c r="Q17" i="7"/>
  <c r="Q43" i="7"/>
  <c r="T456" i="11"/>
  <c r="U456" i="11" s="1"/>
  <c r="V456" i="11" s="1"/>
  <c r="W456" i="11" s="1"/>
  <c r="X456" i="11" s="1"/>
  <c r="Y456" i="11" s="1"/>
  <c r="Z456" i="11" s="1"/>
  <c r="AA456" i="11" s="1"/>
  <c r="AB456" i="11" s="1"/>
  <c r="AC456" i="11" s="1"/>
  <c r="AD456" i="11" s="1"/>
  <c r="D25" i="9" s="1"/>
  <c r="T450" i="11"/>
  <c r="U450" i="11" s="1"/>
  <c r="V450" i="11" s="1"/>
  <c r="W450" i="11" s="1"/>
  <c r="X450" i="11" s="1"/>
  <c r="Y450" i="11" s="1"/>
  <c r="Z450" i="11" s="1"/>
  <c r="AA450" i="11" s="1"/>
  <c r="AB450" i="11" s="1"/>
  <c r="AC450" i="11" s="1"/>
  <c r="AD450" i="11" s="1"/>
  <c r="D29" i="8" s="1"/>
  <c r="T439" i="11"/>
  <c r="U439" i="11" s="1"/>
  <c r="V439" i="11" s="1"/>
  <c r="W439" i="11" s="1"/>
  <c r="X439" i="11" s="1"/>
  <c r="Y439" i="11" s="1"/>
  <c r="Z439" i="11" s="1"/>
  <c r="AA439" i="11" s="1"/>
  <c r="AB439" i="11" s="1"/>
  <c r="AC439" i="11" s="1"/>
  <c r="AD439" i="11" s="1"/>
  <c r="D41" i="7" s="1"/>
  <c r="T438" i="11"/>
  <c r="U438" i="11" s="1"/>
  <c r="V438" i="11" s="1"/>
  <c r="W438" i="11" s="1"/>
  <c r="X438" i="11" s="1"/>
  <c r="Y438" i="11" s="1"/>
  <c r="Z438" i="11" s="1"/>
  <c r="AA438" i="11" s="1"/>
  <c r="AB438" i="11" s="1"/>
  <c r="AC438" i="11" s="1"/>
  <c r="AD438" i="11" s="1"/>
  <c r="D41" i="6" s="1"/>
  <c r="U459" i="11"/>
  <c r="V459" i="11" s="1"/>
  <c r="W459" i="11" s="1"/>
  <c r="X459" i="11" s="1"/>
  <c r="Y459" i="11" s="1"/>
  <c r="Z459" i="11" s="1"/>
  <c r="AA459" i="11" s="1"/>
  <c r="AB459" i="11" s="1"/>
  <c r="AC459" i="11" s="1"/>
  <c r="AD459" i="11" s="1"/>
  <c r="D56" i="1" s="1"/>
  <c r="Q23" i="6"/>
  <c r="S23" i="6" s="1"/>
  <c r="Q20" i="9"/>
  <c r="Q27" i="10"/>
  <c r="Q27" i="9"/>
  <c r="Q20" i="10"/>
  <c r="Q28" i="10"/>
  <c r="Q19" i="9"/>
  <c r="S19" i="9" s="1"/>
  <c r="Q32" i="8"/>
  <c r="Q33" i="8"/>
  <c r="S33" i="8" s="1"/>
  <c r="Q19" i="10"/>
  <c r="S19" i="10" s="1"/>
  <c r="T446" i="11"/>
  <c r="U446" i="11" s="1"/>
  <c r="V446" i="11" s="1"/>
  <c r="W446" i="11" s="1"/>
  <c r="X446" i="11" s="1"/>
  <c r="Y446" i="11" s="1"/>
  <c r="Z446" i="11" s="1"/>
  <c r="AA446" i="11" s="1"/>
  <c r="AB446" i="11" s="1"/>
  <c r="AC446" i="11" s="1"/>
  <c r="AD446" i="11" s="1"/>
  <c r="D42" i="6" s="1"/>
  <c r="T451" i="11"/>
  <c r="U451" i="11" s="1"/>
  <c r="V451" i="11" s="1"/>
  <c r="W451" i="11" s="1"/>
  <c r="X451" i="11" s="1"/>
  <c r="Y451" i="11" s="1"/>
  <c r="Z451" i="11" s="1"/>
  <c r="AA451" i="11" s="1"/>
  <c r="AB451" i="11" s="1"/>
  <c r="AC451" i="11" s="1"/>
  <c r="AD451" i="11" s="1"/>
  <c r="D55" i="1" s="1"/>
  <c r="Q24" i="6"/>
  <c r="Q36" i="6"/>
  <c r="Q37" i="6"/>
  <c r="S37" i="6" s="1"/>
  <c r="AF453" i="11"/>
  <c r="AF454" i="11"/>
  <c r="T449" i="11"/>
  <c r="U449" i="11" s="1"/>
  <c r="V449" i="11" s="1"/>
  <c r="W449" i="11" s="1"/>
  <c r="X449" i="11" s="1"/>
  <c r="Y449" i="11" s="1"/>
  <c r="Z449" i="11" s="1"/>
  <c r="AA449" i="11" s="1"/>
  <c r="AB449" i="11" s="1"/>
  <c r="AC449" i="11" s="1"/>
  <c r="AD449" i="11" s="1"/>
  <c r="D24" i="10" s="1"/>
  <c r="T453" i="11"/>
  <c r="U453" i="11" s="1"/>
  <c r="V453" i="11" s="1"/>
  <c r="W453" i="11" s="1"/>
  <c r="X453" i="11" s="1"/>
  <c r="Y453" i="11" s="1"/>
  <c r="Z453" i="11" s="1"/>
  <c r="AA453" i="11" s="1"/>
  <c r="AB453" i="11" s="1"/>
  <c r="AC453" i="11" s="1"/>
  <c r="AD453" i="11" s="1"/>
  <c r="Q23" i="10"/>
  <c r="T457" i="11"/>
  <c r="U457" i="11" s="1"/>
  <c r="V457" i="11" s="1"/>
  <c r="W457" i="11" s="1"/>
  <c r="X457" i="11" s="1"/>
  <c r="Y457" i="11" s="1"/>
  <c r="Z457" i="11" s="1"/>
  <c r="AA457" i="11" s="1"/>
  <c r="AB457" i="11" s="1"/>
  <c r="AC457" i="11" s="1"/>
  <c r="AD457" i="11" s="1"/>
  <c r="D25" i="10" s="1"/>
  <c r="Q24" i="9"/>
  <c r="Q23" i="9"/>
  <c r="S23" i="9" s="1"/>
  <c r="Q24" i="10"/>
  <c r="Q41" i="6"/>
  <c r="S41" i="6" s="1"/>
  <c r="AF443" i="11"/>
  <c r="Q43" i="6"/>
  <c r="Q25" i="9"/>
  <c r="Q25" i="10"/>
  <c r="T443" i="11"/>
  <c r="U443" i="11" s="1"/>
  <c r="V443" i="11" s="1"/>
  <c r="W443" i="11" s="1"/>
  <c r="X443" i="11" s="1"/>
  <c r="Y443" i="11" s="1"/>
  <c r="Z443" i="11" s="1"/>
  <c r="AA443" i="11" s="1"/>
  <c r="AB443" i="11" s="1"/>
  <c r="AC443" i="11" s="1"/>
  <c r="AD443" i="11" s="1"/>
  <c r="D54" i="1" s="1"/>
  <c r="AF445" i="11"/>
  <c r="AF441" i="11"/>
  <c r="AF450" i="11"/>
  <c r="AF459" i="11"/>
  <c r="T448" i="11"/>
  <c r="U448" i="11" s="1"/>
  <c r="V448" i="11" s="1"/>
  <c r="W448" i="11" s="1"/>
  <c r="X448" i="11" s="1"/>
  <c r="Y448" i="11" s="1"/>
  <c r="Z448" i="11" s="1"/>
  <c r="AA448" i="11" s="1"/>
  <c r="AB448" i="11" s="1"/>
  <c r="AC448" i="11" s="1"/>
  <c r="AD448" i="11" s="1"/>
  <c r="D24" i="9" s="1"/>
  <c r="U441" i="11"/>
  <c r="V441" i="11" s="1"/>
  <c r="W441" i="11" s="1"/>
  <c r="X441" i="11" s="1"/>
  <c r="Y441" i="11" s="1"/>
  <c r="Z441" i="11" s="1"/>
  <c r="AA441" i="11" s="1"/>
  <c r="AB441" i="11" s="1"/>
  <c r="AC441" i="11" s="1"/>
  <c r="AD441" i="11" s="1"/>
  <c r="D23" i="10" s="1"/>
  <c r="T447" i="11"/>
  <c r="U447" i="11" s="1"/>
  <c r="V447" i="11" s="1"/>
  <c r="W447" i="11" s="1"/>
  <c r="X447" i="11" s="1"/>
  <c r="Y447" i="11" s="1"/>
  <c r="Z447" i="11" s="1"/>
  <c r="AA447" i="11" s="1"/>
  <c r="AB447" i="11" s="1"/>
  <c r="AC447" i="11" s="1"/>
  <c r="AD447" i="11" s="1"/>
  <c r="D42" i="7" s="1"/>
  <c r="T458" i="11"/>
  <c r="U458" i="11" s="1"/>
  <c r="V458" i="11" s="1"/>
  <c r="W458" i="11" s="1"/>
  <c r="X458" i="11" s="1"/>
  <c r="Y458" i="11" s="1"/>
  <c r="Z458" i="11" s="1"/>
  <c r="AA458" i="11" s="1"/>
  <c r="AB458" i="11" s="1"/>
  <c r="AC458" i="11" s="1"/>
  <c r="AD458" i="11" s="1"/>
  <c r="D30" i="8" s="1"/>
  <c r="AF437" i="11"/>
  <c r="AF440" i="11"/>
  <c r="AF451" i="11"/>
  <c r="AF456" i="11"/>
  <c r="AF442" i="11"/>
  <c r="AF438" i="11"/>
  <c r="AF455" i="11"/>
  <c r="S440" i="11"/>
  <c r="T440" i="11" s="1"/>
  <c r="U440" i="11" s="1"/>
  <c r="V440" i="11" s="1"/>
  <c r="W440" i="11" s="1"/>
  <c r="X440" i="11" s="1"/>
  <c r="Y440" i="11" s="1"/>
  <c r="Z440" i="11" s="1"/>
  <c r="AA440" i="11" s="1"/>
  <c r="AB440" i="11" s="1"/>
  <c r="AC440" i="11" s="1"/>
  <c r="AD440" i="11" s="1"/>
  <c r="D23" i="9" s="1"/>
  <c r="S442" i="11"/>
  <c r="T442" i="11" s="1"/>
  <c r="U442" i="11" s="1"/>
  <c r="V442" i="11" s="1"/>
  <c r="W442" i="11" s="1"/>
  <c r="X442" i="11" s="1"/>
  <c r="Y442" i="11" s="1"/>
  <c r="Z442" i="11" s="1"/>
  <c r="AA442" i="11" s="1"/>
  <c r="AB442" i="11" s="1"/>
  <c r="AC442" i="11" s="1"/>
  <c r="AD442" i="11" s="1"/>
  <c r="D28" i="8" s="1"/>
  <c r="Q42" i="6"/>
  <c r="AF446" i="11"/>
  <c r="Q63" i="1"/>
  <c r="S63" i="1" s="1"/>
  <c r="Q45" i="5"/>
  <c r="S45" i="5" s="1"/>
  <c r="Q26" i="5"/>
  <c r="S26" i="5" s="1"/>
  <c r="S437" i="11"/>
  <c r="T437" i="11" s="1"/>
  <c r="U437" i="11" s="1"/>
  <c r="V437" i="11" s="1"/>
  <c r="W437" i="11" s="1"/>
  <c r="X437" i="11" s="1"/>
  <c r="Y437" i="11" s="1"/>
  <c r="Z437" i="11" s="1"/>
  <c r="AA437" i="11" s="1"/>
  <c r="AB437" i="11" s="1"/>
  <c r="AC437" i="11" s="1"/>
  <c r="AD437" i="11" s="1"/>
  <c r="AF458" i="11"/>
  <c r="AF449" i="11"/>
  <c r="S455" i="11"/>
  <c r="T455" i="11" s="1"/>
  <c r="U455" i="11" s="1"/>
  <c r="V455" i="11" s="1"/>
  <c r="W455" i="11" s="1"/>
  <c r="X455" i="11" s="1"/>
  <c r="Y455" i="11" s="1"/>
  <c r="Z455" i="11" s="1"/>
  <c r="AA455" i="11" s="1"/>
  <c r="AB455" i="11" s="1"/>
  <c r="AC455" i="11" s="1"/>
  <c r="AD455" i="11" s="1"/>
  <c r="S445" i="11"/>
  <c r="T445" i="11" s="1"/>
  <c r="U445" i="11" s="1"/>
  <c r="V445" i="11" s="1"/>
  <c r="W445" i="11" s="1"/>
  <c r="X445" i="11" s="1"/>
  <c r="Y445" i="11" s="1"/>
  <c r="Z445" i="11" s="1"/>
  <c r="AA445" i="11" s="1"/>
  <c r="AB445" i="11" s="1"/>
  <c r="AC445" i="11" s="1"/>
  <c r="AD445" i="11" s="1"/>
  <c r="AF457" i="11"/>
  <c r="AF448" i="11"/>
  <c r="AF439" i="11"/>
  <c r="S454" i="11"/>
  <c r="T454" i="11" s="1"/>
  <c r="U454" i="11" s="1"/>
  <c r="V454" i="11" s="1"/>
  <c r="W454" i="11" s="1"/>
  <c r="X454" i="11" s="1"/>
  <c r="Y454" i="11" s="1"/>
  <c r="Z454" i="11" s="1"/>
  <c r="AA454" i="11" s="1"/>
  <c r="AB454" i="11" s="1"/>
  <c r="AC454" i="11" s="1"/>
  <c r="AD454" i="11" s="1"/>
  <c r="AF447" i="11"/>
  <c r="R24" i="9" l="1"/>
  <c r="R25" i="10"/>
  <c r="R43" i="7"/>
  <c r="S42" i="7"/>
  <c r="R42" i="7"/>
  <c r="S16" i="7"/>
  <c r="S35" i="7"/>
  <c r="S41" i="7"/>
  <c r="R41" i="7"/>
  <c r="S28" i="10"/>
  <c r="R25" i="9"/>
  <c r="D43" i="7"/>
  <c r="D43" i="6"/>
  <c r="R43" i="6"/>
  <c r="R23" i="10"/>
  <c r="S23" i="10"/>
  <c r="R24" i="10"/>
  <c r="S24" i="10"/>
  <c r="S24" i="9"/>
  <c r="R42" i="6"/>
  <c r="S42" i="6"/>
  <c r="Q44" i="5"/>
  <c r="R41" i="6"/>
  <c r="R23" i="9"/>
  <c r="AF409" i="11"/>
  <c r="S409" i="11"/>
  <c r="S423" i="11"/>
  <c r="AF423" i="11"/>
  <c r="AF429" i="11"/>
  <c r="S429" i="11"/>
  <c r="T429" i="11" s="1"/>
  <c r="U429" i="11" s="1"/>
  <c r="V429" i="11" s="1"/>
  <c r="W429" i="11" s="1"/>
  <c r="X429" i="11" s="1"/>
  <c r="Y429" i="11" s="1"/>
  <c r="Z429" i="11" s="1"/>
  <c r="AA429" i="11" s="1"/>
  <c r="AB429" i="11" s="1"/>
  <c r="AC429" i="11" s="1"/>
  <c r="AD429" i="11" s="1"/>
  <c r="D45" i="5" s="1"/>
  <c r="AF422" i="11"/>
  <c r="S422" i="11"/>
  <c r="AF406" i="11"/>
  <c r="S406" i="11"/>
  <c r="AF418" i="11"/>
  <c r="S418" i="11"/>
  <c r="T418" i="11" s="1"/>
  <c r="U418" i="11" s="1"/>
  <c r="V418" i="11" s="1"/>
  <c r="W418" i="11" s="1"/>
  <c r="X418" i="11" s="1"/>
  <c r="Y418" i="11" s="1"/>
  <c r="Z418" i="11" s="1"/>
  <c r="AA418" i="11" s="1"/>
  <c r="AB418" i="11" s="1"/>
  <c r="AC418" i="11" s="1"/>
  <c r="AD418" i="11" s="1"/>
  <c r="D25" i="8" s="1"/>
  <c r="AF433" i="11"/>
  <c r="S433" i="11"/>
  <c r="S419" i="11"/>
  <c r="T419" i="11" s="1"/>
  <c r="U419" i="11" s="1"/>
  <c r="V419" i="11" s="1"/>
  <c r="W419" i="11" s="1"/>
  <c r="X419" i="11" s="1"/>
  <c r="Y419" i="11" s="1"/>
  <c r="Z419" i="11" s="1"/>
  <c r="AA419" i="11" s="1"/>
  <c r="AB419" i="11" s="1"/>
  <c r="AC419" i="11" s="1"/>
  <c r="AD419" i="11" s="1"/>
  <c r="D18" i="1" s="1"/>
  <c r="AF419" i="11"/>
  <c r="AF426" i="11"/>
  <c r="S426" i="11"/>
  <c r="AF417" i="11"/>
  <c r="S417" i="11"/>
  <c r="AF435" i="11"/>
  <c r="S435" i="11"/>
  <c r="T435" i="11" s="1"/>
  <c r="U435" i="11" s="1"/>
  <c r="V435" i="11" s="1"/>
  <c r="W435" i="11" s="1"/>
  <c r="X435" i="11" s="1"/>
  <c r="Y435" i="11" s="1"/>
  <c r="Z435" i="11" s="1"/>
  <c r="AA435" i="11" s="1"/>
  <c r="AB435" i="11" s="1"/>
  <c r="AC435" i="11" s="1"/>
  <c r="S432" i="11"/>
  <c r="AF432" i="11"/>
  <c r="Q24" i="1"/>
  <c r="AF407" i="11"/>
  <c r="S407" i="11"/>
  <c r="AF427" i="11"/>
  <c r="S427" i="11"/>
  <c r="T427" i="11" s="1"/>
  <c r="U427" i="11" s="1"/>
  <c r="V427" i="11" s="1"/>
  <c r="W427" i="11" s="1"/>
  <c r="X427" i="11" s="1"/>
  <c r="Y427" i="11" s="1"/>
  <c r="Z427" i="11" s="1"/>
  <c r="AA427" i="11" s="1"/>
  <c r="AB427" i="11" s="1"/>
  <c r="AC427" i="11" s="1"/>
  <c r="AD427" i="11" s="1"/>
  <c r="D24" i="1" s="1"/>
  <c r="S405" i="11"/>
  <c r="T405" i="11" s="1"/>
  <c r="U405" i="11" s="1"/>
  <c r="V405" i="11" s="1"/>
  <c r="W405" i="11" s="1"/>
  <c r="X405" i="11" s="1"/>
  <c r="Y405" i="11" s="1"/>
  <c r="Z405" i="11" s="1"/>
  <c r="AA405" i="11" s="1"/>
  <c r="AB405" i="11" s="1"/>
  <c r="AC405" i="11" s="1"/>
  <c r="AD405" i="11" s="1"/>
  <c r="D26" i="5" s="1"/>
  <c r="AF405" i="11"/>
  <c r="S416" i="11"/>
  <c r="AF416" i="11"/>
  <c r="S421" i="11"/>
  <c r="T421" i="11" s="1"/>
  <c r="U421" i="11" s="1"/>
  <c r="V421" i="11" s="1"/>
  <c r="W421" i="11" s="1"/>
  <c r="X421" i="11" s="1"/>
  <c r="Y421" i="11" s="1"/>
  <c r="Z421" i="11" s="1"/>
  <c r="AA421" i="11" s="1"/>
  <c r="AB421" i="11" s="1"/>
  <c r="AC421" i="11" s="1"/>
  <c r="AD421" i="11" s="1"/>
  <c r="D44" i="5" s="1"/>
  <c r="AF421" i="11"/>
  <c r="S431" i="11"/>
  <c r="AF431" i="11"/>
  <c r="S411" i="11"/>
  <c r="T411" i="11" s="1"/>
  <c r="U411" i="11" s="1"/>
  <c r="V411" i="11" s="1"/>
  <c r="W411" i="11" s="1"/>
  <c r="X411" i="11" s="1"/>
  <c r="Y411" i="11" s="1"/>
  <c r="Z411" i="11" s="1"/>
  <c r="AA411" i="11" s="1"/>
  <c r="AB411" i="11" s="1"/>
  <c r="AF415" i="11"/>
  <c r="S415" i="11"/>
  <c r="T415" i="11" s="1"/>
  <c r="U415" i="11" s="1"/>
  <c r="V415" i="11" s="1"/>
  <c r="W415" i="11" s="1"/>
  <c r="X415" i="11" s="1"/>
  <c r="Y415" i="11" s="1"/>
  <c r="Z415" i="11" s="1"/>
  <c r="AA415" i="11" s="1"/>
  <c r="AB415" i="11" s="1"/>
  <c r="AC415" i="11" s="1"/>
  <c r="AD415" i="11" s="1"/>
  <c r="D17" i="7" s="1"/>
  <c r="AF425" i="11"/>
  <c r="S425" i="11"/>
  <c r="S430" i="11"/>
  <c r="AF430" i="11"/>
  <c r="AF408" i="11"/>
  <c r="S408" i="11"/>
  <c r="S413" i="11"/>
  <c r="AF413" i="11"/>
  <c r="AF410" i="11"/>
  <c r="S410" i="11"/>
  <c r="S414" i="11"/>
  <c r="AF414" i="11"/>
  <c r="AF424" i="11"/>
  <c r="S424" i="11"/>
  <c r="S434" i="11"/>
  <c r="AF434" i="11"/>
  <c r="S24" i="1" l="1"/>
  <c r="S44" i="5"/>
  <c r="AD435" i="11"/>
  <c r="D63" i="1" s="1"/>
  <c r="R17" i="7"/>
  <c r="T424" i="11"/>
  <c r="U424" i="11" s="1"/>
  <c r="V424" i="11" s="1"/>
  <c r="W424" i="11" s="1"/>
  <c r="X424" i="11" s="1"/>
  <c r="Y424" i="11" s="1"/>
  <c r="Z424" i="11" s="1"/>
  <c r="AA424" i="11" s="1"/>
  <c r="AB424" i="11" s="1"/>
  <c r="AC424" i="11" s="1"/>
  <c r="AD424" i="11" s="1"/>
  <c r="T416" i="11"/>
  <c r="U416" i="11" s="1"/>
  <c r="V416" i="11" s="1"/>
  <c r="W416" i="11" s="1"/>
  <c r="X416" i="11" s="1"/>
  <c r="Y416" i="11" s="1"/>
  <c r="Z416" i="11" s="1"/>
  <c r="AA416" i="11" s="1"/>
  <c r="AB416" i="11" s="1"/>
  <c r="AC416" i="11" s="1"/>
  <c r="AD416" i="11" s="1"/>
  <c r="D20" i="9" s="1"/>
  <c r="T422" i="11"/>
  <c r="U422" i="11" s="1"/>
  <c r="V422" i="11" s="1"/>
  <c r="W422" i="11" s="1"/>
  <c r="X422" i="11" s="1"/>
  <c r="Y422" i="11" s="1"/>
  <c r="Z422" i="11" s="1"/>
  <c r="AA422" i="11" s="1"/>
  <c r="T433" i="11"/>
  <c r="U433" i="11" s="1"/>
  <c r="V433" i="11" s="1"/>
  <c r="W433" i="11" s="1"/>
  <c r="T410" i="11"/>
  <c r="U410" i="11" s="1"/>
  <c r="V410" i="11" s="1"/>
  <c r="W410" i="11" s="1"/>
  <c r="X410" i="11" s="1"/>
  <c r="Y410" i="11" s="1"/>
  <c r="Z410" i="11" s="1"/>
  <c r="AA410" i="11" s="1"/>
  <c r="AB410" i="11" s="1"/>
  <c r="AC410" i="11" s="1"/>
  <c r="AD410" i="11" s="1"/>
  <c r="D24" i="8" s="1"/>
  <c r="T408" i="11"/>
  <c r="U408" i="11" s="1"/>
  <c r="V408" i="11" s="1"/>
  <c r="W408" i="11" s="1"/>
  <c r="X408" i="11" s="1"/>
  <c r="Y408" i="11" s="1"/>
  <c r="Z408" i="11" s="1"/>
  <c r="AA408" i="11" s="1"/>
  <c r="AB408" i="11" s="1"/>
  <c r="AC408" i="11" s="1"/>
  <c r="AD408" i="11" s="1"/>
  <c r="D19" i="9" s="1"/>
  <c r="T432" i="11"/>
  <c r="U432" i="11" s="1"/>
  <c r="V432" i="11" s="1"/>
  <c r="W432" i="11" s="1"/>
  <c r="X432" i="11" s="1"/>
  <c r="Y432" i="11" s="1"/>
  <c r="Z432" i="11" s="1"/>
  <c r="AA432" i="11" s="1"/>
  <c r="AB432" i="11" s="1"/>
  <c r="AC432" i="11" s="1"/>
  <c r="AD432" i="11" s="1"/>
  <c r="D27" i="9" s="1"/>
  <c r="T425" i="11"/>
  <c r="U425" i="11" s="1"/>
  <c r="V425" i="11" s="1"/>
  <c r="W425" i="11" s="1"/>
  <c r="X425" i="11" s="1"/>
  <c r="Y425" i="11" s="1"/>
  <c r="T407" i="11"/>
  <c r="T423" i="11"/>
  <c r="U423" i="11" s="1"/>
  <c r="V423" i="11" s="1"/>
  <c r="W423" i="11" s="1"/>
  <c r="X423" i="11" s="1"/>
  <c r="Y423" i="11" s="1"/>
  <c r="T414" i="11"/>
  <c r="U414" i="11" s="1"/>
  <c r="V414" i="11" s="1"/>
  <c r="W414" i="11" s="1"/>
  <c r="X414" i="11" s="1"/>
  <c r="Y414" i="11" s="1"/>
  <c r="Z414" i="11" s="1"/>
  <c r="AA414" i="11" s="1"/>
  <c r="AB414" i="11" s="1"/>
  <c r="AC414" i="11" s="1"/>
  <c r="AD414" i="11" s="1"/>
  <c r="D24" i="6" s="1"/>
  <c r="T430" i="11"/>
  <c r="U430" i="11" s="1"/>
  <c r="V430" i="11" s="1"/>
  <c r="W430" i="11" s="1"/>
  <c r="X430" i="11" s="1"/>
  <c r="Y430" i="11" s="1"/>
  <c r="Z430" i="11" s="1"/>
  <c r="AA430" i="11" s="1"/>
  <c r="AB430" i="11" s="1"/>
  <c r="AC430" i="11" s="1"/>
  <c r="AD430" i="11" s="1"/>
  <c r="D37" i="6" s="1"/>
  <c r="T431" i="11"/>
  <c r="U431" i="11" s="1"/>
  <c r="V431" i="11" s="1"/>
  <c r="W431" i="11" s="1"/>
  <c r="X431" i="11" s="1"/>
  <c r="T417" i="11"/>
  <c r="U417" i="11" s="1"/>
  <c r="V417" i="11" s="1"/>
  <c r="W417" i="11" s="1"/>
  <c r="X417" i="11" s="1"/>
  <c r="Y417" i="11" s="1"/>
  <c r="Z417" i="11" s="1"/>
  <c r="AA417" i="11" s="1"/>
  <c r="AB417" i="11" s="1"/>
  <c r="AC417" i="11" s="1"/>
  <c r="AD417" i="11" s="1"/>
  <c r="D20" i="10" s="1"/>
  <c r="T434" i="11"/>
  <c r="U434" i="11" s="1"/>
  <c r="V434" i="11" s="1"/>
  <c r="W434" i="11" s="1"/>
  <c r="X434" i="11" s="1"/>
  <c r="Y434" i="11" s="1"/>
  <c r="Z434" i="11" s="1"/>
  <c r="AA434" i="11" s="1"/>
  <c r="AB434" i="11" s="1"/>
  <c r="AC434" i="11" s="1"/>
  <c r="AD434" i="11" s="1"/>
  <c r="D33" i="8" s="1"/>
  <c r="T426" i="11"/>
  <c r="U426" i="11" s="1"/>
  <c r="V426" i="11" s="1"/>
  <c r="W426" i="11" s="1"/>
  <c r="X426" i="11" s="1"/>
  <c r="Y426" i="11" s="1"/>
  <c r="Z426" i="11" s="1"/>
  <c r="AA426" i="11" s="1"/>
  <c r="T406" i="11"/>
  <c r="U406" i="11" s="1"/>
  <c r="V406" i="11" s="1"/>
  <c r="W406" i="11" s="1"/>
  <c r="X406" i="11" s="1"/>
  <c r="Y406" i="11" s="1"/>
  <c r="Z406" i="11" s="1"/>
  <c r="AA406" i="11" s="1"/>
  <c r="AB406" i="11" s="1"/>
  <c r="AC406" i="11" s="1"/>
  <c r="AD406" i="11" s="1"/>
  <c r="D23" i="6" s="1"/>
  <c r="T409" i="11"/>
  <c r="U409" i="11" s="1"/>
  <c r="V409" i="11" s="1"/>
  <c r="W409" i="11" s="1"/>
  <c r="X409" i="11" s="1"/>
  <c r="Y409" i="11" s="1"/>
  <c r="Z409" i="11" s="1"/>
  <c r="AA409" i="11" s="1"/>
  <c r="AB409" i="11" s="1"/>
  <c r="AC409" i="11" s="1"/>
  <c r="AD409" i="11" s="1"/>
  <c r="D19" i="10" s="1"/>
  <c r="AF403" i="11"/>
  <c r="R26" i="5"/>
  <c r="T413" i="11"/>
  <c r="U413" i="11" s="1"/>
  <c r="V413" i="11" s="1"/>
  <c r="W413" i="11" s="1"/>
  <c r="X413" i="11" s="1"/>
  <c r="Y413" i="11" s="1"/>
  <c r="Z413" i="11" s="1"/>
  <c r="AA413" i="11" s="1"/>
  <c r="AB413" i="11" s="1"/>
  <c r="AC413" i="11" s="1"/>
  <c r="AD413" i="11" s="1"/>
  <c r="D27" i="5" s="1"/>
  <c r="S403" i="11"/>
  <c r="T403" i="11" s="1"/>
  <c r="U403" i="11" s="1"/>
  <c r="V403" i="11" s="1"/>
  <c r="W403" i="11" s="1"/>
  <c r="X403" i="11" s="1"/>
  <c r="U407" i="11" l="1"/>
  <c r="V407" i="11" s="1"/>
  <c r="W407" i="11" s="1"/>
  <c r="X407" i="11" s="1"/>
  <c r="AB422" i="11"/>
  <c r="AC422" i="11" s="1"/>
  <c r="AD422" i="11" s="1"/>
  <c r="D36" i="6" s="1"/>
  <c r="AB426" i="11"/>
  <c r="AC426" i="11" s="1"/>
  <c r="AD426" i="11" s="1"/>
  <c r="D32" i="8" s="1"/>
  <c r="Z423" i="11"/>
  <c r="AA423" i="11" s="1"/>
  <c r="AB423" i="11" s="1"/>
  <c r="AC423" i="11" s="1"/>
  <c r="AD423" i="11" s="1"/>
  <c r="D34" i="7" s="1"/>
  <c r="Z425" i="11"/>
  <c r="AA425" i="11" s="1"/>
  <c r="AB425" i="11" s="1"/>
  <c r="AC425" i="11" s="1"/>
  <c r="AD425" i="11" s="1"/>
  <c r="D27" i="10" s="1"/>
  <c r="Y431" i="11"/>
  <c r="Z431" i="11" s="1"/>
  <c r="AA431" i="11" s="1"/>
  <c r="AB431" i="11" s="1"/>
  <c r="AC431" i="11" s="1"/>
  <c r="AD431" i="11" s="1"/>
  <c r="D35" i="7" s="1"/>
  <c r="Y407" i="11"/>
  <c r="Z407" i="11" s="1"/>
  <c r="AA407" i="11" s="1"/>
  <c r="AB407" i="11" s="1"/>
  <c r="AC407" i="11" s="1"/>
  <c r="AD407" i="11" s="1"/>
  <c r="D16" i="7" s="1"/>
  <c r="Q29" i="7"/>
  <c r="X433" i="11"/>
  <c r="Y433" i="11" s="1"/>
  <c r="R19" i="9"/>
  <c r="R24" i="6"/>
  <c r="R20" i="9"/>
  <c r="R19" i="10"/>
  <c r="R20" i="10"/>
  <c r="R27" i="5"/>
  <c r="R23" i="6"/>
  <c r="Y403" i="11"/>
  <c r="Z403" i="11" s="1"/>
  <c r="AA403" i="11" s="1"/>
  <c r="AB403" i="11" s="1"/>
  <c r="AC403" i="11" s="1"/>
  <c r="AD403" i="11" s="1"/>
  <c r="D29" i="7" s="1"/>
  <c r="R16" i="7" l="1"/>
  <c r="Z433" i="11"/>
  <c r="AA433" i="11" s="1"/>
  <c r="AB433" i="11" s="1"/>
  <c r="AC433" i="11" s="1"/>
  <c r="AD433" i="11" s="1"/>
  <c r="D28" i="10" s="1"/>
  <c r="R29" i="7"/>
  <c r="S29" i="7"/>
  <c r="B65" i="2"/>
  <c r="S34" i="10" l="1"/>
  <c r="Q48" i="7"/>
  <c r="S48" i="7" s="1"/>
  <c r="Q47" i="7"/>
  <c r="Q37" i="7"/>
  <c r="Q46" i="7"/>
  <c r="Q49" i="7"/>
  <c r="Q51" i="5"/>
  <c r="Q43" i="9"/>
  <c r="Q47" i="6"/>
  <c r="Q50" i="5"/>
  <c r="Q49" i="5"/>
  <c r="Q42" i="9"/>
  <c r="Q46" i="6"/>
  <c r="Q48" i="5"/>
  <c r="Q44" i="9"/>
  <c r="Q48" i="6"/>
  <c r="Q38" i="10"/>
  <c r="Q39" i="9"/>
  <c r="Q52" i="6"/>
  <c r="F11" i="6"/>
  <c r="F14" i="5"/>
  <c r="F8" i="7"/>
  <c r="F7" i="8"/>
  <c r="F7" i="10"/>
  <c r="F7" i="9"/>
  <c r="F35" i="5"/>
  <c r="F8" i="5"/>
  <c r="F12" i="5"/>
  <c r="F10" i="8"/>
  <c r="F10" i="10"/>
  <c r="F10" i="9"/>
  <c r="F11" i="7"/>
  <c r="F35" i="8"/>
  <c r="F29" i="9"/>
  <c r="F26" i="6"/>
  <c r="F8" i="6"/>
  <c r="S51" i="5" l="1"/>
  <c r="S29" i="5"/>
  <c r="S35" i="9"/>
  <c r="S46" i="7"/>
  <c r="S49" i="7"/>
  <c r="S47" i="7"/>
  <c r="Q41" i="10"/>
  <c r="S41" i="10" s="1"/>
  <c r="S42" i="9"/>
  <c r="S49" i="5"/>
  <c r="S48" i="6"/>
  <c r="S44" i="9"/>
  <c r="S50" i="5"/>
  <c r="S48" i="5"/>
  <c r="S47" i="6"/>
  <c r="S43" i="9"/>
  <c r="S46" i="6"/>
  <c r="Q42" i="10"/>
  <c r="Q43" i="10"/>
  <c r="S43" i="10" s="1"/>
  <c r="O397" i="11"/>
  <c r="O396" i="11"/>
  <c r="O401" i="11"/>
  <c r="O400" i="11"/>
  <c r="O391" i="11"/>
  <c r="O389" i="11"/>
  <c r="O398" i="11"/>
  <c r="O394" i="11"/>
  <c r="O390" i="11"/>
  <c r="O393" i="11"/>
  <c r="D349" i="11"/>
  <c r="D286" i="11"/>
  <c r="S42" i="10" l="1"/>
  <c r="O388" i="11"/>
  <c r="O395" i="11"/>
  <c r="D20" i="11"/>
  <c r="AF30" i="11"/>
  <c r="D388" i="11"/>
  <c r="S30" i="11"/>
  <c r="AF383" i="11" l="1"/>
  <c r="Q13" i="5" l="1"/>
  <c r="Q43" i="5"/>
  <c r="S43" i="5" s="1"/>
  <c r="Q6" i="7"/>
  <c r="Q9" i="7"/>
  <c r="Q25" i="7"/>
  <c r="Q28" i="7"/>
  <c r="Q7" i="7"/>
  <c r="Q10" i="7"/>
  <c r="Q12" i="7"/>
  <c r="Q13" i="7"/>
  <c r="Q31" i="7"/>
  <c r="Q32" i="7"/>
  <c r="Q33" i="7"/>
  <c r="Q27" i="7"/>
  <c r="Q19" i="5"/>
  <c r="S19" i="5" s="1"/>
  <c r="Q16" i="6"/>
  <c r="Q14" i="7"/>
  <c r="Q17" i="9"/>
  <c r="Q17" i="10"/>
  <c r="S46" i="9" l="1"/>
  <c r="S32" i="7"/>
  <c r="S9" i="7"/>
  <c r="S25" i="7"/>
  <c r="S13" i="7"/>
  <c r="S31" i="7"/>
  <c r="S12" i="7"/>
  <c r="S33" i="7"/>
  <c r="S6" i="7"/>
  <c r="S10" i="7"/>
  <c r="S14" i="7"/>
  <c r="S50" i="7"/>
  <c r="S7" i="7"/>
  <c r="S27" i="7"/>
  <c r="S28" i="7"/>
  <c r="S52" i="8"/>
  <c r="Q51" i="1"/>
  <c r="S16" i="6"/>
  <c r="S17" i="9"/>
  <c r="S17" i="10"/>
  <c r="Q40" i="7"/>
  <c r="S13" i="5"/>
  <c r="Q39" i="7"/>
  <c r="Q48" i="8"/>
  <c r="Q22" i="8"/>
  <c r="Q49" i="8"/>
  <c r="Q50" i="8"/>
  <c r="Q15" i="1"/>
  <c r="S39" i="7" l="1"/>
  <c r="S40" i="7"/>
  <c r="S50" i="8"/>
  <c r="S49" i="8"/>
  <c r="S48" i="8"/>
  <c r="Q9" i="5"/>
  <c r="S9" i="5" s="1"/>
  <c r="E14" i="5"/>
  <c r="Q14" i="5" s="1"/>
  <c r="S14" i="5" s="1"/>
  <c r="S22" i="8"/>
  <c r="S15" i="1"/>
  <c r="S45" i="10"/>
  <c r="AD434" i="18" l="1"/>
  <c r="AC434" i="18"/>
  <c r="AB434" i="18"/>
  <c r="AA434" i="18"/>
  <c r="Z434" i="18"/>
  <c r="Y434" i="18"/>
  <c r="X434" i="18"/>
  <c r="W434" i="18"/>
  <c r="V434" i="18"/>
  <c r="U434" i="18"/>
  <c r="T434" i="18"/>
  <c r="S434" i="18"/>
  <c r="AD433" i="18"/>
  <c r="AC433" i="18"/>
  <c r="AB433" i="18"/>
  <c r="AA433" i="18"/>
  <c r="Z433" i="18"/>
  <c r="Y433" i="18"/>
  <c r="X433" i="18"/>
  <c r="W433" i="18"/>
  <c r="V433" i="18"/>
  <c r="U433" i="18"/>
  <c r="T433" i="18"/>
  <c r="S433" i="18"/>
  <c r="AD432" i="18"/>
  <c r="AC432" i="18"/>
  <c r="AB432" i="18"/>
  <c r="AA432" i="18"/>
  <c r="Z432" i="18"/>
  <c r="Y432" i="18"/>
  <c r="X432" i="18"/>
  <c r="W432" i="18"/>
  <c r="V432" i="18"/>
  <c r="U432" i="18"/>
  <c r="T432" i="18"/>
  <c r="S432" i="18"/>
  <c r="AD426" i="18"/>
  <c r="AC426" i="18"/>
  <c r="AB426" i="18"/>
  <c r="AA426" i="18"/>
  <c r="Z426" i="18"/>
  <c r="Y426" i="18"/>
  <c r="X426" i="18"/>
  <c r="W426" i="18"/>
  <c r="V426" i="18"/>
  <c r="U426" i="18"/>
  <c r="T426" i="18"/>
  <c r="S426" i="18"/>
  <c r="AD425" i="18"/>
  <c r="AC425" i="18"/>
  <c r="AB425" i="18"/>
  <c r="AA425" i="18"/>
  <c r="Z425" i="18"/>
  <c r="Y425" i="18"/>
  <c r="X425" i="18"/>
  <c r="W425" i="18"/>
  <c r="V425" i="18"/>
  <c r="U425" i="18"/>
  <c r="T425" i="18"/>
  <c r="S425" i="18"/>
  <c r="AD424" i="18"/>
  <c r="AC424" i="18"/>
  <c r="AB424" i="18"/>
  <c r="AA424" i="18"/>
  <c r="Z424" i="18"/>
  <c r="Y424" i="18"/>
  <c r="X424" i="18"/>
  <c r="W424" i="18"/>
  <c r="V424" i="18"/>
  <c r="U424" i="18"/>
  <c r="T424" i="18"/>
  <c r="S424" i="18"/>
  <c r="AD418" i="18"/>
  <c r="AC418" i="18"/>
  <c r="AB418" i="18"/>
  <c r="AA418" i="18"/>
  <c r="Z418" i="18"/>
  <c r="Y418" i="18"/>
  <c r="X418" i="18"/>
  <c r="W418" i="18"/>
  <c r="V418" i="18"/>
  <c r="U418" i="18"/>
  <c r="T418" i="18"/>
  <c r="S418" i="18"/>
  <c r="AD417" i="18"/>
  <c r="AC417" i="18"/>
  <c r="AB417" i="18"/>
  <c r="AA417" i="18"/>
  <c r="Z417" i="18"/>
  <c r="Y417" i="18"/>
  <c r="X417" i="18"/>
  <c r="W417" i="18"/>
  <c r="V417" i="18"/>
  <c r="U417" i="18"/>
  <c r="T417" i="18"/>
  <c r="S417" i="18"/>
  <c r="AD416" i="18"/>
  <c r="AC416" i="18"/>
  <c r="AB416" i="18"/>
  <c r="AA416" i="18"/>
  <c r="Z416" i="18"/>
  <c r="Y416" i="18"/>
  <c r="X416" i="18"/>
  <c r="W416" i="18"/>
  <c r="V416" i="18"/>
  <c r="U416" i="18"/>
  <c r="T416" i="18"/>
  <c r="S416" i="18"/>
  <c r="T410" i="18"/>
  <c r="U410" i="18"/>
  <c r="V410" i="18"/>
  <c r="W410" i="18"/>
  <c r="X410" i="18"/>
  <c r="Y410" i="18"/>
  <c r="Z410" i="18"/>
  <c r="AA410" i="18"/>
  <c r="AB410" i="18"/>
  <c r="AC410" i="18"/>
  <c r="AD410" i="18"/>
  <c r="T409" i="18"/>
  <c r="U409" i="18"/>
  <c r="V409" i="18"/>
  <c r="W409" i="18"/>
  <c r="X409" i="18"/>
  <c r="Y409" i="18"/>
  <c r="Z409" i="18"/>
  <c r="AA409" i="18"/>
  <c r="AB409" i="18"/>
  <c r="AC409" i="18"/>
  <c r="AD409" i="18"/>
  <c r="T408" i="18"/>
  <c r="U408" i="18"/>
  <c r="V408" i="18"/>
  <c r="W408" i="18"/>
  <c r="X408" i="18"/>
  <c r="Y408" i="18"/>
  <c r="Z408" i="18"/>
  <c r="AA408" i="18"/>
  <c r="AB408" i="18"/>
  <c r="AC408" i="18"/>
  <c r="AD408" i="18"/>
  <c r="S410" i="18"/>
  <c r="S409" i="18"/>
  <c r="S408" i="18"/>
  <c r="T428" i="18"/>
  <c r="U428" i="18" s="1"/>
  <c r="V428" i="18" s="1"/>
  <c r="W428" i="18" s="1"/>
  <c r="X428" i="18" s="1"/>
  <c r="Y428" i="18" s="1"/>
  <c r="Z428" i="18" s="1"/>
  <c r="AA428" i="18" s="1"/>
  <c r="AB428" i="18" s="1"/>
  <c r="AC428" i="18" s="1"/>
  <c r="AD428" i="18" s="1"/>
  <c r="S428" i="18"/>
  <c r="S427" i="18"/>
  <c r="T427" i="18" s="1"/>
  <c r="U427" i="18" s="1"/>
  <c r="V427" i="18" s="1"/>
  <c r="W427" i="18" s="1"/>
  <c r="X427" i="18" s="1"/>
  <c r="Y427" i="18" s="1"/>
  <c r="Z427" i="18" s="1"/>
  <c r="AA427" i="18" s="1"/>
  <c r="AB427" i="18" s="1"/>
  <c r="AC427" i="18" s="1"/>
  <c r="AD427" i="18" s="1"/>
  <c r="T420" i="18"/>
  <c r="U420" i="18" s="1"/>
  <c r="V420" i="18" s="1"/>
  <c r="W420" i="18" s="1"/>
  <c r="X420" i="18" s="1"/>
  <c r="Y420" i="18" s="1"/>
  <c r="Z420" i="18" s="1"/>
  <c r="AA420" i="18" s="1"/>
  <c r="AB420" i="18" s="1"/>
  <c r="AC420" i="18" s="1"/>
  <c r="AD420" i="18" s="1"/>
  <c r="S420" i="18"/>
  <c r="S419" i="18"/>
  <c r="T419" i="18" s="1"/>
  <c r="U419" i="18" s="1"/>
  <c r="V419" i="18" s="1"/>
  <c r="W419" i="18" s="1"/>
  <c r="X419" i="18" s="1"/>
  <c r="Y419" i="18" s="1"/>
  <c r="Z419" i="18" s="1"/>
  <c r="AA419" i="18" s="1"/>
  <c r="AB419" i="18" s="1"/>
  <c r="AC419" i="18" s="1"/>
  <c r="AD419" i="18" s="1"/>
  <c r="T412" i="18"/>
  <c r="U412" i="18" s="1"/>
  <c r="V412" i="18" s="1"/>
  <c r="W412" i="18" s="1"/>
  <c r="X412" i="18" s="1"/>
  <c r="Y412" i="18" s="1"/>
  <c r="Z412" i="18" s="1"/>
  <c r="AA412" i="18" s="1"/>
  <c r="AB412" i="18" s="1"/>
  <c r="AC412" i="18" s="1"/>
  <c r="AD412" i="18" s="1"/>
  <c r="S412" i="18"/>
  <c r="S411" i="18"/>
  <c r="T411" i="18" s="1"/>
  <c r="U411" i="18" s="1"/>
  <c r="V411" i="18" s="1"/>
  <c r="W411" i="18" s="1"/>
  <c r="X411" i="18" s="1"/>
  <c r="Y411" i="18" s="1"/>
  <c r="Z411" i="18" s="1"/>
  <c r="AA411" i="18" s="1"/>
  <c r="AB411" i="18" s="1"/>
  <c r="AC411" i="18" s="1"/>
  <c r="AD411" i="18" s="1"/>
  <c r="U431" i="18"/>
  <c r="V431" i="18" s="1"/>
  <c r="W431" i="18" s="1"/>
  <c r="X431" i="18" s="1"/>
  <c r="Y431" i="18" s="1"/>
  <c r="Z431" i="18" s="1"/>
  <c r="AA431" i="18" s="1"/>
  <c r="AB431" i="18" s="1"/>
  <c r="AC431" i="18" s="1"/>
  <c r="AD431" i="18" s="1"/>
  <c r="S431" i="18"/>
  <c r="S430" i="18"/>
  <c r="T430" i="18" s="1"/>
  <c r="U430" i="18" s="1"/>
  <c r="V430" i="18" s="1"/>
  <c r="W430" i="18" s="1"/>
  <c r="X430" i="18" s="1"/>
  <c r="Y430" i="18" s="1"/>
  <c r="Z430" i="18" s="1"/>
  <c r="AA430" i="18" s="1"/>
  <c r="AB430" i="18" s="1"/>
  <c r="AC430" i="18" s="1"/>
  <c r="AD430" i="18" s="1"/>
  <c r="T429" i="18"/>
  <c r="U429" i="18" s="1"/>
  <c r="V429" i="18" s="1"/>
  <c r="W429" i="18" s="1"/>
  <c r="X429" i="18" s="1"/>
  <c r="Y429" i="18" s="1"/>
  <c r="Z429" i="18" s="1"/>
  <c r="AA429" i="18" s="1"/>
  <c r="AB429" i="18" s="1"/>
  <c r="AC429" i="18" s="1"/>
  <c r="AD429" i="18" s="1"/>
  <c r="S429" i="18"/>
  <c r="S423" i="18"/>
  <c r="T423" i="18" s="1"/>
  <c r="U423" i="18" s="1"/>
  <c r="V423" i="18" s="1"/>
  <c r="W423" i="18" s="1"/>
  <c r="X423" i="18" s="1"/>
  <c r="Y423" i="18" s="1"/>
  <c r="Z423" i="18" s="1"/>
  <c r="AA423" i="18" s="1"/>
  <c r="AB423" i="18" s="1"/>
  <c r="AC423" i="18" s="1"/>
  <c r="AD423" i="18" s="1"/>
  <c r="S422" i="18"/>
  <c r="T422" i="18" s="1"/>
  <c r="U422" i="18" s="1"/>
  <c r="V422" i="18" s="1"/>
  <c r="W422" i="18" s="1"/>
  <c r="X422" i="18" s="1"/>
  <c r="Y422" i="18" s="1"/>
  <c r="Z422" i="18" s="1"/>
  <c r="AA422" i="18" s="1"/>
  <c r="AB422" i="18" s="1"/>
  <c r="AC422" i="18" s="1"/>
  <c r="AD422" i="18" s="1"/>
  <c r="S421" i="18"/>
  <c r="T421" i="18" s="1"/>
  <c r="U421" i="18" s="1"/>
  <c r="V421" i="18" s="1"/>
  <c r="W421" i="18" s="1"/>
  <c r="X421" i="18" s="1"/>
  <c r="Y421" i="18" s="1"/>
  <c r="Z421" i="18" s="1"/>
  <c r="AA421" i="18" s="1"/>
  <c r="AB421" i="18" s="1"/>
  <c r="AC421" i="18" s="1"/>
  <c r="AD421" i="18" s="1"/>
  <c r="S415" i="18"/>
  <c r="T415" i="18" s="1"/>
  <c r="U415" i="18" s="1"/>
  <c r="V415" i="18" s="1"/>
  <c r="W415" i="18" s="1"/>
  <c r="X415" i="18" s="1"/>
  <c r="Y415" i="18" s="1"/>
  <c r="Z415" i="18" s="1"/>
  <c r="AA415" i="18" s="1"/>
  <c r="AB415" i="18" s="1"/>
  <c r="AC415" i="18" s="1"/>
  <c r="AD415" i="18" s="1"/>
  <c r="S414" i="18"/>
  <c r="T414" i="18" s="1"/>
  <c r="U414" i="18" s="1"/>
  <c r="V414" i="18" s="1"/>
  <c r="W414" i="18" s="1"/>
  <c r="X414" i="18" s="1"/>
  <c r="Y414" i="18" s="1"/>
  <c r="Z414" i="18" s="1"/>
  <c r="AA414" i="18" s="1"/>
  <c r="AB414" i="18" s="1"/>
  <c r="AC414" i="18" s="1"/>
  <c r="AD414" i="18" s="1"/>
  <c r="S413" i="18"/>
  <c r="T413" i="18" s="1"/>
  <c r="U413" i="18" s="1"/>
  <c r="V413" i="18" s="1"/>
  <c r="W413" i="18" s="1"/>
  <c r="X413" i="18" s="1"/>
  <c r="Y413" i="18" s="1"/>
  <c r="Z413" i="18" s="1"/>
  <c r="AA413" i="18" s="1"/>
  <c r="AB413" i="18" s="1"/>
  <c r="AC413" i="18" s="1"/>
  <c r="AD413" i="18" s="1"/>
  <c r="S406" i="18"/>
  <c r="T406" i="18" s="1"/>
  <c r="U406" i="18" s="1"/>
  <c r="V406" i="18" s="1"/>
  <c r="W406" i="18" s="1"/>
  <c r="X406" i="18" s="1"/>
  <c r="Y406" i="18" s="1"/>
  <c r="Z406" i="18" s="1"/>
  <c r="AA406" i="18" s="1"/>
  <c r="AB406" i="18" s="1"/>
  <c r="AC406" i="18" s="1"/>
  <c r="AD406" i="18" s="1"/>
  <c r="S407" i="18"/>
  <c r="T407" i="18" s="1"/>
  <c r="U407" i="18" s="1"/>
  <c r="V407" i="18" s="1"/>
  <c r="W407" i="18" s="1"/>
  <c r="X407" i="18" s="1"/>
  <c r="Y407" i="18" s="1"/>
  <c r="Z407" i="18" s="1"/>
  <c r="AA407" i="18" s="1"/>
  <c r="AB407" i="18" s="1"/>
  <c r="AC407" i="18" s="1"/>
  <c r="AD407" i="18" s="1"/>
  <c r="T405" i="18"/>
  <c r="U405" i="18" s="1"/>
  <c r="V405" i="18" s="1"/>
  <c r="W405" i="18" s="1"/>
  <c r="X405" i="18" s="1"/>
  <c r="Y405" i="18" s="1"/>
  <c r="Z405" i="18" s="1"/>
  <c r="AA405" i="18" s="1"/>
  <c r="AB405" i="18" s="1"/>
  <c r="AC405" i="18" s="1"/>
  <c r="AD405" i="18" s="1"/>
  <c r="S405" i="18"/>
  <c r="T404" i="18"/>
  <c r="U404" i="18" s="1"/>
  <c r="V404" i="18" s="1"/>
  <c r="W404" i="18" s="1"/>
  <c r="X404" i="18" s="1"/>
  <c r="Y404" i="18" s="1"/>
  <c r="Z404" i="18" s="1"/>
  <c r="AA404" i="18" s="1"/>
  <c r="AB404" i="18" s="1"/>
  <c r="AC404" i="18" s="1"/>
  <c r="AD404" i="18" s="1"/>
  <c r="S404" i="18"/>
  <c r="T403" i="18"/>
  <c r="U403" i="18" s="1"/>
  <c r="V403" i="18" s="1"/>
  <c r="W403" i="18" s="1"/>
  <c r="X403" i="18" s="1"/>
  <c r="Y403" i="18" s="1"/>
  <c r="Z403" i="18" s="1"/>
  <c r="AA403" i="18" s="1"/>
  <c r="AB403" i="18" s="1"/>
  <c r="AC403" i="18" s="1"/>
  <c r="AD403" i="18" s="1"/>
  <c r="S403" i="18"/>
  <c r="S342" i="18"/>
  <c r="T342" i="18" s="1"/>
  <c r="U342" i="18" s="1"/>
  <c r="V342" i="18" s="1"/>
  <c r="W342" i="18" s="1"/>
  <c r="X342" i="18" s="1"/>
  <c r="Y342" i="18" s="1"/>
  <c r="Z342" i="18" s="1"/>
  <c r="AA342" i="18" s="1"/>
  <c r="AB342" i="18" s="1"/>
  <c r="AC342" i="18" s="1"/>
  <c r="AD342" i="18" s="1"/>
  <c r="S343" i="18"/>
  <c r="T343" i="18" s="1"/>
  <c r="U343" i="18" s="1"/>
  <c r="V343" i="18" s="1"/>
  <c r="W343" i="18" s="1"/>
  <c r="X343" i="18" s="1"/>
  <c r="Y343" i="18" s="1"/>
  <c r="Z343" i="18" s="1"/>
  <c r="AA343" i="18" s="1"/>
  <c r="AB343" i="18" s="1"/>
  <c r="AC343" i="18" s="1"/>
  <c r="AD343" i="18" s="1"/>
  <c r="S344" i="18"/>
  <c r="T344" i="18" s="1"/>
  <c r="U344" i="18" s="1"/>
  <c r="V344" i="18" s="1"/>
  <c r="W344" i="18" s="1"/>
  <c r="X344" i="18" s="1"/>
  <c r="Y344" i="18" s="1"/>
  <c r="Z344" i="18" s="1"/>
  <c r="AA344" i="18" s="1"/>
  <c r="AB344" i="18" s="1"/>
  <c r="AC344" i="18" s="1"/>
  <c r="AD344" i="18" s="1"/>
  <c r="S345" i="18"/>
  <c r="T345" i="18" s="1"/>
  <c r="U345" i="18" s="1"/>
  <c r="V345" i="18" s="1"/>
  <c r="W345" i="18" s="1"/>
  <c r="X345" i="18" s="1"/>
  <c r="Y345" i="18" s="1"/>
  <c r="Z345" i="18" s="1"/>
  <c r="AA345" i="18" s="1"/>
  <c r="AB345" i="18" s="1"/>
  <c r="AC345" i="18" s="1"/>
  <c r="AD345" i="18" s="1"/>
  <c r="S346" i="18"/>
  <c r="T346" i="18" s="1"/>
  <c r="U346" i="18" s="1"/>
  <c r="V346" i="18" s="1"/>
  <c r="W346" i="18" s="1"/>
  <c r="X346" i="18" s="1"/>
  <c r="Y346" i="18" s="1"/>
  <c r="Z346" i="18" s="1"/>
  <c r="AA346" i="18" s="1"/>
  <c r="AB346" i="18" s="1"/>
  <c r="AC346" i="18" s="1"/>
  <c r="AD346" i="18" s="1"/>
  <c r="S347" i="18"/>
  <c r="T347" i="18" s="1"/>
  <c r="U347" i="18" s="1"/>
  <c r="V347" i="18" s="1"/>
  <c r="W347" i="18" s="1"/>
  <c r="X347" i="18" s="1"/>
  <c r="Y347" i="18" s="1"/>
  <c r="Z347" i="18" s="1"/>
  <c r="AA347" i="18" s="1"/>
  <c r="AB347" i="18" s="1"/>
  <c r="AC347" i="18" s="1"/>
  <c r="AD347" i="18" s="1"/>
  <c r="T341" i="18"/>
  <c r="U341" i="18" s="1"/>
  <c r="V341" i="18" s="1"/>
  <c r="W341" i="18" s="1"/>
  <c r="X341" i="18" s="1"/>
  <c r="Y341" i="18" s="1"/>
  <c r="Z341" i="18" s="1"/>
  <c r="AA341" i="18" s="1"/>
  <c r="AB341" i="18" s="1"/>
  <c r="AC341" i="18" s="1"/>
  <c r="AD341" i="18" s="1"/>
  <c r="S341" i="18"/>
  <c r="S334" i="18"/>
  <c r="T334" i="18" s="1"/>
  <c r="U334" i="18" s="1"/>
  <c r="V334" i="18" s="1"/>
  <c r="W334" i="18" s="1"/>
  <c r="X334" i="18" s="1"/>
  <c r="Y334" i="18" s="1"/>
  <c r="Z334" i="18" s="1"/>
  <c r="AA334" i="18" s="1"/>
  <c r="AB334" i="18" s="1"/>
  <c r="AC334" i="18" s="1"/>
  <c r="AD334" i="18" s="1"/>
  <c r="S335" i="18"/>
  <c r="T335" i="18"/>
  <c r="U335" i="18" s="1"/>
  <c r="V335" i="18" s="1"/>
  <c r="W335" i="18" s="1"/>
  <c r="X335" i="18" s="1"/>
  <c r="Y335" i="18" s="1"/>
  <c r="Z335" i="18" s="1"/>
  <c r="AA335" i="18" s="1"/>
  <c r="AB335" i="18" s="1"/>
  <c r="AC335" i="18" s="1"/>
  <c r="AD335" i="18" s="1"/>
  <c r="S336" i="18"/>
  <c r="T336" i="18" s="1"/>
  <c r="U336" i="18" s="1"/>
  <c r="V336" i="18" s="1"/>
  <c r="W336" i="18" s="1"/>
  <c r="X336" i="18" s="1"/>
  <c r="Y336" i="18" s="1"/>
  <c r="Z336" i="18" s="1"/>
  <c r="AA336" i="18" s="1"/>
  <c r="AB336" i="18" s="1"/>
  <c r="AC336" i="18" s="1"/>
  <c r="AD336" i="18" s="1"/>
  <c r="S337" i="18"/>
  <c r="T337" i="18"/>
  <c r="U337" i="18" s="1"/>
  <c r="V337" i="18" s="1"/>
  <c r="W337" i="18" s="1"/>
  <c r="X337" i="18" s="1"/>
  <c r="Y337" i="18" s="1"/>
  <c r="Z337" i="18" s="1"/>
  <c r="AA337" i="18" s="1"/>
  <c r="AB337" i="18" s="1"/>
  <c r="AC337" i="18" s="1"/>
  <c r="AD337" i="18" s="1"/>
  <c r="S338" i="18"/>
  <c r="T338" i="18" s="1"/>
  <c r="U338" i="18" s="1"/>
  <c r="V338" i="18" s="1"/>
  <c r="W338" i="18" s="1"/>
  <c r="X338" i="18" s="1"/>
  <c r="Y338" i="18" s="1"/>
  <c r="Z338" i="18" s="1"/>
  <c r="AA338" i="18" s="1"/>
  <c r="AB338" i="18" s="1"/>
  <c r="AC338" i="18" s="1"/>
  <c r="AD338" i="18" s="1"/>
  <c r="S339" i="18"/>
  <c r="T339" i="18"/>
  <c r="U339" i="18" s="1"/>
  <c r="V339" i="18" s="1"/>
  <c r="W339" i="18" s="1"/>
  <c r="X339" i="18" s="1"/>
  <c r="Y339" i="18" s="1"/>
  <c r="Z339" i="18" s="1"/>
  <c r="AA339" i="18" s="1"/>
  <c r="AB339" i="18" s="1"/>
  <c r="AC339" i="18" s="1"/>
  <c r="AD339" i="18" s="1"/>
  <c r="T333" i="18"/>
  <c r="U333" i="18" s="1"/>
  <c r="V333" i="18" s="1"/>
  <c r="W333" i="18" s="1"/>
  <c r="X333" i="18" s="1"/>
  <c r="Y333" i="18" s="1"/>
  <c r="Z333" i="18" s="1"/>
  <c r="AA333" i="18" s="1"/>
  <c r="AB333" i="18" s="1"/>
  <c r="AC333" i="18" s="1"/>
  <c r="AD333" i="18" s="1"/>
  <c r="S333" i="18"/>
  <c r="S287" i="18"/>
  <c r="T287" i="18"/>
  <c r="U287" i="18" s="1"/>
  <c r="V287" i="18" s="1"/>
  <c r="W287" i="18" s="1"/>
  <c r="X287" i="18" s="1"/>
  <c r="Y287" i="18" s="1"/>
  <c r="Z287" i="18" s="1"/>
  <c r="AA287" i="18" s="1"/>
  <c r="AB287" i="18" s="1"/>
  <c r="AC287" i="18" s="1"/>
  <c r="AD287" i="18" s="1"/>
  <c r="S288" i="18"/>
  <c r="T288" i="18"/>
  <c r="U288" i="18"/>
  <c r="V288" i="18"/>
  <c r="W288" i="18" s="1"/>
  <c r="X288" i="18" s="1"/>
  <c r="Y288" i="18" s="1"/>
  <c r="Z288" i="18" s="1"/>
  <c r="AA288" i="18" s="1"/>
  <c r="AB288" i="18" s="1"/>
  <c r="AC288" i="18" s="1"/>
  <c r="AD288" i="18" s="1"/>
  <c r="S289" i="18"/>
  <c r="T289" i="18"/>
  <c r="U289" i="18" s="1"/>
  <c r="V289" i="18" s="1"/>
  <c r="W289" i="18" s="1"/>
  <c r="X289" i="18" s="1"/>
  <c r="Y289" i="18" s="1"/>
  <c r="Z289" i="18" s="1"/>
  <c r="AA289" i="18" s="1"/>
  <c r="AB289" i="18" s="1"/>
  <c r="AC289" i="18" s="1"/>
  <c r="AD289" i="18" s="1"/>
  <c r="S290" i="18"/>
  <c r="T290" i="18"/>
  <c r="U290" i="18"/>
  <c r="V290" i="18"/>
  <c r="W290" i="18" s="1"/>
  <c r="X290" i="18" s="1"/>
  <c r="Y290" i="18" s="1"/>
  <c r="Z290" i="18" s="1"/>
  <c r="AA290" i="18" s="1"/>
  <c r="AB290" i="18" s="1"/>
  <c r="AC290" i="18" s="1"/>
  <c r="AD290" i="18" s="1"/>
  <c r="S291" i="18"/>
  <c r="T291" i="18"/>
  <c r="U291" i="18" s="1"/>
  <c r="V291" i="18" s="1"/>
  <c r="W291" i="18" s="1"/>
  <c r="X291" i="18" s="1"/>
  <c r="Y291" i="18" s="1"/>
  <c r="Z291" i="18" s="1"/>
  <c r="AA291" i="18" s="1"/>
  <c r="AB291" i="18" s="1"/>
  <c r="AC291" i="18" s="1"/>
  <c r="AD291" i="18" s="1"/>
  <c r="S292" i="18"/>
  <c r="T292" i="18"/>
  <c r="U292" i="18"/>
  <c r="V292" i="18"/>
  <c r="W292" i="18" s="1"/>
  <c r="X292" i="18" s="1"/>
  <c r="Y292" i="18" s="1"/>
  <c r="Z292" i="18" s="1"/>
  <c r="AA292" i="18" s="1"/>
  <c r="AB292" i="18" s="1"/>
  <c r="AC292" i="18" s="1"/>
  <c r="AD292" i="18" s="1"/>
  <c r="S293" i="18"/>
  <c r="T293" i="18"/>
  <c r="U293" i="18" s="1"/>
  <c r="V293" i="18" s="1"/>
  <c r="W293" i="18" s="1"/>
  <c r="X293" i="18" s="1"/>
  <c r="Y293" i="18" s="1"/>
  <c r="Z293" i="18" s="1"/>
  <c r="AA293" i="18" s="1"/>
  <c r="AB293" i="18" s="1"/>
  <c r="AC293" i="18" s="1"/>
  <c r="AD293" i="18" s="1"/>
  <c r="S294" i="18"/>
  <c r="T294" i="18"/>
  <c r="U294" i="18"/>
  <c r="V294" i="18"/>
  <c r="W294" i="18" s="1"/>
  <c r="X294" i="18" s="1"/>
  <c r="Y294" i="18" s="1"/>
  <c r="Z294" i="18" s="1"/>
  <c r="AA294" i="18" s="1"/>
  <c r="AB294" i="18" s="1"/>
  <c r="AC294" i="18" s="1"/>
  <c r="AD294" i="18" s="1"/>
  <c r="S295" i="18"/>
  <c r="T295" i="18"/>
  <c r="U295" i="18" s="1"/>
  <c r="V295" i="18" s="1"/>
  <c r="W295" i="18" s="1"/>
  <c r="X295" i="18" s="1"/>
  <c r="Y295" i="18" s="1"/>
  <c r="Z295" i="18" s="1"/>
  <c r="AA295" i="18" s="1"/>
  <c r="AB295" i="18" s="1"/>
  <c r="AC295" i="18" s="1"/>
  <c r="AD295" i="18" s="1"/>
  <c r="S296" i="18"/>
  <c r="T296" i="18"/>
  <c r="U296" i="18"/>
  <c r="V296" i="18"/>
  <c r="W296" i="18" s="1"/>
  <c r="X296" i="18" s="1"/>
  <c r="Y296" i="18" s="1"/>
  <c r="Z296" i="18" s="1"/>
  <c r="AA296" i="18" s="1"/>
  <c r="AB296" i="18" s="1"/>
  <c r="AC296" i="18" s="1"/>
  <c r="AD296" i="18" s="1"/>
  <c r="S297" i="18"/>
  <c r="T297" i="18"/>
  <c r="U297" i="18" s="1"/>
  <c r="V297" i="18" s="1"/>
  <c r="W297" i="18" s="1"/>
  <c r="X297" i="18" s="1"/>
  <c r="Y297" i="18" s="1"/>
  <c r="Z297" i="18" s="1"/>
  <c r="AA297" i="18" s="1"/>
  <c r="AB297" i="18" s="1"/>
  <c r="AC297" i="18" s="1"/>
  <c r="AD297" i="18" s="1"/>
  <c r="S298" i="18"/>
  <c r="T298" i="18"/>
  <c r="U298" i="18"/>
  <c r="V298" i="18"/>
  <c r="W298" i="18" s="1"/>
  <c r="X298" i="18" s="1"/>
  <c r="Y298" i="18" s="1"/>
  <c r="Z298" i="18" s="1"/>
  <c r="AA298" i="18" s="1"/>
  <c r="AB298" i="18" s="1"/>
  <c r="AC298" i="18" s="1"/>
  <c r="AD298" i="18" s="1"/>
  <c r="S299" i="18"/>
  <c r="T299" i="18"/>
  <c r="U299" i="18" s="1"/>
  <c r="V299" i="18" s="1"/>
  <c r="W299" i="18" s="1"/>
  <c r="X299" i="18" s="1"/>
  <c r="Y299" i="18" s="1"/>
  <c r="Z299" i="18" s="1"/>
  <c r="AA299" i="18" s="1"/>
  <c r="AB299" i="18" s="1"/>
  <c r="AC299" i="18" s="1"/>
  <c r="AD299" i="18" s="1"/>
  <c r="S300" i="18"/>
  <c r="T300" i="18"/>
  <c r="U300" i="18"/>
  <c r="V300" i="18"/>
  <c r="W300" i="18" s="1"/>
  <c r="X300" i="18" s="1"/>
  <c r="Y300" i="18" s="1"/>
  <c r="Z300" i="18" s="1"/>
  <c r="AA300" i="18" s="1"/>
  <c r="AB300" i="18" s="1"/>
  <c r="AC300" i="18" s="1"/>
  <c r="AD300" i="18" s="1"/>
  <c r="S301" i="18"/>
  <c r="T301" i="18" s="1"/>
  <c r="U301" i="18" s="1"/>
  <c r="V301" i="18" s="1"/>
  <c r="W301" i="18" s="1"/>
  <c r="X301" i="18" s="1"/>
  <c r="Y301" i="18" s="1"/>
  <c r="Z301" i="18" s="1"/>
  <c r="AA301" i="18" s="1"/>
  <c r="AB301" i="18" s="1"/>
  <c r="AC301" i="18" s="1"/>
  <c r="AD301" i="18" s="1"/>
  <c r="S302" i="18"/>
  <c r="T302" i="18"/>
  <c r="U302" i="18"/>
  <c r="V302" i="18"/>
  <c r="W302" i="18" s="1"/>
  <c r="X302" i="18" s="1"/>
  <c r="Y302" i="18" s="1"/>
  <c r="Z302" i="18" s="1"/>
  <c r="AA302" i="18" s="1"/>
  <c r="AB302" i="18" s="1"/>
  <c r="AC302" i="18" s="1"/>
  <c r="AD302" i="18" s="1"/>
  <c r="S303" i="18"/>
  <c r="T303" i="18" s="1"/>
  <c r="U303" i="18" s="1"/>
  <c r="V303" i="18" s="1"/>
  <c r="W303" i="18" s="1"/>
  <c r="X303" i="18" s="1"/>
  <c r="Y303" i="18" s="1"/>
  <c r="Z303" i="18" s="1"/>
  <c r="AA303" i="18" s="1"/>
  <c r="AB303" i="18" s="1"/>
  <c r="AC303" i="18" s="1"/>
  <c r="AD303" i="18" s="1"/>
  <c r="S304" i="18"/>
  <c r="T304" i="18"/>
  <c r="U304" i="18"/>
  <c r="V304" i="18"/>
  <c r="W304" i="18" s="1"/>
  <c r="X304" i="18" s="1"/>
  <c r="Y304" i="18" s="1"/>
  <c r="Z304" i="18" s="1"/>
  <c r="AA304" i="18" s="1"/>
  <c r="AB304" i="18" s="1"/>
  <c r="AC304" i="18" s="1"/>
  <c r="AD304" i="18" s="1"/>
  <c r="S305" i="18"/>
  <c r="T305" i="18" s="1"/>
  <c r="U305" i="18" s="1"/>
  <c r="V305" i="18" s="1"/>
  <c r="W305" i="18" s="1"/>
  <c r="X305" i="18" s="1"/>
  <c r="Y305" i="18" s="1"/>
  <c r="Z305" i="18" s="1"/>
  <c r="AA305" i="18" s="1"/>
  <c r="AB305" i="18" s="1"/>
  <c r="AC305" i="18" s="1"/>
  <c r="AD305" i="18" s="1"/>
  <c r="S306" i="18"/>
  <c r="T306" i="18"/>
  <c r="U306" i="18"/>
  <c r="V306" i="18"/>
  <c r="W306" i="18" s="1"/>
  <c r="X306" i="18" s="1"/>
  <c r="Y306" i="18" s="1"/>
  <c r="Z306" i="18" s="1"/>
  <c r="AA306" i="18" s="1"/>
  <c r="AB306" i="18" s="1"/>
  <c r="AC306" i="18" s="1"/>
  <c r="AD306" i="18" s="1"/>
  <c r="S307" i="18"/>
  <c r="T307" i="18" s="1"/>
  <c r="S308" i="18"/>
  <c r="T308" i="18"/>
  <c r="U308" i="18"/>
  <c r="V308" i="18"/>
  <c r="W308" i="18" s="1"/>
  <c r="S309" i="18"/>
  <c r="T309" i="18" s="1"/>
  <c r="U309" i="18" s="1"/>
  <c r="V309" i="18" s="1"/>
  <c r="W309" i="18" s="1"/>
  <c r="X309" i="18" s="1"/>
  <c r="Y309" i="18" s="1"/>
  <c r="Z309" i="18" s="1"/>
  <c r="AA309" i="18" s="1"/>
  <c r="AB309" i="18" s="1"/>
  <c r="AC309" i="18" s="1"/>
  <c r="AD309" i="18" s="1"/>
  <c r="S310" i="18"/>
  <c r="T310" i="18"/>
  <c r="U310" i="18"/>
  <c r="V310" i="18"/>
  <c r="W310" i="18" s="1"/>
  <c r="X310" i="18" s="1"/>
  <c r="Y310" i="18" s="1"/>
  <c r="Z310" i="18" s="1"/>
  <c r="AA310" i="18" s="1"/>
  <c r="AB310" i="18" s="1"/>
  <c r="AC310" i="18" s="1"/>
  <c r="AD310" i="18" s="1"/>
  <c r="S311" i="18"/>
  <c r="T311" i="18" s="1"/>
  <c r="U311" i="18" s="1"/>
  <c r="V311" i="18" s="1"/>
  <c r="W311" i="18" s="1"/>
  <c r="X311" i="18" s="1"/>
  <c r="Y311" i="18" s="1"/>
  <c r="Z311" i="18" s="1"/>
  <c r="AA311" i="18" s="1"/>
  <c r="AB311" i="18" s="1"/>
  <c r="AC311" i="18" s="1"/>
  <c r="AD311" i="18" s="1"/>
  <c r="S312" i="18"/>
  <c r="T312" i="18"/>
  <c r="U312" i="18"/>
  <c r="V312" i="18"/>
  <c r="W312" i="18" s="1"/>
  <c r="X312" i="18" s="1"/>
  <c r="Y312" i="18" s="1"/>
  <c r="Z312" i="18" s="1"/>
  <c r="AA312" i="18" s="1"/>
  <c r="AB312" i="18" s="1"/>
  <c r="AC312" i="18" s="1"/>
  <c r="AD312" i="18" s="1"/>
  <c r="S313" i="18"/>
  <c r="T313" i="18" s="1"/>
  <c r="U313" i="18" s="1"/>
  <c r="V313" i="18" s="1"/>
  <c r="W313" i="18" s="1"/>
  <c r="X313" i="18" s="1"/>
  <c r="Y313" i="18" s="1"/>
  <c r="Z313" i="18" s="1"/>
  <c r="AA313" i="18" s="1"/>
  <c r="AB313" i="18" s="1"/>
  <c r="AC313" i="18" s="1"/>
  <c r="AD313" i="18" s="1"/>
  <c r="S314" i="18"/>
  <c r="T314" i="18"/>
  <c r="U314" i="18"/>
  <c r="V314" i="18"/>
  <c r="W314" i="18" s="1"/>
  <c r="X314" i="18" s="1"/>
  <c r="Y314" i="18" s="1"/>
  <c r="Z314" i="18" s="1"/>
  <c r="AA314" i="18" s="1"/>
  <c r="AB314" i="18" s="1"/>
  <c r="AC314" i="18" s="1"/>
  <c r="AD314" i="18" s="1"/>
  <c r="S315" i="18"/>
  <c r="T315" i="18" s="1"/>
  <c r="U315" i="18" s="1"/>
  <c r="V315" i="18" s="1"/>
  <c r="W315" i="18" s="1"/>
  <c r="X315" i="18" s="1"/>
  <c r="Y315" i="18" s="1"/>
  <c r="Z315" i="18" s="1"/>
  <c r="AA315" i="18" s="1"/>
  <c r="AB315" i="18" s="1"/>
  <c r="AC315" i="18" s="1"/>
  <c r="AD315" i="18" s="1"/>
  <c r="S316" i="18"/>
  <c r="T316" i="18"/>
  <c r="U316" i="18"/>
  <c r="V316" i="18"/>
  <c r="W316" i="18" s="1"/>
  <c r="X316" i="18" s="1"/>
  <c r="Y316" i="18" s="1"/>
  <c r="Z316" i="18" s="1"/>
  <c r="AA316" i="18" s="1"/>
  <c r="AB316" i="18" s="1"/>
  <c r="AC316" i="18" s="1"/>
  <c r="AD316" i="18" s="1"/>
  <c r="S317" i="18"/>
  <c r="T317" i="18" s="1"/>
  <c r="U317" i="18" s="1"/>
  <c r="V317" i="18" s="1"/>
  <c r="W317" i="18" s="1"/>
  <c r="X317" i="18" s="1"/>
  <c r="Y317" i="18" s="1"/>
  <c r="Z317" i="18" s="1"/>
  <c r="AA317" i="18" s="1"/>
  <c r="AB317" i="18" s="1"/>
  <c r="AC317" i="18" s="1"/>
  <c r="AD317" i="18" s="1"/>
  <c r="S318" i="18"/>
  <c r="T318" i="18"/>
  <c r="U318" i="18"/>
  <c r="V318" i="18"/>
  <c r="W318" i="18" s="1"/>
  <c r="X318" i="18" s="1"/>
  <c r="Y318" i="18" s="1"/>
  <c r="Z318" i="18" s="1"/>
  <c r="AA318" i="18" s="1"/>
  <c r="AB318" i="18" s="1"/>
  <c r="AC318" i="18" s="1"/>
  <c r="AD318" i="18"/>
  <c r="S319" i="18"/>
  <c r="T319" i="18" s="1"/>
  <c r="U319" i="18" s="1"/>
  <c r="V319" i="18" s="1"/>
  <c r="W319" i="18" s="1"/>
  <c r="X319" i="18" s="1"/>
  <c r="Y319" i="18" s="1"/>
  <c r="Z319" i="18"/>
  <c r="AA319" i="18" s="1"/>
  <c r="AB319" i="18" s="1"/>
  <c r="AC319" i="18" s="1"/>
  <c r="AD319" i="18" s="1"/>
  <c r="S320" i="18"/>
  <c r="T320" i="18"/>
  <c r="U320" i="18"/>
  <c r="V320" i="18"/>
  <c r="W320" i="18" s="1"/>
  <c r="X320" i="18" s="1"/>
  <c r="Y320" i="18" s="1"/>
  <c r="Z320" i="18" s="1"/>
  <c r="AA320" i="18" s="1"/>
  <c r="AB320" i="18" s="1"/>
  <c r="AC320" i="18" s="1"/>
  <c r="AD320" i="18" s="1"/>
  <c r="S321" i="18"/>
  <c r="T321" i="18" s="1"/>
  <c r="U321" i="18" s="1"/>
  <c r="V321" i="18" s="1"/>
  <c r="W321" i="18" s="1"/>
  <c r="X321" i="18" s="1"/>
  <c r="Y321" i="18" s="1"/>
  <c r="Z321" i="18" s="1"/>
  <c r="AA321" i="18" s="1"/>
  <c r="AB321" i="18" s="1"/>
  <c r="AC321" i="18" s="1"/>
  <c r="AD321" i="18" s="1"/>
  <c r="S322" i="18"/>
  <c r="T322" i="18"/>
  <c r="U322" i="18"/>
  <c r="V322" i="18"/>
  <c r="W322" i="18" s="1"/>
  <c r="X322" i="18" s="1"/>
  <c r="Y322" i="18" s="1"/>
  <c r="Z322" i="18" s="1"/>
  <c r="AA322" i="18" s="1"/>
  <c r="AB322" i="18" s="1"/>
  <c r="AC322" i="18" s="1"/>
  <c r="AD322" i="18"/>
  <c r="S323" i="18"/>
  <c r="T323" i="18" s="1"/>
  <c r="U323" i="18" s="1"/>
  <c r="V323" i="18" s="1"/>
  <c r="W323" i="18" s="1"/>
  <c r="X323" i="18" s="1"/>
  <c r="Y323" i="18" s="1"/>
  <c r="Z323" i="18"/>
  <c r="AA323" i="18" s="1"/>
  <c r="AB323" i="18" s="1"/>
  <c r="AC323" i="18" s="1"/>
  <c r="AD323" i="18" s="1"/>
  <c r="S324" i="18"/>
  <c r="T324" i="18"/>
  <c r="U324" i="18"/>
  <c r="V324" i="18"/>
  <c r="W324" i="18" s="1"/>
  <c r="X324" i="18" s="1"/>
  <c r="Y324" i="18" s="1"/>
  <c r="Z324" i="18" s="1"/>
  <c r="AA324" i="18" s="1"/>
  <c r="AB324" i="18" s="1"/>
  <c r="AC324" i="18" s="1"/>
  <c r="AD324" i="18" s="1"/>
  <c r="S325" i="18"/>
  <c r="T325" i="18" s="1"/>
  <c r="U325" i="18" s="1"/>
  <c r="V325" i="18" s="1"/>
  <c r="W325" i="18" s="1"/>
  <c r="X325" i="18" s="1"/>
  <c r="Y325" i="18" s="1"/>
  <c r="Z325" i="18" s="1"/>
  <c r="AA325" i="18" s="1"/>
  <c r="AB325" i="18" s="1"/>
  <c r="AC325" i="18" s="1"/>
  <c r="AD325" i="18" s="1"/>
  <c r="S326" i="18"/>
  <c r="T326" i="18"/>
  <c r="U326" i="18"/>
  <c r="V326" i="18"/>
  <c r="W326" i="18" s="1"/>
  <c r="X326" i="18" s="1"/>
  <c r="Y326" i="18" s="1"/>
  <c r="Z326" i="18" s="1"/>
  <c r="AA326" i="18" s="1"/>
  <c r="AB326" i="18" s="1"/>
  <c r="AC326" i="18" s="1"/>
  <c r="AD326" i="18"/>
  <c r="S327" i="18"/>
  <c r="T327" i="18" s="1"/>
  <c r="U327" i="18" s="1"/>
  <c r="V327" i="18" s="1"/>
  <c r="W327" i="18" s="1"/>
  <c r="X327" i="18" s="1"/>
  <c r="Y327" i="18" s="1"/>
  <c r="Z327" i="18"/>
  <c r="AA327" i="18" s="1"/>
  <c r="AB327" i="18" s="1"/>
  <c r="AC327" i="18" s="1"/>
  <c r="AD327" i="18" s="1"/>
  <c r="S328" i="18"/>
  <c r="T328" i="18"/>
  <c r="U328" i="18"/>
  <c r="V328" i="18"/>
  <c r="W328" i="18" s="1"/>
  <c r="X328" i="18" s="1"/>
  <c r="Y328" i="18" s="1"/>
  <c r="Z328" i="18" s="1"/>
  <c r="AA328" i="18" s="1"/>
  <c r="AB328" i="18" s="1"/>
  <c r="AC328" i="18" s="1"/>
  <c r="AD328" i="18" s="1"/>
  <c r="S329" i="18"/>
  <c r="T329" i="18" s="1"/>
  <c r="U329" i="18" s="1"/>
  <c r="V329" i="18" s="1"/>
  <c r="W329" i="18" s="1"/>
  <c r="X329" i="18" s="1"/>
  <c r="Y329" i="18" s="1"/>
  <c r="Z329" i="18" s="1"/>
  <c r="AA329" i="18" s="1"/>
  <c r="AB329" i="18" s="1"/>
  <c r="AC329" i="18" s="1"/>
  <c r="AD329" i="18" s="1"/>
  <c r="S330" i="18"/>
  <c r="T330" i="18"/>
  <c r="U330" i="18"/>
  <c r="V330" i="18"/>
  <c r="W330" i="18" s="1"/>
  <c r="X330" i="18" s="1"/>
  <c r="Y330" i="18" s="1"/>
  <c r="Z330" i="18" s="1"/>
  <c r="AA330" i="18" s="1"/>
  <c r="AB330" i="18" s="1"/>
  <c r="AC330" i="18" s="1"/>
  <c r="AD330" i="18"/>
  <c r="S331" i="18"/>
  <c r="T331" i="18" s="1"/>
  <c r="U331" i="18" s="1"/>
  <c r="V331" i="18" s="1"/>
  <c r="W331" i="18" s="1"/>
  <c r="X331" i="18" s="1"/>
  <c r="Y331" i="18" s="1"/>
  <c r="Z331" i="18"/>
  <c r="AA331" i="18" s="1"/>
  <c r="AB331" i="18" s="1"/>
  <c r="AC331" i="18" s="1"/>
  <c r="AD331" i="18" s="1"/>
  <c r="T286" i="18"/>
  <c r="U286" i="18" s="1"/>
  <c r="V286" i="18" s="1"/>
  <c r="W286" i="18" s="1"/>
  <c r="X286" i="18" s="1"/>
  <c r="Y286" i="18" s="1"/>
  <c r="Z286" i="18" s="1"/>
  <c r="AA286" i="18" s="1"/>
  <c r="AB286" i="18" s="1"/>
  <c r="AC286" i="18" s="1"/>
  <c r="AD286" i="18" s="1"/>
  <c r="S286" i="18"/>
  <c r="S239" i="18"/>
  <c r="T239" i="18"/>
  <c r="U239" i="18" s="1"/>
  <c r="V239" i="18" s="1"/>
  <c r="W239" i="18" s="1"/>
  <c r="X239" i="18" s="1"/>
  <c r="Y239" i="18" s="1"/>
  <c r="Z239" i="18" s="1"/>
  <c r="AA239" i="18" s="1"/>
  <c r="AB239" i="18" s="1"/>
  <c r="AC239" i="18" s="1"/>
  <c r="AD239" i="18" s="1"/>
  <c r="S240" i="18"/>
  <c r="T240" i="18" s="1"/>
  <c r="U240" i="18" s="1"/>
  <c r="V240" i="18" s="1"/>
  <c r="W240" i="18" s="1"/>
  <c r="X240" i="18" s="1"/>
  <c r="Y240" i="18" s="1"/>
  <c r="Z240" i="18" s="1"/>
  <c r="AA240" i="18" s="1"/>
  <c r="AB240" i="18" s="1"/>
  <c r="AC240" i="18" s="1"/>
  <c r="AD240" i="18" s="1"/>
  <c r="S241" i="18"/>
  <c r="T241" i="18"/>
  <c r="U241" i="18" s="1"/>
  <c r="V241" i="18" s="1"/>
  <c r="W241" i="18" s="1"/>
  <c r="X241" i="18" s="1"/>
  <c r="Y241" i="18" s="1"/>
  <c r="Z241" i="18" s="1"/>
  <c r="AA241" i="18" s="1"/>
  <c r="AB241" i="18" s="1"/>
  <c r="AC241" i="18" s="1"/>
  <c r="AD241" i="18" s="1"/>
  <c r="S242" i="18"/>
  <c r="T242" i="18" s="1"/>
  <c r="U242" i="18" s="1"/>
  <c r="V242" i="18" s="1"/>
  <c r="W242" i="18" s="1"/>
  <c r="X242" i="18" s="1"/>
  <c r="Y242" i="18" s="1"/>
  <c r="Z242" i="18" s="1"/>
  <c r="AA242" i="18" s="1"/>
  <c r="AB242" i="18" s="1"/>
  <c r="AC242" i="18" s="1"/>
  <c r="AD242" i="18" s="1"/>
  <c r="S243" i="18"/>
  <c r="T243" i="18"/>
  <c r="U243" i="18" s="1"/>
  <c r="V243" i="18" s="1"/>
  <c r="W243" i="18" s="1"/>
  <c r="X243" i="18" s="1"/>
  <c r="Y243" i="18" s="1"/>
  <c r="Z243" i="18" s="1"/>
  <c r="AA243" i="18" s="1"/>
  <c r="AB243" i="18" s="1"/>
  <c r="AC243" i="18" s="1"/>
  <c r="AD243" i="18" s="1"/>
  <c r="S244" i="18"/>
  <c r="T244" i="18" s="1"/>
  <c r="U244" i="18" s="1"/>
  <c r="V244" i="18" s="1"/>
  <c r="W244" i="18" s="1"/>
  <c r="X244" i="18" s="1"/>
  <c r="Y244" i="18" s="1"/>
  <c r="Z244" i="18" s="1"/>
  <c r="AA244" i="18" s="1"/>
  <c r="AB244" i="18" s="1"/>
  <c r="AC244" i="18" s="1"/>
  <c r="AD244" i="18" s="1"/>
  <c r="S245" i="18"/>
  <c r="T245" i="18"/>
  <c r="U245" i="18" s="1"/>
  <c r="V245" i="18" s="1"/>
  <c r="W245" i="18" s="1"/>
  <c r="X245" i="18" s="1"/>
  <c r="Y245" i="18" s="1"/>
  <c r="Z245" i="18" s="1"/>
  <c r="AA245" i="18" s="1"/>
  <c r="AB245" i="18" s="1"/>
  <c r="AC245" i="18" s="1"/>
  <c r="AD245" i="18" s="1"/>
  <c r="S246" i="18"/>
  <c r="T246" i="18" s="1"/>
  <c r="U246" i="18" s="1"/>
  <c r="V246" i="18" s="1"/>
  <c r="W246" i="18" s="1"/>
  <c r="X246" i="18" s="1"/>
  <c r="Y246" i="18" s="1"/>
  <c r="Z246" i="18" s="1"/>
  <c r="AA246" i="18" s="1"/>
  <c r="AB246" i="18" s="1"/>
  <c r="AC246" i="18" s="1"/>
  <c r="AD246" i="18" s="1"/>
  <c r="S247" i="18"/>
  <c r="T247" i="18"/>
  <c r="U247" i="18" s="1"/>
  <c r="V247" i="18" s="1"/>
  <c r="W247" i="18" s="1"/>
  <c r="X247" i="18" s="1"/>
  <c r="Y247" i="18" s="1"/>
  <c r="Z247" i="18" s="1"/>
  <c r="AA247" i="18" s="1"/>
  <c r="AB247" i="18" s="1"/>
  <c r="AC247" i="18" s="1"/>
  <c r="AD247" i="18" s="1"/>
  <c r="S248" i="18"/>
  <c r="T248" i="18" s="1"/>
  <c r="U248" i="18" s="1"/>
  <c r="V248" i="18" s="1"/>
  <c r="W248" i="18" s="1"/>
  <c r="X248" i="18" s="1"/>
  <c r="Y248" i="18" s="1"/>
  <c r="Z248" i="18" s="1"/>
  <c r="AA248" i="18" s="1"/>
  <c r="AB248" i="18" s="1"/>
  <c r="AC248" i="18" s="1"/>
  <c r="AD248" i="18" s="1"/>
  <c r="S249" i="18"/>
  <c r="T249" i="18"/>
  <c r="U249" i="18" s="1"/>
  <c r="V249" i="18" s="1"/>
  <c r="W249" i="18" s="1"/>
  <c r="X249" i="18" s="1"/>
  <c r="Y249" i="18" s="1"/>
  <c r="Z249" i="18" s="1"/>
  <c r="AA249" i="18" s="1"/>
  <c r="AB249" i="18" s="1"/>
  <c r="AC249" i="18" s="1"/>
  <c r="AD249" i="18" s="1"/>
  <c r="S250" i="18"/>
  <c r="T250" i="18" s="1"/>
  <c r="U250" i="18" s="1"/>
  <c r="V250" i="18" s="1"/>
  <c r="W250" i="18" s="1"/>
  <c r="X250" i="18" s="1"/>
  <c r="Y250" i="18" s="1"/>
  <c r="Z250" i="18" s="1"/>
  <c r="AA250" i="18" s="1"/>
  <c r="AB250" i="18" s="1"/>
  <c r="AC250" i="18" s="1"/>
  <c r="AD250" i="18" s="1"/>
  <c r="S251" i="18"/>
  <c r="T251" i="18"/>
  <c r="U251" i="18" s="1"/>
  <c r="V251" i="18" s="1"/>
  <c r="W251" i="18" s="1"/>
  <c r="X251" i="18" s="1"/>
  <c r="Y251" i="18" s="1"/>
  <c r="Z251" i="18" s="1"/>
  <c r="AA251" i="18" s="1"/>
  <c r="AB251" i="18" s="1"/>
  <c r="AC251" i="18" s="1"/>
  <c r="AD251" i="18" s="1"/>
  <c r="S252" i="18"/>
  <c r="T252" i="18" s="1"/>
  <c r="U252" i="18" s="1"/>
  <c r="V252" i="18" s="1"/>
  <c r="W252" i="18" s="1"/>
  <c r="X252" i="18" s="1"/>
  <c r="Y252" i="18" s="1"/>
  <c r="Z252" i="18" s="1"/>
  <c r="AA252" i="18" s="1"/>
  <c r="AB252" i="18" s="1"/>
  <c r="AC252" i="18" s="1"/>
  <c r="AD252" i="18" s="1"/>
  <c r="S253" i="18"/>
  <c r="T253" i="18"/>
  <c r="U253" i="18" s="1"/>
  <c r="V253" i="18" s="1"/>
  <c r="W253" i="18" s="1"/>
  <c r="X253" i="18" s="1"/>
  <c r="Y253" i="18" s="1"/>
  <c r="Z253" i="18" s="1"/>
  <c r="AA253" i="18" s="1"/>
  <c r="AB253" i="18" s="1"/>
  <c r="AC253" i="18" s="1"/>
  <c r="AD253" i="18" s="1"/>
  <c r="S254" i="18"/>
  <c r="T254" i="18" s="1"/>
  <c r="U254" i="18" s="1"/>
  <c r="V254" i="18" s="1"/>
  <c r="W254" i="18" s="1"/>
  <c r="X254" i="18" s="1"/>
  <c r="Y254" i="18" s="1"/>
  <c r="Z254" i="18" s="1"/>
  <c r="AA254" i="18" s="1"/>
  <c r="AB254" i="18" s="1"/>
  <c r="AC254" i="18" s="1"/>
  <c r="AD254" i="18" s="1"/>
  <c r="S255" i="18"/>
  <c r="T255" i="18"/>
  <c r="U255" i="18" s="1"/>
  <c r="V255" i="18" s="1"/>
  <c r="W255" i="18" s="1"/>
  <c r="X255" i="18" s="1"/>
  <c r="Y255" i="18" s="1"/>
  <c r="Z255" i="18" s="1"/>
  <c r="AA255" i="18" s="1"/>
  <c r="AB255" i="18" s="1"/>
  <c r="AC255" i="18" s="1"/>
  <c r="AD255" i="18" s="1"/>
  <c r="S256" i="18"/>
  <c r="T256" i="18" s="1"/>
  <c r="U256" i="18" s="1"/>
  <c r="V256" i="18" s="1"/>
  <c r="W256" i="18" s="1"/>
  <c r="X256" i="18" s="1"/>
  <c r="Y256" i="18" s="1"/>
  <c r="Z256" i="18" s="1"/>
  <c r="AA256" i="18" s="1"/>
  <c r="AB256" i="18" s="1"/>
  <c r="AC256" i="18" s="1"/>
  <c r="AD256" i="18" s="1"/>
  <c r="S257" i="18"/>
  <c r="T257" i="18"/>
  <c r="U257" i="18" s="1"/>
  <c r="V257" i="18" s="1"/>
  <c r="W257" i="18" s="1"/>
  <c r="X257" i="18" s="1"/>
  <c r="Y257" i="18" s="1"/>
  <c r="Z257" i="18" s="1"/>
  <c r="AA257" i="18" s="1"/>
  <c r="AB257" i="18" s="1"/>
  <c r="AC257" i="18" s="1"/>
  <c r="AD257" i="18" s="1"/>
  <c r="S258" i="18"/>
  <c r="T258" i="18" s="1"/>
  <c r="U258" i="18" s="1"/>
  <c r="V258" i="18" s="1"/>
  <c r="W258" i="18" s="1"/>
  <c r="X258" i="18" s="1"/>
  <c r="Y258" i="18" s="1"/>
  <c r="Z258" i="18" s="1"/>
  <c r="AA258" i="18" s="1"/>
  <c r="AB258" i="18" s="1"/>
  <c r="AC258" i="18" s="1"/>
  <c r="AD258" i="18" s="1"/>
  <c r="S259" i="18"/>
  <c r="T259" i="18"/>
  <c r="U259" i="18" s="1"/>
  <c r="S260" i="18"/>
  <c r="T260" i="18" s="1"/>
  <c r="S261" i="18"/>
  <c r="T261" i="18"/>
  <c r="U261" i="18" s="1"/>
  <c r="V261" i="18" s="1"/>
  <c r="W261" i="18" s="1"/>
  <c r="X261" i="18" s="1"/>
  <c r="Y261" i="18" s="1"/>
  <c r="Z261" i="18" s="1"/>
  <c r="AA261" i="18" s="1"/>
  <c r="AB261" i="18" s="1"/>
  <c r="AC261" i="18" s="1"/>
  <c r="AD261" i="18" s="1"/>
  <c r="S262" i="18"/>
  <c r="T262" i="18" s="1"/>
  <c r="U262" i="18" s="1"/>
  <c r="V262" i="18" s="1"/>
  <c r="W262" i="18" s="1"/>
  <c r="X262" i="18" s="1"/>
  <c r="Y262" i="18" s="1"/>
  <c r="Z262" i="18" s="1"/>
  <c r="AA262" i="18" s="1"/>
  <c r="AB262" i="18" s="1"/>
  <c r="AC262" i="18" s="1"/>
  <c r="AD262" i="18" s="1"/>
  <c r="S263" i="18"/>
  <c r="T263" i="18"/>
  <c r="U263" i="18" s="1"/>
  <c r="V263" i="18" s="1"/>
  <c r="W263" i="18" s="1"/>
  <c r="X263" i="18" s="1"/>
  <c r="Y263" i="18" s="1"/>
  <c r="Z263" i="18" s="1"/>
  <c r="AA263" i="18" s="1"/>
  <c r="AB263" i="18" s="1"/>
  <c r="AC263" i="18" s="1"/>
  <c r="AD263" i="18" s="1"/>
  <c r="S264" i="18"/>
  <c r="T264" i="18" s="1"/>
  <c r="U264" i="18" s="1"/>
  <c r="V264" i="18" s="1"/>
  <c r="W264" i="18" s="1"/>
  <c r="X264" i="18" s="1"/>
  <c r="Y264" i="18" s="1"/>
  <c r="Z264" i="18" s="1"/>
  <c r="AA264" i="18" s="1"/>
  <c r="AB264" i="18" s="1"/>
  <c r="AC264" i="18" s="1"/>
  <c r="AD264" i="18" s="1"/>
  <c r="S265" i="18"/>
  <c r="T265" i="18"/>
  <c r="U265" i="18" s="1"/>
  <c r="V265" i="18" s="1"/>
  <c r="W265" i="18" s="1"/>
  <c r="X265" i="18" s="1"/>
  <c r="Y265" i="18" s="1"/>
  <c r="Z265" i="18" s="1"/>
  <c r="AA265" i="18" s="1"/>
  <c r="AB265" i="18" s="1"/>
  <c r="AC265" i="18" s="1"/>
  <c r="AD265" i="18" s="1"/>
  <c r="S266" i="18"/>
  <c r="T266" i="18" s="1"/>
  <c r="U266" i="18" s="1"/>
  <c r="V266" i="18" s="1"/>
  <c r="W266" i="18" s="1"/>
  <c r="X266" i="18" s="1"/>
  <c r="Y266" i="18" s="1"/>
  <c r="Z266" i="18" s="1"/>
  <c r="AA266" i="18" s="1"/>
  <c r="AB266" i="18" s="1"/>
  <c r="AC266" i="18" s="1"/>
  <c r="AD266" i="18" s="1"/>
  <c r="S267" i="18"/>
  <c r="T267" i="18"/>
  <c r="U267" i="18" s="1"/>
  <c r="V267" i="18" s="1"/>
  <c r="W267" i="18" s="1"/>
  <c r="X267" i="18" s="1"/>
  <c r="Y267" i="18" s="1"/>
  <c r="Z267" i="18" s="1"/>
  <c r="AA267" i="18" s="1"/>
  <c r="AB267" i="18" s="1"/>
  <c r="AC267" i="18" s="1"/>
  <c r="AD267" i="18" s="1"/>
  <c r="S268" i="18"/>
  <c r="T268" i="18" s="1"/>
  <c r="U268" i="18" s="1"/>
  <c r="V268" i="18" s="1"/>
  <c r="W268" i="18" s="1"/>
  <c r="X268" i="18" s="1"/>
  <c r="Y268" i="18" s="1"/>
  <c r="Z268" i="18" s="1"/>
  <c r="AA268" i="18" s="1"/>
  <c r="AB268" i="18" s="1"/>
  <c r="AC268" i="18" s="1"/>
  <c r="AD268" i="18" s="1"/>
  <c r="S269" i="18"/>
  <c r="T269" i="18"/>
  <c r="U269" i="18" s="1"/>
  <c r="V269" i="18" s="1"/>
  <c r="W269" i="18" s="1"/>
  <c r="X269" i="18" s="1"/>
  <c r="Y269" i="18" s="1"/>
  <c r="Z269" i="18" s="1"/>
  <c r="AA269" i="18" s="1"/>
  <c r="AB269" i="18" s="1"/>
  <c r="AC269" i="18" s="1"/>
  <c r="AD269" i="18" s="1"/>
  <c r="S270" i="18"/>
  <c r="T270" i="18" s="1"/>
  <c r="U270" i="18" s="1"/>
  <c r="V270" i="18" s="1"/>
  <c r="W270" i="18" s="1"/>
  <c r="X270" i="18" s="1"/>
  <c r="Y270" i="18" s="1"/>
  <c r="Z270" i="18" s="1"/>
  <c r="AA270" i="18" s="1"/>
  <c r="AB270" i="18" s="1"/>
  <c r="AC270" i="18" s="1"/>
  <c r="AD270" i="18" s="1"/>
  <c r="S271" i="18"/>
  <c r="T271" i="18"/>
  <c r="U271" i="18" s="1"/>
  <c r="V271" i="18" s="1"/>
  <c r="W271" i="18" s="1"/>
  <c r="X271" i="18" s="1"/>
  <c r="Y271" i="18" s="1"/>
  <c r="Z271" i="18" s="1"/>
  <c r="AA271" i="18" s="1"/>
  <c r="AB271" i="18" s="1"/>
  <c r="AC271" i="18" s="1"/>
  <c r="AD271" i="18" s="1"/>
  <c r="S272" i="18"/>
  <c r="T272" i="18" s="1"/>
  <c r="U272" i="18" s="1"/>
  <c r="V272" i="18" s="1"/>
  <c r="W272" i="18" s="1"/>
  <c r="X272" i="18" s="1"/>
  <c r="Y272" i="18" s="1"/>
  <c r="Z272" i="18" s="1"/>
  <c r="AA272" i="18" s="1"/>
  <c r="AB272" i="18" s="1"/>
  <c r="AC272" i="18" s="1"/>
  <c r="AD272" i="18" s="1"/>
  <c r="S273" i="18"/>
  <c r="T273" i="18"/>
  <c r="U273" i="18" s="1"/>
  <c r="V273" i="18" s="1"/>
  <c r="W273" i="18" s="1"/>
  <c r="X273" i="18" s="1"/>
  <c r="Y273" i="18" s="1"/>
  <c r="Z273" i="18" s="1"/>
  <c r="AA273" i="18" s="1"/>
  <c r="AB273" i="18" s="1"/>
  <c r="AC273" i="18" s="1"/>
  <c r="AD273" i="18" s="1"/>
  <c r="S274" i="18"/>
  <c r="T274" i="18" s="1"/>
  <c r="U274" i="18" s="1"/>
  <c r="V274" i="18"/>
  <c r="W274" i="18" s="1"/>
  <c r="X274" i="18" s="1"/>
  <c r="Y274" i="18" s="1"/>
  <c r="Z274" i="18" s="1"/>
  <c r="AA274" i="18" s="1"/>
  <c r="AB274" i="18" s="1"/>
  <c r="AC274" i="18" s="1"/>
  <c r="AD274" i="18" s="1"/>
  <c r="S275" i="18"/>
  <c r="T275" i="18"/>
  <c r="U275" i="18" s="1"/>
  <c r="V275" i="18" s="1"/>
  <c r="W275" i="18" s="1"/>
  <c r="X275" i="18" s="1"/>
  <c r="Y275" i="18" s="1"/>
  <c r="Z275" i="18" s="1"/>
  <c r="AA275" i="18" s="1"/>
  <c r="AB275" i="18" s="1"/>
  <c r="AC275" i="18" s="1"/>
  <c r="AD275" i="18" s="1"/>
  <c r="S276" i="18"/>
  <c r="T276" i="18" s="1"/>
  <c r="U276" i="18" s="1"/>
  <c r="V276" i="18"/>
  <c r="W276" i="18" s="1"/>
  <c r="X276" i="18" s="1"/>
  <c r="Y276" i="18" s="1"/>
  <c r="Z276" i="18" s="1"/>
  <c r="AA276" i="18" s="1"/>
  <c r="AB276" i="18" s="1"/>
  <c r="AC276" i="18" s="1"/>
  <c r="AD276" i="18" s="1"/>
  <c r="S277" i="18"/>
  <c r="T277" i="18"/>
  <c r="U277" i="18" s="1"/>
  <c r="V277" i="18" s="1"/>
  <c r="W277" i="18" s="1"/>
  <c r="X277" i="18" s="1"/>
  <c r="Y277" i="18" s="1"/>
  <c r="Z277" i="18"/>
  <c r="AA277" i="18" s="1"/>
  <c r="AB277" i="18" s="1"/>
  <c r="AC277" i="18" s="1"/>
  <c r="AD277" i="18" s="1"/>
  <c r="S278" i="18"/>
  <c r="T278" i="18" s="1"/>
  <c r="U278" i="18" s="1"/>
  <c r="V278" i="18" s="1"/>
  <c r="W278" i="18" s="1"/>
  <c r="X278" i="18" s="1"/>
  <c r="Y278" i="18" s="1"/>
  <c r="Z278" i="18" s="1"/>
  <c r="AA278" i="18" s="1"/>
  <c r="AB278" i="18" s="1"/>
  <c r="AC278" i="18" s="1"/>
  <c r="AD278" i="18" s="1"/>
  <c r="S279" i="18"/>
  <c r="T279" i="18"/>
  <c r="U279" i="18" s="1"/>
  <c r="V279" i="18" s="1"/>
  <c r="W279" i="18" s="1"/>
  <c r="X279" i="18" s="1"/>
  <c r="Y279" i="18" s="1"/>
  <c r="Z279" i="18"/>
  <c r="AA279" i="18" s="1"/>
  <c r="AB279" i="18" s="1"/>
  <c r="AC279" i="18" s="1"/>
  <c r="AD279" i="18" s="1"/>
  <c r="S280" i="18"/>
  <c r="T280" i="18" s="1"/>
  <c r="U280" i="18" s="1"/>
  <c r="V280" i="18"/>
  <c r="W280" i="18" s="1"/>
  <c r="X280" i="18" s="1"/>
  <c r="Y280" i="18" s="1"/>
  <c r="Z280" i="18" s="1"/>
  <c r="AA280" i="18" s="1"/>
  <c r="AB280" i="18" s="1"/>
  <c r="AC280" i="18" s="1"/>
  <c r="AD280" i="18" s="1"/>
  <c r="S281" i="18"/>
  <c r="T281" i="18"/>
  <c r="U281" i="18" s="1"/>
  <c r="V281" i="18" s="1"/>
  <c r="W281" i="18" s="1"/>
  <c r="X281" i="18" s="1"/>
  <c r="Y281" i="18" s="1"/>
  <c r="Z281" i="18"/>
  <c r="AA281" i="18" s="1"/>
  <c r="AB281" i="18" s="1"/>
  <c r="AC281" i="18" s="1"/>
  <c r="AD281" i="18" s="1"/>
  <c r="S282" i="18"/>
  <c r="T282" i="18" s="1"/>
  <c r="U282" i="18" s="1"/>
  <c r="V282" i="18"/>
  <c r="W282" i="18" s="1"/>
  <c r="X282" i="18" s="1"/>
  <c r="Y282" i="18" s="1"/>
  <c r="Z282" i="18" s="1"/>
  <c r="AA282" i="18" s="1"/>
  <c r="AB282" i="18" s="1"/>
  <c r="AC282" i="18" s="1"/>
  <c r="AD282" i="18" s="1"/>
  <c r="S283" i="18"/>
  <c r="T283" i="18"/>
  <c r="U283" i="18" s="1"/>
  <c r="V283" i="18" s="1"/>
  <c r="W283" i="18" s="1"/>
  <c r="X283" i="18" s="1"/>
  <c r="Y283" i="18" s="1"/>
  <c r="Z283" i="18" s="1"/>
  <c r="AA283" i="18" s="1"/>
  <c r="AB283" i="18" s="1"/>
  <c r="AC283" i="18" s="1"/>
  <c r="AD283" i="18" s="1"/>
  <c r="S238" i="18"/>
  <c r="T238" i="18" s="1"/>
  <c r="U238" i="18" s="1"/>
  <c r="V238" i="18" s="1"/>
  <c r="W238" i="18" s="1"/>
  <c r="X238" i="18" s="1"/>
  <c r="Y238" i="18" s="1"/>
  <c r="Z238" i="18" s="1"/>
  <c r="AA238" i="18" s="1"/>
  <c r="AB238" i="18" s="1"/>
  <c r="AC238" i="18" s="1"/>
  <c r="AD238" i="18" s="1"/>
  <c r="S191" i="18"/>
  <c r="T191" i="18"/>
  <c r="U191" i="18" s="1"/>
  <c r="V191" i="18" s="1"/>
  <c r="W191" i="18" s="1"/>
  <c r="X191" i="18" s="1"/>
  <c r="Y191" i="18" s="1"/>
  <c r="Z191" i="18" s="1"/>
  <c r="AA191" i="18" s="1"/>
  <c r="AB191" i="18" s="1"/>
  <c r="AC191" i="18" s="1"/>
  <c r="AD191" i="18" s="1"/>
  <c r="S192" i="18"/>
  <c r="T192" i="18"/>
  <c r="U192" i="18" s="1"/>
  <c r="V192" i="18" s="1"/>
  <c r="W192" i="18" s="1"/>
  <c r="X192" i="18" s="1"/>
  <c r="Y192" i="18" s="1"/>
  <c r="Z192" i="18" s="1"/>
  <c r="AA192" i="18" s="1"/>
  <c r="AB192" i="18" s="1"/>
  <c r="AC192" i="18" s="1"/>
  <c r="AD192" i="18" s="1"/>
  <c r="S193" i="18"/>
  <c r="T193" i="18" s="1"/>
  <c r="U193" i="18" s="1"/>
  <c r="V193" i="18" s="1"/>
  <c r="W193" i="18" s="1"/>
  <c r="X193" i="18" s="1"/>
  <c r="Y193" i="18" s="1"/>
  <c r="Z193" i="18" s="1"/>
  <c r="AA193" i="18" s="1"/>
  <c r="AB193" i="18" s="1"/>
  <c r="AC193" i="18" s="1"/>
  <c r="AD193" i="18" s="1"/>
  <c r="S194" i="18"/>
  <c r="T194" i="18"/>
  <c r="U194" i="18" s="1"/>
  <c r="V194" i="18" s="1"/>
  <c r="W194" i="18" s="1"/>
  <c r="X194" i="18" s="1"/>
  <c r="Y194" i="18" s="1"/>
  <c r="Z194" i="18" s="1"/>
  <c r="AA194" i="18" s="1"/>
  <c r="AB194" i="18" s="1"/>
  <c r="AC194" i="18" s="1"/>
  <c r="AD194" i="18" s="1"/>
  <c r="S195" i="18"/>
  <c r="T195" i="18" s="1"/>
  <c r="U195" i="18" s="1"/>
  <c r="V195" i="18" s="1"/>
  <c r="W195" i="18" s="1"/>
  <c r="X195" i="18" s="1"/>
  <c r="Y195" i="18" s="1"/>
  <c r="Z195" i="18" s="1"/>
  <c r="AA195" i="18" s="1"/>
  <c r="AB195" i="18" s="1"/>
  <c r="AC195" i="18" s="1"/>
  <c r="AD195" i="18" s="1"/>
  <c r="S196" i="18"/>
  <c r="T196" i="18"/>
  <c r="U196" i="18" s="1"/>
  <c r="V196" i="18" s="1"/>
  <c r="W196" i="18" s="1"/>
  <c r="X196" i="18" s="1"/>
  <c r="Y196" i="18" s="1"/>
  <c r="Z196" i="18" s="1"/>
  <c r="AA196" i="18" s="1"/>
  <c r="AB196" i="18" s="1"/>
  <c r="AC196" i="18" s="1"/>
  <c r="AD196" i="18" s="1"/>
  <c r="S197" i="18"/>
  <c r="T197" i="18" s="1"/>
  <c r="U197" i="18" s="1"/>
  <c r="V197" i="18" s="1"/>
  <c r="W197" i="18" s="1"/>
  <c r="X197" i="18" s="1"/>
  <c r="Y197" i="18" s="1"/>
  <c r="Z197" i="18" s="1"/>
  <c r="AA197" i="18" s="1"/>
  <c r="AB197" i="18" s="1"/>
  <c r="AC197" i="18" s="1"/>
  <c r="AD197" i="18" s="1"/>
  <c r="S198" i="18"/>
  <c r="T198" i="18"/>
  <c r="U198" i="18" s="1"/>
  <c r="V198" i="18" s="1"/>
  <c r="W198" i="18" s="1"/>
  <c r="X198" i="18" s="1"/>
  <c r="Y198" i="18" s="1"/>
  <c r="Z198" i="18" s="1"/>
  <c r="AA198" i="18" s="1"/>
  <c r="AB198" i="18" s="1"/>
  <c r="AC198" i="18" s="1"/>
  <c r="AD198" i="18" s="1"/>
  <c r="S199" i="18"/>
  <c r="T199" i="18" s="1"/>
  <c r="U199" i="18" s="1"/>
  <c r="V199" i="18" s="1"/>
  <c r="W199" i="18" s="1"/>
  <c r="X199" i="18" s="1"/>
  <c r="Y199" i="18" s="1"/>
  <c r="Z199" i="18" s="1"/>
  <c r="AA199" i="18" s="1"/>
  <c r="AB199" i="18" s="1"/>
  <c r="AC199" i="18" s="1"/>
  <c r="AD199" i="18" s="1"/>
  <c r="S200" i="18"/>
  <c r="T200" i="18"/>
  <c r="U200" i="18" s="1"/>
  <c r="V200" i="18" s="1"/>
  <c r="W200" i="18" s="1"/>
  <c r="X200" i="18" s="1"/>
  <c r="Y200" i="18" s="1"/>
  <c r="Z200" i="18" s="1"/>
  <c r="AA200" i="18" s="1"/>
  <c r="AB200" i="18" s="1"/>
  <c r="AC200" i="18" s="1"/>
  <c r="AD200" i="18" s="1"/>
  <c r="S201" i="18"/>
  <c r="T201" i="18" s="1"/>
  <c r="U201" i="18" s="1"/>
  <c r="V201" i="18" s="1"/>
  <c r="W201" i="18" s="1"/>
  <c r="X201" i="18" s="1"/>
  <c r="Y201" i="18" s="1"/>
  <c r="Z201" i="18"/>
  <c r="AA201" i="18" s="1"/>
  <c r="AB201" i="18" s="1"/>
  <c r="AC201" i="18" s="1"/>
  <c r="AD201" i="18" s="1"/>
  <c r="S202" i="18"/>
  <c r="T202" i="18"/>
  <c r="U202" i="18" s="1"/>
  <c r="V202" i="18"/>
  <c r="W202" i="18" s="1"/>
  <c r="X202" i="18" s="1"/>
  <c r="Y202" i="18" s="1"/>
  <c r="Z202" i="18" s="1"/>
  <c r="AA202" i="18" s="1"/>
  <c r="AB202" i="18" s="1"/>
  <c r="AC202" i="18" s="1"/>
  <c r="AD202" i="18"/>
  <c r="S203" i="18"/>
  <c r="T203" i="18" s="1"/>
  <c r="U203" i="18" s="1"/>
  <c r="V203" i="18" s="1"/>
  <c r="W203" i="18" s="1"/>
  <c r="X203" i="18" s="1"/>
  <c r="Y203" i="18" s="1"/>
  <c r="Z203" i="18"/>
  <c r="AA203" i="18" s="1"/>
  <c r="AB203" i="18" s="1"/>
  <c r="AC203" i="18" s="1"/>
  <c r="AD203" i="18" s="1"/>
  <c r="S204" i="18"/>
  <c r="T204" i="18"/>
  <c r="U204" i="18" s="1"/>
  <c r="V204" i="18" s="1"/>
  <c r="W204" i="18" s="1"/>
  <c r="X204" i="18" s="1"/>
  <c r="Y204" i="18" s="1"/>
  <c r="Z204" i="18" s="1"/>
  <c r="AA204" i="18" s="1"/>
  <c r="AB204" i="18" s="1"/>
  <c r="AC204" i="18" s="1"/>
  <c r="AD204" i="18" s="1"/>
  <c r="S205" i="18"/>
  <c r="T205" i="18" s="1"/>
  <c r="U205" i="18" s="1"/>
  <c r="V205" i="18" s="1"/>
  <c r="W205" i="18" s="1"/>
  <c r="X205" i="18" s="1"/>
  <c r="Y205" i="18" s="1"/>
  <c r="Z205" i="18"/>
  <c r="AA205" i="18" s="1"/>
  <c r="AB205" i="18" s="1"/>
  <c r="AC205" i="18" s="1"/>
  <c r="AD205" i="18" s="1"/>
  <c r="S206" i="18"/>
  <c r="T206" i="18"/>
  <c r="U206" i="18" s="1"/>
  <c r="V206" i="18" s="1"/>
  <c r="W206" i="18" s="1"/>
  <c r="X206" i="18" s="1"/>
  <c r="Y206" i="18" s="1"/>
  <c r="Z206" i="18" s="1"/>
  <c r="AA206" i="18" s="1"/>
  <c r="AB206" i="18" s="1"/>
  <c r="AC206" i="18" s="1"/>
  <c r="AD206" i="18" s="1"/>
  <c r="S207" i="18"/>
  <c r="T207" i="18" s="1"/>
  <c r="U207" i="18" s="1"/>
  <c r="V207" i="18" s="1"/>
  <c r="W207" i="18" s="1"/>
  <c r="X207" i="18" s="1"/>
  <c r="Y207" i="18" s="1"/>
  <c r="Z207" i="18" s="1"/>
  <c r="AA207" i="18" s="1"/>
  <c r="AB207" i="18" s="1"/>
  <c r="AC207" i="18" s="1"/>
  <c r="AD207" i="18" s="1"/>
  <c r="S208" i="18"/>
  <c r="T208" i="18"/>
  <c r="U208" i="18" s="1"/>
  <c r="V208" i="18" s="1"/>
  <c r="W208" i="18" s="1"/>
  <c r="X208" i="18" s="1"/>
  <c r="Y208" i="18" s="1"/>
  <c r="Z208" i="18" s="1"/>
  <c r="AA208" i="18" s="1"/>
  <c r="AB208" i="18" s="1"/>
  <c r="AC208" i="18" s="1"/>
  <c r="AD208" i="18" s="1"/>
  <c r="S209" i="18"/>
  <c r="T209" i="18" s="1"/>
  <c r="U209" i="18" s="1"/>
  <c r="V209" i="18" s="1"/>
  <c r="W209" i="18" s="1"/>
  <c r="X209" i="18" s="1"/>
  <c r="Y209" i="18" s="1"/>
  <c r="Z209" i="18"/>
  <c r="AA209" i="18" s="1"/>
  <c r="AB209" i="18" s="1"/>
  <c r="AC209" i="18" s="1"/>
  <c r="AD209" i="18" s="1"/>
  <c r="S210" i="18"/>
  <c r="T210" i="18"/>
  <c r="U210" i="18" s="1"/>
  <c r="V210" i="18"/>
  <c r="W210" i="18" s="1"/>
  <c r="X210" i="18" s="1"/>
  <c r="Y210" i="18" s="1"/>
  <c r="Z210" i="18" s="1"/>
  <c r="AA210" i="18" s="1"/>
  <c r="AB210" i="18" s="1"/>
  <c r="AC210" i="18" s="1"/>
  <c r="AD210" i="18"/>
  <c r="S211" i="18"/>
  <c r="T211" i="18" s="1"/>
  <c r="S212" i="18"/>
  <c r="T212" i="18"/>
  <c r="S213" i="18"/>
  <c r="T213" i="18" s="1"/>
  <c r="U213" i="18" s="1"/>
  <c r="V213" i="18" s="1"/>
  <c r="W213" i="18" s="1"/>
  <c r="X213" i="18" s="1"/>
  <c r="Y213" i="18" s="1"/>
  <c r="Z213" i="18" s="1"/>
  <c r="AA213" i="18" s="1"/>
  <c r="AB213" i="18" s="1"/>
  <c r="AC213" i="18" s="1"/>
  <c r="AD213" i="18" s="1"/>
  <c r="S214" i="18"/>
  <c r="T214" i="18"/>
  <c r="U214" i="18" s="1"/>
  <c r="V214" i="18" s="1"/>
  <c r="W214" i="18" s="1"/>
  <c r="X214" i="18" s="1"/>
  <c r="Y214" i="18" s="1"/>
  <c r="Z214" i="18" s="1"/>
  <c r="AA214" i="18" s="1"/>
  <c r="AB214" i="18" s="1"/>
  <c r="AC214" i="18" s="1"/>
  <c r="AD214" i="18" s="1"/>
  <c r="S215" i="18"/>
  <c r="T215" i="18" s="1"/>
  <c r="U215" i="18" s="1"/>
  <c r="V215" i="18" s="1"/>
  <c r="W215" i="18" s="1"/>
  <c r="X215" i="18" s="1"/>
  <c r="Y215" i="18" s="1"/>
  <c r="Z215" i="18" s="1"/>
  <c r="AA215" i="18" s="1"/>
  <c r="AB215" i="18" s="1"/>
  <c r="AC215" i="18" s="1"/>
  <c r="AD215" i="18" s="1"/>
  <c r="S216" i="18"/>
  <c r="T216" i="18"/>
  <c r="U216" i="18" s="1"/>
  <c r="V216" i="18" s="1"/>
  <c r="W216" i="18" s="1"/>
  <c r="X216" i="18" s="1"/>
  <c r="Y216" i="18" s="1"/>
  <c r="Z216" i="18" s="1"/>
  <c r="AA216" i="18" s="1"/>
  <c r="AB216" i="18" s="1"/>
  <c r="AC216" i="18" s="1"/>
  <c r="AD216" i="18" s="1"/>
  <c r="S217" i="18"/>
  <c r="T217" i="18" s="1"/>
  <c r="U217" i="18" s="1"/>
  <c r="V217" i="18" s="1"/>
  <c r="W217" i="18" s="1"/>
  <c r="X217" i="18" s="1"/>
  <c r="Y217" i="18" s="1"/>
  <c r="Z217" i="18" s="1"/>
  <c r="AA217" i="18" s="1"/>
  <c r="AB217" i="18" s="1"/>
  <c r="AC217" i="18" s="1"/>
  <c r="AD217" i="18" s="1"/>
  <c r="S218" i="18"/>
  <c r="T218" i="18"/>
  <c r="U218" i="18" s="1"/>
  <c r="V218" i="18" s="1"/>
  <c r="W218" i="18" s="1"/>
  <c r="X218" i="18" s="1"/>
  <c r="Y218" i="18" s="1"/>
  <c r="Z218" i="18" s="1"/>
  <c r="AA218" i="18" s="1"/>
  <c r="AB218" i="18" s="1"/>
  <c r="AC218" i="18" s="1"/>
  <c r="AD218" i="18" s="1"/>
  <c r="S219" i="18"/>
  <c r="T219" i="18" s="1"/>
  <c r="U219" i="18" s="1"/>
  <c r="V219" i="18" s="1"/>
  <c r="W219" i="18" s="1"/>
  <c r="X219" i="18" s="1"/>
  <c r="Y219" i="18" s="1"/>
  <c r="Z219" i="18" s="1"/>
  <c r="AA219" i="18" s="1"/>
  <c r="AB219" i="18" s="1"/>
  <c r="AC219" i="18" s="1"/>
  <c r="AD219" i="18" s="1"/>
  <c r="S220" i="18"/>
  <c r="T220" i="18"/>
  <c r="U220" i="18" s="1"/>
  <c r="V220" i="18" s="1"/>
  <c r="W220" i="18" s="1"/>
  <c r="X220" i="18" s="1"/>
  <c r="Y220" i="18" s="1"/>
  <c r="Z220" i="18" s="1"/>
  <c r="AA220" i="18" s="1"/>
  <c r="AB220" i="18" s="1"/>
  <c r="AC220" i="18" s="1"/>
  <c r="AD220" i="18" s="1"/>
  <c r="S221" i="18"/>
  <c r="T221" i="18"/>
  <c r="U221" i="18" s="1"/>
  <c r="V221" i="18" s="1"/>
  <c r="W221" i="18" s="1"/>
  <c r="X221" i="18"/>
  <c r="Y221" i="18" s="1"/>
  <c r="Z221" i="18" s="1"/>
  <c r="AA221" i="18" s="1"/>
  <c r="AB221" i="18" s="1"/>
  <c r="AC221" i="18" s="1"/>
  <c r="AD221" i="18" s="1"/>
  <c r="S222" i="18"/>
  <c r="T222" i="18"/>
  <c r="U222" i="18" s="1"/>
  <c r="V222" i="18" s="1"/>
  <c r="W222" i="18" s="1"/>
  <c r="X222" i="18" s="1"/>
  <c r="Y222" i="18" s="1"/>
  <c r="Z222" i="18" s="1"/>
  <c r="AA222" i="18" s="1"/>
  <c r="AB222" i="18" s="1"/>
  <c r="AC222" i="18" s="1"/>
  <c r="AD222" i="18" s="1"/>
  <c r="S223" i="18"/>
  <c r="T223" i="18"/>
  <c r="U223" i="18" s="1"/>
  <c r="V223" i="18" s="1"/>
  <c r="W223" i="18" s="1"/>
  <c r="X223" i="18" s="1"/>
  <c r="Y223" i="18" s="1"/>
  <c r="Z223" i="18" s="1"/>
  <c r="AA223" i="18" s="1"/>
  <c r="AB223" i="18" s="1"/>
  <c r="AC223" i="18" s="1"/>
  <c r="AD223" i="18" s="1"/>
  <c r="S224" i="18"/>
  <c r="T224" i="18"/>
  <c r="U224" i="18" s="1"/>
  <c r="V224" i="18"/>
  <c r="W224" i="18" s="1"/>
  <c r="X224" i="18" s="1"/>
  <c r="Y224" i="18" s="1"/>
  <c r="Z224" i="18" s="1"/>
  <c r="AA224" i="18" s="1"/>
  <c r="AB224" i="18"/>
  <c r="AC224" i="18" s="1"/>
  <c r="AD224" i="18" s="1"/>
  <c r="S225" i="18"/>
  <c r="T225" i="18"/>
  <c r="U225" i="18" s="1"/>
  <c r="V225" i="18" s="1"/>
  <c r="W225" i="18" s="1"/>
  <c r="X225" i="18"/>
  <c r="Y225" i="18" s="1"/>
  <c r="Z225" i="18" s="1"/>
  <c r="AA225" i="18" s="1"/>
  <c r="AB225" i="18" s="1"/>
  <c r="AC225" i="18" s="1"/>
  <c r="AD225" i="18" s="1"/>
  <c r="S226" i="18"/>
  <c r="T226" i="18"/>
  <c r="U226" i="18" s="1"/>
  <c r="V226" i="18"/>
  <c r="W226" i="18" s="1"/>
  <c r="X226" i="18" s="1"/>
  <c r="Y226" i="18" s="1"/>
  <c r="Z226" i="18" s="1"/>
  <c r="AA226" i="18" s="1"/>
  <c r="AB226" i="18" s="1"/>
  <c r="AC226" i="18" s="1"/>
  <c r="AD226" i="18" s="1"/>
  <c r="S227" i="18"/>
  <c r="T227" i="18"/>
  <c r="U227" i="18" s="1"/>
  <c r="V227" i="18" s="1"/>
  <c r="W227" i="18" s="1"/>
  <c r="X227" i="18" s="1"/>
  <c r="Y227" i="18" s="1"/>
  <c r="Z227" i="18" s="1"/>
  <c r="AA227" i="18" s="1"/>
  <c r="AB227" i="18" s="1"/>
  <c r="AC227" i="18" s="1"/>
  <c r="AD227" i="18" s="1"/>
  <c r="S228" i="18"/>
  <c r="T228" i="18"/>
  <c r="U228" i="18" s="1"/>
  <c r="V228" i="18" s="1"/>
  <c r="W228" i="18" s="1"/>
  <c r="X228" i="18" s="1"/>
  <c r="Y228" i="18" s="1"/>
  <c r="Z228" i="18" s="1"/>
  <c r="AA228" i="18" s="1"/>
  <c r="AB228" i="18" s="1"/>
  <c r="AC228" i="18" s="1"/>
  <c r="AD228" i="18" s="1"/>
  <c r="S229" i="18"/>
  <c r="T229" i="18"/>
  <c r="U229" i="18" s="1"/>
  <c r="V229" i="18" s="1"/>
  <c r="W229" i="18" s="1"/>
  <c r="X229" i="18" s="1"/>
  <c r="Y229" i="18" s="1"/>
  <c r="Z229" i="18" s="1"/>
  <c r="AA229" i="18" s="1"/>
  <c r="AB229" i="18" s="1"/>
  <c r="AC229" i="18" s="1"/>
  <c r="AD229" i="18" s="1"/>
  <c r="S230" i="18"/>
  <c r="T230" i="18"/>
  <c r="U230" i="18" s="1"/>
  <c r="V230" i="18"/>
  <c r="W230" i="18" s="1"/>
  <c r="X230" i="18" s="1"/>
  <c r="Y230" i="18" s="1"/>
  <c r="Z230" i="18" s="1"/>
  <c r="AA230" i="18" s="1"/>
  <c r="AB230" i="18" s="1"/>
  <c r="AC230" i="18" s="1"/>
  <c r="AD230" i="18" s="1"/>
  <c r="S231" i="18"/>
  <c r="T231" i="18"/>
  <c r="U231" i="18" s="1"/>
  <c r="V231" i="18" s="1"/>
  <c r="W231" i="18" s="1"/>
  <c r="X231" i="18"/>
  <c r="Y231" i="18" s="1"/>
  <c r="Z231" i="18"/>
  <c r="AA231" i="18" s="1"/>
  <c r="AB231" i="18" s="1"/>
  <c r="AC231" i="18" s="1"/>
  <c r="AD231" i="18" s="1"/>
  <c r="S232" i="18"/>
  <c r="T232" i="18"/>
  <c r="U232" i="18" s="1"/>
  <c r="V232" i="18" s="1"/>
  <c r="W232" i="18" s="1"/>
  <c r="X232" i="18" s="1"/>
  <c r="Y232" i="18" s="1"/>
  <c r="Z232" i="18" s="1"/>
  <c r="AA232" i="18" s="1"/>
  <c r="AB232" i="18" s="1"/>
  <c r="AC232" i="18" s="1"/>
  <c r="AD232" i="18" s="1"/>
  <c r="S233" i="18"/>
  <c r="T233" i="18"/>
  <c r="U233" i="18" s="1"/>
  <c r="V233" i="18" s="1"/>
  <c r="W233" i="18" s="1"/>
  <c r="X233" i="18"/>
  <c r="Y233" i="18" s="1"/>
  <c r="Z233" i="18" s="1"/>
  <c r="AA233" i="18" s="1"/>
  <c r="AB233" i="18" s="1"/>
  <c r="AC233" i="18" s="1"/>
  <c r="AD233" i="18" s="1"/>
  <c r="S234" i="18"/>
  <c r="T234" i="18"/>
  <c r="U234" i="18" s="1"/>
  <c r="V234" i="18"/>
  <c r="W234" i="18" s="1"/>
  <c r="X234" i="18" s="1"/>
  <c r="Y234" i="18" s="1"/>
  <c r="Z234" i="18" s="1"/>
  <c r="AA234" i="18" s="1"/>
  <c r="AB234" i="18" s="1"/>
  <c r="AC234" i="18" s="1"/>
  <c r="AD234" i="18" s="1"/>
  <c r="S235" i="18"/>
  <c r="T235" i="18"/>
  <c r="U235" i="18" s="1"/>
  <c r="V235" i="18" s="1"/>
  <c r="W235" i="18" s="1"/>
  <c r="X235" i="18" s="1"/>
  <c r="Y235" i="18" s="1"/>
  <c r="Z235" i="18" s="1"/>
  <c r="AA235" i="18" s="1"/>
  <c r="AB235" i="18" s="1"/>
  <c r="AC235" i="18" s="1"/>
  <c r="AD235" i="18" s="1"/>
  <c r="T190" i="18"/>
  <c r="U190" i="18" s="1"/>
  <c r="V190" i="18" s="1"/>
  <c r="W190" i="18" s="1"/>
  <c r="X190" i="18" s="1"/>
  <c r="Y190" i="18" s="1"/>
  <c r="Z190" i="18" s="1"/>
  <c r="AA190" i="18" s="1"/>
  <c r="AB190" i="18" s="1"/>
  <c r="AC190" i="18" s="1"/>
  <c r="AD190" i="18" s="1"/>
  <c r="S190" i="18"/>
  <c r="S146" i="18"/>
  <c r="T146" i="18" s="1"/>
  <c r="U146" i="18" s="1"/>
  <c r="V146" i="18" s="1"/>
  <c r="W146" i="18" s="1"/>
  <c r="X146" i="18" s="1"/>
  <c r="Y146" i="18" s="1"/>
  <c r="Z146" i="18" s="1"/>
  <c r="AA146" i="18" s="1"/>
  <c r="AB146" i="18" s="1"/>
  <c r="AC146" i="18" s="1"/>
  <c r="AD146" i="18" s="1"/>
  <c r="S147" i="18"/>
  <c r="T147" i="18" s="1"/>
  <c r="U147" i="18" s="1"/>
  <c r="V147" i="18" s="1"/>
  <c r="W147" i="18" s="1"/>
  <c r="X147" i="18" s="1"/>
  <c r="Y147" i="18" s="1"/>
  <c r="Z147" i="18" s="1"/>
  <c r="AA147" i="18" s="1"/>
  <c r="AB147" i="18" s="1"/>
  <c r="AC147" i="18" s="1"/>
  <c r="AD147" i="18" s="1"/>
  <c r="S148" i="18"/>
  <c r="T148" i="18" s="1"/>
  <c r="U148" i="18" s="1"/>
  <c r="V148" i="18" s="1"/>
  <c r="W148" i="18" s="1"/>
  <c r="X148" i="18" s="1"/>
  <c r="Y148" i="18" s="1"/>
  <c r="Z148" i="18" s="1"/>
  <c r="AA148" i="18" s="1"/>
  <c r="AB148" i="18" s="1"/>
  <c r="AC148" i="18" s="1"/>
  <c r="AD148" i="18" s="1"/>
  <c r="S149" i="18"/>
  <c r="T149" i="18" s="1"/>
  <c r="U149" i="18" s="1"/>
  <c r="V149" i="18" s="1"/>
  <c r="W149" i="18" s="1"/>
  <c r="X149" i="18" s="1"/>
  <c r="Y149" i="18" s="1"/>
  <c r="Z149" i="18" s="1"/>
  <c r="AA149" i="18" s="1"/>
  <c r="AB149" i="18" s="1"/>
  <c r="AC149" i="18" s="1"/>
  <c r="AD149" i="18" s="1"/>
  <c r="S150" i="18"/>
  <c r="T150" i="18" s="1"/>
  <c r="U150" i="18" s="1"/>
  <c r="V150" i="18" s="1"/>
  <c r="W150" i="18" s="1"/>
  <c r="X150" i="18" s="1"/>
  <c r="Y150" i="18" s="1"/>
  <c r="Z150" i="18" s="1"/>
  <c r="AA150" i="18" s="1"/>
  <c r="AB150" i="18" s="1"/>
  <c r="AC150" i="18" s="1"/>
  <c r="AD150" i="18" s="1"/>
  <c r="S151" i="18"/>
  <c r="T151" i="18" s="1"/>
  <c r="U151" i="18" s="1"/>
  <c r="V151" i="18" s="1"/>
  <c r="W151" i="18" s="1"/>
  <c r="X151" i="18" s="1"/>
  <c r="Y151" i="18" s="1"/>
  <c r="Z151" i="18" s="1"/>
  <c r="AA151" i="18" s="1"/>
  <c r="AB151" i="18" s="1"/>
  <c r="AC151" i="18" s="1"/>
  <c r="AD151" i="18" s="1"/>
  <c r="S152" i="18"/>
  <c r="T152" i="18" s="1"/>
  <c r="U152" i="18" s="1"/>
  <c r="V152" i="18" s="1"/>
  <c r="W152" i="18" s="1"/>
  <c r="X152" i="18" s="1"/>
  <c r="Y152" i="18" s="1"/>
  <c r="Z152" i="18" s="1"/>
  <c r="AA152" i="18" s="1"/>
  <c r="AB152" i="18" s="1"/>
  <c r="AC152" i="18" s="1"/>
  <c r="AD152" i="18" s="1"/>
  <c r="S153" i="18"/>
  <c r="T153" i="18" s="1"/>
  <c r="U153" i="18" s="1"/>
  <c r="V153" i="18" s="1"/>
  <c r="W153" i="18" s="1"/>
  <c r="X153" i="18" s="1"/>
  <c r="Y153" i="18" s="1"/>
  <c r="Z153" i="18" s="1"/>
  <c r="AA153" i="18" s="1"/>
  <c r="AB153" i="18" s="1"/>
  <c r="AC153" i="18" s="1"/>
  <c r="AD153" i="18" s="1"/>
  <c r="S154" i="18"/>
  <c r="T154" i="18" s="1"/>
  <c r="U154" i="18" s="1"/>
  <c r="V154" i="18" s="1"/>
  <c r="W154" i="18" s="1"/>
  <c r="X154" i="18" s="1"/>
  <c r="Y154" i="18" s="1"/>
  <c r="Z154" i="18" s="1"/>
  <c r="AA154" i="18" s="1"/>
  <c r="AB154" i="18" s="1"/>
  <c r="AC154" i="18" s="1"/>
  <c r="AD154" i="18" s="1"/>
  <c r="S155" i="18"/>
  <c r="T155" i="18" s="1"/>
  <c r="U155" i="18" s="1"/>
  <c r="V155" i="18" s="1"/>
  <c r="W155" i="18" s="1"/>
  <c r="X155" i="18" s="1"/>
  <c r="Y155" i="18" s="1"/>
  <c r="Z155" i="18" s="1"/>
  <c r="AA155" i="18" s="1"/>
  <c r="AB155" i="18" s="1"/>
  <c r="AC155" i="18" s="1"/>
  <c r="AD155" i="18" s="1"/>
  <c r="S156" i="18"/>
  <c r="T156" i="18" s="1"/>
  <c r="U156" i="18" s="1"/>
  <c r="V156" i="18" s="1"/>
  <c r="W156" i="18" s="1"/>
  <c r="X156" i="18" s="1"/>
  <c r="Y156" i="18" s="1"/>
  <c r="Z156" i="18" s="1"/>
  <c r="AA156" i="18" s="1"/>
  <c r="AB156" i="18" s="1"/>
  <c r="AC156" i="18" s="1"/>
  <c r="AD156" i="18" s="1"/>
  <c r="S157" i="18"/>
  <c r="T157" i="18" s="1"/>
  <c r="U157" i="18" s="1"/>
  <c r="V157" i="18" s="1"/>
  <c r="W157" i="18" s="1"/>
  <c r="X157" i="18" s="1"/>
  <c r="Y157" i="18" s="1"/>
  <c r="Z157" i="18" s="1"/>
  <c r="AA157" i="18" s="1"/>
  <c r="AB157" i="18" s="1"/>
  <c r="AC157" i="18" s="1"/>
  <c r="AD157" i="18" s="1"/>
  <c r="S158" i="18"/>
  <c r="T158" i="18" s="1"/>
  <c r="U158" i="18" s="1"/>
  <c r="V158" i="18" s="1"/>
  <c r="W158" i="18" s="1"/>
  <c r="X158" i="18" s="1"/>
  <c r="Y158" i="18" s="1"/>
  <c r="Z158" i="18" s="1"/>
  <c r="AA158" i="18" s="1"/>
  <c r="AB158" i="18" s="1"/>
  <c r="AC158" i="18" s="1"/>
  <c r="AD158" i="18" s="1"/>
  <c r="S159" i="18"/>
  <c r="T159" i="18" s="1"/>
  <c r="U159" i="18" s="1"/>
  <c r="V159" i="18" s="1"/>
  <c r="W159" i="18" s="1"/>
  <c r="X159" i="18" s="1"/>
  <c r="Y159" i="18" s="1"/>
  <c r="Z159" i="18" s="1"/>
  <c r="AA159" i="18" s="1"/>
  <c r="AB159" i="18" s="1"/>
  <c r="AC159" i="18" s="1"/>
  <c r="AD159" i="18" s="1"/>
  <c r="S160" i="18"/>
  <c r="T160" i="18" s="1"/>
  <c r="U160" i="18" s="1"/>
  <c r="V160" i="18" s="1"/>
  <c r="W160" i="18" s="1"/>
  <c r="X160" i="18" s="1"/>
  <c r="Y160" i="18" s="1"/>
  <c r="Z160" i="18" s="1"/>
  <c r="AA160" i="18" s="1"/>
  <c r="AB160" i="18" s="1"/>
  <c r="AC160" i="18" s="1"/>
  <c r="AD160" i="18" s="1"/>
  <c r="S161" i="18"/>
  <c r="T161" i="18" s="1"/>
  <c r="U161" i="18" s="1"/>
  <c r="V161" i="18" s="1"/>
  <c r="W161" i="18" s="1"/>
  <c r="X161" i="18" s="1"/>
  <c r="Y161" i="18" s="1"/>
  <c r="Z161" i="18" s="1"/>
  <c r="AA161" i="18" s="1"/>
  <c r="AB161" i="18" s="1"/>
  <c r="AC161" i="18" s="1"/>
  <c r="AD161" i="18" s="1"/>
  <c r="S162" i="18"/>
  <c r="T162" i="18" s="1"/>
  <c r="U162" i="18" s="1"/>
  <c r="V162" i="18" s="1"/>
  <c r="W162" i="18" s="1"/>
  <c r="X162" i="18" s="1"/>
  <c r="Y162" i="18" s="1"/>
  <c r="Z162" i="18" s="1"/>
  <c r="AA162" i="18" s="1"/>
  <c r="AB162" i="18" s="1"/>
  <c r="AC162" i="18" s="1"/>
  <c r="AD162" i="18" s="1"/>
  <c r="S163" i="18"/>
  <c r="T163" i="18" s="1"/>
  <c r="U163" i="18" s="1"/>
  <c r="V163" i="18" s="1"/>
  <c r="W163" i="18" s="1"/>
  <c r="X163" i="18" s="1"/>
  <c r="Y163" i="18" s="1"/>
  <c r="Z163" i="18" s="1"/>
  <c r="AA163" i="18" s="1"/>
  <c r="AB163" i="18" s="1"/>
  <c r="AC163" i="18" s="1"/>
  <c r="AD163" i="18" s="1"/>
  <c r="S164" i="18"/>
  <c r="T164" i="18" s="1"/>
  <c r="U164" i="18" s="1"/>
  <c r="V164" i="18" s="1"/>
  <c r="W164" i="18" s="1"/>
  <c r="X164" i="18" s="1"/>
  <c r="Y164" i="18" s="1"/>
  <c r="Z164" i="18" s="1"/>
  <c r="AA164" i="18" s="1"/>
  <c r="AB164" i="18" s="1"/>
  <c r="AC164" i="18" s="1"/>
  <c r="AD164" i="18" s="1"/>
  <c r="S165" i="18"/>
  <c r="T165" i="18" s="1"/>
  <c r="S166" i="18"/>
  <c r="T166" i="18" s="1"/>
  <c r="S167" i="18"/>
  <c r="T167" i="18" s="1"/>
  <c r="U167" i="18" s="1"/>
  <c r="V167" i="18" s="1"/>
  <c r="W167" i="18" s="1"/>
  <c r="X167" i="18" s="1"/>
  <c r="Y167" i="18" s="1"/>
  <c r="Z167" i="18" s="1"/>
  <c r="AA167" i="18" s="1"/>
  <c r="AB167" i="18" s="1"/>
  <c r="AC167" i="18" s="1"/>
  <c r="AD167" i="18" s="1"/>
  <c r="S168" i="18"/>
  <c r="T168" i="18" s="1"/>
  <c r="U168" i="18" s="1"/>
  <c r="V168" i="18" s="1"/>
  <c r="W168" i="18" s="1"/>
  <c r="X168" i="18" s="1"/>
  <c r="Y168" i="18" s="1"/>
  <c r="Z168" i="18" s="1"/>
  <c r="AA168" i="18" s="1"/>
  <c r="AB168" i="18" s="1"/>
  <c r="AC168" i="18" s="1"/>
  <c r="AD168" i="18" s="1"/>
  <c r="S169" i="18"/>
  <c r="T169" i="18" s="1"/>
  <c r="U169" i="18" s="1"/>
  <c r="V169" i="18" s="1"/>
  <c r="W169" i="18" s="1"/>
  <c r="X169" i="18" s="1"/>
  <c r="Y169" i="18" s="1"/>
  <c r="Z169" i="18" s="1"/>
  <c r="AA169" i="18" s="1"/>
  <c r="AB169" i="18" s="1"/>
  <c r="AC169" i="18" s="1"/>
  <c r="AD169" i="18" s="1"/>
  <c r="S170" i="18"/>
  <c r="T170" i="18" s="1"/>
  <c r="U170" i="18" s="1"/>
  <c r="V170" i="18" s="1"/>
  <c r="W170" i="18" s="1"/>
  <c r="X170" i="18" s="1"/>
  <c r="Y170" i="18" s="1"/>
  <c r="Z170" i="18" s="1"/>
  <c r="AA170" i="18" s="1"/>
  <c r="AB170" i="18" s="1"/>
  <c r="AC170" i="18" s="1"/>
  <c r="AD170" i="18" s="1"/>
  <c r="S171" i="18"/>
  <c r="T171" i="18" s="1"/>
  <c r="U171" i="18" s="1"/>
  <c r="V171" i="18" s="1"/>
  <c r="W171" i="18" s="1"/>
  <c r="X171" i="18" s="1"/>
  <c r="Y171" i="18" s="1"/>
  <c r="Z171" i="18" s="1"/>
  <c r="AA171" i="18" s="1"/>
  <c r="AB171" i="18" s="1"/>
  <c r="AC171" i="18" s="1"/>
  <c r="AD171" i="18" s="1"/>
  <c r="S172" i="18"/>
  <c r="T172" i="18" s="1"/>
  <c r="U172" i="18" s="1"/>
  <c r="V172" i="18" s="1"/>
  <c r="W172" i="18" s="1"/>
  <c r="X172" i="18" s="1"/>
  <c r="Y172" i="18" s="1"/>
  <c r="Z172" i="18" s="1"/>
  <c r="AA172" i="18" s="1"/>
  <c r="AB172" i="18" s="1"/>
  <c r="AC172" i="18" s="1"/>
  <c r="AD172" i="18" s="1"/>
  <c r="S173" i="18"/>
  <c r="T173" i="18" s="1"/>
  <c r="U173" i="18" s="1"/>
  <c r="V173" i="18" s="1"/>
  <c r="W173" i="18" s="1"/>
  <c r="X173" i="18" s="1"/>
  <c r="Y173" i="18" s="1"/>
  <c r="Z173" i="18" s="1"/>
  <c r="AA173" i="18" s="1"/>
  <c r="AB173" i="18" s="1"/>
  <c r="AC173" i="18" s="1"/>
  <c r="AD173" i="18" s="1"/>
  <c r="S174" i="18"/>
  <c r="T174" i="18" s="1"/>
  <c r="U174" i="18" s="1"/>
  <c r="V174" i="18" s="1"/>
  <c r="W174" i="18" s="1"/>
  <c r="X174" i="18" s="1"/>
  <c r="Y174" i="18" s="1"/>
  <c r="Z174" i="18" s="1"/>
  <c r="AA174" i="18" s="1"/>
  <c r="AB174" i="18" s="1"/>
  <c r="AC174" i="18" s="1"/>
  <c r="AD174" i="18" s="1"/>
  <c r="S175" i="18"/>
  <c r="T175" i="18" s="1"/>
  <c r="U175" i="18" s="1"/>
  <c r="V175" i="18" s="1"/>
  <c r="W175" i="18" s="1"/>
  <c r="X175" i="18" s="1"/>
  <c r="Y175" i="18" s="1"/>
  <c r="Z175" i="18" s="1"/>
  <c r="AA175" i="18" s="1"/>
  <c r="AB175" i="18" s="1"/>
  <c r="AC175" i="18" s="1"/>
  <c r="AD175" i="18" s="1"/>
  <c r="S176" i="18"/>
  <c r="T176" i="18" s="1"/>
  <c r="U176" i="18" s="1"/>
  <c r="V176" i="18" s="1"/>
  <c r="W176" i="18" s="1"/>
  <c r="X176" i="18" s="1"/>
  <c r="Y176" i="18" s="1"/>
  <c r="Z176" i="18" s="1"/>
  <c r="AA176" i="18" s="1"/>
  <c r="AB176" i="18" s="1"/>
  <c r="AC176" i="18" s="1"/>
  <c r="AD176" i="18" s="1"/>
  <c r="S177" i="18"/>
  <c r="T177" i="18" s="1"/>
  <c r="U177" i="18" s="1"/>
  <c r="V177" i="18" s="1"/>
  <c r="W177" i="18" s="1"/>
  <c r="X177" i="18" s="1"/>
  <c r="Y177" i="18" s="1"/>
  <c r="Z177" i="18" s="1"/>
  <c r="AA177" i="18" s="1"/>
  <c r="AB177" i="18" s="1"/>
  <c r="AC177" i="18" s="1"/>
  <c r="AD177" i="18" s="1"/>
  <c r="S178" i="18"/>
  <c r="T178" i="18" s="1"/>
  <c r="U178" i="18" s="1"/>
  <c r="V178" i="18" s="1"/>
  <c r="W178" i="18" s="1"/>
  <c r="X178" i="18" s="1"/>
  <c r="Y178" i="18" s="1"/>
  <c r="Z178" i="18" s="1"/>
  <c r="AA178" i="18" s="1"/>
  <c r="AB178" i="18" s="1"/>
  <c r="AC178" i="18" s="1"/>
  <c r="AD178" i="18" s="1"/>
  <c r="S179" i="18"/>
  <c r="T179" i="18" s="1"/>
  <c r="U179" i="18" s="1"/>
  <c r="V179" i="18" s="1"/>
  <c r="W179" i="18" s="1"/>
  <c r="X179" i="18" s="1"/>
  <c r="Y179" i="18" s="1"/>
  <c r="Z179" i="18" s="1"/>
  <c r="AA179" i="18" s="1"/>
  <c r="AB179" i="18" s="1"/>
  <c r="AC179" i="18" s="1"/>
  <c r="AD179" i="18" s="1"/>
  <c r="S180" i="18"/>
  <c r="T180" i="18" s="1"/>
  <c r="U180" i="18" s="1"/>
  <c r="V180" i="18" s="1"/>
  <c r="W180" i="18" s="1"/>
  <c r="X180" i="18" s="1"/>
  <c r="Y180" i="18" s="1"/>
  <c r="Z180" i="18" s="1"/>
  <c r="AA180" i="18" s="1"/>
  <c r="AB180" i="18" s="1"/>
  <c r="AC180" i="18" s="1"/>
  <c r="AD180" i="18" s="1"/>
  <c r="S181" i="18"/>
  <c r="T181" i="18" s="1"/>
  <c r="U181" i="18" s="1"/>
  <c r="V181" i="18" s="1"/>
  <c r="W181" i="18" s="1"/>
  <c r="X181" i="18" s="1"/>
  <c r="Y181" i="18" s="1"/>
  <c r="Z181" i="18" s="1"/>
  <c r="AA181" i="18" s="1"/>
  <c r="AB181" i="18" s="1"/>
  <c r="AC181" i="18" s="1"/>
  <c r="AD181" i="18" s="1"/>
  <c r="S182" i="18"/>
  <c r="T182" i="18" s="1"/>
  <c r="U182" i="18" s="1"/>
  <c r="V182" i="18" s="1"/>
  <c r="W182" i="18" s="1"/>
  <c r="X182" i="18" s="1"/>
  <c r="Y182" i="18" s="1"/>
  <c r="Z182" i="18" s="1"/>
  <c r="AA182" i="18" s="1"/>
  <c r="AB182" i="18" s="1"/>
  <c r="AC182" i="18" s="1"/>
  <c r="AD182" i="18" s="1"/>
  <c r="S183" i="18"/>
  <c r="T183" i="18" s="1"/>
  <c r="U183" i="18" s="1"/>
  <c r="V183" i="18" s="1"/>
  <c r="W183" i="18" s="1"/>
  <c r="X183" i="18" s="1"/>
  <c r="Y183" i="18" s="1"/>
  <c r="Z183" i="18" s="1"/>
  <c r="AA183" i="18" s="1"/>
  <c r="AB183" i="18" s="1"/>
  <c r="AC183" i="18" s="1"/>
  <c r="AD183" i="18" s="1"/>
  <c r="S184" i="18"/>
  <c r="T184" i="18" s="1"/>
  <c r="U184" i="18" s="1"/>
  <c r="V184" i="18" s="1"/>
  <c r="W184" i="18" s="1"/>
  <c r="X184" i="18" s="1"/>
  <c r="Y184" i="18" s="1"/>
  <c r="Z184" i="18" s="1"/>
  <c r="AA184" i="18" s="1"/>
  <c r="AB184" i="18" s="1"/>
  <c r="AC184" i="18" s="1"/>
  <c r="AD184" i="18" s="1"/>
  <c r="S185" i="18"/>
  <c r="T185" i="18" s="1"/>
  <c r="U185" i="18" s="1"/>
  <c r="V185" i="18" s="1"/>
  <c r="W185" i="18" s="1"/>
  <c r="X185" i="18" s="1"/>
  <c r="Y185" i="18" s="1"/>
  <c r="Z185" i="18" s="1"/>
  <c r="AA185" i="18" s="1"/>
  <c r="AB185" i="18" s="1"/>
  <c r="AC185" i="18" s="1"/>
  <c r="AD185" i="18" s="1"/>
  <c r="S186" i="18"/>
  <c r="T186" i="18" s="1"/>
  <c r="U186" i="18" s="1"/>
  <c r="V186" i="18" s="1"/>
  <c r="W186" i="18" s="1"/>
  <c r="X186" i="18" s="1"/>
  <c r="Y186" i="18" s="1"/>
  <c r="Z186" i="18" s="1"/>
  <c r="AA186" i="18" s="1"/>
  <c r="AB186" i="18" s="1"/>
  <c r="AC186" i="18" s="1"/>
  <c r="AD186" i="18" s="1"/>
  <c r="S187" i="18"/>
  <c r="T187" i="18" s="1"/>
  <c r="U187" i="18" s="1"/>
  <c r="V187" i="18" s="1"/>
  <c r="W187" i="18" s="1"/>
  <c r="X187" i="18" s="1"/>
  <c r="Y187" i="18" s="1"/>
  <c r="Z187" i="18" s="1"/>
  <c r="AA187" i="18" s="1"/>
  <c r="AB187" i="18" s="1"/>
  <c r="AC187" i="18" s="1"/>
  <c r="AD187" i="18" s="1"/>
  <c r="T145" i="18"/>
  <c r="U145" i="18" s="1"/>
  <c r="V145" i="18" s="1"/>
  <c r="W145" i="18" s="1"/>
  <c r="X145" i="18" s="1"/>
  <c r="Y145" i="18" s="1"/>
  <c r="Z145" i="18" s="1"/>
  <c r="AA145" i="18" s="1"/>
  <c r="AB145" i="18" s="1"/>
  <c r="AC145" i="18" s="1"/>
  <c r="AD145" i="18" s="1"/>
  <c r="S145" i="18"/>
  <c r="S99" i="18"/>
  <c r="T99" i="18" s="1"/>
  <c r="S100" i="18"/>
  <c r="T100" i="18"/>
  <c r="U100" i="18" s="1"/>
  <c r="V100" i="18" s="1"/>
  <c r="W100" i="18" s="1"/>
  <c r="X100" i="18" s="1"/>
  <c r="Y100" i="18" s="1"/>
  <c r="Z100" i="18" s="1"/>
  <c r="AA100" i="18" s="1"/>
  <c r="AB100" i="18" s="1"/>
  <c r="AC100" i="18" s="1"/>
  <c r="AD100" i="18" s="1"/>
  <c r="S101" i="18"/>
  <c r="T101" i="18" s="1"/>
  <c r="U101" i="18" s="1"/>
  <c r="V101" i="18" s="1"/>
  <c r="W101" i="18" s="1"/>
  <c r="X101" i="18" s="1"/>
  <c r="Y101" i="18" s="1"/>
  <c r="Z101" i="18" s="1"/>
  <c r="AA101" i="18" s="1"/>
  <c r="AB101" i="18" s="1"/>
  <c r="AC101" i="18" s="1"/>
  <c r="AD101" i="18" s="1"/>
  <c r="S102" i="18"/>
  <c r="T102" i="18"/>
  <c r="U102" i="18" s="1"/>
  <c r="V102" i="18" s="1"/>
  <c r="W102" i="18" s="1"/>
  <c r="X102" i="18" s="1"/>
  <c r="Y102" i="18" s="1"/>
  <c r="Z102" i="18" s="1"/>
  <c r="AA102" i="18" s="1"/>
  <c r="AB102" i="18" s="1"/>
  <c r="AC102" i="18" s="1"/>
  <c r="AD102" i="18" s="1"/>
  <c r="S103" i="18"/>
  <c r="T103" i="18" s="1"/>
  <c r="U103" i="18" s="1"/>
  <c r="V103" i="18" s="1"/>
  <c r="W103" i="18" s="1"/>
  <c r="X103" i="18" s="1"/>
  <c r="Y103" i="18" s="1"/>
  <c r="Z103" i="18" s="1"/>
  <c r="AA103" i="18" s="1"/>
  <c r="AB103" i="18" s="1"/>
  <c r="AC103" i="18" s="1"/>
  <c r="AD103" i="18" s="1"/>
  <c r="S104" i="18"/>
  <c r="T104" i="18"/>
  <c r="U104" i="18" s="1"/>
  <c r="V104" i="18" s="1"/>
  <c r="W104" i="18" s="1"/>
  <c r="X104" i="18" s="1"/>
  <c r="Y104" i="18" s="1"/>
  <c r="Z104" i="18" s="1"/>
  <c r="AA104" i="18" s="1"/>
  <c r="AB104" i="18" s="1"/>
  <c r="AC104" i="18" s="1"/>
  <c r="AD104" i="18" s="1"/>
  <c r="S105" i="18"/>
  <c r="T105" i="18" s="1"/>
  <c r="U105" i="18" s="1"/>
  <c r="V105" i="18" s="1"/>
  <c r="W105" i="18" s="1"/>
  <c r="X105" i="18" s="1"/>
  <c r="Y105" i="18" s="1"/>
  <c r="Z105" i="18" s="1"/>
  <c r="AA105" i="18" s="1"/>
  <c r="AB105" i="18" s="1"/>
  <c r="AC105" i="18" s="1"/>
  <c r="AD105" i="18" s="1"/>
  <c r="S106" i="18"/>
  <c r="T106" i="18"/>
  <c r="U106" i="18" s="1"/>
  <c r="V106" i="18" s="1"/>
  <c r="W106" i="18" s="1"/>
  <c r="X106" i="18" s="1"/>
  <c r="Y106" i="18" s="1"/>
  <c r="Z106" i="18" s="1"/>
  <c r="AA106" i="18" s="1"/>
  <c r="AB106" i="18" s="1"/>
  <c r="AC106" i="18" s="1"/>
  <c r="AD106" i="18" s="1"/>
  <c r="S107" i="18"/>
  <c r="T107" i="18" s="1"/>
  <c r="U107" i="18" s="1"/>
  <c r="V107" i="18" s="1"/>
  <c r="W107" i="18" s="1"/>
  <c r="X107" i="18" s="1"/>
  <c r="Y107" i="18" s="1"/>
  <c r="Z107" i="18" s="1"/>
  <c r="AA107" i="18" s="1"/>
  <c r="AB107" i="18" s="1"/>
  <c r="AC107" i="18" s="1"/>
  <c r="AD107" i="18" s="1"/>
  <c r="S108" i="18"/>
  <c r="T108" i="18"/>
  <c r="U108" i="18" s="1"/>
  <c r="V108" i="18" s="1"/>
  <c r="W108" i="18" s="1"/>
  <c r="X108" i="18" s="1"/>
  <c r="Y108" i="18" s="1"/>
  <c r="Z108" i="18" s="1"/>
  <c r="AA108" i="18" s="1"/>
  <c r="AB108" i="18" s="1"/>
  <c r="AC108" i="18" s="1"/>
  <c r="AD108" i="18" s="1"/>
  <c r="S109" i="18"/>
  <c r="T109" i="18" s="1"/>
  <c r="U109" i="18" s="1"/>
  <c r="V109" i="18" s="1"/>
  <c r="W109" i="18" s="1"/>
  <c r="X109" i="18" s="1"/>
  <c r="Y109" i="18" s="1"/>
  <c r="Z109" i="18" s="1"/>
  <c r="AA109" i="18" s="1"/>
  <c r="AB109" i="18" s="1"/>
  <c r="AC109" i="18" s="1"/>
  <c r="AD109" i="18" s="1"/>
  <c r="S110" i="18"/>
  <c r="T110" i="18"/>
  <c r="U110" i="18" s="1"/>
  <c r="V110" i="18" s="1"/>
  <c r="W110" i="18" s="1"/>
  <c r="X110" i="18" s="1"/>
  <c r="Y110" i="18" s="1"/>
  <c r="Z110" i="18" s="1"/>
  <c r="AA110" i="18" s="1"/>
  <c r="AB110" i="18" s="1"/>
  <c r="AC110" i="18" s="1"/>
  <c r="AD110" i="18" s="1"/>
  <c r="S111" i="18"/>
  <c r="T111" i="18" s="1"/>
  <c r="U111" i="18" s="1"/>
  <c r="V111" i="18" s="1"/>
  <c r="W111" i="18" s="1"/>
  <c r="X111" i="18" s="1"/>
  <c r="Y111" i="18" s="1"/>
  <c r="Z111" i="18" s="1"/>
  <c r="AA111" i="18" s="1"/>
  <c r="AB111" i="18" s="1"/>
  <c r="AC111" i="18" s="1"/>
  <c r="AD111" i="18" s="1"/>
  <c r="S112" i="18"/>
  <c r="T112" i="18"/>
  <c r="U112" i="18" s="1"/>
  <c r="V112" i="18"/>
  <c r="W112" i="18" s="1"/>
  <c r="X112" i="18" s="1"/>
  <c r="Y112" i="18" s="1"/>
  <c r="Z112" i="18" s="1"/>
  <c r="AA112" i="18" s="1"/>
  <c r="AB112" i="18" s="1"/>
  <c r="AC112" i="18" s="1"/>
  <c r="AD112" i="18" s="1"/>
  <c r="S113" i="18"/>
  <c r="T113" i="18" s="1"/>
  <c r="U113" i="18" s="1"/>
  <c r="V113" i="18" s="1"/>
  <c r="W113" i="18" s="1"/>
  <c r="X113" i="18" s="1"/>
  <c r="Y113" i="18" s="1"/>
  <c r="Z113" i="18" s="1"/>
  <c r="AA113" i="18" s="1"/>
  <c r="AB113" i="18" s="1"/>
  <c r="AC113" i="18" s="1"/>
  <c r="AD113" i="18" s="1"/>
  <c r="S114" i="18"/>
  <c r="T114" i="18"/>
  <c r="U114" i="18" s="1"/>
  <c r="V114" i="18"/>
  <c r="W114" i="18" s="1"/>
  <c r="X114" i="18" s="1"/>
  <c r="Y114" i="18" s="1"/>
  <c r="Z114" i="18" s="1"/>
  <c r="AA114" i="18" s="1"/>
  <c r="AB114" i="18" s="1"/>
  <c r="AC114" i="18" s="1"/>
  <c r="AD114" i="18" s="1"/>
  <c r="S115" i="18"/>
  <c r="T115" i="18" s="1"/>
  <c r="U115" i="18" s="1"/>
  <c r="V115" i="18" s="1"/>
  <c r="W115" i="18" s="1"/>
  <c r="X115" i="18" s="1"/>
  <c r="Y115" i="18" s="1"/>
  <c r="Z115" i="18" s="1"/>
  <c r="AA115" i="18" s="1"/>
  <c r="AB115" i="18" s="1"/>
  <c r="AC115" i="18" s="1"/>
  <c r="AD115" i="18" s="1"/>
  <c r="S116" i="18"/>
  <c r="T116" i="18"/>
  <c r="U116" i="18" s="1"/>
  <c r="V116" i="18" s="1"/>
  <c r="W116" i="18" s="1"/>
  <c r="X116" i="18" s="1"/>
  <c r="Y116" i="18" s="1"/>
  <c r="Z116" i="18" s="1"/>
  <c r="AA116" i="18" s="1"/>
  <c r="AB116" i="18" s="1"/>
  <c r="AC116" i="18" s="1"/>
  <c r="AD116" i="18" s="1"/>
  <c r="S117" i="18"/>
  <c r="T117" i="18" s="1"/>
  <c r="U117" i="18" s="1"/>
  <c r="V117" i="18" s="1"/>
  <c r="W117" i="18" s="1"/>
  <c r="X117" i="18" s="1"/>
  <c r="Y117" i="18" s="1"/>
  <c r="Z117" i="18" s="1"/>
  <c r="AA117" i="18" s="1"/>
  <c r="AB117" i="18" s="1"/>
  <c r="AC117" i="18" s="1"/>
  <c r="AD117" i="18" s="1"/>
  <c r="S118" i="18"/>
  <c r="T118" i="18"/>
  <c r="U118" i="18" s="1"/>
  <c r="V118" i="18"/>
  <c r="S119" i="18"/>
  <c r="T119" i="18" s="1"/>
  <c r="S120" i="18"/>
  <c r="T120" i="18"/>
  <c r="U120" i="18" s="1"/>
  <c r="V120" i="18"/>
  <c r="W120" i="18" s="1"/>
  <c r="X120" i="18" s="1"/>
  <c r="Y120" i="18" s="1"/>
  <c r="Z120" i="18" s="1"/>
  <c r="AA120" i="18" s="1"/>
  <c r="AB120" i="18" s="1"/>
  <c r="AC120" i="18" s="1"/>
  <c r="AD120" i="18" s="1"/>
  <c r="S121" i="18"/>
  <c r="T121" i="18" s="1"/>
  <c r="U121" i="18" s="1"/>
  <c r="V121" i="18" s="1"/>
  <c r="W121" i="18" s="1"/>
  <c r="X121" i="18" s="1"/>
  <c r="Y121" i="18" s="1"/>
  <c r="Z121" i="18" s="1"/>
  <c r="AA121" i="18" s="1"/>
  <c r="AB121" i="18" s="1"/>
  <c r="AC121" i="18" s="1"/>
  <c r="AD121" i="18" s="1"/>
  <c r="S122" i="18"/>
  <c r="T122" i="18"/>
  <c r="U122" i="18" s="1"/>
  <c r="V122" i="18"/>
  <c r="W122" i="18" s="1"/>
  <c r="X122" i="18" s="1"/>
  <c r="Y122" i="18" s="1"/>
  <c r="Z122" i="18" s="1"/>
  <c r="AA122" i="18" s="1"/>
  <c r="AB122" i="18" s="1"/>
  <c r="AC122" i="18" s="1"/>
  <c r="AD122" i="18" s="1"/>
  <c r="S123" i="18"/>
  <c r="T123" i="18" s="1"/>
  <c r="U123" i="18" s="1"/>
  <c r="V123" i="18" s="1"/>
  <c r="W123" i="18" s="1"/>
  <c r="X123" i="18" s="1"/>
  <c r="Y123" i="18" s="1"/>
  <c r="Z123" i="18" s="1"/>
  <c r="AA123" i="18" s="1"/>
  <c r="AB123" i="18" s="1"/>
  <c r="AC123" i="18" s="1"/>
  <c r="AD123" i="18" s="1"/>
  <c r="S124" i="18"/>
  <c r="T124" i="18"/>
  <c r="U124" i="18" s="1"/>
  <c r="V124" i="18" s="1"/>
  <c r="W124" i="18" s="1"/>
  <c r="X124" i="18" s="1"/>
  <c r="Y124" i="18" s="1"/>
  <c r="Z124" i="18" s="1"/>
  <c r="AA124" i="18" s="1"/>
  <c r="AB124" i="18" s="1"/>
  <c r="AC124" i="18" s="1"/>
  <c r="AD124" i="18" s="1"/>
  <c r="S125" i="18"/>
  <c r="T125" i="18" s="1"/>
  <c r="U125" i="18" s="1"/>
  <c r="V125" i="18" s="1"/>
  <c r="W125" i="18" s="1"/>
  <c r="X125" i="18" s="1"/>
  <c r="Y125" i="18" s="1"/>
  <c r="Z125" i="18" s="1"/>
  <c r="AA125" i="18" s="1"/>
  <c r="AB125" i="18" s="1"/>
  <c r="AC125" i="18" s="1"/>
  <c r="AD125" i="18" s="1"/>
  <c r="S126" i="18"/>
  <c r="T126" i="18"/>
  <c r="U126" i="18" s="1"/>
  <c r="V126" i="18"/>
  <c r="W126" i="18" s="1"/>
  <c r="X126" i="18" s="1"/>
  <c r="Y126" i="18" s="1"/>
  <c r="Z126" i="18" s="1"/>
  <c r="AA126" i="18" s="1"/>
  <c r="AB126" i="18" s="1"/>
  <c r="AC126" i="18" s="1"/>
  <c r="AD126" i="18" s="1"/>
  <c r="S127" i="18"/>
  <c r="T127" i="18" s="1"/>
  <c r="U127" i="18" s="1"/>
  <c r="V127" i="18" s="1"/>
  <c r="W127" i="18" s="1"/>
  <c r="X127" i="18" s="1"/>
  <c r="Y127" i="18" s="1"/>
  <c r="Z127" i="18" s="1"/>
  <c r="AA127" i="18" s="1"/>
  <c r="AB127" i="18" s="1"/>
  <c r="AC127" i="18" s="1"/>
  <c r="AD127" i="18" s="1"/>
  <c r="S128" i="18"/>
  <c r="T128" i="18"/>
  <c r="U128" i="18" s="1"/>
  <c r="V128" i="18"/>
  <c r="W128" i="18" s="1"/>
  <c r="X128" i="18" s="1"/>
  <c r="Y128" i="18" s="1"/>
  <c r="Z128" i="18" s="1"/>
  <c r="AA128" i="18" s="1"/>
  <c r="AB128" i="18" s="1"/>
  <c r="AC128" i="18" s="1"/>
  <c r="AD128" i="18" s="1"/>
  <c r="S129" i="18"/>
  <c r="T129" i="18" s="1"/>
  <c r="U129" i="18" s="1"/>
  <c r="V129" i="18" s="1"/>
  <c r="W129" i="18" s="1"/>
  <c r="X129" i="18" s="1"/>
  <c r="Y129" i="18" s="1"/>
  <c r="Z129" i="18" s="1"/>
  <c r="AA129" i="18" s="1"/>
  <c r="AB129" i="18" s="1"/>
  <c r="AC129" i="18" s="1"/>
  <c r="AD129" i="18" s="1"/>
  <c r="S130" i="18"/>
  <c r="T130" i="18"/>
  <c r="U130" i="18" s="1"/>
  <c r="V130" i="18"/>
  <c r="W130" i="18" s="1"/>
  <c r="X130" i="18" s="1"/>
  <c r="Y130" i="18" s="1"/>
  <c r="Z130" i="18" s="1"/>
  <c r="AA130" i="18" s="1"/>
  <c r="AB130" i="18" s="1"/>
  <c r="AC130" i="18" s="1"/>
  <c r="AD130" i="18" s="1"/>
  <c r="S131" i="18"/>
  <c r="T131" i="18" s="1"/>
  <c r="U131" i="18" s="1"/>
  <c r="V131" i="18" s="1"/>
  <c r="W131" i="18" s="1"/>
  <c r="X131" i="18" s="1"/>
  <c r="Y131" i="18" s="1"/>
  <c r="Z131" i="18" s="1"/>
  <c r="AA131" i="18" s="1"/>
  <c r="AB131" i="18" s="1"/>
  <c r="AC131" i="18" s="1"/>
  <c r="AD131" i="18" s="1"/>
  <c r="S132" i="18"/>
  <c r="T132" i="18"/>
  <c r="U132" i="18" s="1"/>
  <c r="V132" i="18" s="1"/>
  <c r="W132" i="18" s="1"/>
  <c r="X132" i="18" s="1"/>
  <c r="Y132" i="18" s="1"/>
  <c r="Z132" i="18" s="1"/>
  <c r="AA132" i="18" s="1"/>
  <c r="AB132" i="18" s="1"/>
  <c r="AC132" i="18" s="1"/>
  <c r="AD132" i="18" s="1"/>
  <c r="S133" i="18"/>
  <c r="T133" i="18" s="1"/>
  <c r="U133" i="18" s="1"/>
  <c r="V133" i="18" s="1"/>
  <c r="W133" i="18" s="1"/>
  <c r="X133" i="18" s="1"/>
  <c r="Y133" i="18" s="1"/>
  <c r="Z133" i="18" s="1"/>
  <c r="AA133" i="18" s="1"/>
  <c r="AB133" i="18" s="1"/>
  <c r="AC133" i="18" s="1"/>
  <c r="AD133" i="18" s="1"/>
  <c r="S134" i="18"/>
  <c r="T134" i="18"/>
  <c r="U134" i="18" s="1"/>
  <c r="V134" i="18"/>
  <c r="W134" i="18" s="1"/>
  <c r="X134" i="18" s="1"/>
  <c r="Y134" i="18" s="1"/>
  <c r="Z134" i="18" s="1"/>
  <c r="AA134" i="18" s="1"/>
  <c r="AB134" i="18" s="1"/>
  <c r="AC134" i="18" s="1"/>
  <c r="AD134" i="18" s="1"/>
  <c r="S135" i="18"/>
  <c r="T135" i="18" s="1"/>
  <c r="U135" i="18" s="1"/>
  <c r="V135" i="18" s="1"/>
  <c r="W135" i="18" s="1"/>
  <c r="X135" i="18" s="1"/>
  <c r="Y135" i="18" s="1"/>
  <c r="Z135" i="18" s="1"/>
  <c r="AA135" i="18" s="1"/>
  <c r="AB135" i="18" s="1"/>
  <c r="AC135" i="18" s="1"/>
  <c r="AD135" i="18" s="1"/>
  <c r="S136" i="18"/>
  <c r="T136" i="18"/>
  <c r="U136" i="18" s="1"/>
  <c r="V136" i="18"/>
  <c r="W136" i="18" s="1"/>
  <c r="X136" i="18" s="1"/>
  <c r="Y136" i="18" s="1"/>
  <c r="Z136" i="18" s="1"/>
  <c r="AA136" i="18" s="1"/>
  <c r="AB136" i="18" s="1"/>
  <c r="AC136" i="18" s="1"/>
  <c r="AD136" i="18" s="1"/>
  <c r="S137" i="18"/>
  <c r="T137" i="18" s="1"/>
  <c r="U137" i="18" s="1"/>
  <c r="V137" i="18" s="1"/>
  <c r="W137" i="18" s="1"/>
  <c r="X137" i="18" s="1"/>
  <c r="Y137" i="18" s="1"/>
  <c r="Z137" i="18" s="1"/>
  <c r="AA137" i="18" s="1"/>
  <c r="AB137" i="18" s="1"/>
  <c r="AC137" i="18" s="1"/>
  <c r="AD137" i="18" s="1"/>
  <c r="S138" i="18"/>
  <c r="T138" i="18"/>
  <c r="U138" i="18" s="1"/>
  <c r="V138" i="18"/>
  <c r="W138" i="18" s="1"/>
  <c r="X138" i="18" s="1"/>
  <c r="Y138" i="18" s="1"/>
  <c r="Z138" i="18" s="1"/>
  <c r="AA138" i="18" s="1"/>
  <c r="AB138" i="18" s="1"/>
  <c r="AC138" i="18" s="1"/>
  <c r="AD138" i="18" s="1"/>
  <c r="S139" i="18"/>
  <c r="T139" i="18" s="1"/>
  <c r="U139" i="18" s="1"/>
  <c r="V139" i="18" s="1"/>
  <c r="W139" i="18" s="1"/>
  <c r="X139" i="18" s="1"/>
  <c r="Y139" i="18" s="1"/>
  <c r="Z139" i="18" s="1"/>
  <c r="AA139" i="18" s="1"/>
  <c r="AB139" i="18" s="1"/>
  <c r="AC139" i="18" s="1"/>
  <c r="AD139" i="18" s="1"/>
  <c r="S140" i="18"/>
  <c r="T140" i="18"/>
  <c r="U140" i="18" s="1"/>
  <c r="V140" i="18" s="1"/>
  <c r="W140" i="18" s="1"/>
  <c r="X140" i="18" s="1"/>
  <c r="Y140" i="18" s="1"/>
  <c r="Z140" i="18" s="1"/>
  <c r="AA140" i="18" s="1"/>
  <c r="AB140" i="18" s="1"/>
  <c r="AC140" i="18" s="1"/>
  <c r="AD140" i="18" s="1"/>
  <c r="S141" i="18"/>
  <c r="T141" i="18" s="1"/>
  <c r="U141" i="18" s="1"/>
  <c r="V141" i="18" s="1"/>
  <c r="W141" i="18" s="1"/>
  <c r="X141" i="18" s="1"/>
  <c r="Y141" i="18" s="1"/>
  <c r="Z141" i="18" s="1"/>
  <c r="AA141" i="18" s="1"/>
  <c r="AB141" i="18" s="1"/>
  <c r="AC141" i="18" s="1"/>
  <c r="AD141" i="18" s="1"/>
  <c r="S142" i="18"/>
  <c r="T142" i="18"/>
  <c r="U142" i="18" s="1"/>
  <c r="V142" i="18"/>
  <c r="W142" i="18" s="1"/>
  <c r="X142" i="18" s="1"/>
  <c r="Y142" i="18" s="1"/>
  <c r="Z142" i="18" s="1"/>
  <c r="AA142" i="18" s="1"/>
  <c r="AB142" i="18" s="1"/>
  <c r="AC142" i="18" s="1"/>
  <c r="AD142" i="18" s="1"/>
  <c r="T98" i="18"/>
  <c r="U98" i="18" s="1"/>
  <c r="V98" i="18" s="1"/>
  <c r="W98" i="18" s="1"/>
  <c r="X98" i="18" s="1"/>
  <c r="Y98" i="18" s="1"/>
  <c r="Z98" i="18" s="1"/>
  <c r="AA98" i="18" s="1"/>
  <c r="AB98" i="18" s="1"/>
  <c r="AC98" i="18" s="1"/>
  <c r="AD98" i="18" s="1"/>
  <c r="S98" i="18"/>
  <c r="S52" i="18"/>
  <c r="T52" i="18" s="1"/>
  <c r="S53" i="18"/>
  <c r="T53" i="18"/>
  <c r="U53" i="18" s="1"/>
  <c r="V53" i="18"/>
  <c r="W53" i="18" s="1"/>
  <c r="X53" i="18" s="1"/>
  <c r="Y53" i="18" s="1"/>
  <c r="Z53" i="18" s="1"/>
  <c r="AA53" i="18" s="1"/>
  <c r="AB53" i="18" s="1"/>
  <c r="AC53" i="18" s="1"/>
  <c r="AD53" i="18"/>
  <c r="S54" i="18"/>
  <c r="T54" i="18" s="1"/>
  <c r="U54" i="18" s="1"/>
  <c r="V54" i="18" s="1"/>
  <c r="W54" i="18" s="1"/>
  <c r="X54" i="18" s="1"/>
  <c r="Y54" i="18" s="1"/>
  <c r="Z54" i="18"/>
  <c r="AA54" i="18" s="1"/>
  <c r="AB54" i="18" s="1"/>
  <c r="AC54" i="18" s="1"/>
  <c r="AD54" i="18" s="1"/>
  <c r="S55" i="18"/>
  <c r="T55" i="18"/>
  <c r="U55" i="18" s="1"/>
  <c r="V55" i="18" s="1"/>
  <c r="W55" i="18" s="1"/>
  <c r="X55" i="18" s="1"/>
  <c r="Y55" i="18" s="1"/>
  <c r="Z55" i="18" s="1"/>
  <c r="AA55" i="18" s="1"/>
  <c r="AB55" i="18" s="1"/>
  <c r="AC55" i="18" s="1"/>
  <c r="AD55" i="18" s="1"/>
  <c r="S56" i="18"/>
  <c r="T56" i="18" s="1"/>
  <c r="U56" i="18" s="1"/>
  <c r="V56" i="18" s="1"/>
  <c r="W56" i="18" s="1"/>
  <c r="X56" i="18" s="1"/>
  <c r="Y56" i="18" s="1"/>
  <c r="Z56" i="18" s="1"/>
  <c r="AA56" i="18" s="1"/>
  <c r="AB56" i="18" s="1"/>
  <c r="AC56" i="18" s="1"/>
  <c r="AD56" i="18" s="1"/>
  <c r="T57" i="18"/>
  <c r="U57" i="18" s="1"/>
  <c r="V57" i="18" s="1"/>
  <c r="W57" i="18" s="1"/>
  <c r="X57" i="18" s="1"/>
  <c r="Y57" i="18" s="1"/>
  <c r="Z57" i="18" s="1"/>
  <c r="AA57" i="18" s="1"/>
  <c r="AB57" i="18" s="1"/>
  <c r="AC57" i="18" s="1"/>
  <c r="AD57" i="18" s="1"/>
  <c r="S58" i="18"/>
  <c r="T58" i="18" s="1"/>
  <c r="U58" i="18" s="1"/>
  <c r="V58" i="18" s="1"/>
  <c r="W58" i="18" s="1"/>
  <c r="X58" i="18" s="1"/>
  <c r="Y58" i="18" s="1"/>
  <c r="Z58" i="18"/>
  <c r="AA58" i="18" s="1"/>
  <c r="AB58" i="18" s="1"/>
  <c r="AC58" i="18" s="1"/>
  <c r="AD58" i="18" s="1"/>
  <c r="S59" i="18"/>
  <c r="T59" i="18"/>
  <c r="U59" i="18" s="1"/>
  <c r="V59" i="18" s="1"/>
  <c r="W59" i="18" s="1"/>
  <c r="X59" i="18" s="1"/>
  <c r="Y59" i="18" s="1"/>
  <c r="Z59" i="18" s="1"/>
  <c r="AA59" i="18" s="1"/>
  <c r="AB59" i="18" s="1"/>
  <c r="AC59" i="18" s="1"/>
  <c r="AD59" i="18" s="1"/>
  <c r="S60" i="18"/>
  <c r="T60" i="18" s="1"/>
  <c r="U60" i="18" s="1"/>
  <c r="V60" i="18" s="1"/>
  <c r="W60" i="18" s="1"/>
  <c r="X60" i="18" s="1"/>
  <c r="Y60" i="18" s="1"/>
  <c r="Z60" i="18" s="1"/>
  <c r="AA60" i="18" s="1"/>
  <c r="AB60" i="18" s="1"/>
  <c r="AC60" i="18" s="1"/>
  <c r="AD60" i="18" s="1"/>
  <c r="S61" i="18"/>
  <c r="T61" i="18"/>
  <c r="U61" i="18" s="1"/>
  <c r="V61" i="18" s="1"/>
  <c r="W61" i="18" s="1"/>
  <c r="X61" i="18" s="1"/>
  <c r="Y61" i="18" s="1"/>
  <c r="Z61" i="18" s="1"/>
  <c r="AA61" i="18" s="1"/>
  <c r="AB61" i="18" s="1"/>
  <c r="AC61" i="18" s="1"/>
  <c r="AD61" i="18" s="1"/>
  <c r="S62" i="18"/>
  <c r="T62" i="18" s="1"/>
  <c r="U62" i="18" s="1"/>
  <c r="V62" i="18" s="1"/>
  <c r="W62" i="18" s="1"/>
  <c r="X62" i="18" s="1"/>
  <c r="Y62" i="18" s="1"/>
  <c r="Z62" i="18" s="1"/>
  <c r="AA62" i="18" s="1"/>
  <c r="AB62" i="18" s="1"/>
  <c r="AC62" i="18" s="1"/>
  <c r="AD62" i="18" s="1"/>
  <c r="S63" i="18"/>
  <c r="T63" i="18"/>
  <c r="U63" i="18" s="1"/>
  <c r="V63" i="18" s="1"/>
  <c r="W63" i="18" s="1"/>
  <c r="X63" i="18" s="1"/>
  <c r="Y63" i="18" s="1"/>
  <c r="Z63" i="18" s="1"/>
  <c r="AA63" i="18" s="1"/>
  <c r="AB63" i="18" s="1"/>
  <c r="AC63" i="18" s="1"/>
  <c r="AD63" i="18" s="1"/>
  <c r="S64" i="18"/>
  <c r="T64" i="18" s="1"/>
  <c r="U64" i="18" s="1"/>
  <c r="V64" i="18" s="1"/>
  <c r="W64" i="18" s="1"/>
  <c r="X64" i="18" s="1"/>
  <c r="Y64" i="18" s="1"/>
  <c r="Z64" i="18" s="1"/>
  <c r="AA64" i="18" s="1"/>
  <c r="AB64" i="18" s="1"/>
  <c r="AC64" i="18" s="1"/>
  <c r="AD64" i="18" s="1"/>
  <c r="S65" i="18"/>
  <c r="T65" i="18"/>
  <c r="U65" i="18" s="1"/>
  <c r="V65" i="18" s="1"/>
  <c r="W65" i="18" s="1"/>
  <c r="X65" i="18" s="1"/>
  <c r="Y65" i="18" s="1"/>
  <c r="Z65" i="18" s="1"/>
  <c r="AA65" i="18" s="1"/>
  <c r="AB65" i="18" s="1"/>
  <c r="AC65" i="18" s="1"/>
  <c r="AD65" i="18" s="1"/>
  <c r="S66" i="18"/>
  <c r="T66" i="18" s="1"/>
  <c r="U66" i="18" s="1"/>
  <c r="V66" i="18" s="1"/>
  <c r="W66" i="18" s="1"/>
  <c r="X66" i="18" s="1"/>
  <c r="Y66" i="18" s="1"/>
  <c r="Z66" i="18" s="1"/>
  <c r="AA66" i="18" s="1"/>
  <c r="AB66" i="18" s="1"/>
  <c r="AC66" i="18" s="1"/>
  <c r="AD66" i="18" s="1"/>
  <c r="S67" i="18"/>
  <c r="T67" i="18"/>
  <c r="U67" i="18" s="1"/>
  <c r="V67" i="18" s="1"/>
  <c r="W67" i="18" s="1"/>
  <c r="X67" i="18" s="1"/>
  <c r="Y67" i="18" s="1"/>
  <c r="Z67" i="18" s="1"/>
  <c r="AA67" i="18" s="1"/>
  <c r="AB67" i="18" s="1"/>
  <c r="AC67" i="18" s="1"/>
  <c r="AD67" i="18"/>
  <c r="S68" i="18"/>
  <c r="T68" i="18" s="1"/>
  <c r="U68" i="18" s="1"/>
  <c r="V68" i="18" s="1"/>
  <c r="W68" i="18" s="1"/>
  <c r="X68" i="18" s="1"/>
  <c r="Y68" i="18" s="1"/>
  <c r="Z68" i="18" s="1"/>
  <c r="AA68" i="18" s="1"/>
  <c r="AB68" i="18" s="1"/>
  <c r="AC68" i="18" s="1"/>
  <c r="AD68" i="18" s="1"/>
  <c r="S69" i="18"/>
  <c r="T69" i="18"/>
  <c r="U69" i="18" s="1"/>
  <c r="V69" i="18"/>
  <c r="W69" i="18" s="1"/>
  <c r="X69" i="18" s="1"/>
  <c r="Y69" i="18" s="1"/>
  <c r="Z69" i="18" s="1"/>
  <c r="AA69" i="18" s="1"/>
  <c r="AB69" i="18" s="1"/>
  <c r="AC69" i="18" s="1"/>
  <c r="AD69" i="18"/>
  <c r="S70" i="18"/>
  <c r="T70" i="18" s="1"/>
  <c r="U70" i="18" s="1"/>
  <c r="V70" i="18" s="1"/>
  <c r="W70" i="18" s="1"/>
  <c r="X70" i="18" s="1"/>
  <c r="Y70" i="18" s="1"/>
  <c r="Z70" i="18"/>
  <c r="AA70" i="18" s="1"/>
  <c r="AB70" i="18" s="1"/>
  <c r="AC70" i="18" s="1"/>
  <c r="AD70" i="18" s="1"/>
  <c r="S71" i="18"/>
  <c r="T71" i="18"/>
  <c r="U71" i="18" s="1"/>
  <c r="V71" i="18"/>
  <c r="S72" i="18"/>
  <c r="T72" i="18" s="1"/>
  <c r="S73" i="18"/>
  <c r="T73" i="18"/>
  <c r="U73" i="18" s="1"/>
  <c r="V73" i="18"/>
  <c r="W73" i="18" s="1"/>
  <c r="X73" i="18" s="1"/>
  <c r="Y73" i="18" s="1"/>
  <c r="Z73" i="18" s="1"/>
  <c r="AA73" i="18" s="1"/>
  <c r="AB73" i="18" s="1"/>
  <c r="AC73" i="18" s="1"/>
  <c r="AD73" i="18" s="1"/>
  <c r="S74" i="18"/>
  <c r="T74" i="18" s="1"/>
  <c r="U74" i="18" s="1"/>
  <c r="V74" i="18" s="1"/>
  <c r="W74" i="18" s="1"/>
  <c r="X74" i="18" s="1"/>
  <c r="Y74" i="18" s="1"/>
  <c r="Z74" i="18" s="1"/>
  <c r="AA74" i="18" s="1"/>
  <c r="AB74" i="18" s="1"/>
  <c r="AC74" i="18" s="1"/>
  <c r="AD74" i="18" s="1"/>
  <c r="S75" i="18"/>
  <c r="T75" i="18"/>
  <c r="U75" i="18" s="1"/>
  <c r="V75" i="18" s="1"/>
  <c r="W75" i="18" s="1"/>
  <c r="X75" i="18" s="1"/>
  <c r="Y75" i="18" s="1"/>
  <c r="Z75" i="18" s="1"/>
  <c r="AA75" i="18" s="1"/>
  <c r="AB75" i="18" s="1"/>
  <c r="AC75" i="18" s="1"/>
  <c r="AD75" i="18" s="1"/>
  <c r="S76" i="18"/>
  <c r="T76" i="18" s="1"/>
  <c r="U76" i="18" s="1"/>
  <c r="V76" i="18" s="1"/>
  <c r="W76" i="18" s="1"/>
  <c r="X76" i="18" s="1"/>
  <c r="Y76" i="18" s="1"/>
  <c r="Z76" i="18" s="1"/>
  <c r="AA76" i="18" s="1"/>
  <c r="AB76" i="18" s="1"/>
  <c r="AC76" i="18" s="1"/>
  <c r="AD76" i="18" s="1"/>
  <c r="S77" i="18"/>
  <c r="T77" i="18"/>
  <c r="U77" i="18" s="1"/>
  <c r="V77" i="18"/>
  <c r="W77" i="18" s="1"/>
  <c r="X77" i="18" s="1"/>
  <c r="Y77" i="18" s="1"/>
  <c r="Z77" i="18" s="1"/>
  <c r="AA77" i="18" s="1"/>
  <c r="AB77" i="18" s="1"/>
  <c r="AC77" i="18" s="1"/>
  <c r="AD77" i="18"/>
  <c r="S78" i="18"/>
  <c r="T78" i="18" s="1"/>
  <c r="U78" i="18" s="1"/>
  <c r="V78" i="18" s="1"/>
  <c r="W78" i="18" s="1"/>
  <c r="X78" i="18" s="1"/>
  <c r="Y78" i="18" s="1"/>
  <c r="Z78" i="18"/>
  <c r="AA78" i="18" s="1"/>
  <c r="AB78" i="18" s="1"/>
  <c r="AC78" i="18" s="1"/>
  <c r="AD78" i="18" s="1"/>
  <c r="S79" i="18"/>
  <c r="T79" i="18"/>
  <c r="U79" i="18" s="1"/>
  <c r="V79" i="18"/>
  <c r="W79" i="18" s="1"/>
  <c r="X79" i="18" s="1"/>
  <c r="Y79" i="18" s="1"/>
  <c r="Z79" i="18" s="1"/>
  <c r="AA79" i="18" s="1"/>
  <c r="AB79" i="18" s="1"/>
  <c r="AC79" i="18" s="1"/>
  <c r="AD79" i="18" s="1"/>
  <c r="S80" i="18"/>
  <c r="T80" i="18" s="1"/>
  <c r="U80" i="18" s="1"/>
  <c r="V80" i="18" s="1"/>
  <c r="W80" i="18" s="1"/>
  <c r="X80" i="18" s="1"/>
  <c r="Y80" i="18" s="1"/>
  <c r="Z80" i="18"/>
  <c r="AA80" i="18" s="1"/>
  <c r="AB80" i="18" s="1"/>
  <c r="AC80" i="18" s="1"/>
  <c r="AD80" i="18" s="1"/>
  <c r="S81" i="18"/>
  <c r="T81" i="18"/>
  <c r="U81" i="18" s="1"/>
  <c r="V81" i="18"/>
  <c r="W81" i="18" s="1"/>
  <c r="X81" i="18" s="1"/>
  <c r="Y81" i="18" s="1"/>
  <c r="Z81" i="18" s="1"/>
  <c r="AA81" i="18" s="1"/>
  <c r="AB81" i="18" s="1"/>
  <c r="AC81" i="18" s="1"/>
  <c r="AD81" i="18" s="1"/>
  <c r="S82" i="18"/>
  <c r="T82" i="18" s="1"/>
  <c r="U82" i="18" s="1"/>
  <c r="V82" i="18" s="1"/>
  <c r="W82" i="18" s="1"/>
  <c r="X82" i="18" s="1"/>
  <c r="Y82" i="18" s="1"/>
  <c r="Z82" i="18" s="1"/>
  <c r="AA82" i="18" s="1"/>
  <c r="AB82" i="18" s="1"/>
  <c r="AC82" i="18" s="1"/>
  <c r="AD82" i="18" s="1"/>
  <c r="S83" i="18"/>
  <c r="T83" i="18"/>
  <c r="U83" i="18" s="1"/>
  <c r="V83" i="18" s="1"/>
  <c r="W83" i="18" s="1"/>
  <c r="X83" i="18" s="1"/>
  <c r="Y83" i="18" s="1"/>
  <c r="Z83" i="18" s="1"/>
  <c r="AA83" i="18" s="1"/>
  <c r="AB83" i="18" s="1"/>
  <c r="AC83" i="18" s="1"/>
  <c r="AD83" i="18" s="1"/>
  <c r="S84" i="18"/>
  <c r="T84" i="18" s="1"/>
  <c r="U84" i="18" s="1"/>
  <c r="V84" i="18" s="1"/>
  <c r="W84" i="18" s="1"/>
  <c r="X84" i="18" s="1"/>
  <c r="Y84" i="18" s="1"/>
  <c r="Z84" i="18" s="1"/>
  <c r="AA84" i="18" s="1"/>
  <c r="AB84" i="18" s="1"/>
  <c r="AC84" i="18" s="1"/>
  <c r="AD84" i="18" s="1"/>
  <c r="S85" i="18"/>
  <c r="T85" i="18"/>
  <c r="U85" i="18" s="1"/>
  <c r="V85" i="18"/>
  <c r="W85" i="18" s="1"/>
  <c r="X85" i="18" s="1"/>
  <c r="Y85" i="18" s="1"/>
  <c r="Z85" i="18" s="1"/>
  <c r="AA85" i="18" s="1"/>
  <c r="AB85" i="18" s="1"/>
  <c r="AC85" i="18" s="1"/>
  <c r="AD85" i="18"/>
  <c r="S86" i="18"/>
  <c r="T86" i="18" s="1"/>
  <c r="U86" i="18" s="1"/>
  <c r="V86" i="18" s="1"/>
  <c r="W86" i="18" s="1"/>
  <c r="X86" i="18" s="1"/>
  <c r="Y86" i="18" s="1"/>
  <c r="Z86" i="18"/>
  <c r="AA86" i="18" s="1"/>
  <c r="AB86" i="18" s="1"/>
  <c r="AC86" i="18" s="1"/>
  <c r="AD86" i="18" s="1"/>
  <c r="S87" i="18"/>
  <c r="T87" i="18"/>
  <c r="U87" i="18" s="1"/>
  <c r="V87" i="18"/>
  <c r="W87" i="18" s="1"/>
  <c r="X87" i="18" s="1"/>
  <c r="Y87" i="18" s="1"/>
  <c r="Z87" i="18" s="1"/>
  <c r="AA87" i="18" s="1"/>
  <c r="AB87" i="18" s="1"/>
  <c r="AC87" i="18" s="1"/>
  <c r="AD87" i="18" s="1"/>
  <c r="S88" i="18"/>
  <c r="T88" i="18" s="1"/>
  <c r="U88" i="18" s="1"/>
  <c r="V88" i="18" s="1"/>
  <c r="W88" i="18" s="1"/>
  <c r="X88" i="18" s="1"/>
  <c r="Y88" i="18" s="1"/>
  <c r="Z88" i="18"/>
  <c r="AA88" i="18" s="1"/>
  <c r="AB88" i="18" s="1"/>
  <c r="AC88" i="18" s="1"/>
  <c r="AD88" i="18" s="1"/>
  <c r="S89" i="18"/>
  <c r="T89" i="18"/>
  <c r="U89" i="18" s="1"/>
  <c r="V89" i="18"/>
  <c r="W89" i="18" s="1"/>
  <c r="X89" i="18" s="1"/>
  <c r="Y89" i="18" s="1"/>
  <c r="Z89" i="18" s="1"/>
  <c r="AA89" i="18" s="1"/>
  <c r="AB89" i="18" s="1"/>
  <c r="AC89" i="18" s="1"/>
  <c r="AD89" i="18" s="1"/>
  <c r="S90" i="18"/>
  <c r="T90" i="18" s="1"/>
  <c r="U90" i="18" s="1"/>
  <c r="V90" i="18" s="1"/>
  <c r="W90" i="18" s="1"/>
  <c r="X90" i="18" s="1"/>
  <c r="Y90" i="18" s="1"/>
  <c r="Z90" i="18" s="1"/>
  <c r="AA90" i="18" s="1"/>
  <c r="AB90" i="18" s="1"/>
  <c r="AC90" i="18" s="1"/>
  <c r="AD90" i="18" s="1"/>
  <c r="S91" i="18"/>
  <c r="T91" i="18"/>
  <c r="U91" i="18" s="1"/>
  <c r="V91" i="18" s="1"/>
  <c r="W91" i="18" s="1"/>
  <c r="X91" i="18" s="1"/>
  <c r="Y91" i="18" s="1"/>
  <c r="Z91" i="18" s="1"/>
  <c r="AA91" i="18" s="1"/>
  <c r="AB91" i="18" s="1"/>
  <c r="AC91" i="18" s="1"/>
  <c r="AD91" i="18" s="1"/>
  <c r="S92" i="18"/>
  <c r="T92" i="18" s="1"/>
  <c r="U92" i="18" s="1"/>
  <c r="V92" i="18" s="1"/>
  <c r="W92" i="18" s="1"/>
  <c r="X92" i="18" s="1"/>
  <c r="Y92" i="18" s="1"/>
  <c r="Z92" i="18" s="1"/>
  <c r="AA92" i="18" s="1"/>
  <c r="AB92" i="18" s="1"/>
  <c r="AC92" i="18" s="1"/>
  <c r="AD92" i="18" s="1"/>
  <c r="S93" i="18"/>
  <c r="T93" i="18"/>
  <c r="U93" i="18" s="1"/>
  <c r="V93" i="18"/>
  <c r="W93" i="18" s="1"/>
  <c r="X93" i="18" s="1"/>
  <c r="Y93" i="18" s="1"/>
  <c r="Z93" i="18" s="1"/>
  <c r="AA93" i="18" s="1"/>
  <c r="AB93" i="18" s="1"/>
  <c r="AC93" i="18" s="1"/>
  <c r="AD93" i="18"/>
  <c r="S94" i="18"/>
  <c r="T94" i="18" s="1"/>
  <c r="U94" i="18" s="1"/>
  <c r="V94" i="18" s="1"/>
  <c r="W94" i="18" s="1"/>
  <c r="X94" i="18" s="1"/>
  <c r="Y94" i="18" s="1"/>
  <c r="Z94" i="18"/>
  <c r="AA94" i="18" s="1"/>
  <c r="AB94" i="18" s="1"/>
  <c r="AC94" i="18" s="1"/>
  <c r="AD94" i="18" s="1"/>
  <c r="S95" i="18"/>
  <c r="T95" i="18"/>
  <c r="U95" i="18" s="1"/>
  <c r="V95" i="18"/>
  <c r="W95" i="18" s="1"/>
  <c r="X95" i="18" s="1"/>
  <c r="Y95" i="18" s="1"/>
  <c r="Z95" i="18" s="1"/>
  <c r="AA95" i="18" s="1"/>
  <c r="AB95" i="18" s="1"/>
  <c r="AC95" i="18" s="1"/>
  <c r="AD95" i="18" s="1"/>
  <c r="S51" i="18"/>
  <c r="T51" i="18" s="1"/>
  <c r="U51" i="18" s="1"/>
  <c r="V51" i="18" s="1"/>
  <c r="W51" i="18" s="1"/>
  <c r="X51" i="18" s="1"/>
  <c r="Y51" i="18" s="1"/>
  <c r="Z51" i="18" s="1"/>
  <c r="AA51" i="18" s="1"/>
  <c r="AB51" i="18" s="1"/>
  <c r="AC51" i="18" s="1"/>
  <c r="AD51" i="18" s="1"/>
  <c r="S6" i="18"/>
  <c r="T6" i="18" s="1"/>
  <c r="U6" i="18" s="1"/>
  <c r="V6" i="18" s="1"/>
  <c r="W6" i="18" s="1"/>
  <c r="X6" i="18" s="1"/>
  <c r="Y6" i="18" s="1"/>
  <c r="Z6" i="18" s="1"/>
  <c r="AA6" i="18" s="1"/>
  <c r="AB6" i="18" s="1"/>
  <c r="AC6" i="18" s="1"/>
  <c r="AD6" i="18" s="1"/>
  <c r="S7" i="18"/>
  <c r="T7" i="18"/>
  <c r="U7" i="18"/>
  <c r="V7" i="18" s="1"/>
  <c r="W7" i="18" s="1"/>
  <c r="X7" i="18" s="1"/>
  <c r="Y7" i="18" s="1"/>
  <c r="Z7" i="18" s="1"/>
  <c r="AA7" i="18" s="1"/>
  <c r="AB7" i="18" s="1"/>
  <c r="AC7" i="18" s="1"/>
  <c r="AD7" i="18" s="1"/>
  <c r="S8" i="18"/>
  <c r="T8" i="18" s="1"/>
  <c r="U8" i="18" s="1"/>
  <c r="V8" i="18" s="1"/>
  <c r="W8" i="18" s="1"/>
  <c r="X8" i="18" s="1"/>
  <c r="Y8" i="18" s="1"/>
  <c r="Z8" i="18" s="1"/>
  <c r="AA8" i="18" s="1"/>
  <c r="AB8" i="18" s="1"/>
  <c r="AC8" i="18" s="1"/>
  <c r="AD8" i="18" s="1"/>
  <c r="S9" i="18"/>
  <c r="T9" i="18"/>
  <c r="U9" i="18"/>
  <c r="V9" i="18"/>
  <c r="W9" i="18" s="1"/>
  <c r="X9" i="18" s="1"/>
  <c r="Y9" i="18" s="1"/>
  <c r="Z9" i="18" s="1"/>
  <c r="AA9" i="18" s="1"/>
  <c r="AB9" i="18" s="1"/>
  <c r="AC9" i="18" s="1"/>
  <c r="AD9" i="18" s="1"/>
  <c r="S10" i="18"/>
  <c r="T10" i="18"/>
  <c r="U10" i="18"/>
  <c r="V10" i="18"/>
  <c r="W10" i="18" s="1"/>
  <c r="X10" i="18" s="1"/>
  <c r="Y10" i="18"/>
  <c r="Z10" i="18" s="1"/>
  <c r="AA10" i="18" s="1"/>
  <c r="AB10" i="18" s="1"/>
  <c r="AC10" i="18" s="1"/>
  <c r="AD10" i="18" s="1"/>
  <c r="S11" i="18"/>
  <c r="T11" i="18"/>
  <c r="U11" i="18"/>
  <c r="V11" i="18" s="1"/>
  <c r="W11" i="18" s="1"/>
  <c r="X11" i="18" s="1"/>
  <c r="Y11" i="18" s="1"/>
  <c r="Z11" i="18" s="1"/>
  <c r="AA11" i="18" s="1"/>
  <c r="AB11" i="18" s="1"/>
  <c r="AC11" i="18" s="1"/>
  <c r="AD11" i="18" s="1"/>
  <c r="S12" i="18"/>
  <c r="T12" i="18"/>
  <c r="U12" i="18"/>
  <c r="V12" i="18"/>
  <c r="W12" i="18" s="1"/>
  <c r="X12" i="18" s="1"/>
  <c r="Y12" i="18" s="1"/>
  <c r="Z12" i="18" s="1"/>
  <c r="AA12" i="18" s="1"/>
  <c r="AB12" i="18" s="1"/>
  <c r="AC12" i="18" s="1"/>
  <c r="AD12" i="18" s="1"/>
  <c r="S13" i="18"/>
  <c r="T13" i="18"/>
  <c r="U13" i="18"/>
  <c r="V13" i="18" s="1"/>
  <c r="W13" i="18" s="1"/>
  <c r="X13" i="18" s="1"/>
  <c r="Y13" i="18" s="1"/>
  <c r="Z13" i="18" s="1"/>
  <c r="AA13" i="18" s="1"/>
  <c r="AB13" i="18" s="1"/>
  <c r="AC13" i="18" s="1"/>
  <c r="AD13" i="18" s="1"/>
  <c r="S14" i="18"/>
  <c r="T14" i="18"/>
  <c r="U14" i="18"/>
  <c r="V14" i="18"/>
  <c r="W14" i="18" s="1"/>
  <c r="X14" i="18" s="1"/>
  <c r="Y14" i="18" s="1"/>
  <c r="Z14" i="18" s="1"/>
  <c r="AA14" i="18" s="1"/>
  <c r="AB14" i="18" s="1"/>
  <c r="AC14" i="18" s="1"/>
  <c r="AD14" i="18" s="1"/>
  <c r="S15" i="18"/>
  <c r="T15" i="18"/>
  <c r="U15" i="18"/>
  <c r="V15" i="18"/>
  <c r="W15" i="18" s="1"/>
  <c r="X15" i="18" s="1"/>
  <c r="Y15" i="18" s="1"/>
  <c r="Z15" i="18"/>
  <c r="AA15" i="18" s="1"/>
  <c r="AB15" i="18" s="1"/>
  <c r="AC15" i="18" s="1"/>
  <c r="AD15" i="18" s="1"/>
  <c r="S16" i="18"/>
  <c r="T16" i="18"/>
  <c r="U16" i="18"/>
  <c r="V16" i="18"/>
  <c r="W16" i="18" s="1"/>
  <c r="X16" i="18" s="1"/>
  <c r="Y16" i="18"/>
  <c r="Z16" i="18"/>
  <c r="AA16" i="18" s="1"/>
  <c r="AB16" i="18" s="1"/>
  <c r="AC16" i="18" s="1"/>
  <c r="AD16" i="18" s="1"/>
  <c r="S17" i="18"/>
  <c r="T17" i="18"/>
  <c r="U17" i="18"/>
  <c r="V17" i="18"/>
  <c r="W17" i="18" s="1"/>
  <c r="X17" i="18" s="1"/>
  <c r="Y17" i="18" s="1"/>
  <c r="Z17" i="18" s="1"/>
  <c r="AA17" i="18" s="1"/>
  <c r="AB17" i="18" s="1"/>
  <c r="AC17" i="18" s="1"/>
  <c r="AD17" i="18" s="1"/>
  <c r="S18" i="18"/>
  <c r="T18" i="18" s="1"/>
  <c r="U18" i="18" s="1"/>
  <c r="V18" i="18" s="1"/>
  <c r="W18" i="18" s="1"/>
  <c r="X18" i="18" s="1"/>
  <c r="Y18" i="18" s="1"/>
  <c r="Z18" i="18" s="1"/>
  <c r="AA18" i="18" s="1"/>
  <c r="AB18" i="18" s="1"/>
  <c r="AC18" i="18" s="1"/>
  <c r="AD18" i="18" s="1"/>
  <c r="S19" i="18"/>
  <c r="T19" i="18"/>
  <c r="U19" i="18"/>
  <c r="V19" i="18" s="1"/>
  <c r="W19" i="18" s="1"/>
  <c r="X19" i="18" s="1"/>
  <c r="Y19" i="18" s="1"/>
  <c r="Z19" i="18" s="1"/>
  <c r="AA19" i="18" s="1"/>
  <c r="AB19" i="18" s="1"/>
  <c r="AC19" i="18" s="1"/>
  <c r="AD19" i="18" s="1"/>
  <c r="S20" i="18"/>
  <c r="T20" i="18"/>
  <c r="U20" i="18"/>
  <c r="V20" i="18"/>
  <c r="W20" i="18" s="1"/>
  <c r="X20" i="18" s="1"/>
  <c r="Y20" i="18" s="1"/>
  <c r="Z20" i="18" s="1"/>
  <c r="AA20" i="18" s="1"/>
  <c r="AB20" i="18" s="1"/>
  <c r="AC20" i="18" s="1"/>
  <c r="AD20" i="18" s="1"/>
  <c r="S21" i="18"/>
  <c r="T21" i="18"/>
  <c r="U21" i="18"/>
  <c r="V21" i="18"/>
  <c r="W21" i="18" s="1"/>
  <c r="X21" i="18" s="1"/>
  <c r="Y21" i="18" s="1"/>
  <c r="Z21" i="18"/>
  <c r="AA21" i="18" s="1"/>
  <c r="AB21" i="18" s="1"/>
  <c r="AC21" i="18" s="1"/>
  <c r="AD21" i="18" s="1"/>
  <c r="S22" i="18"/>
  <c r="T22" i="18" s="1"/>
  <c r="U22" i="18" s="1"/>
  <c r="V22" i="18"/>
  <c r="W22" i="18" s="1"/>
  <c r="X22" i="18" s="1"/>
  <c r="Y22" i="18"/>
  <c r="Z22" i="18" s="1"/>
  <c r="AA22" i="18" s="1"/>
  <c r="AB22" i="18" s="1"/>
  <c r="AC22" i="18" s="1"/>
  <c r="AD22" i="18" s="1"/>
  <c r="S23" i="18"/>
  <c r="T23" i="18"/>
  <c r="U23" i="18"/>
  <c r="V23" i="18" s="1"/>
  <c r="W23" i="18" s="1"/>
  <c r="X23" i="18" s="1"/>
  <c r="Y23" i="18" s="1"/>
  <c r="Z23" i="18" s="1"/>
  <c r="AA23" i="18" s="1"/>
  <c r="AB23" i="18" s="1"/>
  <c r="AC23" i="18" s="1"/>
  <c r="AD23" i="18" s="1"/>
  <c r="S24" i="18"/>
  <c r="T24" i="18" s="1"/>
  <c r="U24" i="18" s="1"/>
  <c r="V24" i="18"/>
  <c r="W24" i="18" s="1"/>
  <c r="X24" i="18" s="1"/>
  <c r="Y24" i="18" s="1"/>
  <c r="Z24" i="18" s="1"/>
  <c r="AA24" i="18" s="1"/>
  <c r="AB24" i="18" s="1"/>
  <c r="AC24" i="18" s="1"/>
  <c r="AD24" i="18" s="1"/>
  <c r="S25" i="18"/>
  <c r="T25" i="18"/>
  <c r="U25" i="18"/>
  <c r="V25" i="18"/>
  <c r="W25" i="18" s="1"/>
  <c r="X25" i="18" s="1"/>
  <c r="Y25" i="18" s="1"/>
  <c r="Z25" i="18"/>
  <c r="AA25" i="18" s="1"/>
  <c r="AB25" i="18" s="1"/>
  <c r="AC25" i="18" s="1"/>
  <c r="AD25" i="18" s="1"/>
  <c r="S26" i="18"/>
  <c r="T26" i="18" s="1"/>
  <c r="U26" i="18" s="1"/>
  <c r="V26" i="18"/>
  <c r="W26" i="18" s="1"/>
  <c r="X26" i="18" s="1"/>
  <c r="Y26" i="18"/>
  <c r="Z26" i="18" s="1"/>
  <c r="AA26" i="18" s="1"/>
  <c r="AB26" i="18" s="1"/>
  <c r="AC26" i="18" s="1"/>
  <c r="AD26" i="18" s="1"/>
  <c r="S27" i="18"/>
  <c r="T27" i="18"/>
  <c r="U27" i="18"/>
  <c r="V27" i="18" s="1"/>
  <c r="W27" i="18" s="1"/>
  <c r="X27" i="18" s="1"/>
  <c r="Y27" i="18" s="1"/>
  <c r="Z27" i="18" s="1"/>
  <c r="AA27" i="18" s="1"/>
  <c r="AB27" i="18" s="1"/>
  <c r="AC27" i="18" s="1"/>
  <c r="AD27" i="18" s="1"/>
  <c r="S28" i="18"/>
  <c r="T28" i="18" s="1"/>
  <c r="U28" i="18" s="1"/>
  <c r="V28" i="18"/>
  <c r="W28" i="18" s="1"/>
  <c r="X28" i="18" s="1"/>
  <c r="Y28" i="18" s="1"/>
  <c r="Z28" i="18" s="1"/>
  <c r="AA28" i="18" s="1"/>
  <c r="AB28" i="18" s="1"/>
  <c r="AC28" i="18" s="1"/>
  <c r="AD28" i="18" s="1"/>
  <c r="S29" i="18"/>
  <c r="T29" i="18"/>
  <c r="U29" i="18"/>
  <c r="V29" i="18"/>
  <c r="W29" i="18" s="1"/>
  <c r="X29" i="18" s="1"/>
  <c r="Y29" i="18" s="1"/>
  <c r="Z29" i="18"/>
  <c r="AA29" i="18" s="1"/>
  <c r="AB29" i="18" s="1"/>
  <c r="AC29" i="18" s="1"/>
  <c r="AD29" i="18" s="1"/>
  <c r="S30" i="18"/>
  <c r="T30" i="18"/>
  <c r="U30" i="18"/>
  <c r="V30" i="18"/>
  <c r="W30" i="18" s="1"/>
  <c r="X30" i="18" s="1"/>
  <c r="Y30" i="18"/>
  <c r="Z30" i="18"/>
  <c r="AA30" i="18" s="1"/>
  <c r="AB30" i="18" s="1"/>
  <c r="AC30" i="18" s="1"/>
  <c r="AD30" i="18" s="1"/>
  <c r="S31" i="18"/>
  <c r="T31" i="18"/>
  <c r="U31" i="18"/>
  <c r="V31" i="18"/>
  <c r="W31" i="18" s="1"/>
  <c r="X31" i="18" s="1"/>
  <c r="Y31" i="18" s="1"/>
  <c r="Z31" i="18" s="1"/>
  <c r="AA31" i="18" s="1"/>
  <c r="AB31" i="18" s="1"/>
  <c r="AC31" i="18" s="1"/>
  <c r="AD31" i="18" s="1"/>
  <c r="S32" i="18"/>
  <c r="T32" i="18"/>
  <c r="U32" i="18"/>
  <c r="V32" i="18"/>
  <c r="W32" i="18" s="1"/>
  <c r="X32" i="18" s="1"/>
  <c r="Y32" i="18"/>
  <c r="Z32" i="18" s="1"/>
  <c r="AA32" i="18" s="1"/>
  <c r="AB32" i="18" s="1"/>
  <c r="AC32" i="18" s="1"/>
  <c r="AD32" i="18" s="1"/>
  <c r="S33" i="18"/>
  <c r="T33" i="18"/>
  <c r="U33" i="18"/>
  <c r="V33" i="18" s="1"/>
  <c r="W33" i="18" s="1"/>
  <c r="X33" i="18" s="1"/>
  <c r="Y33" i="18" s="1"/>
  <c r="Z33" i="18" s="1"/>
  <c r="AA33" i="18" s="1"/>
  <c r="AB33" i="18" s="1"/>
  <c r="AC33" i="18" s="1"/>
  <c r="AD33" i="18" s="1"/>
  <c r="S34" i="18"/>
  <c r="T34" i="18" s="1"/>
  <c r="U34" i="18" s="1"/>
  <c r="V34" i="18"/>
  <c r="W34" i="18" s="1"/>
  <c r="X34" i="18" s="1"/>
  <c r="Y34" i="18" s="1"/>
  <c r="Z34" i="18" s="1"/>
  <c r="AA34" i="18" s="1"/>
  <c r="AB34" i="18" s="1"/>
  <c r="AC34" i="18" s="1"/>
  <c r="AD34" i="18" s="1"/>
  <c r="S35" i="18"/>
  <c r="T35" i="18"/>
  <c r="U35" i="18"/>
  <c r="V35" i="18"/>
  <c r="W35" i="18" s="1"/>
  <c r="X35" i="18" s="1"/>
  <c r="Y35" i="18" s="1"/>
  <c r="Z35" i="18"/>
  <c r="AA35" i="18" s="1"/>
  <c r="AB35" i="18" s="1"/>
  <c r="AC35" i="18" s="1"/>
  <c r="AD35" i="18" s="1"/>
  <c r="S36" i="18"/>
  <c r="T36" i="18" s="1"/>
  <c r="U36" i="18" s="1"/>
  <c r="V36" i="18"/>
  <c r="W36" i="18" s="1"/>
  <c r="X36" i="18" s="1"/>
  <c r="Y36" i="18" s="1"/>
  <c r="Z36" i="18" s="1"/>
  <c r="AA36" i="18" s="1"/>
  <c r="AB36" i="18" s="1"/>
  <c r="AC36" i="18" s="1"/>
  <c r="AD36" i="18" s="1"/>
  <c r="S37" i="18"/>
  <c r="T37" i="18"/>
  <c r="U37" i="18"/>
  <c r="V37" i="18" s="1"/>
  <c r="W37" i="18" s="1"/>
  <c r="X37" i="18" s="1"/>
  <c r="Y37" i="18" s="1"/>
  <c r="Z37" i="18" s="1"/>
  <c r="AA37" i="18" s="1"/>
  <c r="AB37" i="18" s="1"/>
  <c r="AC37" i="18" s="1"/>
  <c r="AD37" i="18" s="1"/>
  <c r="S38" i="18"/>
  <c r="T38" i="18" s="1"/>
  <c r="U38" i="18" s="1"/>
  <c r="V38" i="18"/>
  <c r="W38" i="18" s="1"/>
  <c r="X38" i="18" s="1"/>
  <c r="Y38" i="18" s="1"/>
  <c r="Z38" i="18" s="1"/>
  <c r="AA38" i="18" s="1"/>
  <c r="AB38" i="18" s="1"/>
  <c r="AC38" i="18" s="1"/>
  <c r="AD38" i="18" s="1"/>
  <c r="S39" i="18"/>
  <c r="T39" i="18"/>
  <c r="U39" i="18"/>
  <c r="V39" i="18"/>
  <c r="W39" i="18" s="1"/>
  <c r="X39" i="18" s="1"/>
  <c r="Y39" i="18" s="1"/>
  <c r="Z39" i="18"/>
  <c r="AA39" i="18" s="1"/>
  <c r="AB39" i="18" s="1"/>
  <c r="AC39" i="18" s="1"/>
  <c r="AD39" i="18" s="1"/>
  <c r="S40" i="18"/>
  <c r="T40" i="18" s="1"/>
  <c r="U40" i="18" s="1"/>
  <c r="V40" i="18"/>
  <c r="W40" i="18" s="1"/>
  <c r="X40" i="18" s="1"/>
  <c r="Y40" i="18" s="1"/>
  <c r="Z40" i="18" s="1"/>
  <c r="AA40" i="18" s="1"/>
  <c r="AB40" i="18" s="1"/>
  <c r="AC40" i="18" s="1"/>
  <c r="AD40" i="18" s="1"/>
  <c r="S41" i="18"/>
  <c r="T41" i="18"/>
  <c r="U41" i="18"/>
  <c r="V41" i="18" s="1"/>
  <c r="W41" i="18" s="1"/>
  <c r="X41" i="18" s="1"/>
  <c r="Y41" i="18" s="1"/>
  <c r="Z41" i="18" s="1"/>
  <c r="AA41" i="18" s="1"/>
  <c r="AB41" i="18" s="1"/>
  <c r="AC41" i="18" s="1"/>
  <c r="AD41" i="18" s="1"/>
  <c r="S42" i="18"/>
  <c r="T42" i="18"/>
  <c r="U42" i="18"/>
  <c r="V42" i="18"/>
  <c r="W42" i="18" s="1"/>
  <c r="X42" i="18" s="1"/>
  <c r="Y42" i="18" s="1"/>
  <c r="Z42" i="18" s="1"/>
  <c r="AA42" i="18" s="1"/>
  <c r="AB42" i="18" s="1"/>
  <c r="AC42" i="18" s="1"/>
  <c r="AD42" i="18" s="1"/>
  <c r="S43" i="18"/>
  <c r="T43" i="18"/>
  <c r="U43" i="18"/>
  <c r="V43" i="18" s="1"/>
  <c r="W43" i="18" s="1"/>
  <c r="X43" i="18" s="1"/>
  <c r="Y43" i="18" s="1"/>
  <c r="Z43" i="18" s="1"/>
  <c r="AA43" i="18" s="1"/>
  <c r="AB43" i="18" s="1"/>
  <c r="AC43" i="18" s="1"/>
  <c r="AD43" i="18" s="1"/>
  <c r="S44" i="18"/>
  <c r="T44" i="18" s="1"/>
  <c r="U44" i="18" s="1"/>
  <c r="V44" i="18" s="1"/>
  <c r="W44" i="18" s="1"/>
  <c r="X44" i="18" s="1"/>
  <c r="Y44" i="18" s="1"/>
  <c r="Z44" i="18" s="1"/>
  <c r="AA44" i="18" s="1"/>
  <c r="AB44" i="18" s="1"/>
  <c r="AC44" i="18" s="1"/>
  <c r="AD44" i="18" s="1"/>
  <c r="S45" i="18"/>
  <c r="T45" i="18"/>
  <c r="U45" i="18"/>
  <c r="V45" i="18" s="1"/>
  <c r="W45" i="18" s="1"/>
  <c r="X45" i="18" s="1"/>
  <c r="Y45" i="18" s="1"/>
  <c r="Z45" i="18" s="1"/>
  <c r="AA45" i="18" s="1"/>
  <c r="AB45" i="18" s="1"/>
  <c r="AC45" i="18" s="1"/>
  <c r="AD45" i="18" s="1"/>
  <c r="S46" i="18"/>
  <c r="T46" i="18" s="1"/>
  <c r="U46" i="18" s="1"/>
  <c r="V46" i="18" s="1"/>
  <c r="W46" i="18" s="1"/>
  <c r="X46" i="18" s="1"/>
  <c r="Y46" i="18" s="1"/>
  <c r="Z46" i="18" s="1"/>
  <c r="AA46" i="18" s="1"/>
  <c r="AB46" i="18" s="1"/>
  <c r="AC46" i="18" s="1"/>
  <c r="AD46" i="18" s="1"/>
  <c r="S47" i="18"/>
  <c r="T47" i="18"/>
  <c r="U47" i="18"/>
  <c r="V47" i="18"/>
  <c r="W47" i="18" s="1"/>
  <c r="X47" i="18" s="1"/>
  <c r="Y47" i="18" s="1"/>
  <c r="Z47" i="18" s="1"/>
  <c r="AA47" i="18" s="1"/>
  <c r="AB47" i="18" s="1"/>
  <c r="AC47" i="18" s="1"/>
  <c r="AD47" i="18" s="1"/>
  <c r="S48" i="18"/>
  <c r="T48" i="18"/>
  <c r="U48" i="18"/>
  <c r="V48" i="18"/>
  <c r="W48" i="18" s="1"/>
  <c r="X48" i="18" s="1"/>
  <c r="Y48" i="18" s="1"/>
  <c r="Z48" i="18" s="1"/>
  <c r="AA48" i="18" s="1"/>
  <c r="AB48" i="18" s="1"/>
  <c r="AC48" i="18" s="1"/>
  <c r="AD48" i="18" s="1"/>
  <c r="S5" i="18"/>
  <c r="T5" i="18" s="1"/>
  <c r="AD4" i="18"/>
  <c r="U4" i="18"/>
  <c r="V4" i="18" s="1"/>
  <c r="W4" i="18" s="1"/>
  <c r="X4" i="18" s="1"/>
  <c r="Y4" i="18" s="1"/>
  <c r="Z4" i="18" s="1"/>
  <c r="AA4" i="18" s="1"/>
  <c r="AB4" i="18" s="1"/>
  <c r="AC4" i="18" s="1"/>
  <c r="T4" i="18"/>
  <c r="S4" i="18"/>
  <c r="S391" i="18"/>
  <c r="S394" i="18"/>
  <c r="S392" i="18"/>
  <c r="S390" i="18"/>
  <c r="S389" i="18"/>
  <c r="S401" i="18"/>
  <c r="S400" i="18"/>
  <c r="V399" i="18"/>
  <c r="U399" i="18"/>
  <c r="T399" i="18"/>
  <c r="S399" i="18"/>
  <c r="S398" i="18"/>
  <c r="S396" i="18"/>
  <c r="T394" i="18"/>
  <c r="S393" i="18"/>
  <c r="H434" i="18"/>
  <c r="E434" i="18"/>
  <c r="F434" i="18"/>
  <c r="G434" i="18"/>
  <c r="I434" i="18"/>
  <c r="J434" i="18"/>
  <c r="K434" i="18"/>
  <c r="L434" i="18"/>
  <c r="M434" i="18"/>
  <c r="N434" i="18"/>
  <c r="O434" i="18"/>
  <c r="D434" i="18"/>
  <c r="E433" i="18"/>
  <c r="F433" i="18"/>
  <c r="G433" i="18"/>
  <c r="H433" i="18"/>
  <c r="I433" i="18"/>
  <c r="J433" i="18"/>
  <c r="K433" i="18"/>
  <c r="L433" i="18"/>
  <c r="M433" i="18"/>
  <c r="N433" i="18"/>
  <c r="O433" i="18"/>
  <c r="D433" i="18"/>
  <c r="E432" i="18"/>
  <c r="F432" i="18"/>
  <c r="G432" i="18"/>
  <c r="H432" i="18"/>
  <c r="I432" i="18"/>
  <c r="J432" i="18"/>
  <c r="K432" i="18"/>
  <c r="L432" i="18"/>
  <c r="M432" i="18"/>
  <c r="N432" i="18"/>
  <c r="O432" i="18"/>
  <c r="D432" i="18"/>
  <c r="E426" i="18"/>
  <c r="F426" i="18"/>
  <c r="G426" i="18"/>
  <c r="H426" i="18"/>
  <c r="I426" i="18"/>
  <c r="J426" i="18"/>
  <c r="K426" i="18"/>
  <c r="L426" i="18"/>
  <c r="M426" i="18"/>
  <c r="N426" i="18"/>
  <c r="O426" i="18"/>
  <c r="D426" i="18"/>
  <c r="E425" i="18"/>
  <c r="F425" i="18"/>
  <c r="G425" i="18"/>
  <c r="H425" i="18"/>
  <c r="I425" i="18"/>
  <c r="J425" i="18"/>
  <c r="K425" i="18"/>
  <c r="L425" i="18"/>
  <c r="M425" i="18"/>
  <c r="N425" i="18"/>
  <c r="O425" i="18"/>
  <c r="D425" i="18"/>
  <c r="E424" i="18"/>
  <c r="F424" i="18"/>
  <c r="G424" i="18"/>
  <c r="H424" i="18"/>
  <c r="I424" i="18"/>
  <c r="J424" i="18"/>
  <c r="K424" i="18"/>
  <c r="L424" i="18"/>
  <c r="M424" i="18"/>
  <c r="N424" i="18"/>
  <c r="O424" i="18"/>
  <c r="D424" i="18"/>
  <c r="E418" i="18"/>
  <c r="F418" i="18"/>
  <c r="G418" i="18"/>
  <c r="H418" i="18"/>
  <c r="I418" i="18"/>
  <c r="J418" i="18"/>
  <c r="K418" i="18"/>
  <c r="L418" i="18"/>
  <c r="M418" i="18"/>
  <c r="N418" i="18"/>
  <c r="O418" i="18"/>
  <c r="D418" i="18"/>
  <c r="E417" i="18"/>
  <c r="F417" i="18"/>
  <c r="G417" i="18"/>
  <c r="H417" i="18"/>
  <c r="I417" i="18"/>
  <c r="J417" i="18"/>
  <c r="K417" i="18"/>
  <c r="L417" i="18"/>
  <c r="M417" i="18"/>
  <c r="N417" i="18"/>
  <c r="O417" i="18"/>
  <c r="D417" i="18"/>
  <c r="E416" i="18"/>
  <c r="F416" i="18"/>
  <c r="G416" i="18"/>
  <c r="H416" i="18"/>
  <c r="I416" i="18"/>
  <c r="J416" i="18"/>
  <c r="K416" i="18"/>
  <c r="L416" i="18"/>
  <c r="M416" i="18"/>
  <c r="N416" i="18"/>
  <c r="O416" i="18"/>
  <c r="D416" i="18"/>
  <c r="E410" i="18"/>
  <c r="F410" i="18"/>
  <c r="G410" i="18"/>
  <c r="H410" i="18"/>
  <c r="I410" i="18"/>
  <c r="J410" i="18"/>
  <c r="K410" i="18"/>
  <c r="L410" i="18"/>
  <c r="M410" i="18"/>
  <c r="N410" i="18"/>
  <c r="O410" i="18"/>
  <c r="D410" i="18"/>
  <c r="E409" i="18"/>
  <c r="F409" i="18"/>
  <c r="G409" i="18"/>
  <c r="H409" i="18"/>
  <c r="I409" i="18"/>
  <c r="J409" i="18"/>
  <c r="K409" i="18"/>
  <c r="L409" i="18"/>
  <c r="M409" i="18"/>
  <c r="N409" i="18"/>
  <c r="O409" i="18"/>
  <c r="D409" i="18"/>
  <c r="E408" i="18"/>
  <c r="F408" i="18"/>
  <c r="G408" i="18"/>
  <c r="H408" i="18"/>
  <c r="I408" i="18"/>
  <c r="J408" i="18"/>
  <c r="K408" i="18"/>
  <c r="L408" i="18"/>
  <c r="M408" i="18"/>
  <c r="N408" i="18"/>
  <c r="O408" i="18"/>
  <c r="D408" i="18"/>
  <c r="E401" i="18"/>
  <c r="F401" i="18"/>
  <c r="G401" i="18"/>
  <c r="H401" i="18"/>
  <c r="I401" i="18"/>
  <c r="J401" i="18"/>
  <c r="K401" i="18"/>
  <c r="L401" i="18"/>
  <c r="M401" i="18"/>
  <c r="N401" i="18"/>
  <c r="O401" i="18"/>
  <c r="D401" i="18"/>
  <c r="E400" i="18"/>
  <c r="F400" i="18"/>
  <c r="G400" i="18"/>
  <c r="H400" i="18"/>
  <c r="I400" i="18"/>
  <c r="J400" i="18"/>
  <c r="K400" i="18"/>
  <c r="L400" i="18"/>
  <c r="M400" i="18"/>
  <c r="N400" i="18"/>
  <c r="O400" i="18"/>
  <c r="D400" i="18"/>
  <c r="E399" i="18"/>
  <c r="F399" i="18"/>
  <c r="G399" i="18"/>
  <c r="H399" i="18"/>
  <c r="I399" i="18"/>
  <c r="J399" i="18"/>
  <c r="K399" i="18"/>
  <c r="L399" i="18"/>
  <c r="M399" i="18"/>
  <c r="N399" i="18"/>
  <c r="O399" i="18"/>
  <c r="D399" i="18"/>
  <c r="E397" i="18"/>
  <c r="F397" i="18"/>
  <c r="G397" i="18"/>
  <c r="H397" i="18"/>
  <c r="I397" i="18"/>
  <c r="J397" i="18"/>
  <c r="K397" i="18"/>
  <c r="L397" i="18"/>
  <c r="M397" i="18"/>
  <c r="N397" i="18"/>
  <c r="O397" i="18"/>
  <c r="D397" i="18"/>
  <c r="E398" i="18"/>
  <c r="F398" i="18"/>
  <c r="G398" i="18"/>
  <c r="H398" i="18"/>
  <c r="I398" i="18"/>
  <c r="J398" i="18"/>
  <c r="K398" i="18"/>
  <c r="L398" i="18"/>
  <c r="M398" i="18"/>
  <c r="N398" i="18"/>
  <c r="O398" i="18"/>
  <c r="D398" i="18"/>
  <c r="E396" i="18"/>
  <c r="F396" i="18"/>
  <c r="G396" i="18"/>
  <c r="H396" i="18"/>
  <c r="I396" i="18"/>
  <c r="J396" i="18"/>
  <c r="K396" i="18"/>
  <c r="L396" i="18"/>
  <c r="M396" i="18"/>
  <c r="N396" i="18"/>
  <c r="O396" i="18"/>
  <c r="D396" i="18"/>
  <c r="E395" i="18"/>
  <c r="F395" i="18"/>
  <c r="G395" i="18"/>
  <c r="H395" i="18"/>
  <c r="I395" i="18"/>
  <c r="J395" i="18"/>
  <c r="K395" i="18"/>
  <c r="L395" i="18"/>
  <c r="M395" i="18"/>
  <c r="N395" i="18"/>
  <c r="O395" i="18"/>
  <c r="D395" i="18"/>
  <c r="E394" i="18"/>
  <c r="F394" i="18"/>
  <c r="G394" i="18"/>
  <c r="H394" i="18"/>
  <c r="I394" i="18"/>
  <c r="J394" i="18"/>
  <c r="K394" i="18"/>
  <c r="L394" i="18"/>
  <c r="M394" i="18"/>
  <c r="N394" i="18"/>
  <c r="O394" i="18"/>
  <c r="D394" i="18"/>
  <c r="E393" i="18"/>
  <c r="F393" i="18"/>
  <c r="G393" i="18"/>
  <c r="H393" i="18"/>
  <c r="I393" i="18"/>
  <c r="J393" i="18"/>
  <c r="K393" i="18"/>
  <c r="L393" i="18"/>
  <c r="M393" i="18"/>
  <c r="N393" i="18"/>
  <c r="O393" i="18"/>
  <c r="D393" i="18"/>
  <c r="E392" i="18"/>
  <c r="F392" i="18"/>
  <c r="G392" i="18"/>
  <c r="H392" i="18"/>
  <c r="I392" i="18"/>
  <c r="J392" i="18"/>
  <c r="K392" i="18"/>
  <c r="L392" i="18"/>
  <c r="M392" i="18"/>
  <c r="N392" i="18"/>
  <c r="O392" i="18"/>
  <c r="D392" i="18"/>
  <c r="E391" i="18"/>
  <c r="F391" i="18"/>
  <c r="G391" i="18"/>
  <c r="H391" i="18"/>
  <c r="I391" i="18"/>
  <c r="J391" i="18"/>
  <c r="K391" i="18"/>
  <c r="L391" i="18"/>
  <c r="M391" i="18"/>
  <c r="N391" i="18"/>
  <c r="O391" i="18"/>
  <c r="D391" i="18"/>
  <c r="E390" i="18"/>
  <c r="F390" i="18"/>
  <c r="G390" i="18"/>
  <c r="H390" i="18"/>
  <c r="I390" i="18"/>
  <c r="J390" i="18"/>
  <c r="K390" i="18"/>
  <c r="L390" i="18"/>
  <c r="M390" i="18"/>
  <c r="N390" i="18"/>
  <c r="O390" i="18"/>
  <c r="D390" i="18"/>
  <c r="E389" i="18"/>
  <c r="F389" i="18"/>
  <c r="G389" i="18"/>
  <c r="H389" i="18"/>
  <c r="I389" i="18"/>
  <c r="J389" i="18"/>
  <c r="K389" i="18"/>
  <c r="L389" i="18"/>
  <c r="M389" i="18"/>
  <c r="N389" i="18"/>
  <c r="O389" i="18"/>
  <c r="D389" i="18"/>
  <c r="E388" i="18"/>
  <c r="F388" i="18"/>
  <c r="G388" i="18"/>
  <c r="H388" i="18"/>
  <c r="I388" i="18"/>
  <c r="J388" i="18"/>
  <c r="K388" i="18"/>
  <c r="L388" i="18"/>
  <c r="M388" i="18"/>
  <c r="N388" i="18"/>
  <c r="O388" i="18"/>
  <c r="D388" i="18"/>
  <c r="H395" i="11"/>
  <c r="N401" i="11"/>
  <c r="M401" i="11"/>
  <c r="L401" i="11"/>
  <c r="K401" i="11"/>
  <c r="J401" i="11"/>
  <c r="I401" i="11"/>
  <c r="H401" i="11"/>
  <c r="G401" i="11"/>
  <c r="F401" i="11"/>
  <c r="E401" i="11"/>
  <c r="D401" i="11"/>
  <c r="N400" i="11"/>
  <c r="M400" i="11"/>
  <c r="L400" i="11"/>
  <c r="K400" i="11"/>
  <c r="J400" i="11"/>
  <c r="I400" i="11"/>
  <c r="H400" i="11"/>
  <c r="G400" i="11"/>
  <c r="F400" i="11"/>
  <c r="E400" i="11"/>
  <c r="D400" i="11"/>
  <c r="N398" i="11"/>
  <c r="M398" i="11"/>
  <c r="L398" i="11"/>
  <c r="K398" i="11"/>
  <c r="J398" i="11"/>
  <c r="I398" i="11"/>
  <c r="H398" i="11"/>
  <c r="G398" i="11"/>
  <c r="F398" i="11"/>
  <c r="E398" i="11"/>
  <c r="D398" i="11"/>
  <c r="N397" i="11"/>
  <c r="M397" i="11"/>
  <c r="L397" i="11"/>
  <c r="K397" i="11"/>
  <c r="J397" i="11"/>
  <c r="I397" i="11"/>
  <c r="H397" i="11"/>
  <c r="G397" i="11"/>
  <c r="F397" i="11"/>
  <c r="E397" i="11"/>
  <c r="D397" i="11"/>
  <c r="N396" i="11"/>
  <c r="M396" i="11"/>
  <c r="L396" i="11"/>
  <c r="K396" i="11"/>
  <c r="J396" i="11"/>
  <c r="I396" i="11"/>
  <c r="H396" i="11"/>
  <c r="G396" i="11"/>
  <c r="F396" i="11"/>
  <c r="E396" i="11"/>
  <c r="D396" i="11"/>
  <c r="N395" i="11"/>
  <c r="M395" i="11"/>
  <c r="L395" i="11"/>
  <c r="K395" i="11"/>
  <c r="J395" i="11"/>
  <c r="I395" i="11"/>
  <c r="G395" i="11"/>
  <c r="F395" i="11"/>
  <c r="E395" i="11"/>
  <c r="D395" i="11"/>
  <c r="N394" i="11"/>
  <c r="M394" i="11"/>
  <c r="L394" i="11"/>
  <c r="K394" i="11"/>
  <c r="J394" i="11"/>
  <c r="I394" i="11"/>
  <c r="H394" i="11"/>
  <c r="G394" i="11"/>
  <c r="F394" i="11"/>
  <c r="E394" i="11"/>
  <c r="D394" i="11"/>
  <c r="N393" i="11"/>
  <c r="M393" i="11"/>
  <c r="L393" i="11"/>
  <c r="K393" i="11"/>
  <c r="J393" i="11"/>
  <c r="I393" i="11"/>
  <c r="H393" i="11"/>
  <c r="G393" i="11"/>
  <c r="F393" i="11"/>
  <c r="E393" i="11"/>
  <c r="D393" i="11"/>
  <c r="N391" i="11"/>
  <c r="M391" i="11"/>
  <c r="L391" i="11"/>
  <c r="K391" i="11"/>
  <c r="J391" i="11"/>
  <c r="I391" i="11"/>
  <c r="H391" i="11"/>
  <c r="G391" i="11"/>
  <c r="F391" i="11"/>
  <c r="E391" i="11"/>
  <c r="D391" i="11"/>
  <c r="N390" i="11"/>
  <c r="M390" i="11"/>
  <c r="L390" i="11"/>
  <c r="K390" i="11"/>
  <c r="J390" i="11"/>
  <c r="I390" i="11"/>
  <c r="H390" i="11"/>
  <c r="G390" i="11"/>
  <c r="F390" i="11"/>
  <c r="E390" i="11"/>
  <c r="D390" i="11"/>
  <c r="N389" i="11"/>
  <c r="M389" i="11"/>
  <c r="L389" i="11"/>
  <c r="K389" i="11"/>
  <c r="J389" i="11"/>
  <c r="I389" i="11"/>
  <c r="H389" i="11"/>
  <c r="G389" i="11"/>
  <c r="F389" i="11"/>
  <c r="E389" i="11"/>
  <c r="D389" i="11"/>
  <c r="N388" i="11"/>
  <c r="M388" i="11"/>
  <c r="L388" i="11"/>
  <c r="K388" i="11"/>
  <c r="J388" i="11"/>
  <c r="I388" i="11"/>
  <c r="H388" i="11"/>
  <c r="G388" i="11"/>
  <c r="F388" i="11"/>
  <c r="E388" i="11"/>
  <c r="X308" i="18" l="1"/>
  <c r="W399" i="18"/>
  <c r="T392" i="18"/>
  <c r="U307" i="18"/>
  <c r="V259" i="18"/>
  <c r="U394" i="18"/>
  <c r="T401" i="18"/>
  <c r="U260" i="18"/>
  <c r="U211" i="18"/>
  <c r="T393" i="18"/>
  <c r="T400" i="18"/>
  <c r="U212" i="18"/>
  <c r="T398" i="18"/>
  <c r="U166" i="18"/>
  <c r="U165" i="18"/>
  <c r="T391" i="18"/>
  <c r="U119" i="18"/>
  <c r="T397" i="18"/>
  <c r="W118" i="18"/>
  <c r="U99" i="18"/>
  <c r="V99" i="18" s="1"/>
  <c r="W99" i="18" s="1"/>
  <c r="X99" i="18" s="1"/>
  <c r="Y99" i="18" s="1"/>
  <c r="Z99" i="18" s="1"/>
  <c r="AA99" i="18" s="1"/>
  <c r="AB99" i="18" s="1"/>
  <c r="AC99" i="18" s="1"/>
  <c r="AD99" i="18" s="1"/>
  <c r="T390" i="18"/>
  <c r="S397" i="18"/>
  <c r="T396" i="18"/>
  <c r="U72" i="18"/>
  <c r="W71" i="18"/>
  <c r="T389" i="18"/>
  <c r="U52" i="18"/>
  <c r="V52" i="18" s="1"/>
  <c r="W52" i="18" s="1"/>
  <c r="X52" i="18" s="1"/>
  <c r="Y52" i="18" s="1"/>
  <c r="Z52" i="18" s="1"/>
  <c r="AA52" i="18" s="1"/>
  <c r="AB52" i="18" s="1"/>
  <c r="AC52" i="18" s="1"/>
  <c r="AD52" i="18" s="1"/>
  <c r="T395" i="18"/>
  <c r="S395" i="18"/>
  <c r="U5" i="18"/>
  <c r="T388" i="18"/>
  <c r="S388" i="18"/>
  <c r="U392" i="18" l="1"/>
  <c r="V307" i="18"/>
  <c r="Y308" i="18"/>
  <c r="X399" i="18"/>
  <c r="V394" i="18"/>
  <c r="W259" i="18"/>
  <c r="U401" i="18"/>
  <c r="V260" i="18"/>
  <c r="V211" i="18"/>
  <c r="U393" i="18"/>
  <c r="V212" i="18"/>
  <c r="U400" i="18"/>
  <c r="V165" i="18"/>
  <c r="U391" i="18"/>
  <c r="V166" i="18"/>
  <c r="U398" i="18"/>
  <c r="V390" i="18"/>
  <c r="U390" i="18"/>
  <c r="X118" i="18"/>
  <c r="W390" i="18"/>
  <c r="U397" i="18"/>
  <c r="V119" i="18"/>
  <c r="X71" i="18"/>
  <c r="W389" i="18"/>
  <c r="U396" i="18"/>
  <c r="V72" i="18"/>
  <c r="U389" i="18"/>
  <c r="V389" i="18"/>
  <c r="U395" i="18"/>
  <c r="V5" i="18"/>
  <c r="U388" i="18"/>
  <c r="W307" i="18" l="1"/>
  <c r="V392" i="18"/>
  <c r="Z308" i="18"/>
  <c r="Y399" i="18"/>
  <c r="W394" i="18"/>
  <c r="X259" i="18"/>
  <c r="W260" i="18"/>
  <c r="V401" i="18"/>
  <c r="V393" i="18"/>
  <c r="W211" i="18"/>
  <c r="W212" i="18"/>
  <c r="V400" i="18"/>
  <c r="W165" i="18"/>
  <c r="V391" i="18"/>
  <c r="W166" i="18"/>
  <c r="V398" i="18"/>
  <c r="X390" i="18"/>
  <c r="Y118" i="18"/>
  <c r="V397" i="18"/>
  <c r="W119" i="18"/>
  <c r="X389" i="18"/>
  <c r="Y71" i="18"/>
  <c r="W72" i="18"/>
  <c r="V396" i="18"/>
  <c r="V395" i="18"/>
  <c r="W5" i="18"/>
  <c r="V388" i="18"/>
  <c r="D219" i="11"/>
  <c r="D227" i="11" s="1"/>
  <c r="D233" i="11"/>
  <c r="Z399" i="18" l="1"/>
  <c r="AA308" i="18"/>
  <c r="X307" i="18"/>
  <c r="W392" i="18"/>
  <c r="W401" i="18"/>
  <c r="X260" i="18"/>
  <c r="X394" i="18"/>
  <c r="Y259" i="18"/>
  <c r="X212" i="18"/>
  <c r="W400" i="18"/>
  <c r="W393" i="18"/>
  <c r="X211" i="18"/>
  <c r="X165" i="18"/>
  <c r="W391" i="18"/>
  <c r="W398" i="18"/>
  <c r="X166" i="18"/>
  <c r="Z118" i="18"/>
  <c r="Y390" i="18"/>
  <c r="X119" i="18"/>
  <c r="W397" i="18"/>
  <c r="X72" i="18"/>
  <c r="W396" i="18"/>
  <c r="Y389" i="18"/>
  <c r="Z71" i="18"/>
  <c r="W395" i="18"/>
  <c r="W388" i="18"/>
  <c r="X5" i="18"/>
  <c r="X392" i="18" l="1"/>
  <c r="Y307" i="18"/>
  <c r="AA399" i="18"/>
  <c r="AB308" i="18"/>
  <c r="Y260" i="18"/>
  <c r="X401" i="18"/>
  <c r="Y394" i="18"/>
  <c r="Z259" i="18"/>
  <c r="Y212" i="18"/>
  <c r="X400" i="18"/>
  <c r="X393" i="18"/>
  <c r="Y211" i="18"/>
  <c r="X398" i="18"/>
  <c r="Y166" i="18"/>
  <c r="Y165" i="18"/>
  <c r="X391" i="18"/>
  <c r="Y119" i="18"/>
  <c r="X397" i="18"/>
  <c r="AA118" i="18"/>
  <c r="Z390" i="18"/>
  <c r="AA71" i="18"/>
  <c r="Z389" i="18"/>
  <c r="X396" i="18"/>
  <c r="Y72" i="18"/>
  <c r="X395" i="18"/>
  <c r="X388" i="18"/>
  <c r="Y5" i="18"/>
  <c r="Z307" i="18" l="1"/>
  <c r="Y392" i="18"/>
  <c r="AB399" i="18"/>
  <c r="AC308" i="18"/>
  <c r="Z260" i="18"/>
  <c r="Y401" i="18"/>
  <c r="AA259" i="18"/>
  <c r="Z394" i="18"/>
  <c r="Z212" i="18"/>
  <c r="Y400" i="18"/>
  <c r="Z211" i="18"/>
  <c r="Y393" i="18"/>
  <c r="Y391" i="18"/>
  <c r="Z165" i="18"/>
  <c r="Z166" i="18"/>
  <c r="Y398" i="18"/>
  <c r="Y397" i="18"/>
  <c r="Z119" i="18"/>
  <c r="AB118" i="18"/>
  <c r="AA390" i="18"/>
  <c r="Y396" i="18"/>
  <c r="Z72" i="18"/>
  <c r="AB71" i="18"/>
  <c r="AA389" i="18"/>
  <c r="Y395" i="18"/>
  <c r="Y388" i="18"/>
  <c r="Z5" i="18"/>
  <c r="AC399" i="18" l="1"/>
  <c r="AD308" i="18"/>
  <c r="AD399" i="18" s="1"/>
  <c r="AA307" i="18"/>
  <c r="Z392" i="18"/>
  <c r="AA260" i="18"/>
  <c r="Z401" i="18"/>
  <c r="AB259" i="18"/>
  <c r="AA394" i="18"/>
  <c r="Z400" i="18"/>
  <c r="AA212" i="18"/>
  <c r="AA211" i="18"/>
  <c r="Z393" i="18"/>
  <c r="AA166" i="18"/>
  <c r="Z398" i="18"/>
  <c r="Z391" i="18"/>
  <c r="AA165" i="18"/>
  <c r="AB390" i="18"/>
  <c r="AC118" i="18"/>
  <c r="AA119" i="18"/>
  <c r="Z397" i="18"/>
  <c r="AA72" i="18"/>
  <c r="Z396" i="18"/>
  <c r="AB389" i="18"/>
  <c r="AC71" i="18"/>
  <c r="Z395" i="18"/>
  <c r="Z388" i="18"/>
  <c r="AA5" i="18"/>
  <c r="AB307" i="18" l="1"/>
  <c r="AA392" i="18"/>
  <c r="AC259" i="18"/>
  <c r="AB394" i="18"/>
  <c r="AA401" i="18"/>
  <c r="AB260" i="18"/>
  <c r="AB211" i="18"/>
  <c r="AA393" i="18"/>
  <c r="AA400" i="18"/>
  <c r="AB212" i="18"/>
  <c r="AA391" i="18"/>
  <c r="AB165" i="18"/>
  <c r="AA398" i="18"/>
  <c r="AB166" i="18"/>
  <c r="AB119" i="18"/>
  <c r="AA397" i="18"/>
  <c r="AC390" i="18"/>
  <c r="AD118" i="18"/>
  <c r="AD390" i="18" s="1"/>
  <c r="AB72" i="18"/>
  <c r="AA396" i="18"/>
  <c r="AC389" i="18"/>
  <c r="AD71" i="18"/>
  <c r="AD389" i="18" s="1"/>
  <c r="AA395" i="18"/>
  <c r="AB5" i="18"/>
  <c r="AA388" i="18"/>
  <c r="AB392" i="18" l="1"/>
  <c r="AC307" i="18"/>
  <c r="AD259" i="18"/>
  <c r="AD394" i="18" s="1"/>
  <c r="AC394" i="18"/>
  <c r="AB401" i="18"/>
  <c r="AC260" i="18"/>
  <c r="AC211" i="18"/>
  <c r="AB393" i="18"/>
  <c r="AB400" i="18"/>
  <c r="AC212" i="18"/>
  <c r="AC166" i="18"/>
  <c r="AB398" i="18"/>
  <c r="AC165" i="18"/>
  <c r="AB391" i="18"/>
  <c r="AC119" i="18"/>
  <c r="AB397" i="18"/>
  <c r="AB396" i="18"/>
  <c r="AC72" i="18"/>
  <c r="AB395" i="18"/>
  <c r="AC5" i="18"/>
  <c r="AB388" i="18"/>
  <c r="S385" i="11"/>
  <c r="S383" i="11"/>
  <c r="S379" i="11"/>
  <c r="S377" i="11"/>
  <c r="S378" i="11"/>
  <c r="S371" i="11"/>
  <c r="S369" i="11"/>
  <c r="S370" i="11"/>
  <c r="S363" i="11"/>
  <c r="S361" i="11"/>
  <c r="S362" i="11"/>
  <c r="AC392" i="18" l="1"/>
  <c r="AD307" i="18"/>
  <c r="AD392" i="18" s="1"/>
  <c r="AD260" i="18"/>
  <c r="AD401" i="18" s="1"/>
  <c r="AC401" i="18"/>
  <c r="AC400" i="18"/>
  <c r="AD212" i="18"/>
  <c r="AD400" i="18" s="1"/>
  <c r="AD211" i="18"/>
  <c r="AD393" i="18" s="1"/>
  <c r="AC393" i="18"/>
  <c r="AD166" i="18"/>
  <c r="AD398" i="18" s="1"/>
  <c r="AC398" i="18"/>
  <c r="AD165" i="18"/>
  <c r="AD391" i="18" s="1"/>
  <c r="AC391" i="18"/>
  <c r="AC397" i="18"/>
  <c r="AD119" i="18"/>
  <c r="AD397" i="18" s="1"/>
  <c r="AC396" i="18"/>
  <c r="AD72" i="18"/>
  <c r="AD396" i="18" s="1"/>
  <c r="AD395" i="18"/>
  <c r="AC395" i="18"/>
  <c r="AD5" i="18"/>
  <c r="AD388" i="18" s="1"/>
  <c r="AC388" i="18"/>
  <c r="AF359" i="11"/>
  <c r="AF367" i="11"/>
  <c r="T362" i="11"/>
  <c r="U362" i="11" s="1"/>
  <c r="V362" i="11" s="1"/>
  <c r="W362" i="11" s="1"/>
  <c r="X362" i="11" s="1"/>
  <c r="Y362" i="11" s="1"/>
  <c r="Z362" i="11" s="1"/>
  <c r="AA362" i="11" s="1"/>
  <c r="AB362" i="11" s="1"/>
  <c r="AC362" i="11" s="1"/>
  <c r="AD362" i="11" s="1"/>
  <c r="T371" i="11"/>
  <c r="U371" i="11" s="1"/>
  <c r="V371" i="11" s="1"/>
  <c r="W371" i="11" s="1"/>
  <c r="X371" i="11" s="1"/>
  <c r="Y371" i="11" s="1"/>
  <c r="Z371" i="11" s="1"/>
  <c r="AA371" i="11" s="1"/>
  <c r="AB371" i="11" s="1"/>
  <c r="AC371" i="11" s="1"/>
  <c r="AD371" i="11" s="1"/>
  <c r="T363" i="11"/>
  <c r="U363" i="11" s="1"/>
  <c r="V363" i="11" s="1"/>
  <c r="W363" i="11" s="1"/>
  <c r="X363" i="11" s="1"/>
  <c r="Y363" i="11" s="1"/>
  <c r="Z363" i="11" s="1"/>
  <c r="AA363" i="11" s="1"/>
  <c r="AB363" i="11" s="1"/>
  <c r="AC363" i="11" s="1"/>
  <c r="AD363" i="11" s="1"/>
  <c r="T379" i="11"/>
  <c r="U379" i="11" s="1"/>
  <c r="V379" i="11" s="1"/>
  <c r="W379" i="11" s="1"/>
  <c r="X379" i="11" s="1"/>
  <c r="Y379" i="11" s="1"/>
  <c r="Z379" i="11" s="1"/>
  <c r="AA379" i="11" s="1"/>
  <c r="AB379" i="11" s="1"/>
  <c r="AC379" i="11" s="1"/>
  <c r="AD379" i="11" s="1"/>
  <c r="T383" i="11"/>
  <c r="U383" i="11" s="1"/>
  <c r="V383" i="11" s="1"/>
  <c r="W383" i="11" s="1"/>
  <c r="X383" i="11" s="1"/>
  <c r="Y383" i="11" s="1"/>
  <c r="Z383" i="11" s="1"/>
  <c r="AA383" i="11" s="1"/>
  <c r="AB383" i="11" s="1"/>
  <c r="AC383" i="11" s="1"/>
  <c r="AD383" i="11" s="1"/>
  <c r="D51" i="1" s="1"/>
  <c r="T369" i="11"/>
  <c r="U369" i="11" s="1"/>
  <c r="V369" i="11" s="1"/>
  <c r="W369" i="11" s="1"/>
  <c r="X369" i="11" s="1"/>
  <c r="Y369" i="11" s="1"/>
  <c r="Z369" i="11" s="1"/>
  <c r="AA369" i="11" s="1"/>
  <c r="AB369" i="11" s="1"/>
  <c r="AC369" i="11" s="1"/>
  <c r="AD369" i="11" s="1"/>
  <c r="AF360" i="11"/>
  <c r="T377" i="11"/>
  <c r="U377" i="11" s="1"/>
  <c r="V377" i="11" s="1"/>
  <c r="W377" i="11" s="1"/>
  <c r="X377" i="11" s="1"/>
  <c r="Y377" i="11" s="1"/>
  <c r="Z377" i="11" s="1"/>
  <c r="AA377" i="11" s="1"/>
  <c r="AB377" i="11" s="1"/>
  <c r="AC377" i="11" s="1"/>
  <c r="AD377" i="11" s="1"/>
  <c r="AF365" i="11"/>
  <c r="AF374" i="11"/>
  <c r="AF382" i="11"/>
  <c r="T361" i="11"/>
  <c r="U361" i="11" s="1"/>
  <c r="V361" i="11" s="1"/>
  <c r="W361" i="11" s="1"/>
  <c r="X361" i="11" s="1"/>
  <c r="Y361" i="11" s="1"/>
  <c r="Z361" i="11" s="1"/>
  <c r="AA361" i="11" s="1"/>
  <c r="AB361" i="11" s="1"/>
  <c r="AC361" i="11" s="1"/>
  <c r="AD361" i="11" s="1"/>
  <c r="AF364" i="11"/>
  <c r="AF373" i="11"/>
  <c r="AF381" i="11"/>
  <c r="AF386" i="11"/>
  <c r="AF366" i="11"/>
  <c r="S386" i="11"/>
  <c r="T386" i="11" s="1"/>
  <c r="U386" i="11" s="1"/>
  <c r="V386" i="11" s="1"/>
  <c r="W386" i="11" s="1"/>
  <c r="X386" i="11" s="1"/>
  <c r="Y386" i="11" s="1"/>
  <c r="Z386" i="11" s="1"/>
  <c r="AA386" i="11" s="1"/>
  <c r="AB386" i="11" s="1"/>
  <c r="AC386" i="11" s="1"/>
  <c r="AD386" i="11" s="1"/>
  <c r="AF372" i="11"/>
  <c r="AF380" i="11"/>
  <c r="T385" i="11"/>
  <c r="U385" i="11" s="1"/>
  <c r="V385" i="11" s="1"/>
  <c r="W385" i="11" s="1"/>
  <c r="X385" i="11" s="1"/>
  <c r="Y385" i="11" s="1"/>
  <c r="Z385" i="11" s="1"/>
  <c r="AA385" i="11" s="1"/>
  <c r="AB385" i="11" s="1"/>
  <c r="AC385" i="11" s="1"/>
  <c r="AD385" i="11" s="1"/>
  <c r="AF375" i="11"/>
  <c r="AF384" i="11"/>
  <c r="T370" i="11"/>
  <c r="U370" i="11" s="1"/>
  <c r="V370" i="11" s="1"/>
  <c r="W370" i="11" s="1"/>
  <c r="X370" i="11" s="1"/>
  <c r="Y370" i="11" s="1"/>
  <c r="Z370" i="11" s="1"/>
  <c r="AA370" i="11" s="1"/>
  <c r="AB370" i="11" s="1"/>
  <c r="AC370" i="11" s="1"/>
  <c r="AD370" i="11" s="1"/>
  <c r="T378" i="11"/>
  <c r="U378" i="11" s="1"/>
  <c r="V378" i="11" s="1"/>
  <c r="W378" i="11" s="1"/>
  <c r="X378" i="11" s="1"/>
  <c r="Y378" i="11" s="1"/>
  <c r="Z378" i="11" s="1"/>
  <c r="AA378" i="11" s="1"/>
  <c r="AB378" i="11" s="1"/>
  <c r="AC378" i="11" s="1"/>
  <c r="AD378" i="11" s="1"/>
  <c r="AF368" i="11"/>
  <c r="AF376" i="11"/>
  <c r="S376" i="11"/>
  <c r="T376" i="11" s="1"/>
  <c r="U376" i="11" s="1"/>
  <c r="V376" i="11" s="1"/>
  <c r="W376" i="11" s="1"/>
  <c r="X376" i="11" s="1"/>
  <c r="Y376" i="11" s="1"/>
  <c r="Z376" i="11" s="1"/>
  <c r="AA376" i="11" s="1"/>
  <c r="AB376" i="11" s="1"/>
  <c r="AC376" i="11" s="1"/>
  <c r="AD376" i="11" s="1"/>
  <c r="S368" i="11"/>
  <c r="T368" i="11" s="1"/>
  <c r="U368" i="11" s="1"/>
  <c r="V368" i="11" s="1"/>
  <c r="W368" i="11" s="1"/>
  <c r="X368" i="11" s="1"/>
  <c r="Y368" i="11" s="1"/>
  <c r="Z368" i="11" s="1"/>
  <c r="AA368" i="11" s="1"/>
  <c r="AB368" i="11" s="1"/>
  <c r="AC368" i="11" s="1"/>
  <c r="AD368" i="11" s="1"/>
  <c r="S360" i="11"/>
  <c r="T360" i="11" s="1"/>
  <c r="U360" i="11" s="1"/>
  <c r="V360" i="11" s="1"/>
  <c r="W360" i="11" s="1"/>
  <c r="X360" i="11" s="1"/>
  <c r="Y360" i="11" s="1"/>
  <c r="Z360" i="11" s="1"/>
  <c r="AA360" i="11" s="1"/>
  <c r="AB360" i="11" s="1"/>
  <c r="AC360" i="11" s="1"/>
  <c r="AD360" i="11" s="1"/>
  <c r="AF379" i="11"/>
  <c r="AF371" i="11"/>
  <c r="AF363" i="11"/>
  <c r="S359" i="11"/>
  <c r="T359" i="11" s="1"/>
  <c r="U359" i="11" s="1"/>
  <c r="V359" i="11" s="1"/>
  <c r="W359" i="11" s="1"/>
  <c r="X359" i="11" s="1"/>
  <c r="Y359" i="11" s="1"/>
  <c r="Z359" i="11" s="1"/>
  <c r="AA359" i="11" s="1"/>
  <c r="AB359" i="11" s="1"/>
  <c r="AC359" i="11" s="1"/>
  <c r="AD359" i="11" s="1"/>
  <c r="S375" i="11"/>
  <c r="T375" i="11" s="1"/>
  <c r="U375" i="11" s="1"/>
  <c r="V375" i="11" s="1"/>
  <c r="W375" i="11" s="1"/>
  <c r="X375" i="11" s="1"/>
  <c r="Y375" i="11" s="1"/>
  <c r="Z375" i="11" s="1"/>
  <c r="AA375" i="11" s="1"/>
  <c r="AB375" i="11" s="1"/>
  <c r="AC375" i="11" s="1"/>
  <c r="AD375" i="11" s="1"/>
  <c r="S367" i="11"/>
  <c r="T367" i="11" s="1"/>
  <c r="U367" i="11" s="1"/>
  <c r="V367" i="11" s="1"/>
  <c r="W367" i="11" s="1"/>
  <c r="X367" i="11" s="1"/>
  <c r="Y367" i="11" s="1"/>
  <c r="Z367" i="11" s="1"/>
  <c r="AA367" i="11" s="1"/>
  <c r="AB367" i="11" s="1"/>
  <c r="AC367" i="11" s="1"/>
  <c r="AD367" i="11" s="1"/>
  <c r="S382" i="11"/>
  <c r="T382" i="11" s="1"/>
  <c r="U382" i="11" s="1"/>
  <c r="V382" i="11" s="1"/>
  <c r="W382" i="11" s="1"/>
  <c r="X382" i="11" s="1"/>
  <c r="Y382" i="11" s="1"/>
  <c r="Z382" i="11" s="1"/>
  <c r="AA382" i="11" s="1"/>
  <c r="AB382" i="11" s="1"/>
  <c r="AC382" i="11" s="1"/>
  <c r="AD382" i="11" s="1"/>
  <c r="AF378" i="11"/>
  <c r="AF370" i="11"/>
  <c r="AF362" i="11"/>
  <c r="AF385" i="11"/>
  <c r="S384" i="11"/>
  <c r="T384" i="11" s="1"/>
  <c r="U384" i="11" s="1"/>
  <c r="V384" i="11" s="1"/>
  <c r="W384" i="11" s="1"/>
  <c r="X384" i="11" s="1"/>
  <c r="Y384" i="11" s="1"/>
  <c r="Z384" i="11" s="1"/>
  <c r="AA384" i="11" s="1"/>
  <c r="AB384" i="11" s="1"/>
  <c r="AC384" i="11" s="1"/>
  <c r="AD384" i="11" s="1"/>
  <c r="S374" i="11"/>
  <c r="T374" i="11" s="1"/>
  <c r="U374" i="11" s="1"/>
  <c r="V374" i="11" s="1"/>
  <c r="W374" i="11" s="1"/>
  <c r="X374" i="11" s="1"/>
  <c r="Y374" i="11" s="1"/>
  <c r="Z374" i="11" s="1"/>
  <c r="AA374" i="11" s="1"/>
  <c r="AB374" i="11" s="1"/>
  <c r="AC374" i="11" s="1"/>
  <c r="AD374" i="11" s="1"/>
  <c r="S366" i="11"/>
  <c r="T366" i="11" s="1"/>
  <c r="U366" i="11" s="1"/>
  <c r="V366" i="11" s="1"/>
  <c r="W366" i="11" s="1"/>
  <c r="X366" i="11" s="1"/>
  <c r="Y366" i="11" s="1"/>
  <c r="Z366" i="11" s="1"/>
  <c r="AA366" i="11" s="1"/>
  <c r="AB366" i="11" s="1"/>
  <c r="AC366" i="11" s="1"/>
  <c r="AD366" i="11" s="1"/>
  <c r="AF377" i="11"/>
  <c r="AF369" i="11"/>
  <c r="AF361" i="11"/>
  <c r="S381" i="11"/>
  <c r="T381" i="11" s="1"/>
  <c r="U381" i="11" s="1"/>
  <c r="V381" i="11" s="1"/>
  <c r="W381" i="11" s="1"/>
  <c r="X381" i="11" s="1"/>
  <c r="Y381" i="11" s="1"/>
  <c r="Z381" i="11" s="1"/>
  <c r="AA381" i="11" s="1"/>
  <c r="AB381" i="11" s="1"/>
  <c r="AC381" i="11" s="1"/>
  <c r="AD381" i="11" s="1"/>
  <c r="S373" i="11"/>
  <c r="T373" i="11" s="1"/>
  <c r="U373" i="11" s="1"/>
  <c r="V373" i="11" s="1"/>
  <c r="W373" i="11" s="1"/>
  <c r="X373" i="11" s="1"/>
  <c r="Y373" i="11" s="1"/>
  <c r="Z373" i="11" s="1"/>
  <c r="AA373" i="11" s="1"/>
  <c r="AB373" i="11" s="1"/>
  <c r="AC373" i="11" s="1"/>
  <c r="AD373" i="11" s="1"/>
  <c r="S365" i="11"/>
  <c r="T365" i="11" s="1"/>
  <c r="U365" i="11" s="1"/>
  <c r="V365" i="11" s="1"/>
  <c r="W365" i="11" s="1"/>
  <c r="X365" i="11" s="1"/>
  <c r="Y365" i="11" s="1"/>
  <c r="Z365" i="11" s="1"/>
  <c r="AA365" i="11" s="1"/>
  <c r="AB365" i="11" s="1"/>
  <c r="AC365" i="11" s="1"/>
  <c r="AD365" i="11" s="1"/>
  <c r="S380" i="11"/>
  <c r="T380" i="11" s="1"/>
  <c r="U380" i="11" s="1"/>
  <c r="V380" i="11" s="1"/>
  <c r="W380" i="11" s="1"/>
  <c r="X380" i="11" s="1"/>
  <c r="Y380" i="11" s="1"/>
  <c r="Z380" i="11" s="1"/>
  <c r="AA380" i="11" s="1"/>
  <c r="AB380" i="11" s="1"/>
  <c r="AC380" i="11" s="1"/>
  <c r="AD380" i="11" s="1"/>
  <c r="S372" i="11"/>
  <c r="T372" i="11" s="1"/>
  <c r="U372" i="11" s="1"/>
  <c r="V372" i="11" s="1"/>
  <c r="W372" i="11" s="1"/>
  <c r="X372" i="11" s="1"/>
  <c r="Y372" i="11" s="1"/>
  <c r="Z372" i="11" s="1"/>
  <c r="AA372" i="11" s="1"/>
  <c r="AB372" i="11" s="1"/>
  <c r="AC372" i="11" s="1"/>
  <c r="AD372" i="11" s="1"/>
  <c r="S364" i="11"/>
  <c r="T364" i="11" s="1"/>
  <c r="U364" i="11" s="1"/>
  <c r="V364" i="11" s="1"/>
  <c r="W364" i="11" s="1"/>
  <c r="X364" i="11" s="1"/>
  <c r="Y364" i="11" s="1"/>
  <c r="Z364" i="11" s="1"/>
  <c r="AA364" i="11" s="1"/>
  <c r="AB364" i="11" s="1"/>
  <c r="AC364" i="11" s="1"/>
  <c r="AD364" i="11" s="1"/>
  <c r="S352" i="11" l="1"/>
  <c r="S353" i="11"/>
  <c r="T353" i="11" s="1"/>
  <c r="S354" i="11"/>
  <c r="T354" i="11" s="1"/>
  <c r="S355" i="11"/>
  <c r="T355" i="11" s="1"/>
  <c r="S356" i="11"/>
  <c r="T356" i="11" s="1"/>
  <c r="S357" i="11"/>
  <c r="T357" i="11" s="1"/>
  <c r="S351" i="11"/>
  <c r="T351" i="11" s="1"/>
  <c r="U351" i="11" s="1"/>
  <c r="V351" i="11" s="1"/>
  <c r="W351" i="11" s="1"/>
  <c r="X351" i="11" s="1"/>
  <c r="Y351" i="11" s="1"/>
  <c r="Z351" i="11" s="1"/>
  <c r="AA351" i="11" s="1"/>
  <c r="AB351" i="11" s="1"/>
  <c r="AC351" i="11" s="1"/>
  <c r="AD351" i="11" s="1"/>
  <c r="U356" i="11" l="1"/>
  <c r="V356" i="11" s="1"/>
  <c r="W356" i="11" s="1"/>
  <c r="X356" i="11" s="1"/>
  <c r="Y356" i="11" s="1"/>
  <c r="Z356" i="11" s="1"/>
  <c r="AA356" i="11" s="1"/>
  <c r="AB356" i="11" s="1"/>
  <c r="AC356" i="11" s="1"/>
  <c r="AD356" i="11" s="1"/>
  <c r="D45" i="8" s="1"/>
  <c r="U354" i="11"/>
  <c r="V354" i="11" s="1"/>
  <c r="W354" i="11" s="1"/>
  <c r="X354" i="11" s="1"/>
  <c r="Y354" i="11" s="1"/>
  <c r="Z354" i="11" s="1"/>
  <c r="AA354" i="11" s="1"/>
  <c r="AB354" i="11" s="1"/>
  <c r="AC354" i="11" s="1"/>
  <c r="AD354" i="11" s="1"/>
  <c r="D39" i="9" s="1"/>
  <c r="U357" i="11"/>
  <c r="V357" i="11" s="1"/>
  <c r="W357" i="11" s="1"/>
  <c r="X357" i="11" s="1"/>
  <c r="Y357" i="11" s="1"/>
  <c r="Z357" i="11" s="1"/>
  <c r="AA357" i="11" s="1"/>
  <c r="AB357" i="11" s="1"/>
  <c r="AC357" i="11" s="1"/>
  <c r="AD357" i="11" s="1"/>
  <c r="D62" i="1" s="1"/>
  <c r="U355" i="11"/>
  <c r="V355" i="11" s="1"/>
  <c r="W355" i="11" s="1"/>
  <c r="X355" i="11" s="1"/>
  <c r="Y355" i="11" s="1"/>
  <c r="Z355" i="11" s="1"/>
  <c r="AA355" i="11" s="1"/>
  <c r="AB355" i="11" s="1"/>
  <c r="AC355" i="11" s="1"/>
  <c r="AD355" i="11" s="1"/>
  <c r="D38" i="10" s="1"/>
  <c r="U353" i="11"/>
  <c r="V353" i="11" s="1"/>
  <c r="W353" i="11" s="1"/>
  <c r="X353" i="11" s="1"/>
  <c r="T352" i="11"/>
  <c r="AF351" i="11"/>
  <c r="AF352" i="11"/>
  <c r="AF353" i="11"/>
  <c r="AF354" i="11"/>
  <c r="AF355" i="11"/>
  <c r="AF356" i="11"/>
  <c r="AF357" i="11"/>
  <c r="Y353" i="11" l="1"/>
  <c r="Z353" i="11" s="1"/>
  <c r="AA353" i="11" s="1"/>
  <c r="AB353" i="11" s="1"/>
  <c r="AC353" i="11" s="1"/>
  <c r="AD353" i="11" s="1"/>
  <c r="D37" i="7" s="1"/>
  <c r="R38" i="10"/>
  <c r="R39" i="9"/>
  <c r="U352" i="11"/>
  <c r="V352" i="11" s="1"/>
  <c r="W352" i="11" s="1"/>
  <c r="X352" i="11" s="1"/>
  <c r="Y352" i="11" s="1"/>
  <c r="Z352" i="11" s="1"/>
  <c r="AA352" i="11" s="1"/>
  <c r="AB352" i="11" s="1"/>
  <c r="AC352" i="11" s="1"/>
  <c r="AD352" i="11" s="1"/>
  <c r="D52" i="6" s="1"/>
  <c r="R37" i="7" l="1"/>
  <c r="R52" i="6"/>
  <c r="BD75" i="14"/>
  <c r="AY91" i="14"/>
  <c r="AZ91" i="14"/>
  <c r="BC91" i="14"/>
  <c r="BG91" i="14"/>
  <c r="AZ107" i="14"/>
  <c r="E349" i="11"/>
  <c r="F349" i="11"/>
  <c r="G349" i="11"/>
  <c r="H349" i="11"/>
  <c r="I349" i="11"/>
  <c r="J349" i="11"/>
  <c r="K349" i="11"/>
  <c r="L349" i="11"/>
  <c r="M349" i="11"/>
  <c r="N349" i="11"/>
  <c r="O349" i="11"/>
  <c r="D257" i="11"/>
  <c r="BB15" i="14" l="1"/>
  <c r="AX91" i="14"/>
  <c r="AX79" i="14" s="1"/>
  <c r="S349" i="11"/>
  <c r="T349" i="11" s="1"/>
  <c r="U349" i="11" s="1"/>
  <c r="V349" i="11" s="1"/>
  <c r="W349" i="11" s="1"/>
  <c r="X349" i="11" s="1"/>
  <c r="Y349" i="11" s="1"/>
  <c r="Z349" i="11" s="1"/>
  <c r="AA349" i="11" s="1"/>
  <c r="AB349" i="11" s="1"/>
  <c r="AC349" i="11" s="1"/>
  <c r="AD349" i="11" s="1"/>
  <c r="AF349" i="11"/>
  <c r="AX75" i="14"/>
  <c r="AX63" i="14" s="1"/>
  <c r="BE75" i="14"/>
  <c r="BE63" i="14" s="1"/>
  <c r="BI91" i="14"/>
  <c r="BI79" i="14" s="1"/>
  <c r="BI78" i="14" s="1"/>
  <c r="AY75" i="14"/>
  <c r="AY63" i="14" s="1"/>
  <c r="AY107" i="14"/>
  <c r="BC75" i="14"/>
  <c r="BC63" i="14" s="1"/>
  <c r="AZ75" i="14"/>
  <c r="AZ63" i="14" s="1"/>
  <c r="BD107" i="14"/>
  <c r="BE91" i="14"/>
  <c r="BE79" i="14" s="1"/>
  <c r="AX107" i="14"/>
  <c r="BA91" i="14"/>
  <c r="BA79" i="14" s="1"/>
  <c r="BH91" i="14"/>
  <c r="BH79" i="14" s="1"/>
  <c r="BF91" i="14"/>
  <c r="BF79" i="14" s="1"/>
  <c r="BD91" i="14"/>
  <c r="BD79" i="14" s="1"/>
  <c r="BB91" i="14"/>
  <c r="BB79" i="14" s="1"/>
  <c r="BB107" i="14"/>
  <c r="BH75" i="14"/>
  <c r="BH63" i="14" s="1"/>
  <c r="BF75" i="14"/>
  <c r="BF63" i="14" s="1"/>
  <c r="BF107" i="14"/>
  <c r="BB75" i="14"/>
  <c r="BB63" i="14" s="1"/>
  <c r="BG75" i="14"/>
  <c r="BG63" i="14" s="1"/>
  <c r="BH15" i="14"/>
  <c r="BA107" i="14"/>
  <c r="BH107" i="14"/>
  <c r="AX15" i="14"/>
  <c r="BA75" i="14"/>
  <c r="BA63" i="14" s="1"/>
  <c r="AZ15" i="14"/>
  <c r="BI107" i="14"/>
  <c r="BG15" i="14"/>
  <c r="AY15" i="14"/>
  <c r="BC107" i="14"/>
  <c r="BF15" i="14"/>
  <c r="BE15" i="14"/>
  <c r="BE107" i="14"/>
  <c r="BA49" i="14"/>
  <c r="BE18" i="14"/>
  <c r="BG107" i="14"/>
  <c r="BD15" i="14"/>
  <c r="BC15" i="14"/>
  <c r="BE32" i="14"/>
  <c r="BB95" i="14"/>
  <c r="BF49" i="14"/>
  <c r="AX49" i="14"/>
  <c r="BB49" i="14"/>
  <c r="BB32" i="14"/>
  <c r="BF32" i="14"/>
  <c r="AX32" i="14"/>
  <c r="BF18" i="14"/>
  <c r="AX18" i="14"/>
  <c r="BA18" i="14"/>
  <c r="BE95" i="14"/>
  <c r="BI95" i="14"/>
  <c r="BI94" i="14" s="1"/>
  <c r="BA95" i="14"/>
  <c r="BA15" i="14"/>
  <c r="BD95" i="14"/>
  <c r="BH95" i="14"/>
  <c r="AZ95" i="14"/>
  <c r="AZ79" i="14"/>
  <c r="BD63" i="14"/>
  <c r="BD49" i="14"/>
  <c r="BH49" i="14"/>
  <c r="AZ49" i="14"/>
  <c r="BH32" i="14"/>
  <c r="AZ32" i="14"/>
  <c r="BD32" i="14"/>
  <c r="BH18" i="14"/>
  <c r="AZ18" i="14"/>
  <c r="BD18" i="14"/>
  <c r="BE49" i="14"/>
  <c r="BC95" i="14"/>
  <c r="BG95" i="14"/>
  <c r="AY95" i="14"/>
  <c r="BC79" i="14"/>
  <c r="BG79" i="14"/>
  <c r="AY79" i="14"/>
  <c r="BC49" i="14"/>
  <c r="BG49" i="14"/>
  <c r="AY49" i="14"/>
  <c r="BG32" i="14"/>
  <c r="AY32" i="14"/>
  <c r="BC32" i="14"/>
  <c r="BG18" i="14"/>
  <c r="AY18" i="14"/>
  <c r="BC18" i="14"/>
  <c r="BA32" i="14"/>
  <c r="BF95" i="14"/>
  <c r="AX95" i="14"/>
  <c r="BB18" i="14"/>
  <c r="D67" i="11"/>
  <c r="D70" i="11"/>
  <c r="D33" i="11"/>
  <c r="BH17" i="14" l="1"/>
  <c r="BG17" i="14" s="1"/>
  <c r="BF17" i="14" s="1"/>
  <c r="BE17" i="14" s="1"/>
  <c r="BD17" i="14" s="1"/>
  <c r="BC17" i="14" s="1"/>
  <c r="BB17" i="14" s="1"/>
  <c r="BA17" i="14" s="1"/>
  <c r="AZ17" i="14" s="1"/>
  <c r="AY17" i="14" s="1"/>
  <c r="AX17" i="14" s="1"/>
  <c r="BH62" i="14"/>
  <c r="BG62" i="14" s="1"/>
  <c r="BF62" i="14" s="1"/>
  <c r="BE62" i="14" s="1"/>
  <c r="BD62" i="14" s="1"/>
  <c r="BC62" i="14" s="1"/>
  <c r="BB62" i="14" s="1"/>
  <c r="BA62" i="14" s="1"/>
  <c r="AZ62" i="14" s="1"/>
  <c r="AY62" i="14" s="1"/>
  <c r="AX62" i="14" s="1"/>
  <c r="BH94" i="14"/>
  <c r="BG94" i="14" s="1"/>
  <c r="BF94" i="14" s="1"/>
  <c r="BE94" i="14" s="1"/>
  <c r="BD94" i="14" s="1"/>
  <c r="BC94" i="14" s="1"/>
  <c r="BB94" i="14" s="1"/>
  <c r="BA94" i="14" s="1"/>
  <c r="AZ94" i="14" s="1"/>
  <c r="AY94" i="14" s="1"/>
  <c r="AX94" i="14" s="1"/>
  <c r="BH31" i="14"/>
  <c r="BG31" i="14" s="1"/>
  <c r="BF31" i="14" s="1"/>
  <c r="BE31" i="14" s="1"/>
  <c r="BD31" i="14" s="1"/>
  <c r="BC31" i="14" s="1"/>
  <c r="BB31" i="14" s="1"/>
  <c r="BA31" i="14" s="1"/>
  <c r="AZ31" i="14" s="1"/>
  <c r="AY31" i="14" s="1"/>
  <c r="AX31" i="14" s="1"/>
  <c r="BH78" i="14"/>
  <c r="BG78" i="14" s="1"/>
  <c r="BF78" i="14" s="1"/>
  <c r="BE78" i="14" s="1"/>
  <c r="BD78" i="14" s="1"/>
  <c r="BC78" i="14" s="1"/>
  <c r="BB78" i="14" s="1"/>
  <c r="BA78" i="14" s="1"/>
  <c r="AZ78" i="14" s="1"/>
  <c r="AY78" i="14" s="1"/>
  <c r="AX78" i="14" s="1"/>
  <c r="BH48" i="14"/>
  <c r="BG48" i="14" s="1"/>
  <c r="BF48" i="14" s="1"/>
  <c r="BE48" i="14" s="1"/>
  <c r="BD48" i="14" s="1"/>
  <c r="BC48" i="14" s="1"/>
  <c r="BB48" i="14" s="1"/>
  <c r="BA48" i="14" s="1"/>
  <c r="AZ48" i="14" s="1"/>
  <c r="AY48" i="14" s="1"/>
  <c r="AX48" i="14" s="1"/>
  <c r="Q33" i="9" l="1"/>
  <c r="Q28" i="6"/>
  <c r="S28" i="6" s="1"/>
  <c r="Q6" i="1"/>
  <c r="S6" i="1" l="1"/>
  <c r="S33" i="9"/>
  <c r="S52" i="5"/>
  <c r="S52" i="1"/>
  <c r="S50" i="6"/>
  <c r="Q29" i="6"/>
  <c r="E26" i="6"/>
  <c r="Q26" i="6" s="1"/>
  <c r="S26" i="6" s="1"/>
  <c r="E29" i="9"/>
  <c r="Q29" i="9" s="1"/>
  <c r="E35" i="8"/>
  <c r="S341" i="11"/>
  <c r="S342" i="11"/>
  <c r="S343" i="11"/>
  <c r="S344" i="11"/>
  <c r="S345" i="11"/>
  <c r="T344" i="11" l="1"/>
  <c r="U344" i="11" s="1"/>
  <c r="V344" i="11" s="1"/>
  <c r="W344" i="11" s="1"/>
  <c r="X344" i="11" s="1"/>
  <c r="Y344" i="11" s="1"/>
  <c r="Z344" i="11" s="1"/>
  <c r="AA344" i="11" s="1"/>
  <c r="AB344" i="11" s="1"/>
  <c r="AC344" i="11" s="1"/>
  <c r="AD344" i="11" s="1"/>
  <c r="T342" i="11"/>
  <c r="U342" i="11" s="1"/>
  <c r="V342" i="11" s="1"/>
  <c r="W342" i="11" s="1"/>
  <c r="X342" i="11" s="1"/>
  <c r="Y342" i="11" s="1"/>
  <c r="Z342" i="11" s="1"/>
  <c r="AA342" i="11" s="1"/>
  <c r="AB342" i="11" s="1"/>
  <c r="AC342" i="11" s="1"/>
  <c r="AD342" i="11" s="1"/>
  <c r="T345" i="11"/>
  <c r="U345" i="11" s="1"/>
  <c r="V345" i="11" s="1"/>
  <c r="W345" i="11" s="1"/>
  <c r="X345" i="11" s="1"/>
  <c r="Y345" i="11" s="1"/>
  <c r="Z345" i="11" s="1"/>
  <c r="AA345" i="11" s="1"/>
  <c r="AB345" i="11" s="1"/>
  <c r="AC345" i="11" s="1"/>
  <c r="AD345" i="11" s="1"/>
  <c r="T343" i="11"/>
  <c r="T341" i="11"/>
  <c r="U341" i="11" s="1"/>
  <c r="V341" i="11" s="1"/>
  <c r="W341" i="11" s="1"/>
  <c r="X341" i="11" s="1"/>
  <c r="Y341" i="11" s="1"/>
  <c r="Z341" i="11" s="1"/>
  <c r="AA341" i="11" s="1"/>
  <c r="AB341" i="11" s="1"/>
  <c r="AC341" i="11" s="1"/>
  <c r="AD341" i="11" s="1"/>
  <c r="S29" i="6"/>
  <c r="S29" i="9"/>
  <c r="U343" i="11" l="1"/>
  <c r="V343" i="11" s="1"/>
  <c r="W343" i="11" s="1"/>
  <c r="X343" i="11" s="1"/>
  <c r="Y343" i="11" s="1"/>
  <c r="Z343" i="11" s="1"/>
  <c r="AA343" i="11" s="1"/>
  <c r="AB343" i="11" s="1"/>
  <c r="AC343" i="11" s="1"/>
  <c r="AD343" i="11" s="1"/>
  <c r="R16" i="6"/>
  <c r="R17" i="10"/>
  <c r="R19" i="5"/>
  <c r="R17" i="9"/>
  <c r="R14" i="7" l="1"/>
  <c r="AE340" i="11" l="1"/>
  <c r="AE341" i="11" s="1"/>
  <c r="AE342" i="11" s="1"/>
  <c r="AE343" i="11" s="1"/>
  <c r="AE344" i="11" s="1"/>
  <c r="AE345" i="11" s="1"/>
  <c r="AE346" i="11" s="1"/>
  <c r="AE347" i="11" s="1"/>
  <c r="AE348" i="11" s="1"/>
  <c r="AE349" i="11" s="1"/>
  <c r="AE350" i="11" s="1"/>
  <c r="AE351" i="11" s="1"/>
  <c r="AE352" i="11" s="1"/>
  <c r="AE353" i="11" s="1"/>
  <c r="AE354" i="11" s="1"/>
  <c r="AE355" i="11" s="1"/>
  <c r="AE356" i="11" s="1"/>
  <c r="AE357" i="11" s="1"/>
  <c r="AE358" i="11" s="1"/>
  <c r="AE359" i="11" s="1"/>
  <c r="AE360" i="11" s="1"/>
  <c r="AE361" i="11" s="1"/>
  <c r="AE362" i="11" s="1"/>
  <c r="AE363" i="11" s="1"/>
  <c r="AE364" i="11" s="1"/>
  <c r="AE365" i="11" s="1"/>
  <c r="AE366" i="11" s="1"/>
  <c r="AE367" i="11" s="1"/>
  <c r="AE368" i="11" s="1"/>
  <c r="AE369" i="11" s="1"/>
  <c r="AE370" i="11" s="1"/>
  <c r="AE371" i="11" s="1"/>
  <c r="AE372" i="11" s="1"/>
  <c r="AE373" i="11" s="1"/>
  <c r="AE374" i="11" s="1"/>
  <c r="AE375" i="11" s="1"/>
  <c r="AE376" i="11" s="1"/>
  <c r="AE377" i="11" s="1"/>
  <c r="AE378" i="11" s="1"/>
  <c r="AE379" i="11" s="1"/>
  <c r="AE380" i="11" s="1"/>
  <c r="AE381" i="11" s="1"/>
  <c r="AE382" i="11" s="1"/>
  <c r="AE383" i="11" s="1"/>
  <c r="AE384" i="11" s="1"/>
  <c r="AE385" i="11" s="1"/>
  <c r="AE386" i="11" s="1"/>
  <c r="AE387" i="11" s="1"/>
  <c r="AE388" i="11" s="1"/>
  <c r="AE389" i="11" s="1"/>
  <c r="AE390" i="11" s="1"/>
  <c r="AE391" i="11" s="1"/>
  <c r="AE392" i="11" s="1"/>
  <c r="AE393" i="11" s="1"/>
  <c r="AE394" i="11" s="1"/>
  <c r="AE395" i="11" s="1"/>
  <c r="AE396" i="11" s="1"/>
  <c r="AE397" i="11" s="1"/>
  <c r="AE398" i="11" s="1"/>
  <c r="AE399" i="11" s="1"/>
  <c r="AE400" i="11" s="1"/>
  <c r="AE401" i="11" s="1"/>
  <c r="AE402" i="11" s="1"/>
  <c r="AE403" i="11" s="1"/>
  <c r="AE404" i="11" s="1"/>
  <c r="AE405" i="11" s="1"/>
  <c r="AE406" i="11" s="1"/>
  <c r="AE407" i="11" s="1"/>
  <c r="AE408" i="11" s="1"/>
  <c r="AE409" i="11" s="1"/>
  <c r="AE410" i="11" s="1"/>
  <c r="AE411" i="11" s="1"/>
  <c r="AE412" i="11" s="1"/>
  <c r="AE413" i="11" s="1"/>
  <c r="AE414" i="11" s="1"/>
  <c r="AE415" i="11" s="1"/>
  <c r="AE416" i="11" s="1"/>
  <c r="AE417" i="11" s="1"/>
  <c r="AE418" i="11" s="1"/>
  <c r="AE419" i="11" s="1"/>
  <c r="AE420" i="11" s="1"/>
  <c r="AE421" i="11" s="1"/>
  <c r="AE422" i="11" s="1"/>
  <c r="AE423" i="11" s="1"/>
  <c r="AE424" i="11" s="1"/>
  <c r="AE425" i="11" s="1"/>
  <c r="AE426" i="11" s="1"/>
  <c r="AE427" i="11" s="1"/>
  <c r="AE428" i="11" s="1"/>
  <c r="AE429" i="11" s="1"/>
  <c r="AE430" i="11" s="1"/>
  <c r="AE431" i="11" s="1"/>
  <c r="AE432" i="11" s="1"/>
  <c r="AE433" i="11" s="1"/>
  <c r="AE434" i="11" s="1"/>
  <c r="AE435" i="11" s="1"/>
  <c r="AE436" i="11" s="1"/>
  <c r="AE437" i="11" s="1"/>
  <c r="AE438" i="11" s="1"/>
  <c r="AE439" i="11" s="1"/>
  <c r="AE440" i="11" s="1"/>
  <c r="AE441" i="11" s="1"/>
  <c r="AE442" i="11" s="1"/>
  <c r="AE443" i="11" s="1"/>
  <c r="AE444" i="11" s="1"/>
  <c r="AE445" i="11" s="1"/>
  <c r="AE446" i="11" s="1"/>
  <c r="AE447" i="11" s="1"/>
  <c r="AE448" i="11" s="1"/>
  <c r="AE449" i="11" s="1"/>
  <c r="AE450" i="11" s="1"/>
  <c r="AE451" i="11" s="1"/>
  <c r="AE452" i="11" s="1"/>
  <c r="AE453" i="11" s="1"/>
  <c r="AE454" i="11" s="1"/>
  <c r="AE455" i="11" s="1"/>
  <c r="AE456" i="11" s="1"/>
  <c r="AE457" i="11" s="1"/>
  <c r="AE458" i="11" s="1"/>
  <c r="AE459" i="11" s="1"/>
  <c r="AE460" i="11" s="1"/>
  <c r="Q340" i="11"/>
  <c r="Q341" i="11" s="1"/>
  <c r="Q342" i="11" s="1"/>
  <c r="Q343" i="11" s="1"/>
  <c r="Q344" i="11" s="1"/>
  <c r="Q345" i="11" s="1"/>
  <c r="Q346" i="11" s="1"/>
  <c r="Q347" i="11" s="1"/>
  <c r="Q348" i="11" s="1"/>
  <c r="Q349" i="11" s="1"/>
  <c r="Q350" i="11" s="1"/>
  <c r="Q351" i="11" s="1"/>
  <c r="Q352" i="11" s="1"/>
  <c r="Q353" i="11" s="1"/>
  <c r="Q354" i="11" s="1"/>
  <c r="Q355" i="11" s="1"/>
  <c r="Q356" i="11" s="1"/>
  <c r="Q357" i="11" s="1"/>
  <c r="Q358" i="11" s="1"/>
  <c r="Q359" i="11" s="1"/>
  <c r="Q360" i="11" s="1"/>
  <c r="Q361" i="11" s="1"/>
  <c r="Q362" i="11" s="1"/>
  <c r="Q363" i="11" s="1"/>
  <c r="Q364" i="11" s="1"/>
  <c r="Q365" i="11" s="1"/>
  <c r="Q366" i="11" s="1"/>
  <c r="Q367" i="11" s="1"/>
  <c r="Q368" i="11" s="1"/>
  <c r="Q369" i="11" s="1"/>
  <c r="Q370" i="11" s="1"/>
  <c r="Q371" i="11" s="1"/>
  <c r="Q372" i="11" s="1"/>
  <c r="Q373" i="11" s="1"/>
  <c r="Q374" i="11" s="1"/>
  <c r="Q375" i="11" s="1"/>
  <c r="Q376" i="11" s="1"/>
  <c r="Q377" i="11" s="1"/>
  <c r="Q378" i="11" s="1"/>
  <c r="Q379" i="11" s="1"/>
  <c r="Q380" i="11" s="1"/>
  <c r="Q381" i="11" s="1"/>
  <c r="Q382" i="11" s="1"/>
  <c r="Q383" i="11" s="1"/>
  <c r="Q384" i="11" s="1"/>
  <c r="Q385" i="11" s="1"/>
  <c r="Q386" i="11" s="1"/>
  <c r="Q387" i="11" s="1"/>
  <c r="Q388" i="11" s="1"/>
  <c r="Q389" i="11" s="1"/>
  <c r="Q390" i="11" s="1"/>
  <c r="Q391" i="11" s="1"/>
  <c r="Q392" i="11" s="1"/>
  <c r="Q393" i="11" s="1"/>
  <c r="Q394" i="11" s="1"/>
  <c r="Q395" i="11" s="1"/>
  <c r="Q396" i="11" s="1"/>
  <c r="Q397" i="11" s="1"/>
  <c r="Q398" i="11" s="1"/>
  <c r="Q399" i="11" s="1"/>
  <c r="Q400" i="11" s="1"/>
  <c r="Q401" i="11" s="1"/>
  <c r="Q402" i="11" s="1"/>
  <c r="Q403" i="11" s="1"/>
  <c r="Q404" i="11" s="1"/>
  <c r="Q405" i="11" s="1"/>
  <c r="Q406" i="11" s="1"/>
  <c r="Q407" i="11" s="1"/>
  <c r="Q408" i="11" s="1"/>
  <c r="Q409" i="11" s="1"/>
  <c r="Q410" i="11" s="1"/>
  <c r="Q411" i="11" s="1"/>
  <c r="Q412" i="11" s="1"/>
  <c r="Q413" i="11" s="1"/>
  <c r="Q414" i="11" s="1"/>
  <c r="Q415" i="11" s="1"/>
  <c r="Q416" i="11" s="1"/>
  <c r="Q417" i="11" s="1"/>
  <c r="Q418" i="11" s="1"/>
  <c r="Q419" i="11" s="1"/>
  <c r="Q420" i="11" s="1"/>
  <c r="Q421" i="11" s="1"/>
  <c r="Q422" i="11" s="1"/>
  <c r="Q423" i="11" s="1"/>
  <c r="Q424" i="11" s="1"/>
  <c r="Q425" i="11" s="1"/>
  <c r="Q426" i="11" s="1"/>
  <c r="Q427" i="11" s="1"/>
  <c r="Q428" i="11" s="1"/>
  <c r="Q429" i="11" s="1"/>
  <c r="Q430" i="11" s="1"/>
  <c r="Q431" i="11" s="1"/>
  <c r="Q432" i="11" s="1"/>
  <c r="Q433" i="11" s="1"/>
  <c r="Q434" i="11" s="1"/>
  <c r="Q435" i="11" s="1"/>
  <c r="Q436" i="11" s="1"/>
  <c r="Q437" i="11" s="1"/>
  <c r="Q438" i="11" s="1"/>
  <c r="Q439" i="11" s="1"/>
  <c r="Q440" i="11" s="1"/>
  <c r="Q441" i="11" s="1"/>
  <c r="Q442" i="11" s="1"/>
  <c r="Q443" i="11" s="1"/>
  <c r="Q444" i="11" s="1"/>
  <c r="Q445" i="11" s="1"/>
  <c r="Q446" i="11" s="1"/>
  <c r="Q447" i="11" s="1"/>
  <c r="Q448" i="11" s="1"/>
  <c r="Q449" i="11" s="1"/>
  <c r="Q450" i="11" s="1"/>
  <c r="Q451" i="11" s="1"/>
  <c r="Q452" i="11" s="1"/>
  <c r="Q453" i="11" s="1"/>
  <c r="Q454" i="11" s="1"/>
  <c r="Q455" i="11" s="1"/>
  <c r="Q456" i="11" s="1"/>
  <c r="Q457" i="11" s="1"/>
  <c r="Q458" i="11" s="1"/>
  <c r="Q459" i="11" s="1"/>
  <c r="Q460" i="11" s="1"/>
  <c r="AF342" i="11"/>
  <c r="D16" i="6" s="1"/>
  <c r="AF343" i="11"/>
  <c r="D14" i="7" s="1"/>
  <c r="AF344" i="11"/>
  <c r="D17" i="9" s="1"/>
  <c r="AF345" i="11"/>
  <c r="D17" i="10" s="1"/>
  <c r="AF341" i="11"/>
  <c r="D19" i="5" s="1"/>
  <c r="B340" i="1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78" i="11" s="1"/>
  <c r="B479" i="11" s="1"/>
  <c r="S347" i="11"/>
  <c r="AF346" i="11" l="1"/>
  <c r="D22" i="8" s="1"/>
  <c r="S346" i="11"/>
  <c r="T347" i="11"/>
  <c r="U347" i="11" s="1"/>
  <c r="V347" i="11" s="1"/>
  <c r="W347" i="11" s="1"/>
  <c r="X347" i="11" s="1"/>
  <c r="Y347" i="11" s="1"/>
  <c r="Z347" i="11" s="1"/>
  <c r="AA347" i="11" s="1"/>
  <c r="AB347" i="11" s="1"/>
  <c r="AC347" i="11" s="1"/>
  <c r="AD347" i="11" s="1"/>
  <c r="D15" i="1" s="1"/>
  <c r="AF347" i="11"/>
  <c r="R15" i="1" l="1"/>
  <c r="T346" i="11"/>
  <c r="U346" i="11" s="1"/>
  <c r="V346" i="11" l="1"/>
  <c r="W346" i="11" s="1"/>
  <c r="X346" i="11" s="1"/>
  <c r="Y346" i="11" s="1"/>
  <c r="Z346" i="11" s="1"/>
  <c r="AA346" i="11" s="1"/>
  <c r="AB346" i="11" s="1"/>
  <c r="AC346" i="11" s="1"/>
  <c r="AD346" i="11" s="1"/>
  <c r="AF332" i="11"/>
  <c r="S333" i="11"/>
  <c r="AF333" i="11"/>
  <c r="S334" i="11"/>
  <c r="T334" i="11" s="1"/>
  <c r="U334" i="11" s="1"/>
  <c r="V334" i="11" s="1"/>
  <c r="W334" i="11" s="1"/>
  <c r="X334" i="11" s="1"/>
  <c r="Y334" i="11" s="1"/>
  <c r="Z334" i="11" s="1"/>
  <c r="AA334" i="11" s="1"/>
  <c r="AB334" i="11" s="1"/>
  <c r="AC334" i="11" s="1"/>
  <c r="AD334" i="11" s="1"/>
  <c r="AF334" i="11"/>
  <c r="S335" i="11"/>
  <c r="T335" i="11" s="1"/>
  <c r="U335" i="11" s="1"/>
  <c r="V335" i="11" s="1"/>
  <c r="W335" i="11" s="1"/>
  <c r="X335" i="11" s="1"/>
  <c r="Y335" i="11" s="1"/>
  <c r="Z335" i="11" s="1"/>
  <c r="AA335" i="11" s="1"/>
  <c r="AB335" i="11" s="1"/>
  <c r="AC335" i="11" s="1"/>
  <c r="AD335" i="11" s="1"/>
  <c r="AF335" i="11"/>
  <c r="S336" i="11"/>
  <c r="AF336" i="11"/>
  <c r="S337" i="11"/>
  <c r="AF337" i="11"/>
  <c r="S338" i="11"/>
  <c r="AF338" i="11"/>
  <c r="S339" i="11"/>
  <c r="AF339" i="11"/>
  <c r="R22" i="8" l="1"/>
  <c r="T338" i="11"/>
  <c r="T339" i="11"/>
  <c r="T336" i="11"/>
  <c r="T337" i="11"/>
  <c r="T333" i="11"/>
  <c r="AM91" i="14"/>
  <c r="AL91" i="14"/>
  <c r="AM75" i="14"/>
  <c r="AT75" i="14"/>
  <c r="AU75" i="14"/>
  <c r="AU15" i="14"/>
  <c r="U333" i="11" l="1"/>
  <c r="V333" i="11" s="1"/>
  <c r="W333" i="11" s="1"/>
  <c r="X333" i="11" s="1"/>
  <c r="Y333" i="11" s="1"/>
  <c r="U337" i="11"/>
  <c r="V337" i="11" s="1"/>
  <c r="W337" i="11" s="1"/>
  <c r="X337" i="11" s="1"/>
  <c r="Y337" i="11" s="1"/>
  <c r="U339" i="11"/>
  <c r="V339" i="11" s="1"/>
  <c r="W339" i="11" s="1"/>
  <c r="X339" i="11" s="1"/>
  <c r="Y339" i="11" s="1"/>
  <c r="U336" i="11"/>
  <c r="V336" i="11" s="1"/>
  <c r="W336" i="11" s="1"/>
  <c r="X336" i="11" s="1"/>
  <c r="Y336" i="11" s="1"/>
  <c r="U338" i="11"/>
  <c r="V338" i="11" s="1"/>
  <c r="W338" i="11" s="1"/>
  <c r="X338" i="11" s="1"/>
  <c r="Y338" i="11" s="1"/>
  <c r="AQ91" i="14"/>
  <c r="AQ79" i="14" s="1"/>
  <c r="AL75" i="14"/>
  <c r="AL63" i="14" s="1"/>
  <c r="AN75" i="14"/>
  <c r="AN63" i="14" s="1"/>
  <c r="AR75" i="14"/>
  <c r="AR63" i="14" s="1"/>
  <c r="AU95" i="14"/>
  <c r="AQ75" i="14"/>
  <c r="AQ63" i="14" s="1"/>
  <c r="AS75" i="14"/>
  <c r="AS63" i="14" s="1"/>
  <c r="AO75" i="14"/>
  <c r="AO63" i="14" s="1"/>
  <c r="AP75" i="14"/>
  <c r="AP63" i="14" s="1"/>
  <c r="AR91" i="14"/>
  <c r="AR79" i="14" s="1"/>
  <c r="AV75" i="14"/>
  <c r="AV63" i="14" s="1"/>
  <c r="AP91" i="14"/>
  <c r="AP79" i="14" s="1"/>
  <c r="AW75" i="14"/>
  <c r="AW63" i="14" s="1"/>
  <c r="AW62" i="14" s="1"/>
  <c r="AW91" i="14"/>
  <c r="AW79" i="14" s="1"/>
  <c r="AW78" i="14" s="1"/>
  <c r="AO91" i="14"/>
  <c r="AO79" i="14" s="1"/>
  <c r="AV91" i="14"/>
  <c r="AV79" i="14" s="1"/>
  <c r="AN91" i="14"/>
  <c r="AN79" i="14" s="1"/>
  <c r="AU91" i="14"/>
  <c r="AU79" i="14" s="1"/>
  <c r="AW107" i="14"/>
  <c r="AS91" i="14"/>
  <c r="AS79" i="14" s="1"/>
  <c r="AT91" i="14"/>
  <c r="AT79" i="14" s="1"/>
  <c r="AQ49" i="14"/>
  <c r="AR32" i="14"/>
  <c r="AS15" i="14"/>
  <c r="AR15" i="14"/>
  <c r="AQ32" i="14"/>
  <c r="AU49" i="14"/>
  <c r="AV107" i="14"/>
  <c r="AU107" i="14"/>
  <c r="AM32" i="14"/>
  <c r="AT18" i="14"/>
  <c r="AP32" i="14"/>
  <c r="AU32" i="14"/>
  <c r="AM49" i="14"/>
  <c r="AM18" i="14"/>
  <c r="AS32" i="14"/>
  <c r="AS49" i="14"/>
  <c r="AU18" i="14"/>
  <c r="AQ18" i="14"/>
  <c r="AW18" i="14"/>
  <c r="AW17" i="14" s="1"/>
  <c r="AW95" i="14"/>
  <c r="AW94" i="14" s="1"/>
  <c r="AO49" i="14"/>
  <c r="AM15" i="14"/>
  <c r="AV95" i="14"/>
  <c r="AP18" i="14"/>
  <c r="AT32" i="14"/>
  <c r="AL32" i="14"/>
  <c r="AT15" i="14"/>
  <c r="AL15" i="14"/>
  <c r="AW49" i="14"/>
  <c r="AW48" i="14" s="1"/>
  <c r="AL79" i="14"/>
  <c r="AN49" i="14"/>
  <c r="AO32" i="14"/>
  <c r="AN15" i="14"/>
  <c r="AN32" i="14"/>
  <c r="AV49" i="14"/>
  <c r="AO18" i="14"/>
  <c r="AS18" i="14"/>
  <c r="AW15" i="14"/>
  <c r="AW32" i="14"/>
  <c r="AW31" i="14" s="1"/>
  <c r="AV15" i="14"/>
  <c r="AR49" i="14"/>
  <c r="AV18" i="14"/>
  <c r="AN18" i="14"/>
  <c r="AR18" i="14"/>
  <c r="AO15" i="14"/>
  <c r="AV32" i="14"/>
  <c r="AQ15" i="14"/>
  <c r="AU63" i="14"/>
  <c r="AM63" i="14"/>
  <c r="AM79" i="14"/>
  <c r="AP15" i="14"/>
  <c r="AL18" i="14"/>
  <c r="AP49" i="14"/>
  <c r="AT49" i="14"/>
  <c r="AL49" i="14"/>
  <c r="AT63" i="14"/>
  <c r="Z338" i="11" l="1"/>
  <c r="AA338" i="11" s="1"/>
  <c r="AB338" i="11" s="1"/>
  <c r="AC338" i="11" s="1"/>
  <c r="Z336" i="11"/>
  <c r="AA336" i="11" s="1"/>
  <c r="Z339" i="11"/>
  <c r="AA339" i="11" s="1"/>
  <c r="Z337" i="11"/>
  <c r="AA337" i="11" s="1"/>
  <c r="Z333" i="11"/>
  <c r="AA333" i="11" s="1"/>
  <c r="AV78" i="14"/>
  <c r="AU78" i="14" s="1"/>
  <c r="AT78" i="14" s="1"/>
  <c r="AS78" i="14" s="1"/>
  <c r="AR78" i="14" s="1"/>
  <c r="AQ78" i="14" s="1"/>
  <c r="AP78" i="14" s="1"/>
  <c r="AO78" i="14" s="1"/>
  <c r="AN78" i="14" s="1"/>
  <c r="AM78" i="14" s="1"/>
  <c r="AL78" i="14" s="1"/>
  <c r="AV17" i="14"/>
  <c r="AU17" i="14" s="1"/>
  <c r="AT17" i="14" s="1"/>
  <c r="AS17" i="14" s="1"/>
  <c r="AR17" i="14" s="1"/>
  <c r="AQ17" i="14" s="1"/>
  <c r="AP17" i="14" s="1"/>
  <c r="AO17" i="14" s="1"/>
  <c r="AN17" i="14" s="1"/>
  <c r="AM17" i="14" s="1"/>
  <c r="AL17" i="14" s="1"/>
  <c r="AV31" i="14"/>
  <c r="AU31" i="14" s="1"/>
  <c r="AT31" i="14" s="1"/>
  <c r="AS31" i="14" s="1"/>
  <c r="AR31" i="14" s="1"/>
  <c r="AQ31" i="14" s="1"/>
  <c r="AP31" i="14" s="1"/>
  <c r="AO31" i="14" s="1"/>
  <c r="AN31" i="14" s="1"/>
  <c r="AM31" i="14" s="1"/>
  <c r="AL31" i="14" s="1"/>
  <c r="AV62" i="14"/>
  <c r="AU62" i="14" s="1"/>
  <c r="AT62" i="14" s="1"/>
  <c r="AS62" i="14" s="1"/>
  <c r="AR62" i="14" s="1"/>
  <c r="AQ62" i="14" s="1"/>
  <c r="AP62" i="14" s="1"/>
  <c r="AO62" i="14" s="1"/>
  <c r="AN62" i="14" s="1"/>
  <c r="AM62" i="14" s="1"/>
  <c r="AL62" i="14" s="1"/>
  <c r="AV94" i="14"/>
  <c r="AU94" i="14" s="1"/>
  <c r="AV48" i="14"/>
  <c r="AU48" i="14" s="1"/>
  <c r="AT48" i="14" s="1"/>
  <c r="AS48" i="14" s="1"/>
  <c r="AR48" i="14" s="1"/>
  <c r="AQ48" i="14" s="1"/>
  <c r="AP48" i="14" s="1"/>
  <c r="AO48" i="14" s="1"/>
  <c r="AN48" i="14" s="1"/>
  <c r="AM48" i="14" s="1"/>
  <c r="AL48" i="14" s="1"/>
  <c r="AD338" i="11" l="1"/>
  <c r="D41" i="8" s="1"/>
  <c r="AB333" i="11"/>
  <c r="AC333" i="11" s="1"/>
  <c r="AB337" i="11"/>
  <c r="AC337" i="11" s="1"/>
  <c r="AB339" i="11"/>
  <c r="AC339" i="11" s="1"/>
  <c r="AB336" i="11"/>
  <c r="AC336" i="11" s="1"/>
  <c r="E324" i="11"/>
  <c r="F324" i="11"/>
  <c r="G324" i="11"/>
  <c r="H324" i="11"/>
  <c r="I324" i="11"/>
  <c r="J324" i="11"/>
  <c r="K324" i="11"/>
  <c r="L324" i="11"/>
  <c r="M324" i="11"/>
  <c r="N324" i="11"/>
  <c r="O324" i="11"/>
  <c r="E325" i="11"/>
  <c r="F325" i="11"/>
  <c r="G325" i="11"/>
  <c r="H325" i="11"/>
  <c r="I325" i="11"/>
  <c r="J325" i="11"/>
  <c r="K325" i="11"/>
  <c r="L325" i="11"/>
  <c r="M325" i="11"/>
  <c r="N325" i="11"/>
  <c r="O325" i="11"/>
  <c r="E326" i="11"/>
  <c r="F326" i="11"/>
  <c r="G326" i="11"/>
  <c r="H326" i="11"/>
  <c r="I326" i="11"/>
  <c r="J326" i="11"/>
  <c r="K326" i="11"/>
  <c r="L326" i="11"/>
  <c r="M326" i="11"/>
  <c r="N326" i="11"/>
  <c r="O326" i="11"/>
  <c r="E327" i="11"/>
  <c r="F327" i="11"/>
  <c r="G327" i="11"/>
  <c r="H327" i="11"/>
  <c r="I327" i="11"/>
  <c r="J327" i="11"/>
  <c r="K327" i="11"/>
  <c r="L327" i="11"/>
  <c r="M327" i="11"/>
  <c r="N327" i="11"/>
  <c r="O327" i="11"/>
  <c r="D325" i="11"/>
  <c r="D326" i="11"/>
  <c r="D327" i="11"/>
  <c r="D324" i="11"/>
  <c r="D318" i="11"/>
  <c r="D304" i="11"/>
  <c r="D303" i="11"/>
  <c r="AD337" i="11" l="1"/>
  <c r="D34" i="10" s="1"/>
  <c r="AD333" i="11"/>
  <c r="D29" i="5" s="1"/>
  <c r="AD336" i="11"/>
  <c r="D35" i="9" s="1"/>
  <c r="AD339" i="11"/>
  <c r="D60" i="1" s="1"/>
  <c r="S303" i="11"/>
  <c r="T303" i="11" s="1"/>
  <c r="U303" i="11" s="1"/>
  <c r="V303" i="11" s="1"/>
  <c r="W303" i="11" s="1"/>
  <c r="X303" i="11" s="1"/>
  <c r="Y303" i="11" s="1"/>
  <c r="Z303" i="11" s="1"/>
  <c r="AA303" i="11" s="1"/>
  <c r="AB303" i="11" s="1"/>
  <c r="AC303" i="11" s="1"/>
  <c r="AD303" i="11" s="1"/>
  <c r="S304" i="11"/>
  <c r="T304" i="11" s="1"/>
  <c r="U304" i="11" s="1"/>
  <c r="V304" i="11" s="1"/>
  <c r="W304" i="11" s="1"/>
  <c r="X304" i="11" s="1"/>
  <c r="Y304" i="11" s="1"/>
  <c r="Z304" i="11" s="1"/>
  <c r="AA304" i="11" s="1"/>
  <c r="AB304" i="11" s="1"/>
  <c r="AC304" i="11" s="1"/>
  <c r="AD304" i="11" s="1"/>
  <c r="Q15" i="9" l="1"/>
  <c r="S15" i="9" s="1"/>
  <c r="Q16" i="9"/>
  <c r="S16" i="9" s="1"/>
  <c r="AK107" i="14" l="1"/>
  <c r="AC107" i="14"/>
  <c r="AJ107" i="14"/>
  <c r="AB107" i="14"/>
  <c r="AI107" i="14"/>
  <c r="AA107" i="14"/>
  <c r="AH107" i="14"/>
  <c r="AG107" i="14"/>
  <c r="AF107" i="14"/>
  <c r="AE107" i="14"/>
  <c r="AD107" i="14"/>
  <c r="AI91" i="14"/>
  <c r="AH91" i="14"/>
  <c r="AD91" i="14"/>
  <c r="AA91" i="14"/>
  <c r="AE91" i="14"/>
  <c r="AH75" i="14"/>
  <c r="AD75" i="14"/>
  <c r="AK75" i="14"/>
  <c r="AG75" i="14"/>
  <c r="AC75" i="14"/>
  <c r="AJ75" i="14"/>
  <c r="AF75" i="14"/>
  <c r="AB75" i="14"/>
  <c r="AK91" i="14"/>
  <c r="AG91" i="14"/>
  <c r="AC91" i="14"/>
  <c r="AI75" i="14"/>
  <c r="AE75" i="14"/>
  <c r="AA75" i="14"/>
  <c r="AJ91" i="14"/>
  <c r="AF91" i="14"/>
  <c r="AB91" i="14"/>
  <c r="AC15" i="14" l="1"/>
  <c r="AA15" i="14"/>
  <c r="AB15" i="14"/>
  <c r="AK15" i="14"/>
  <c r="AG15" i="14"/>
  <c r="AI15" i="14"/>
  <c r="AE15" i="14"/>
  <c r="AD15" i="14"/>
  <c r="AJ15" i="14"/>
  <c r="AH15" i="14"/>
  <c r="AF15" i="14"/>
  <c r="AC2" i="14" l="1"/>
  <c r="AA95" i="14"/>
  <c r="AB95" i="14"/>
  <c r="AC95" i="14"/>
  <c r="AD95" i="14"/>
  <c r="AE95" i="14"/>
  <c r="AF95" i="14"/>
  <c r="AG95" i="14"/>
  <c r="AH95" i="14"/>
  <c r="AI95" i="14"/>
  <c r="AJ95" i="14"/>
  <c r="AK95" i="14"/>
  <c r="AA79" i="14"/>
  <c r="AB79" i="14"/>
  <c r="AC79" i="14"/>
  <c r="AD79" i="14"/>
  <c r="AE79" i="14"/>
  <c r="AF79" i="14"/>
  <c r="AG79" i="14"/>
  <c r="AH79" i="14"/>
  <c r="AI79" i="14"/>
  <c r="AJ79" i="14"/>
  <c r="AK79" i="14"/>
  <c r="AK78" i="14" s="1"/>
  <c r="AA63" i="14"/>
  <c r="AB63" i="14"/>
  <c r="AC63" i="14"/>
  <c r="AD63" i="14"/>
  <c r="AE63" i="14"/>
  <c r="AF63" i="14"/>
  <c r="AG63" i="14"/>
  <c r="AH63" i="14"/>
  <c r="AI63" i="14"/>
  <c r="AJ63" i="14"/>
  <c r="AK63" i="14"/>
  <c r="AK62" i="14" s="1"/>
  <c r="AA49" i="14"/>
  <c r="AB49" i="14"/>
  <c r="AC49" i="14"/>
  <c r="AD49" i="14"/>
  <c r="AE49" i="14"/>
  <c r="AF49" i="14"/>
  <c r="AG49" i="14"/>
  <c r="AH49" i="14"/>
  <c r="AI49" i="14"/>
  <c r="AJ49" i="14"/>
  <c r="AK49" i="14"/>
  <c r="AK48" i="14" s="1"/>
  <c r="AA32" i="14"/>
  <c r="AB32" i="14"/>
  <c r="AC32" i="14"/>
  <c r="AD32" i="14"/>
  <c r="AE32" i="14"/>
  <c r="AF32" i="14"/>
  <c r="AG32" i="14"/>
  <c r="AH32" i="14"/>
  <c r="AI32" i="14"/>
  <c r="AJ32" i="14"/>
  <c r="AK32" i="14"/>
  <c r="AK31" i="14" s="1"/>
  <c r="AA18" i="14"/>
  <c r="AB18" i="14"/>
  <c r="AC18" i="14"/>
  <c r="AD18" i="14"/>
  <c r="AE18" i="14"/>
  <c r="AF18" i="14"/>
  <c r="AG18" i="14"/>
  <c r="AH18" i="14"/>
  <c r="AI18" i="14"/>
  <c r="AJ18" i="14"/>
  <c r="AK18" i="14"/>
  <c r="AK17" i="14" s="1"/>
  <c r="AD2" i="14"/>
  <c r="AE2" i="14"/>
  <c r="AF2" i="14"/>
  <c r="AG2" i="14"/>
  <c r="AB2" i="14"/>
  <c r="AJ31" i="14" l="1"/>
  <c r="AI31" i="14" s="1"/>
  <c r="AH31" i="14" s="1"/>
  <c r="AG31" i="14" s="1"/>
  <c r="AF31" i="14" s="1"/>
  <c r="AE31" i="14" s="1"/>
  <c r="AD31" i="14" s="1"/>
  <c r="AC31" i="14" s="1"/>
  <c r="AB31" i="14" s="1"/>
  <c r="AA31" i="14" s="1"/>
  <c r="AJ17" i="14"/>
  <c r="AI17" i="14" s="1"/>
  <c r="AH17" i="14" s="1"/>
  <c r="AG17" i="14" s="1"/>
  <c r="AF17" i="14" s="1"/>
  <c r="AE17" i="14" s="1"/>
  <c r="AD17" i="14" s="1"/>
  <c r="AC17" i="14" s="1"/>
  <c r="AB17" i="14" s="1"/>
  <c r="AA17" i="14" s="1"/>
  <c r="Z15" i="14"/>
  <c r="AJ78" i="14"/>
  <c r="AI78" i="14" s="1"/>
  <c r="AH78" i="14" s="1"/>
  <c r="AG78" i="14" s="1"/>
  <c r="AF78" i="14" s="1"/>
  <c r="AE78" i="14" s="1"/>
  <c r="AD78" i="14" s="1"/>
  <c r="AC78" i="14" s="1"/>
  <c r="AB78" i="14" s="1"/>
  <c r="AA78" i="14" s="1"/>
  <c r="AJ62" i="14"/>
  <c r="AI62" i="14" s="1"/>
  <c r="AH62" i="14" s="1"/>
  <c r="AG62" i="14" s="1"/>
  <c r="AF62" i="14" s="1"/>
  <c r="AE62" i="14" s="1"/>
  <c r="AD62" i="14" s="1"/>
  <c r="AC62" i="14" s="1"/>
  <c r="AB62" i="14" s="1"/>
  <c r="AA62" i="14" s="1"/>
  <c r="AJ48" i="14"/>
  <c r="AI48" i="14" s="1"/>
  <c r="AH48" i="14" s="1"/>
  <c r="AG48" i="14" s="1"/>
  <c r="AF48" i="14" s="1"/>
  <c r="AE48" i="14" s="1"/>
  <c r="AD48" i="14" s="1"/>
  <c r="AC48" i="14" s="1"/>
  <c r="AB48" i="14" s="1"/>
  <c r="AA48" i="14" s="1"/>
  <c r="D79" i="11" l="1"/>
  <c r="D23" i="11" l="1"/>
  <c r="D24" i="11" s="1"/>
  <c r="D301" i="11"/>
  <c r="D254" i="11"/>
  <c r="D258" i="11" s="1"/>
  <c r="D209" i="11"/>
  <c r="D206" i="11"/>
  <c r="D164" i="11"/>
  <c r="D161" i="11"/>
  <c r="D117" i="11"/>
  <c r="D114" i="11"/>
  <c r="D210" i="11" l="1"/>
  <c r="Q15" i="6" l="1"/>
  <c r="S15" i="6" s="1"/>
  <c r="Q14" i="6"/>
  <c r="S14" i="6" s="1"/>
  <c r="Q16" i="10"/>
  <c r="S16" i="10" s="1"/>
  <c r="Q15" i="10"/>
  <c r="S15" i="10" s="1"/>
  <c r="E11" i="7"/>
  <c r="E8" i="7"/>
  <c r="S150" i="11"/>
  <c r="T150" i="11" s="1"/>
  <c r="U150" i="11" s="1"/>
  <c r="V150" i="11" s="1"/>
  <c r="W150" i="11" s="1"/>
  <c r="X150" i="11" s="1"/>
  <c r="Y150" i="11" s="1"/>
  <c r="Z150" i="11" s="1"/>
  <c r="AA150" i="11" s="1"/>
  <c r="AB150" i="11" s="1"/>
  <c r="AC150" i="11" s="1"/>
  <c r="AD150" i="11" s="1"/>
  <c r="S151" i="11"/>
  <c r="T151" i="11" s="1"/>
  <c r="S270" i="11"/>
  <c r="T270" i="11" s="1"/>
  <c r="U270" i="11" s="1"/>
  <c r="V270" i="11" s="1"/>
  <c r="W270" i="11" s="1"/>
  <c r="X270" i="11" s="1"/>
  <c r="Y270" i="11" s="1"/>
  <c r="Z270" i="11" s="1"/>
  <c r="AA270" i="11" s="1"/>
  <c r="AB270" i="11" s="1"/>
  <c r="AC270" i="11" s="1"/>
  <c r="AD270" i="11" s="1"/>
  <c r="D47" i="10" s="1"/>
  <c r="S271" i="11"/>
  <c r="T271" i="11" s="1"/>
  <c r="U271" i="11" s="1"/>
  <c r="V271" i="11" s="1"/>
  <c r="W271" i="11" s="1"/>
  <c r="X271" i="11" s="1"/>
  <c r="Y271" i="11" s="1"/>
  <c r="Z271" i="11" s="1"/>
  <c r="AA271" i="11" s="1"/>
  <c r="AB271" i="11" s="1"/>
  <c r="AC271" i="11" s="1"/>
  <c r="AD271" i="11" s="1"/>
  <c r="S272" i="11"/>
  <c r="T272" i="11" s="1"/>
  <c r="U272" i="11" s="1"/>
  <c r="V272" i="11" s="1"/>
  <c r="W272" i="11" s="1"/>
  <c r="X272" i="11" s="1"/>
  <c r="Y272" i="11" s="1"/>
  <c r="Z272" i="11" s="1"/>
  <c r="AA272" i="11" s="1"/>
  <c r="AB272" i="11" s="1"/>
  <c r="AC272" i="11" s="1"/>
  <c r="AD272" i="11" s="1"/>
  <c r="S260" i="11"/>
  <c r="T260" i="11" s="1"/>
  <c r="U260" i="11" s="1"/>
  <c r="V260" i="11" s="1"/>
  <c r="W260" i="11" s="1"/>
  <c r="X260" i="11" s="1"/>
  <c r="Y260" i="11" s="1"/>
  <c r="Z260" i="11" s="1"/>
  <c r="AA260" i="11" s="1"/>
  <c r="AB260" i="11" s="1"/>
  <c r="AC260" i="11" s="1"/>
  <c r="AD260" i="11" s="1"/>
  <c r="D9" i="10" s="1"/>
  <c r="S256" i="11"/>
  <c r="T256" i="11" s="1"/>
  <c r="U256" i="11" s="1"/>
  <c r="V256" i="11" s="1"/>
  <c r="W256" i="11" s="1"/>
  <c r="X256" i="11" s="1"/>
  <c r="Y256" i="11" s="1"/>
  <c r="Z256" i="11" s="1"/>
  <c r="AA256" i="11" s="1"/>
  <c r="AB256" i="11" s="1"/>
  <c r="AC256" i="11" s="1"/>
  <c r="AD256" i="11" s="1"/>
  <c r="S255" i="11"/>
  <c r="S253" i="11"/>
  <c r="T253" i="11" s="1"/>
  <c r="U253" i="11" s="1"/>
  <c r="V253" i="11" s="1"/>
  <c r="W253" i="11" s="1"/>
  <c r="X253" i="11" s="1"/>
  <c r="Y253" i="11" s="1"/>
  <c r="Z253" i="11" s="1"/>
  <c r="AA253" i="11" s="1"/>
  <c r="AB253" i="11" s="1"/>
  <c r="AC253" i="11" s="1"/>
  <c r="AD253" i="11" s="1"/>
  <c r="S222" i="11"/>
  <c r="T222" i="11" s="1"/>
  <c r="U222" i="11" s="1"/>
  <c r="V222" i="11" s="1"/>
  <c r="W222" i="11" s="1"/>
  <c r="X222" i="11" s="1"/>
  <c r="Y222" i="11" s="1"/>
  <c r="Z222" i="11" s="1"/>
  <c r="AA222" i="11" s="1"/>
  <c r="AB222" i="11" s="1"/>
  <c r="AC222" i="11" s="1"/>
  <c r="AD222" i="11" s="1"/>
  <c r="D48" i="9" s="1"/>
  <c r="S223" i="11"/>
  <c r="T223" i="11" s="1"/>
  <c r="U223" i="11" s="1"/>
  <c r="V223" i="11" s="1"/>
  <c r="W223" i="11" s="1"/>
  <c r="X223" i="11" s="1"/>
  <c r="Y223" i="11" s="1"/>
  <c r="Z223" i="11" s="1"/>
  <c r="AA223" i="11" s="1"/>
  <c r="AB223" i="11" s="1"/>
  <c r="AC223" i="11" s="1"/>
  <c r="AD223" i="11" s="1"/>
  <c r="S224" i="11"/>
  <c r="T224" i="11" s="1"/>
  <c r="S225" i="11"/>
  <c r="T225" i="11" s="1"/>
  <c r="S205" i="11"/>
  <c r="T205" i="11" s="1"/>
  <c r="U205" i="11" s="1"/>
  <c r="V205" i="11" s="1"/>
  <c r="W205" i="11" s="1"/>
  <c r="X205" i="11" s="1"/>
  <c r="Y205" i="11" s="1"/>
  <c r="Z205" i="11" s="1"/>
  <c r="AA205" i="11" s="1"/>
  <c r="AB205" i="11" s="1"/>
  <c r="AC205" i="11" s="1"/>
  <c r="AD205" i="11" s="1"/>
  <c r="S207" i="11"/>
  <c r="S208" i="11"/>
  <c r="T208" i="11" s="1"/>
  <c r="U208" i="11" s="1"/>
  <c r="V208" i="11" s="1"/>
  <c r="S211" i="11"/>
  <c r="S212" i="11"/>
  <c r="S175" i="11"/>
  <c r="T175" i="11" s="1"/>
  <c r="U175" i="11" s="1"/>
  <c r="V175" i="11" s="1"/>
  <c r="W175" i="11" s="1"/>
  <c r="X175" i="11" s="1"/>
  <c r="S176" i="11"/>
  <c r="T176" i="11" s="1"/>
  <c r="U176" i="11" s="1"/>
  <c r="V176" i="11" s="1"/>
  <c r="W176" i="11" s="1"/>
  <c r="X176" i="11" s="1"/>
  <c r="Y176" i="11" s="1"/>
  <c r="Z176" i="11" s="1"/>
  <c r="AA176" i="11" s="1"/>
  <c r="AB176" i="11" s="1"/>
  <c r="AC176" i="11" s="1"/>
  <c r="AD176" i="11" s="1"/>
  <c r="S177" i="11"/>
  <c r="T177" i="11" s="1"/>
  <c r="U177" i="11" s="1"/>
  <c r="V177" i="11" s="1"/>
  <c r="W177" i="11" s="1"/>
  <c r="X177" i="11" s="1"/>
  <c r="S160" i="11"/>
  <c r="T160" i="11" s="1"/>
  <c r="U160" i="11" s="1"/>
  <c r="V160" i="11" s="1"/>
  <c r="W160" i="11" s="1"/>
  <c r="X160" i="11" s="1"/>
  <c r="Y160" i="11" s="1"/>
  <c r="Z160" i="11" s="1"/>
  <c r="AA160" i="11" s="1"/>
  <c r="AB160" i="11" s="1"/>
  <c r="AC160" i="11" s="1"/>
  <c r="AD160" i="11" s="1"/>
  <c r="S162" i="11"/>
  <c r="S163" i="11"/>
  <c r="T163" i="11" s="1"/>
  <c r="U163" i="11" s="1"/>
  <c r="V163" i="11" s="1"/>
  <c r="W163" i="11" s="1"/>
  <c r="X163" i="11" s="1"/>
  <c r="Y163" i="11" s="1"/>
  <c r="Z163" i="11" s="1"/>
  <c r="AA163" i="11" s="1"/>
  <c r="AB163" i="11" s="1"/>
  <c r="AC163" i="11" s="1"/>
  <c r="AD163" i="11" s="1"/>
  <c r="S165" i="11"/>
  <c r="T165" i="11" s="1"/>
  <c r="U165" i="11" s="1"/>
  <c r="V165" i="11" s="1"/>
  <c r="W165" i="11" s="1"/>
  <c r="X165" i="11" s="1"/>
  <c r="S166" i="11"/>
  <c r="T166" i="11" s="1"/>
  <c r="U166" i="11" s="1"/>
  <c r="V166" i="11" s="1"/>
  <c r="W166" i="11" s="1"/>
  <c r="X166" i="11" s="1"/>
  <c r="S129" i="11"/>
  <c r="T129" i="11" s="1"/>
  <c r="U129" i="11" s="1"/>
  <c r="V129" i="11" s="1"/>
  <c r="W129" i="11" s="1"/>
  <c r="X129" i="11" s="1"/>
  <c r="Y129" i="11" s="1"/>
  <c r="Z129" i="11" s="1"/>
  <c r="AA129" i="11" s="1"/>
  <c r="AB129" i="11" s="1"/>
  <c r="AC129" i="11" s="1"/>
  <c r="AD129" i="11" s="1"/>
  <c r="D34" i="6" s="1"/>
  <c r="S130" i="11"/>
  <c r="T130" i="11" s="1"/>
  <c r="U130" i="11" s="1"/>
  <c r="V130" i="11" s="1"/>
  <c r="W130" i="11" s="1"/>
  <c r="X130" i="11" s="1"/>
  <c r="Y130" i="11" s="1"/>
  <c r="Z130" i="11" s="1"/>
  <c r="AA130" i="11" s="1"/>
  <c r="AB130" i="11" s="1"/>
  <c r="AC130" i="11" s="1"/>
  <c r="AD130" i="11" s="1"/>
  <c r="S131" i="11"/>
  <c r="T131" i="11" s="1"/>
  <c r="U131" i="11" s="1"/>
  <c r="V131" i="11" s="1"/>
  <c r="W131" i="11" s="1"/>
  <c r="S132" i="11"/>
  <c r="T132" i="11" s="1"/>
  <c r="U132" i="11" s="1"/>
  <c r="V132" i="11" s="1"/>
  <c r="W132" i="11" s="1"/>
  <c r="X132" i="11" s="1"/>
  <c r="Y132" i="11" s="1"/>
  <c r="Z132" i="11" s="1"/>
  <c r="AA132" i="11" s="1"/>
  <c r="AB132" i="11" s="1"/>
  <c r="AC132" i="11" s="1"/>
  <c r="AD132" i="11" s="1"/>
  <c r="S113" i="11"/>
  <c r="T113" i="11" s="1"/>
  <c r="U113" i="11" s="1"/>
  <c r="V113" i="11" s="1"/>
  <c r="W113" i="11" s="1"/>
  <c r="X113" i="11" s="1"/>
  <c r="Y113" i="11" s="1"/>
  <c r="Z113" i="11" s="1"/>
  <c r="AA113" i="11" s="1"/>
  <c r="AB113" i="11" s="1"/>
  <c r="AC113" i="11" s="1"/>
  <c r="AD113" i="11" s="1"/>
  <c r="S115" i="11"/>
  <c r="S116" i="11"/>
  <c r="T116" i="11" s="1"/>
  <c r="U116" i="11" s="1"/>
  <c r="V116" i="11" s="1"/>
  <c r="W116" i="11" s="1"/>
  <c r="X116" i="11" s="1"/>
  <c r="Y116" i="11" s="1"/>
  <c r="Z116" i="11" s="1"/>
  <c r="AA116" i="11" s="1"/>
  <c r="AB116" i="11" s="1"/>
  <c r="AC116" i="11" s="1"/>
  <c r="AD116" i="11" s="1"/>
  <c r="S118" i="11"/>
  <c r="T118" i="11" s="1"/>
  <c r="U118" i="11" s="1"/>
  <c r="V118" i="11" s="1"/>
  <c r="W118" i="11" s="1"/>
  <c r="X118" i="11" s="1"/>
  <c r="Y118" i="11" s="1"/>
  <c r="Z118" i="11" s="1"/>
  <c r="AA118" i="11" s="1"/>
  <c r="AB118" i="11" s="1"/>
  <c r="AC118" i="11" s="1"/>
  <c r="AD118" i="11" s="1"/>
  <c r="D7" i="6" s="1"/>
  <c r="S119" i="11"/>
  <c r="S82" i="11"/>
  <c r="S83" i="11"/>
  <c r="S84" i="11"/>
  <c r="S85" i="11"/>
  <c r="T85" i="11" s="1"/>
  <c r="U85" i="11" s="1"/>
  <c r="V85" i="11" s="1"/>
  <c r="W85" i="11" s="1"/>
  <c r="X85" i="11" s="1"/>
  <c r="Y85" i="11" s="1"/>
  <c r="Z85" i="11" s="1"/>
  <c r="AA85" i="11" s="1"/>
  <c r="AB85" i="11" s="1"/>
  <c r="AC85" i="11" s="1"/>
  <c r="AD85" i="11" s="1"/>
  <c r="S66" i="11"/>
  <c r="S68" i="11"/>
  <c r="S69" i="11"/>
  <c r="T69" i="11" s="1"/>
  <c r="U69" i="11" s="1"/>
  <c r="V69" i="11" s="1"/>
  <c r="W69" i="11" s="1"/>
  <c r="X69" i="11" s="1"/>
  <c r="Y69" i="11" s="1"/>
  <c r="Z69" i="11" s="1"/>
  <c r="AA69" i="11" s="1"/>
  <c r="AB69" i="11" s="1"/>
  <c r="AC69" i="11" s="1"/>
  <c r="AD69" i="11" s="1"/>
  <c r="S71" i="11"/>
  <c r="T71" i="11" s="1"/>
  <c r="U71" i="11" s="1"/>
  <c r="V71" i="11" s="1"/>
  <c r="W71" i="11" s="1"/>
  <c r="X71" i="11" s="1"/>
  <c r="Y71" i="11" s="1"/>
  <c r="Z71" i="11" s="1"/>
  <c r="AA71" i="11" s="1"/>
  <c r="AB71" i="11" s="1"/>
  <c r="AC71" i="11" s="1"/>
  <c r="AD71" i="11" s="1"/>
  <c r="D7" i="5" s="1"/>
  <c r="S72" i="11"/>
  <c r="T72" i="11" s="1"/>
  <c r="S36" i="11"/>
  <c r="S37" i="11"/>
  <c r="T37" i="11" s="1"/>
  <c r="U37" i="11" s="1"/>
  <c r="V37" i="11" s="1"/>
  <c r="W37" i="11" s="1"/>
  <c r="X37" i="11" s="1"/>
  <c r="Y37" i="11" s="1"/>
  <c r="Z37" i="11" s="1"/>
  <c r="AA37" i="11" s="1"/>
  <c r="AB37" i="11" s="1"/>
  <c r="AC37" i="11" s="1"/>
  <c r="AD37" i="11" s="1"/>
  <c r="S38" i="11"/>
  <c r="S39" i="11"/>
  <c r="T39" i="11" s="1"/>
  <c r="U39" i="11" s="1"/>
  <c r="V39" i="11" s="1"/>
  <c r="W39" i="11" s="1"/>
  <c r="X39" i="11" s="1"/>
  <c r="Y39" i="11" s="1"/>
  <c r="Z39" i="11" s="1"/>
  <c r="AA39" i="11" s="1"/>
  <c r="AB39" i="11" s="1"/>
  <c r="AC39" i="11" s="1"/>
  <c r="AD39" i="11" s="1"/>
  <c r="D61" i="1" s="1"/>
  <c r="S19" i="11"/>
  <c r="S21" i="11"/>
  <c r="S22" i="11"/>
  <c r="T22" i="11" s="1"/>
  <c r="U22" i="11" s="1"/>
  <c r="V22" i="11" s="1"/>
  <c r="W22" i="11" s="1"/>
  <c r="X22" i="11" s="1"/>
  <c r="Y22" i="11" s="1"/>
  <c r="Z22" i="11" s="1"/>
  <c r="AA22" i="11" s="1"/>
  <c r="AB22" i="11" s="1"/>
  <c r="AC22" i="11" s="1"/>
  <c r="AD22" i="11" s="1"/>
  <c r="S25" i="11"/>
  <c r="S26" i="11"/>
  <c r="T26" i="11" s="1"/>
  <c r="U26" i="11" s="1"/>
  <c r="V26" i="11" s="1"/>
  <c r="W26" i="11" s="1"/>
  <c r="X26" i="11" s="1"/>
  <c r="Y26" i="11" s="1"/>
  <c r="Z26" i="11" s="1"/>
  <c r="AA26" i="11" s="1"/>
  <c r="AB26" i="11" s="1"/>
  <c r="AC26" i="11" s="1"/>
  <c r="AD26" i="11" s="1"/>
  <c r="D9" i="1" s="1"/>
  <c r="S40" i="11"/>
  <c r="S41" i="11"/>
  <c r="S42" i="11"/>
  <c r="S43" i="11"/>
  <c r="S44" i="11"/>
  <c r="S27" i="11"/>
  <c r="T27" i="11" s="1"/>
  <c r="U27" i="11" s="1"/>
  <c r="V27" i="11" s="1"/>
  <c r="W27" i="11" s="1"/>
  <c r="X27" i="11" s="1"/>
  <c r="Y27" i="11" s="1"/>
  <c r="S28" i="11"/>
  <c r="S29" i="11"/>
  <c r="S31" i="11"/>
  <c r="T31" i="11" s="1"/>
  <c r="U31" i="11" s="1"/>
  <c r="V31" i="11" s="1"/>
  <c r="W31" i="11" s="1"/>
  <c r="X31" i="11" s="1"/>
  <c r="Y31" i="11" s="1"/>
  <c r="S32" i="11"/>
  <c r="S34" i="11"/>
  <c r="S35" i="11"/>
  <c r="S6" i="11"/>
  <c r="S7" i="11"/>
  <c r="T7" i="11" s="1"/>
  <c r="U7" i="11" s="1"/>
  <c r="V7" i="11" s="1"/>
  <c r="W7" i="11" s="1"/>
  <c r="X7" i="11" s="1"/>
  <c r="Y7" i="11" s="1"/>
  <c r="S8" i="11"/>
  <c r="T8" i="11" s="1"/>
  <c r="U8" i="11" s="1"/>
  <c r="V8" i="11" s="1"/>
  <c r="W8" i="11" s="1"/>
  <c r="X8" i="11" s="1"/>
  <c r="Y8" i="11" s="1"/>
  <c r="S9" i="11"/>
  <c r="S10" i="11"/>
  <c r="S11" i="11"/>
  <c r="T11" i="11" s="1"/>
  <c r="U11" i="11" s="1"/>
  <c r="V11" i="11" s="1"/>
  <c r="W11" i="11" s="1"/>
  <c r="X11" i="11" s="1"/>
  <c r="Y11" i="11" s="1"/>
  <c r="S12" i="11"/>
  <c r="T12" i="11" s="1"/>
  <c r="U12" i="11" s="1"/>
  <c r="V12" i="11" s="1"/>
  <c r="W12" i="11" s="1"/>
  <c r="X12" i="11" s="1"/>
  <c r="Y12" i="11" s="1"/>
  <c r="S13" i="11"/>
  <c r="T13" i="11" s="1"/>
  <c r="U13" i="11" s="1"/>
  <c r="V13" i="11" s="1"/>
  <c r="W13" i="11" s="1"/>
  <c r="X13" i="11" s="1"/>
  <c r="Y13" i="11" s="1"/>
  <c r="S14" i="11"/>
  <c r="T14" i="11" s="1"/>
  <c r="U14" i="11" s="1"/>
  <c r="V14" i="11" s="1"/>
  <c r="W14" i="11" s="1"/>
  <c r="X14" i="11" s="1"/>
  <c r="Y14" i="11" s="1"/>
  <c r="S15" i="11"/>
  <c r="T15" i="11" s="1"/>
  <c r="U15" i="11" s="1"/>
  <c r="V15" i="11" s="1"/>
  <c r="W15" i="11" s="1"/>
  <c r="X15" i="11" s="1"/>
  <c r="Y15" i="11" s="1"/>
  <c r="S16" i="11"/>
  <c r="T16" i="11" s="1"/>
  <c r="U16" i="11" s="1"/>
  <c r="V16" i="11" s="1"/>
  <c r="W16" i="11" s="1"/>
  <c r="X16" i="11" s="1"/>
  <c r="Y16" i="11" s="1"/>
  <c r="S17" i="11"/>
  <c r="T17" i="11" s="1"/>
  <c r="U17" i="11" s="1"/>
  <c r="V17" i="11" s="1"/>
  <c r="W17" i="11" s="1"/>
  <c r="X17" i="11" s="1"/>
  <c r="Y17" i="11" s="1"/>
  <c r="S18" i="11"/>
  <c r="T18" i="11" s="1"/>
  <c r="U18" i="11" s="1"/>
  <c r="V18" i="11" s="1"/>
  <c r="W18" i="11" s="1"/>
  <c r="S318" i="11"/>
  <c r="T318" i="11" s="1"/>
  <c r="U318" i="11" s="1"/>
  <c r="V318" i="11" s="1"/>
  <c r="W318" i="11" s="1"/>
  <c r="X318" i="11" s="1"/>
  <c r="Y318" i="11" s="1"/>
  <c r="Z318" i="11" s="1"/>
  <c r="AA318" i="11" s="1"/>
  <c r="AB318" i="11" s="1"/>
  <c r="AC318" i="11" s="1"/>
  <c r="AD318" i="11" s="1"/>
  <c r="D54" i="8" s="1"/>
  <c r="D319" i="11"/>
  <c r="S319" i="11" s="1"/>
  <c r="T319" i="11" s="1"/>
  <c r="U319" i="11" s="1"/>
  <c r="V319" i="11" s="1"/>
  <c r="W319" i="11" s="1"/>
  <c r="X319" i="11" s="1"/>
  <c r="Y319" i="11" s="1"/>
  <c r="Z319" i="11" s="1"/>
  <c r="AA319" i="11" s="1"/>
  <c r="AB319" i="11" s="1"/>
  <c r="AC319" i="11" s="1"/>
  <c r="AD319" i="11" s="1"/>
  <c r="S320" i="11"/>
  <c r="T320" i="11" s="1"/>
  <c r="U320" i="11" s="1"/>
  <c r="V320" i="11" s="1"/>
  <c r="W320" i="11" s="1"/>
  <c r="X320" i="11" s="1"/>
  <c r="Y320" i="11" s="1"/>
  <c r="Z320" i="11" s="1"/>
  <c r="AA320" i="11" s="1"/>
  <c r="AB320" i="11" s="1"/>
  <c r="AC320" i="11" s="1"/>
  <c r="AD320" i="11" s="1"/>
  <c r="D321" i="11"/>
  <c r="D311" i="11"/>
  <c r="D312" i="11"/>
  <c r="D313" i="11"/>
  <c r="D314" i="11"/>
  <c r="D316" i="11"/>
  <c r="D317" i="11"/>
  <c r="D307" i="11"/>
  <c r="S307" i="11" s="1"/>
  <c r="D308" i="11"/>
  <c r="S308" i="11" s="1"/>
  <c r="D309" i="11"/>
  <c r="D310" i="11"/>
  <c r="S301" i="11"/>
  <c r="T301" i="11" s="1"/>
  <c r="U301" i="11" s="1"/>
  <c r="V301" i="11" s="1"/>
  <c r="W301" i="11" s="1"/>
  <c r="X301" i="11" s="1"/>
  <c r="Y301" i="11" s="1"/>
  <c r="Z301" i="11" s="1"/>
  <c r="AA301" i="11" s="1"/>
  <c r="AB301" i="11" s="1"/>
  <c r="AC301" i="11" s="1"/>
  <c r="AD301" i="11" s="1"/>
  <c r="D287" i="11"/>
  <c r="D288" i="11"/>
  <c r="E399" i="11"/>
  <c r="F399" i="11"/>
  <c r="G399" i="11"/>
  <c r="H399" i="11"/>
  <c r="I399" i="11"/>
  <c r="J399" i="11"/>
  <c r="K399" i="11"/>
  <c r="L399" i="11"/>
  <c r="M399" i="11"/>
  <c r="N399" i="11"/>
  <c r="O399" i="11"/>
  <c r="D289" i="11"/>
  <c r="D290" i="11"/>
  <c r="D291" i="11"/>
  <c r="D292" i="11"/>
  <c r="D293" i="11"/>
  <c r="D294" i="11"/>
  <c r="D295" i="11"/>
  <c r="D296" i="11"/>
  <c r="D297" i="11"/>
  <c r="D298" i="11"/>
  <c r="D299" i="11"/>
  <c r="D300" i="11"/>
  <c r="D302" i="11" s="1"/>
  <c r="S210" i="11"/>
  <c r="S24" i="11"/>
  <c r="D306" i="11"/>
  <c r="S306" i="11" s="1"/>
  <c r="S45" i="11"/>
  <c r="S48" i="11"/>
  <c r="S47" i="11"/>
  <c r="U224" i="11" l="1"/>
  <c r="V224" i="11" s="1"/>
  <c r="W224" i="11" s="1"/>
  <c r="X224" i="11" s="1"/>
  <c r="Y224" i="11" s="1"/>
  <c r="Z224" i="11" s="1"/>
  <c r="AA224" i="11" s="1"/>
  <c r="AB224" i="11" s="1"/>
  <c r="AC224" i="11" s="1"/>
  <c r="AD224" i="11" s="1"/>
  <c r="D26" i="9" s="1"/>
  <c r="R33" i="7"/>
  <c r="D26" i="10"/>
  <c r="R27" i="10"/>
  <c r="D31" i="8"/>
  <c r="R32" i="8"/>
  <c r="Y166" i="11"/>
  <c r="Z166" i="11" s="1"/>
  <c r="AA166" i="11" s="1"/>
  <c r="AB166" i="11" s="1"/>
  <c r="AC166" i="11" s="1"/>
  <c r="AD166" i="11" s="1"/>
  <c r="D10" i="7" s="1"/>
  <c r="Y165" i="11"/>
  <c r="Z165" i="11" s="1"/>
  <c r="AA165" i="11" s="1"/>
  <c r="AB165" i="11" s="1"/>
  <c r="AC165" i="11" s="1"/>
  <c r="AD165" i="11" s="1"/>
  <c r="D7" i="7" s="1"/>
  <c r="Y177" i="11"/>
  <c r="Z177" i="11" s="1"/>
  <c r="AA177" i="11" s="1"/>
  <c r="AB177" i="11" s="1"/>
  <c r="AC177" i="11" s="1"/>
  <c r="AD177" i="11" s="1"/>
  <c r="Y175" i="11"/>
  <c r="Z175" i="11" s="1"/>
  <c r="AA175" i="11" s="1"/>
  <c r="AB175" i="11" s="1"/>
  <c r="AC175" i="11" s="1"/>
  <c r="AD175" i="11" s="1"/>
  <c r="D32" i="7" s="1"/>
  <c r="X131" i="11"/>
  <c r="Y131" i="11" s="1"/>
  <c r="Z131" i="11" s="1"/>
  <c r="AA131" i="11" s="1"/>
  <c r="AB131" i="11" s="1"/>
  <c r="AC131" i="11" s="1"/>
  <c r="AD131" i="11" s="1"/>
  <c r="T28" i="11"/>
  <c r="U28" i="11" s="1"/>
  <c r="V28" i="11" s="1"/>
  <c r="W28" i="11" s="1"/>
  <c r="X28" i="11" s="1"/>
  <c r="Y28" i="11" s="1"/>
  <c r="O392" i="11"/>
  <c r="T66" i="11"/>
  <c r="U66" i="11" s="1"/>
  <c r="V66" i="11" s="1"/>
  <c r="W66" i="11" s="1"/>
  <c r="X66" i="11" s="1"/>
  <c r="Y66" i="11" s="1"/>
  <c r="Z66" i="11" s="1"/>
  <c r="AA66" i="11" s="1"/>
  <c r="AB66" i="11" s="1"/>
  <c r="AC66" i="11" s="1"/>
  <c r="AD66" i="11" s="1"/>
  <c r="D13" i="5" s="1"/>
  <c r="S23" i="11"/>
  <c r="D399" i="11"/>
  <c r="H392" i="11"/>
  <c r="G392" i="11"/>
  <c r="F392" i="11"/>
  <c r="M392" i="11"/>
  <c r="E392" i="11"/>
  <c r="L392" i="11"/>
  <c r="N392" i="11"/>
  <c r="K392" i="11"/>
  <c r="J392" i="11"/>
  <c r="I392" i="11"/>
  <c r="D392" i="11"/>
  <c r="W208" i="11"/>
  <c r="X208" i="11" s="1"/>
  <c r="Y208" i="11" s="1"/>
  <c r="Z208" i="11" s="1"/>
  <c r="AA208" i="11" s="1"/>
  <c r="AB208" i="11" s="1"/>
  <c r="AC208" i="11" s="1"/>
  <c r="AD208" i="11" s="1"/>
  <c r="T6" i="11"/>
  <c r="T395" i="11" s="1"/>
  <c r="S395" i="11"/>
  <c r="T308" i="11"/>
  <c r="T212" i="11"/>
  <c r="T211" i="11"/>
  <c r="U225" i="11"/>
  <c r="V225" i="11" s="1"/>
  <c r="W225" i="11" s="1"/>
  <c r="X225" i="11" s="1"/>
  <c r="Y225" i="11" s="1"/>
  <c r="Z225" i="11" s="1"/>
  <c r="AA225" i="11" s="1"/>
  <c r="AB225" i="11" s="1"/>
  <c r="AC225" i="11" s="1"/>
  <c r="AD225" i="11" s="1"/>
  <c r="U72" i="11"/>
  <c r="V72" i="11" s="1"/>
  <c r="W72" i="11" s="1"/>
  <c r="X72" i="11" s="1"/>
  <c r="Y72" i="11" s="1"/>
  <c r="Z72" i="11" s="1"/>
  <c r="AA72" i="11" s="1"/>
  <c r="AB72" i="11" s="1"/>
  <c r="AC72" i="11" s="1"/>
  <c r="AD72" i="11" s="1"/>
  <c r="D11" i="5" s="1"/>
  <c r="U151" i="11"/>
  <c r="V151" i="11" s="1"/>
  <c r="W151" i="11" s="1"/>
  <c r="X151" i="11" s="1"/>
  <c r="T25" i="11"/>
  <c r="Q18" i="5"/>
  <c r="Q17" i="5"/>
  <c r="S17" i="5" s="1"/>
  <c r="Q13" i="1"/>
  <c r="S13" i="1" s="1"/>
  <c r="Q32" i="9"/>
  <c r="S32" i="9" s="1"/>
  <c r="Q13" i="6"/>
  <c r="S13" i="6" s="1"/>
  <c r="Q31" i="10"/>
  <c r="S31" i="10" s="1"/>
  <c r="Q31" i="9"/>
  <c r="S31" i="9" s="1"/>
  <c r="Q30" i="10"/>
  <c r="Q30" i="9"/>
  <c r="Q7" i="5"/>
  <c r="Q41" i="5"/>
  <c r="S41" i="5" s="1"/>
  <c r="Q32" i="10"/>
  <c r="S32" i="10" s="1"/>
  <c r="T45" i="11"/>
  <c r="U45" i="11" s="1"/>
  <c r="V45" i="11" s="1"/>
  <c r="W45" i="11" s="1"/>
  <c r="S305" i="11"/>
  <c r="D305" i="11"/>
  <c r="T255" i="11"/>
  <c r="S257" i="11"/>
  <c r="T207" i="11"/>
  <c r="S209" i="11"/>
  <c r="T162" i="11"/>
  <c r="S164" i="11"/>
  <c r="T119" i="11"/>
  <c r="U119" i="11" s="1"/>
  <c r="V119" i="11" s="1"/>
  <c r="W119" i="11" s="1"/>
  <c r="X119" i="11" s="1"/>
  <c r="Y119" i="11" s="1"/>
  <c r="Z119" i="11" s="1"/>
  <c r="AA119" i="11" s="1"/>
  <c r="AB119" i="11" s="1"/>
  <c r="AC119" i="11" s="1"/>
  <c r="AD119" i="11" s="1"/>
  <c r="D10" i="6" s="1"/>
  <c r="T115" i="11"/>
  <c r="S117" i="11"/>
  <c r="T84" i="11"/>
  <c r="U84" i="11" s="1"/>
  <c r="V84" i="11" s="1"/>
  <c r="W84" i="11" s="1"/>
  <c r="X84" i="11" s="1"/>
  <c r="Y84" i="11" s="1"/>
  <c r="T83" i="11"/>
  <c r="U83" i="11" s="1"/>
  <c r="V83" i="11" s="1"/>
  <c r="W83" i="11" s="1"/>
  <c r="X83" i="11" s="1"/>
  <c r="Y83" i="11" s="1"/>
  <c r="Z83" i="11" s="1"/>
  <c r="AA83" i="11" s="1"/>
  <c r="AB83" i="11" s="1"/>
  <c r="AC83" i="11" s="1"/>
  <c r="AD83" i="11" s="1"/>
  <c r="T82" i="11"/>
  <c r="T68" i="11"/>
  <c r="S70" i="11"/>
  <c r="T21" i="11"/>
  <c r="T19" i="11"/>
  <c r="S20" i="11"/>
  <c r="X18" i="11"/>
  <c r="T36" i="11"/>
  <c r="U36" i="11" s="1"/>
  <c r="V36" i="11" s="1"/>
  <c r="W36" i="11" s="1"/>
  <c r="X36" i="11" s="1"/>
  <c r="Y36" i="11" s="1"/>
  <c r="Z36" i="11" s="1"/>
  <c r="AA36" i="11" s="1"/>
  <c r="AB36" i="11" s="1"/>
  <c r="AC36" i="11" s="1"/>
  <c r="AD36" i="11" s="1"/>
  <c r="D21" i="1" s="1"/>
  <c r="T38" i="11"/>
  <c r="T44" i="11"/>
  <c r="U44" i="11" s="1"/>
  <c r="T40" i="11"/>
  <c r="U40" i="11" s="1"/>
  <c r="V40" i="11" s="1"/>
  <c r="W40" i="11" s="1"/>
  <c r="X40" i="11" s="1"/>
  <c r="Y40" i="11" s="1"/>
  <c r="T43" i="11"/>
  <c r="U43" i="11" s="1"/>
  <c r="T35" i="11"/>
  <c r="U35" i="11" s="1"/>
  <c r="V35" i="11" s="1"/>
  <c r="W35" i="11" s="1"/>
  <c r="X35" i="11" s="1"/>
  <c r="Y35" i="11" s="1"/>
  <c r="T30" i="11"/>
  <c r="U30" i="11" s="1"/>
  <c r="V30" i="11" s="1"/>
  <c r="W30" i="11" s="1"/>
  <c r="X30" i="11" s="1"/>
  <c r="Y30" i="11" s="1"/>
  <c r="T10" i="11"/>
  <c r="U10" i="11" s="1"/>
  <c r="V10" i="11" s="1"/>
  <c r="W10" i="11" s="1"/>
  <c r="X10" i="11" s="1"/>
  <c r="Y10" i="11" s="1"/>
  <c r="T42" i="11"/>
  <c r="U42" i="11" s="1"/>
  <c r="T34" i="11"/>
  <c r="U34" i="11" s="1"/>
  <c r="V34" i="11" s="1"/>
  <c r="W34" i="11" s="1"/>
  <c r="X34" i="11" s="1"/>
  <c r="Y34" i="11" s="1"/>
  <c r="T29" i="11"/>
  <c r="U29" i="11" s="1"/>
  <c r="V29" i="11" s="1"/>
  <c r="W29" i="11" s="1"/>
  <c r="X29" i="11" s="1"/>
  <c r="Y29" i="11" s="1"/>
  <c r="T9" i="11"/>
  <c r="U9" i="11" s="1"/>
  <c r="V9" i="11" s="1"/>
  <c r="W9" i="11" s="1"/>
  <c r="X9" i="11" s="1"/>
  <c r="Y9" i="11" s="1"/>
  <c r="T41" i="11"/>
  <c r="U41" i="11" s="1"/>
  <c r="T32" i="11"/>
  <c r="U32" i="11" s="1"/>
  <c r="V32" i="11" s="1"/>
  <c r="W32" i="11" s="1"/>
  <c r="X32" i="11" s="1"/>
  <c r="Y32" i="11" s="1"/>
  <c r="O331" i="11"/>
  <c r="K331" i="11"/>
  <c r="G331" i="11"/>
  <c r="N330" i="11"/>
  <c r="J330" i="11"/>
  <c r="F330" i="11"/>
  <c r="T306" i="11"/>
  <c r="U306" i="11" s="1"/>
  <c r="V306" i="11" s="1"/>
  <c r="T307" i="11"/>
  <c r="T24" i="11"/>
  <c r="U24" i="11" s="1"/>
  <c r="V24" i="11" s="1"/>
  <c r="W24" i="11" s="1"/>
  <c r="X24" i="11" s="1"/>
  <c r="Y24" i="11" s="1"/>
  <c r="Z24" i="11" s="1"/>
  <c r="AA24" i="11" s="1"/>
  <c r="AB24" i="11" s="1"/>
  <c r="AC24" i="11" s="1"/>
  <c r="AD24" i="11" s="1"/>
  <c r="T210" i="11"/>
  <c r="U210" i="11" s="1"/>
  <c r="V210" i="11" s="1"/>
  <c r="W210" i="11" s="1"/>
  <c r="X210" i="11" s="1"/>
  <c r="Y210" i="11" s="1"/>
  <c r="Z210" i="11" s="1"/>
  <c r="AA210" i="11" s="1"/>
  <c r="AB210" i="11" s="1"/>
  <c r="AC210" i="11" s="1"/>
  <c r="AD210" i="11" s="1"/>
  <c r="M331" i="11"/>
  <c r="I331" i="11"/>
  <c r="E331" i="11"/>
  <c r="L330" i="11"/>
  <c r="H330" i="11"/>
  <c r="T47" i="11"/>
  <c r="U47" i="11" s="1"/>
  <c r="V47" i="11" s="1"/>
  <c r="W47" i="11" s="1"/>
  <c r="X47" i="11" s="1"/>
  <c r="Y47" i="11" s="1"/>
  <c r="E328" i="11"/>
  <c r="N331" i="11"/>
  <c r="L328" i="11"/>
  <c r="H328" i="11"/>
  <c r="D330" i="11"/>
  <c r="O328" i="11"/>
  <c r="G328" i="11"/>
  <c r="D331" i="11"/>
  <c r="L331" i="11"/>
  <c r="H331" i="11"/>
  <c r="K328" i="11"/>
  <c r="T48" i="11"/>
  <c r="U48" i="11" s="1"/>
  <c r="V48" i="11" s="1"/>
  <c r="W48" i="11" s="1"/>
  <c r="X48" i="11" s="1"/>
  <c r="Y48" i="11" s="1"/>
  <c r="J331" i="11"/>
  <c r="F331" i="11"/>
  <c r="D93" i="11"/>
  <c r="D140" i="11"/>
  <c r="N328" i="11"/>
  <c r="J328" i="11"/>
  <c r="F328" i="11"/>
  <c r="O330" i="11"/>
  <c r="K330" i="11"/>
  <c r="G330" i="11"/>
  <c r="M328" i="11"/>
  <c r="I328" i="11"/>
  <c r="D185" i="11"/>
  <c r="D328" i="11"/>
  <c r="M330" i="11"/>
  <c r="I330" i="11"/>
  <c r="E330" i="11"/>
  <c r="D281" i="11"/>
  <c r="D46" i="11"/>
  <c r="S46" i="11" s="1"/>
  <c r="U38" i="11" l="1"/>
  <c r="V38" i="11" s="1"/>
  <c r="W38" i="11" s="1"/>
  <c r="X38" i="11" s="1"/>
  <c r="Y38" i="11" s="1"/>
  <c r="Z38" i="11" s="1"/>
  <c r="AA38" i="11" s="1"/>
  <c r="AB38" i="11" s="1"/>
  <c r="AC38" i="11" s="1"/>
  <c r="AD38" i="11" s="1"/>
  <c r="D23" i="1" s="1"/>
  <c r="D33" i="7"/>
  <c r="R34" i="7"/>
  <c r="D35" i="6"/>
  <c r="R36" i="6"/>
  <c r="S18" i="5"/>
  <c r="X45" i="11"/>
  <c r="Y45" i="11" s="1"/>
  <c r="R10" i="7"/>
  <c r="Z84" i="11"/>
  <c r="AA84" i="11" s="1"/>
  <c r="AB84" i="11" s="1"/>
  <c r="AC84" i="11" s="1"/>
  <c r="AD84" i="11" s="1"/>
  <c r="R7" i="7"/>
  <c r="R32" i="7"/>
  <c r="Y151" i="11"/>
  <c r="Z151" i="11" s="1"/>
  <c r="AA151" i="11" s="1"/>
  <c r="AB151" i="11" s="1"/>
  <c r="AC151" i="11" s="1"/>
  <c r="AD151" i="11" s="1"/>
  <c r="D25" i="7" s="1"/>
  <c r="V43" i="11"/>
  <c r="W43" i="11" s="1"/>
  <c r="X43" i="11" s="1"/>
  <c r="Y43" i="11" s="1"/>
  <c r="V42" i="11"/>
  <c r="W42" i="11" s="1"/>
  <c r="X42" i="11" s="1"/>
  <c r="Y42" i="11" s="1"/>
  <c r="V44" i="11"/>
  <c r="W44" i="11" s="1"/>
  <c r="X44" i="11" s="1"/>
  <c r="Y44" i="11" s="1"/>
  <c r="V41" i="11"/>
  <c r="W41" i="11" s="1"/>
  <c r="X41" i="11" s="1"/>
  <c r="Y41" i="11" s="1"/>
  <c r="R13" i="5"/>
  <c r="S30" i="10"/>
  <c r="S30" i="9"/>
  <c r="U6" i="11"/>
  <c r="V6" i="11" s="1"/>
  <c r="W306" i="11"/>
  <c r="X306" i="11" s="1"/>
  <c r="Y306" i="11" s="1"/>
  <c r="Z306" i="11" s="1"/>
  <c r="AA306" i="11" s="1"/>
  <c r="AB306" i="11" s="1"/>
  <c r="AC306" i="11" s="1"/>
  <c r="AD306" i="11" s="1"/>
  <c r="R7" i="5"/>
  <c r="S7" i="5"/>
  <c r="U307" i="11"/>
  <c r="U211" i="11"/>
  <c r="U212" i="11"/>
  <c r="U308" i="11"/>
  <c r="U82" i="11"/>
  <c r="V82" i="11" s="1"/>
  <c r="W82" i="11" s="1"/>
  <c r="X82" i="11" s="1"/>
  <c r="Y82" i="11" s="1"/>
  <c r="Z82" i="11" s="1"/>
  <c r="AA82" i="11" s="1"/>
  <c r="AB82" i="11" s="1"/>
  <c r="AC82" i="11" s="1"/>
  <c r="AD82" i="11" s="1"/>
  <c r="D42" i="5" s="1"/>
  <c r="U25" i="11"/>
  <c r="Q61" i="1"/>
  <c r="S61" i="1" s="1"/>
  <c r="E12" i="5"/>
  <c r="Q14" i="1"/>
  <c r="S14" i="1" s="1"/>
  <c r="Q9" i="1"/>
  <c r="S9" i="1" s="1"/>
  <c r="Q35" i="6"/>
  <c r="Q11" i="5"/>
  <c r="Q10" i="5"/>
  <c r="S10" i="5" s="1"/>
  <c r="Q9" i="10"/>
  <c r="Q6" i="6"/>
  <c r="S6" i="6" s="1"/>
  <c r="Q21" i="9"/>
  <c r="S21" i="9" s="1"/>
  <c r="Q7" i="6"/>
  <c r="E8" i="6"/>
  <c r="Q11" i="1"/>
  <c r="Q6" i="10"/>
  <c r="S6" i="10" s="1"/>
  <c r="E7" i="10"/>
  <c r="Q9" i="6"/>
  <c r="S9" i="6" s="1"/>
  <c r="Q6" i="9"/>
  <c r="E7" i="9"/>
  <c r="Q36" i="10"/>
  <c r="S36" i="10" s="1"/>
  <c r="E10" i="10"/>
  <c r="Q8" i="10"/>
  <c r="S8" i="10" s="1"/>
  <c r="Q12" i="1"/>
  <c r="S12" i="1" s="1"/>
  <c r="Q12" i="10"/>
  <c r="S12" i="10" s="1"/>
  <c r="Q26" i="10"/>
  <c r="Q37" i="9"/>
  <c r="S37" i="9" s="1"/>
  <c r="Q8" i="9"/>
  <c r="S8" i="9" s="1"/>
  <c r="Q13" i="9"/>
  <c r="S13" i="9" s="1"/>
  <c r="Q12" i="9"/>
  <c r="S12" i="9" s="1"/>
  <c r="Q6" i="5"/>
  <c r="Q22" i="10"/>
  <c r="E8" i="5"/>
  <c r="Q5" i="10"/>
  <c r="S5" i="10" s="1"/>
  <c r="Q26" i="9"/>
  <c r="R26" i="9" s="1"/>
  <c r="Q12" i="6"/>
  <c r="S12" i="6" s="1"/>
  <c r="Q9" i="9"/>
  <c r="E10" i="9"/>
  <c r="Q42" i="5"/>
  <c r="S42" i="5" s="1"/>
  <c r="Q47" i="10"/>
  <c r="Q22" i="9"/>
  <c r="Q39" i="6"/>
  <c r="S39" i="6" s="1"/>
  <c r="Q48" i="9"/>
  <c r="Q10" i="6"/>
  <c r="E11" i="6"/>
  <c r="Q13" i="10"/>
  <c r="S13" i="10" s="1"/>
  <c r="Q15" i="5"/>
  <c r="S15" i="5" s="1"/>
  <c r="Q32" i="6"/>
  <c r="S32" i="6" s="1"/>
  <c r="Q40" i="6"/>
  <c r="S40" i="6" s="1"/>
  <c r="Q34" i="6"/>
  <c r="Q21" i="10"/>
  <c r="S21" i="10" s="1"/>
  <c r="Q16" i="5"/>
  <c r="S16" i="5" s="1"/>
  <c r="Q5" i="9"/>
  <c r="E329" i="11"/>
  <c r="M329" i="11"/>
  <c r="T305" i="11"/>
  <c r="U207" i="11"/>
  <c r="T209" i="11"/>
  <c r="U255" i="11"/>
  <c r="T257" i="11"/>
  <c r="U162" i="11"/>
  <c r="T164" i="11"/>
  <c r="U115" i="11"/>
  <c r="T117" i="11"/>
  <c r="U68" i="11"/>
  <c r="T70" i="11"/>
  <c r="U21" i="11"/>
  <c r="T23" i="11"/>
  <c r="U19" i="11"/>
  <c r="T20" i="11"/>
  <c r="K329" i="11"/>
  <c r="I329" i="11"/>
  <c r="Y18" i="11"/>
  <c r="O329" i="11"/>
  <c r="G329" i="11"/>
  <c r="H329" i="11"/>
  <c r="F329" i="11"/>
  <c r="L329" i="11"/>
  <c r="D329" i="11"/>
  <c r="T46" i="11"/>
  <c r="U46" i="11" s="1"/>
  <c r="V46" i="11" s="1"/>
  <c r="W46" i="11" s="1"/>
  <c r="X46" i="11" s="1"/>
  <c r="Y46" i="11" s="1"/>
  <c r="J329" i="11"/>
  <c r="N329" i="11"/>
  <c r="AF19" i="11"/>
  <c r="AF21" i="11"/>
  <c r="AF22" i="11"/>
  <c r="AF25" i="11"/>
  <c r="AF26" i="11"/>
  <c r="AF27" i="11"/>
  <c r="AF28" i="11"/>
  <c r="AF29" i="11"/>
  <c r="AF31" i="11"/>
  <c r="AF32" i="11"/>
  <c r="AF34" i="11"/>
  <c r="AF35"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8" i="11"/>
  <c r="AF69" i="11"/>
  <c r="AF71" i="11"/>
  <c r="AF72" i="11"/>
  <c r="AF73" i="11"/>
  <c r="AF74" i="11"/>
  <c r="AF75" i="11"/>
  <c r="AF76" i="11"/>
  <c r="AF77" i="11"/>
  <c r="AF78" i="11"/>
  <c r="AF80" i="11"/>
  <c r="AF81" i="11"/>
  <c r="AF82" i="11"/>
  <c r="AF83" i="11"/>
  <c r="AF84" i="11"/>
  <c r="AF85" i="11"/>
  <c r="AF86" i="11"/>
  <c r="AF96" i="11"/>
  <c r="AF97" i="11"/>
  <c r="AF98" i="11"/>
  <c r="AF99" i="11"/>
  <c r="AF100" i="11"/>
  <c r="AF101" i="11"/>
  <c r="AF102" i="11"/>
  <c r="AF103" i="11"/>
  <c r="AF104" i="11"/>
  <c r="AF105" i="11"/>
  <c r="AF106" i="11"/>
  <c r="AF107" i="11"/>
  <c r="AF108" i="11"/>
  <c r="AF109" i="11"/>
  <c r="AF110" i="11"/>
  <c r="AF111" i="11"/>
  <c r="AF112" i="11"/>
  <c r="AF113" i="11"/>
  <c r="AF115" i="11"/>
  <c r="AF116" i="11"/>
  <c r="AF118" i="11"/>
  <c r="AF119" i="11"/>
  <c r="AF120" i="11"/>
  <c r="AF121" i="11"/>
  <c r="AF122" i="11"/>
  <c r="AF123" i="11"/>
  <c r="AF124" i="11"/>
  <c r="AF125" i="11"/>
  <c r="AF127" i="11"/>
  <c r="AF128" i="11"/>
  <c r="AF129" i="11"/>
  <c r="AF130" i="11"/>
  <c r="AF131" i="11"/>
  <c r="AF132" i="11"/>
  <c r="AF133" i="11"/>
  <c r="AF143" i="11"/>
  <c r="AF144" i="11"/>
  <c r="AF145" i="11"/>
  <c r="AF146" i="11"/>
  <c r="AF147" i="11"/>
  <c r="AF148" i="11"/>
  <c r="AF149" i="11"/>
  <c r="AF151" i="11"/>
  <c r="AF152" i="11"/>
  <c r="AF153" i="11"/>
  <c r="AF154" i="11"/>
  <c r="AF155" i="11"/>
  <c r="AF156" i="11"/>
  <c r="AF157" i="11"/>
  <c r="AF158" i="11"/>
  <c r="AF159" i="11"/>
  <c r="AF160" i="11"/>
  <c r="AF162" i="11"/>
  <c r="AF163" i="11"/>
  <c r="AF165" i="11"/>
  <c r="AF166" i="11"/>
  <c r="AF167" i="11"/>
  <c r="AF168" i="11"/>
  <c r="AF169" i="11"/>
  <c r="AF170" i="11"/>
  <c r="AF171" i="11"/>
  <c r="AF172" i="11"/>
  <c r="AF173" i="11"/>
  <c r="AF174" i="11"/>
  <c r="AF175" i="11"/>
  <c r="AF176" i="11"/>
  <c r="AF177" i="11"/>
  <c r="AF178" i="11"/>
  <c r="AF179" i="11"/>
  <c r="AF180" i="11"/>
  <c r="AF181" i="11"/>
  <c r="AF182" i="11"/>
  <c r="AF183" i="11"/>
  <c r="AF184" i="11"/>
  <c r="AF188" i="11"/>
  <c r="AF189" i="11"/>
  <c r="AF190" i="11"/>
  <c r="AF191" i="11"/>
  <c r="AF192" i="11"/>
  <c r="AF193" i="11"/>
  <c r="AF194" i="11"/>
  <c r="AF195" i="11"/>
  <c r="AF196" i="11"/>
  <c r="AF197" i="11"/>
  <c r="AF198" i="11"/>
  <c r="AF199" i="11"/>
  <c r="AF200" i="11"/>
  <c r="AF201" i="11"/>
  <c r="AF202" i="11"/>
  <c r="AF203" i="11"/>
  <c r="AF204" i="11"/>
  <c r="AF205" i="11"/>
  <c r="AF207" i="11"/>
  <c r="AF208" i="11"/>
  <c r="AF211" i="11"/>
  <c r="AF212" i="11"/>
  <c r="AF213" i="11"/>
  <c r="AF214" i="11"/>
  <c r="AF215" i="11"/>
  <c r="AF216" i="11"/>
  <c r="AF217" i="11"/>
  <c r="AF218" i="11"/>
  <c r="AF220" i="11"/>
  <c r="AF221" i="11"/>
  <c r="AF222" i="11"/>
  <c r="AF223" i="11"/>
  <c r="AF224" i="11"/>
  <c r="AF225" i="11"/>
  <c r="AF226" i="11"/>
  <c r="AF236" i="11"/>
  <c r="AF237" i="11"/>
  <c r="AF238" i="11"/>
  <c r="AF239" i="11"/>
  <c r="AF240" i="11"/>
  <c r="AF241" i="11"/>
  <c r="AF242" i="11"/>
  <c r="AF243" i="11"/>
  <c r="AF244" i="11"/>
  <c r="AF245" i="11"/>
  <c r="AF246" i="11"/>
  <c r="AF247" i="11"/>
  <c r="AF248" i="11"/>
  <c r="AF249" i="11"/>
  <c r="AF250" i="11"/>
  <c r="AF251" i="11"/>
  <c r="AF252" i="11"/>
  <c r="AF253" i="11"/>
  <c r="AF255" i="11"/>
  <c r="AF256" i="11"/>
  <c r="AF259" i="11"/>
  <c r="AF260" i="11"/>
  <c r="AF261" i="11"/>
  <c r="AF262" i="11"/>
  <c r="AF263" i="11"/>
  <c r="AF264" i="11"/>
  <c r="AF265" i="11"/>
  <c r="AF266" i="11"/>
  <c r="AF268" i="11"/>
  <c r="AF269" i="11"/>
  <c r="AF270" i="11"/>
  <c r="AF271" i="11"/>
  <c r="AF272" i="11"/>
  <c r="AF273" i="11"/>
  <c r="AF274" i="11"/>
  <c r="AF277" i="11"/>
  <c r="AF278" i="11"/>
  <c r="AF279" i="11"/>
  <c r="AF284" i="11"/>
  <c r="AF285" i="11"/>
  <c r="AF301" i="11"/>
  <c r="AF304" i="11"/>
  <c r="AF308" i="11"/>
  <c r="AF318" i="11"/>
  <c r="AF319" i="11"/>
  <c r="AF320" i="11"/>
  <c r="R24" i="1" l="1"/>
  <c r="D43" i="5"/>
  <c r="R44" i="5"/>
  <c r="R43" i="5"/>
  <c r="S11" i="1"/>
  <c r="R25" i="7"/>
  <c r="R42" i="5"/>
  <c r="S22" i="10"/>
  <c r="AF402" i="11"/>
  <c r="S6" i="5"/>
  <c r="U395" i="11"/>
  <c r="AF401" i="11"/>
  <c r="AF394" i="11"/>
  <c r="AF400" i="11"/>
  <c r="AF393" i="11"/>
  <c r="AF398" i="11"/>
  <c r="AF391" i="11"/>
  <c r="AF397" i="11"/>
  <c r="AF390" i="11"/>
  <c r="AF389" i="11"/>
  <c r="AF396" i="11"/>
  <c r="W6" i="11"/>
  <c r="V395" i="11"/>
  <c r="R34" i="6"/>
  <c r="S34" i="6"/>
  <c r="R35" i="6"/>
  <c r="S35" i="6"/>
  <c r="R10" i="6"/>
  <c r="S10" i="6"/>
  <c r="R7" i="6"/>
  <c r="S7" i="6"/>
  <c r="R11" i="5"/>
  <c r="S11" i="5"/>
  <c r="R9" i="10"/>
  <c r="S9" i="10"/>
  <c r="R26" i="10"/>
  <c r="S26" i="10"/>
  <c r="R47" i="10"/>
  <c r="S47" i="10"/>
  <c r="S9" i="9"/>
  <c r="S26" i="9"/>
  <c r="R48" i="9"/>
  <c r="S48" i="9"/>
  <c r="S6" i="9"/>
  <c r="S5" i="9"/>
  <c r="R61" i="1"/>
  <c r="R9" i="1"/>
  <c r="V307" i="11"/>
  <c r="V308" i="11"/>
  <c r="V212" i="11"/>
  <c r="V211" i="11"/>
  <c r="V25" i="11"/>
  <c r="Q11" i="6"/>
  <c r="S11" i="6" s="1"/>
  <c r="Q10" i="9"/>
  <c r="S10" i="9" s="1"/>
  <c r="Q10" i="10"/>
  <c r="S10" i="10" s="1"/>
  <c r="Q8" i="6"/>
  <c r="S8" i="6" s="1"/>
  <c r="Q7" i="9"/>
  <c r="S7" i="9" s="1"/>
  <c r="Q12" i="5"/>
  <c r="S12" i="5" s="1"/>
  <c r="Q8" i="5"/>
  <c r="S8" i="5" s="1"/>
  <c r="Q7" i="10"/>
  <c r="S7" i="10" s="1"/>
  <c r="V255" i="11"/>
  <c r="U257" i="11"/>
  <c r="U305" i="11"/>
  <c r="V207" i="11"/>
  <c r="U209" i="11"/>
  <c r="V162" i="11"/>
  <c r="U164" i="11"/>
  <c r="V115" i="11"/>
  <c r="U117" i="11"/>
  <c r="V68" i="11"/>
  <c r="U70" i="11"/>
  <c r="V21" i="11"/>
  <c r="U23" i="11"/>
  <c r="V19" i="11"/>
  <c r="U20" i="11"/>
  <c r="AF24" i="11"/>
  <c r="B296" i="2"/>
  <c r="B297" i="2"/>
  <c r="B298" i="2"/>
  <c r="B299" i="2"/>
  <c r="B280" i="2"/>
  <c r="B281" i="2"/>
  <c r="B282" i="2"/>
  <c r="B283" i="2"/>
  <c r="B284" i="2"/>
  <c r="B253" i="2"/>
  <c r="B254" i="2"/>
  <c r="B255" i="2"/>
  <c r="B237" i="2"/>
  <c r="B238" i="2"/>
  <c r="B239" i="2"/>
  <c r="B240" i="2"/>
  <c r="B241" i="2"/>
  <c r="B210" i="2"/>
  <c r="B211" i="2"/>
  <c r="B212" i="2"/>
  <c r="B213" i="2"/>
  <c r="B194" i="2"/>
  <c r="B195" i="2"/>
  <c r="B196" i="2"/>
  <c r="B197" i="2"/>
  <c r="B198" i="2"/>
  <c r="X6" i="11" l="1"/>
  <c r="W395" i="11"/>
  <c r="W211" i="11"/>
  <c r="W212" i="11"/>
  <c r="W308" i="11"/>
  <c r="W307" i="11"/>
  <c r="W25" i="11"/>
  <c r="W207" i="11"/>
  <c r="V209" i="11"/>
  <c r="W255" i="11"/>
  <c r="V257" i="11"/>
  <c r="V305" i="11"/>
  <c r="W162" i="11"/>
  <c r="V164" i="11"/>
  <c r="W115" i="11"/>
  <c r="V117" i="11"/>
  <c r="W68" i="11"/>
  <c r="V70" i="11"/>
  <c r="W21" i="11"/>
  <c r="V23" i="11"/>
  <c r="W19" i="11"/>
  <c r="V20" i="11"/>
  <c r="B167" i="2"/>
  <c r="B168" i="2"/>
  <c r="B169" i="2"/>
  <c r="B170" i="2"/>
  <c r="B151" i="2"/>
  <c r="B152" i="2"/>
  <c r="B153" i="2"/>
  <c r="B154" i="2"/>
  <c r="B155" i="2"/>
  <c r="B156" i="2"/>
  <c r="B127" i="2"/>
  <c r="B124" i="2"/>
  <c r="B125" i="2"/>
  <c r="B126" i="2"/>
  <c r="B112" i="2"/>
  <c r="B113" i="2"/>
  <c r="B108" i="2"/>
  <c r="B109" i="2"/>
  <c r="B110" i="2"/>
  <c r="Y6" i="11" l="1"/>
  <c r="Y395" i="11" s="1"/>
  <c r="X395" i="11"/>
  <c r="X211" i="11"/>
  <c r="X307" i="11"/>
  <c r="X308" i="11"/>
  <c r="X212" i="11"/>
  <c r="X25" i="11"/>
  <c r="X255" i="11"/>
  <c r="W257" i="11"/>
  <c r="W305" i="11"/>
  <c r="X207" i="11"/>
  <c r="W209" i="11"/>
  <c r="X162" i="11"/>
  <c r="W164" i="11"/>
  <c r="X115" i="11"/>
  <c r="W117" i="11"/>
  <c r="X68" i="11"/>
  <c r="W70" i="11"/>
  <c r="W23" i="11"/>
  <c r="X21" i="11"/>
  <c r="X19" i="11"/>
  <c r="W20" i="11"/>
  <c r="B83" i="2"/>
  <c r="B81" i="2"/>
  <c r="B82" i="2"/>
  <c r="B69" i="2"/>
  <c r="B67" i="2"/>
  <c r="B64" i="2"/>
  <c r="Y211" i="11" l="1"/>
  <c r="Y212" i="11"/>
  <c r="Y308" i="11"/>
  <c r="Y307" i="11"/>
  <c r="Y25" i="11"/>
  <c r="X305" i="11"/>
  <c r="Y207" i="11"/>
  <c r="X209" i="11"/>
  <c r="Y255" i="11"/>
  <c r="X257" i="11"/>
  <c r="Y162" i="11"/>
  <c r="X164" i="11"/>
  <c r="Y115" i="11"/>
  <c r="X117" i="11"/>
  <c r="Y68" i="11"/>
  <c r="X70" i="11"/>
  <c r="X23" i="11"/>
  <c r="Y21" i="11"/>
  <c r="Y19" i="11"/>
  <c r="X20" i="11"/>
  <c r="B39" i="2"/>
  <c r="B38" i="2"/>
  <c r="B37" i="2"/>
  <c r="B25" i="2"/>
  <c r="B23" i="2"/>
  <c r="B21" i="2"/>
  <c r="Z307" i="11" l="1"/>
  <c r="Z308" i="11"/>
  <c r="Z212" i="11"/>
  <c r="Z211" i="11"/>
  <c r="Z25" i="11"/>
  <c r="Z207" i="11"/>
  <c r="Y209" i="11"/>
  <c r="Z255" i="11"/>
  <c r="Y257" i="11"/>
  <c r="Y305" i="11"/>
  <c r="Z162" i="11"/>
  <c r="Y164" i="11"/>
  <c r="Z115" i="11"/>
  <c r="Y117" i="11"/>
  <c r="Z68" i="11"/>
  <c r="Y70" i="11"/>
  <c r="Y23" i="11"/>
  <c r="Z21" i="11"/>
  <c r="Z19" i="11"/>
  <c r="AA19" i="11" s="1"/>
  <c r="AB19" i="11" s="1"/>
  <c r="AC19" i="11" s="1"/>
  <c r="AD19" i="11" s="1"/>
  <c r="Y20" i="11"/>
  <c r="AA308" i="11" l="1"/>
  <c r="AA211" i="11"/>
  <c r="AA212" i="11"/>
  <c r="AA307" i="11"/>
  <c r="AA25" i="11"/>
  <c r="AA255" i="11"/>
  <c r="Z257" i="11"/>
  <c r="Z305" i="11"/>
  <c r="AA207" i="11"/>
  <c r="Z209" i="11"/>
  <c r="AA162" i="11"/>
  <c r="Z164" i="11"/>
  <c r="AA115" i="11"/>
  <c r="Z117" i="11"/>
  <c r="AA68" i="11"/>
  <c r="Z70" i="11"/>
  <c r="Z23" i="11"/>
  <c r="AA21" i="11"/>
  <c r="S23" i="1"/>
  <c r="Q21" i="1"/>
  <c r="S21" i="1" s="1"/>
  <c r="Q32" i="1"/>
  <c r="S32" i="1" s="1"/>
  <c r="R23" i="1" l="1"/>
  <c r="R21" i="1"/>
  <c r="AB211" i="11"/>
  <c r="AB307" i="11"/>
  <c r="AB212" i="11"/>
  <c r="AB308" i="11"/>
  <c r="AB25" i="11"/>
  <c r="AA305" i="11"/>
  <c r="AB207" i="11"/>
  <c r="AA209" i="11"/>
  <c r="AB255" i="11"/>
  <c r="AA257" i="11"/>
  <c r="AB162" i="11"/>
  <c r="AA164" i="11"/>
  <c r="AB115" i="11"/>
  <c r="AA117" i="11"/>
  <c r="AB68" i="11"/>
  <c r="AA70" i="11"/>
  <c r="AA23" i="11"/>
  <c r="AB21" i="11"/>
  <c r="AC212" i="11" l="1"/>
  <c r="AC308" i="11"/>
  <c r="AC307" i="11"/>
  <c r="AC211" i="11"/>
  <c r="AC25" i="11"/>
  <c r="AC207" i="11"/>
  <c r="AB209" i="11"/>
  <c r="AC255" i="11"/>
  <c r="AB257" i="11"/>
  <c r="AB305" i="11"/>
  <c r="AC162" i="11"/>
  <c r="AB164" i="11"/>
  <c r="AC115" i="11"/>
  <c r="AB117" i="11"/>
  <c r="AC68" i="11"/>
  <c r="AB70" i="11"/>
  <c r="AC21" i="11"/>
  <c r="AB23" i="11"/>
  <c r="AD211" i="11" l="1"/>
  <c r="D6" i="9" s="1"/>
  <c r="AD307" i="11"/>
  <c r="AD308" i="11"/>
  <c r="AD212" i="11"/>
  <c r="R9" i="9" s="1"/>
  <c r="AD25" i="11"/>
  <c r="R6" i="1" s="1"/>
  <c r="AD305" i="11"/>
  <c r="D27" i="8" s="1"/>
  <c r="AC305" i="11"/>
  <c r="AD207" i="11"/>
  <c r="AD209" i="11" s="1"/>
  <c r="AC209" i="11"/>
  <c r="R22" i="9" s="1"/>
  <c r="AD255" i="11"/>
  <c r="AD257" i="11" s="1"/>
  <c r="AC257" i="11"/>
  <c r="R22" i="10" s="1"/>
  <c r="AD162" i="11"/>
  <c r="AD164" i="11" s="1"/>
  <c r="AC164" i="11"/>
  <c r="AD115" i="11"/>
  <c r="AD117" i="11" s="1"/>
  <c r="AC117" i="11"/>
  <c r="AD68" i="11"/>
  <c r="AD70" i="11" s="1"/>
  <c r="AC70" i="11"/>
  <c r="AD21" i="11"/>
  <c r="AD23" i="11" s="1"/>
  <c r="AC23" i="11"/>
  <c r="R40" i="7" s="1"/>
  <c r="D322" i="11"/>
  <c r="S33" i="11"/>
  <c r="R6" i="9" l="1"/>
  <c r="D6" i="8"/>
  <c r="D9" i="9"/>
  <c r="D9" i="8"/>
  <c r="D6" i="1"/>
  <c r="D22" i="10"/>
  <c r="D22" i="9"/>
  <c r="D40" i="7"/>
  <c r="D40" i="6"/>
  <c r="R40" i="6"/>
  <c r="D12" i="1"/>
  <c r="R12" i="1"/>
  <c r="T33" i="11"/>
  <c r="U33" i="11" s="1"/>
  <c r="V33" i="11" s="1"/>
  <c r="W33" i="11" s="1"/>
  <c r="X33" i="11" s="1"/>
  <c r="Y33" i="11" s="1"/>
  <c r="AF322" i="11"/>
  <c r="AF286" i="11"/>
  <c r="AF303" i="11"/>
  <c r="AF300" i="11"/>
  <c r="AF299" i="11"/>
  <c r="AF298" i="11"/>
  <c r="AF297" i="11"/>
  <c r="AF296" i="11"/>
  <c r="AF295" i="11"/>
  <c r="AF294" i="11"/>
  <c r="AF293" i="11"/>
  <c r="AF292" i="11"/>
  <c r="AF291" i="11"/>
  <c r="AF290" i="11"/>
  <c r="AF289" i="11"/>
  <c r="AF288" i="11"/>
  <c r="AF399" i="11" s="1"/>
  <c r="AF287" i="11"/>
  <c r="AF310" i="11"/>
  <c r="AF309" i="11"/>
  <c r="AF307" i="11"/>
  <c r="AF321" i="11"/>
  <c r="AF317" i="11"/>
  <c r="AF316" i="11"/>
  <c r="AF314" i="11"/>
  <c r="AF313" i="11"/>
  <c r="AF312" i="11"/>
  <c r="AF311" i="11"/>
  <c r="AF33" i="11"/>
  <c r="AF331" i="11"/>
  <c r="AF330" i="11"/>
  <c r="AF329" i="11"/>
  <c r="AF328" i="11"/>
  <c r="AF392" i="11" l="1"/>
  <c r="C75" i="14"/>
  <c r="D75" i="14"/>
  <c r="E75" i="14"/>
  <c r="F75" i="14"/>
  <c r="G75" i="14"/>
  <c r="H75" i="14"/>
  <c r="I75" i="14"/>
  <c r="J75" i="14"/>
  <c r="K75" i="14"/>
  <c r="L75" i="14"/>
  <c r="M75" i="14"/>
  <c r="B75" i="14"/>
  <c r="N75" i="14" l="1"/>
  <c r="W75" i="14"/>
  <c r="S75" i="14"/>
  <c r="O75" i="14"/>
  <c r="Z75" i="14"/>
  <c r="V75" i="14"/>
  <c r="R75" i="14"/>
  <c r="X75" i="14"/>
  <c r="T75" i="14"/>
  <c r="P75" i="14"/>
  <c r="Y75" i="14"/>
  <c r="Q75" i="14"/>
  <c r="U75" i="14"/>
  <c r="B107" i="14" l="1"/>
  <c r="C107" i="14"/>
  <c r="D107" i="14"/>
  <c r="E107" i="14"/>
  <c r="F107" i="14"/>
  <c r="G107" i="14"/>
  <c r="H107" i="14"/>
  <c r="I107" i="14"/>
  <c r="J107" i="14"/>
  <c r="K107" i="14"/>
  <c r="L107" i="14"/>
  <c r="M107" i="14"/>
  <c r="B91" i="14"/>
  <c r="C91" i="14"/>
  <c r="D91" i="14"/>
  <c r="D79" i="14" s="1"/>
  <c r="E91" i="14"/>
  <c r="E79" i="14" s="1"/>
  <c r="F91" i="14"/>
  <c r="G91" i="14"/>
  <c r="H91" i="14"/>
  <c r="H79" i="14" s="1"/>
  <c r="I91" i="14"/>
  <c r="I79" i="14" s="1"/>
  <c r="J91" i="14"/>
  <c r="K91" i="14"/>
  <c r="L91" i="14"/>
  <c r="L79" i="14" s="1"/>
  <c r="M91" i="14"/>
  <c r="M79" i="14" s="1"/>
  <c r="C63" i="14"/>
  <c r="G63" i="14"/>
  <c r="K63" i="14"/>
  <c r="B49" i="14"/>
  <c r="B63" i="14"/>
  <c r="D63" i="14"/>
  <c r="E63" i="14"/>
  <c r="F63" i="14"/>
  <c r="H63" i="14"/>
  <c r="I63" i="14"/>
  <c r="J63" i="14"/>
  <c r="L63" i="14"/>
  <c r="M63" i="14"/>
  <c r="C49" i="14"/>
  <c r="D49" i="14"/>
  <c r="E49" i="14"/>
  <c r="F49" i="14"/>
  <c r="G49" i="14"/>
  <c r="H49" i="14"/>
  <c r="I49" i="14"/>
  <c r="J49" i="14"/>
  <c r="K49" i="14"/>
  <c r="L49" i="14"/>
  <c r="M49" i="14"/>
  <c r="C32" i="14"/>
  <c r="D32" i="14"/>
  <c r="E32" i="14"/>
  <c r="F32" i="14"/>
  <c r="G32" i="14"/>
  <c r="H32" i="14"/>
  <c r="I32" i="14"/>
  <c r="J32" i="14"/>
  <c r="K32" i="14"/>
  <c r="L32" i="14"/>
  <c r="M32" i="14"/>
  <c r="B32" i="14"/>
  <c r="C18" i="14"/>
  <c r="D18" i="14"/>
  <c r="E18" i="14"/>
  <c r="F18" i="14"/>
  <c r="G18" i="14"/>
  <c r="H18" i="14"/>
  <c r="I18" i="14"/>
  <c r="J18" i="14"/>
  <c r="K18" i="14"/>
  <c r="L18" i="14"/>
  <c r="M18" i="14"/>
  <c r="B18" i="14"/>
  <c r="X15" i="14"/>
  <c r="Y15" i="14"/>
  <c r="W15" i="14"/>
  <c r="U91" i="14" l="1"/>
  <c r="U79" i="14" s="1"/>
  <c r="T91" i="14"/>
  <c r="T79" i="14" s="1"/>
  <c r="S107" i="14"/>
  <c r="G95" i="14"/>
  <c r="G79" i="14"/>
  <c r="K79" i="14"/>
  <c r="C79" i="14"/>
  <c r="S63" i="14"/>
  <c r="J79" i="14"/>
  <c r="F79" i="14"/>
  <c r="J95" i="14"/>
  <c r="F95" i="14"/>
  <c r="X63" i="14"/>
  <c r="T63" i="14"/>
  <c r="P63" i="14"/>
  <c r="B95" i="14"/>
  <c r="O107" i="14"/>
  <c r="V107" i="14"/>
  <c r="X91" i="14"/>
  <c r="X79" i="14" s="1"/>
  <c r="P91" i="14"/>
  <c r="P79" i="14" s="1"/>
  <c r="W107" i="14"/>
  <c r="K95" i="14"/>
  <c r="C95" i="14"/>
  <c r="W63" i="14"/>
  <c r="O91" i="14"/>
  <c r="O79" i="14" s="1"/>
  <c r="Y91" i="14"/>
  <c r="Y79" i="14" s="1"/>
  <c r="Q91" i="14"/>
  <c r="Q79" i="14" s="1"/>
  <c r="X107" i="14"/>
  <c r="T107" i="14"/>
  <c r="P107" i="14"/>
  <c r="Z107" i="14"/>
  <c r="R107" i="14"/>
  <c r="W95" i="14"/>
  <c r="S95" i="14"/>
  <c r="N49" i="14"/>
  <c r="Y49" i="14"/>
  <c r="Q49" i="14"/>
  <c r="L95" i="14"/>
  <c r="D95" i="14"/>
  <c r="X49" i="14"/>
  <c r="P49" i="14"/>
  <c r="B79" i="14"/>
  <c r="N95" i="14"/>
  <c r="W91" i="14"/>
  <c r="W79" i="14" s="1"/>
  <c r="S91" i="14"/>
  <c r="S79" i="14" s="1"/>
  <c r="U49" i="14"/>
  <c r="H95" i="14"/>
  <c r="T49" i="14"/>
  <c r="W32" i="14"/>
  <c r="O49" i="14"/>
  <c r="W49" i="14"/>
  <c r="S49" i="14"/>
  <c r="Z49" i="14"/>
  <c r="Z48" i="14" s="1"/>
  <c r="V49" i="14"/>
  <c r="R49" i="14"/>
  <c r="Z63" i="14"/>
  <c r="V63" i="14"/>
  <c r="N91" i="14"/>
  <c r="N79" i="14" s="1"/>
  <c r="Z91" i="14"/>
  <c r="Z79" i="14" s="1"/>
  <c r="Z78" i="14" s="1"/>
  <c r="V91" i="14"/>
  <c r="V79" i="14" s="1"/>
  <c r="R91" i="14"/>
  <c r="R79" i="14" s="1"/>
  <c r="N107" i="14"/>
  <c r="Y107" i="14"/>
  <c r="U107" i="14"/>
  <c r="Q107" i="14"/>
  <c r="Z95" i="14"/>
  <c r="V95" i="14"/>
  <c r="R95" i="14"/>
  <c r="Y95" i="14"/>
  <c r="U95" i="14"/>
  <c r="Q95" i="14"/>
  <c r="X95" i="14"/>
  <c r="T95" i="14"/>
  <c r="P95" i="14"/>
  <c r="M95" i="14"/>
  <c r="I95" i="14"/>
  <c r="E95" i="14"/>
  <c r="O95" i="14"/>
  <c r="N63" i="14"/>
  <c r="Y63" i="14"/>
  <c r="U63" i="14"/>
  <c r="Q63" i="14"/>
  <c r="R63" i="14"/>
  <c r="O63" i="14"/>
  <c r="U32" i="14"/>
  <c r="U18" i="14"/>
  <c r="S32" i="14"/>
  <c r="Y18" i="14"/>
  <c r="Q18" i="14"/>
  <c r="X32" i="14"/>
  <c r="T32" i="14"/>
  <c r="P32" i="14"/>
  <c r="Z32" i="14"/>
  <c r="Z31" i="14" s="1"/>
  <c r="V32" i="14"/>
  <c r="R32" i="14"/>
  <c r="Y32" i="14"/>
  <c r="Q32" i="14"/>
  <c r="N32" i="14"/>
  <c r="O32" i="14"/>
  <c r="N18" i="14"/>
  <c r="Z18" i="14"/>
  <c r="Z17" i="14" s="1"/>
  <c r="V18" i="14"/>
  <c r="R18" i="14"/>
  <c r="X18" i="14"/>
  <c r="T18" i="14"/>
  <c r="P18" i="14"/>
  <c r="W18" i="14"/>
  <c r="S18" i="14"/>
  <c r="O18" i="14"/>
  <c r="Q15" i="14"/>
  <c r="T15" i="14"/>
  <c r="P15" i="14"/>
  <c r="V15" i="14"/>
  <c r="U15" i="14"/>
  <c r="S15" i="14"/>
  <c r="O15" i="14"/>
  <c r="R15" i="14"/>
  <c r="Y78" i="14" l="1"/>
  <c r="X78" i="14" s="1"/>
  <c r="W78" i="14" s="1"/>
  <c r="V78" i="14" s="1"/>
  <c r="U78" i="14" s="1"/>
  <c r="T78" i="14" s="1"/>
  <c r="S78" i="14" s="1"/>
  <c r="R78" i="14" s="1"/>
  <c r="Q78" i="14" s="1"/>
  <c r="P78" i="14" s="1"/>
  <c r="O78" i="14" s="1"/>
  <c r="N78" i="14" s="1"/>
  <c r="M78" i="14" s="1"/>
  <c r="L78" i="14" s="1"/>
  <c r="K78" i="14" s="1"/>
  <c r="J78" i="14" s="1"/>
  <c r="I78" i="14" s="1"/>
  <c r="H78" i="14" s="1"/>
  <c r="G78" i="14" s="1"/>
  <c r="F78" i="14" s="1"/>
  <c r="E78" i="14" s="1"/>
  <c r="D78" i="14" s="1"/>
  <c r="C78" i="14" s="1"/>
  <c r="B78" i="14" s="1"/>
  <c r="Y17" i="14"/>
  <c r="X17" i="14" s="1"/>
  <c r="W17" i="14" s="1"/>
  <c r="V17" i="14" s="1"/>
  <c r="U17" i="14" s="1"/>
  <c r="T17" i="14" s="1"/>
  <c r="S17" i="14" s="1"/>
  <c r="R17" i="14" s="1"/>
  <c r="Q17" i="14" s="1"/>
  <c r="P17" i="14" s="1"/>
  <c r="O17" i="14" s="1"/>
  <c r="N17" i="14" s="1"/>
  <c r="M17" i="14" s="1"/>
  <c r="L17" i="14" s="1"/>
  <c r="K17" i="14" s="1"/>
  <c r="J17" i="14" s="1"/>
  <c r="I17" i="14" s="1"/>
  <c r="H17" i="14" s="1"/>
  <c r="G17" i="14" s="1"/>
  <c r="F17" i="14" s="1"/>
  <c r="E17" i="14" s="1"/>
  <c r="D17" i="14" s="1"/>
  <c r="C17" i="14" s="1"/>
  <c r="B17" i="14" s="1"/>
  <c r="Z62" i="14"/>
  <c r="Y62" i="14" s="1"/>
  <c r="X62" i="14" s="1"/>
  <c r="W62" i="14" s="1"/>
  <c r="V62" i="14" s="1"/>
  <c r="U62" i="14" s="1"/>
  <c r="T62" i="14" s="1"/>
  <c r="S62" i="14" s="1"/>
  <c r="R62" i="14" s="1"/>
  <c r="Q62" i="14" s="1"/>
  <c r="P62" i="14" s="1"/>
  <c r="O62" i="14" s="1"/>
  <c r="N62" i="14" s="1"/>
  <c r="M62" i="14" s="1"/>
  <c r="L62" i="14" s="1"/>
  <c r="K62" i="14" s="1"/>
  <c r="J62" i="14" s="1"/>
  <c r="I62" i="14" s="1"/>
  <c r="H62" i="14" s="1"/>
  <c r="G62" i="14" s="1"/>
  <c r="F62" i="14" s="1"/>
  <c r="E62" i="14" s="1"/>
  <c r="D62" i="14" s="1"/>
  <c r="C62" i="14" s="1"/>
  <c r="B62" i="14" s="1"/>
  <c r="Y31" i="14"/>
  <c r="X31" i="14" s="1"/>
  <c r="W31" i="14" s="1"/>
  <c r="V31" i="14" s="1"/>
  <c r="U31" i="14" s="1"/>
  <c r="T31" i="14" s="1"/>
  <c r="S31" i="14" s="1"/>
  <c r="R31" i="14" s="1"/>
  <c r="Q31" i="14" s="1"/>
  <c r="P31" i="14" s="1"/>
  <c r="O31" i="14" s="1"/>
  <c r="N31" i="14" s="1"/>
  <c r="M31" i="14" s="1"/>
  <c r="L31" i="14" s="1"/>
  <c r="K31" i="14" s="1"/>
  <c r="J31" i="14" s="1"/>
  <c r="I31" i="14" s="1"/>
  <c r="H31" i="14" s="1"/>
  <c r="G31" i="14" s="1"/>
  <c r="F31" i="14" s="1"/>
  <c r="E31" i="14" s="1"/>
  <c r="D31" i="14" s="1"/>
  <c r="C31" i="14" s="1"/>
  <c r="B31" i="14" s="1"/>
  <c r="F34" i="15" s="1"/>
  <c r="Y48" i="14"/>
  <c r="X48" i="14" s="1"/>
  <c r="W48" i="14" s="1"/>
  <c r="V48" i="14" s="1"/>
  <c r="U48" i="14" s="1"/>
  <c r="T48" i="14" s="1"/>
  <c r="S48" i="14" s="1"/>
  <c r="R48" i="14" s="1"/>
  <c r="Q48" i="14" s="1"/>
  <c r="P48" i="14" s="1"/>
  <c r="O48" i="14" s="1"/>
  <c r="N48" i="14" s="1"/>
  <c r="M48" i="14" s="1"/>
  <c r="L48" i="14" s="1"/>
  <c r="K48" i="14" s="1"/>
  <c r="J48" i="14" s="1"/>
  <c r="I48" i="14" s="1"/>
  <c r="H48" i="14" s="1"/>
  <c r="G48" i="14" s="1"/>
  <c r="F48" i="14" s="1"/>
  <c r="E48" i="14" s="1"/>
  <c r="D48" i="14" s="1"/>
  <c r="C48" i="14" s="1"/>
  <c r="B48" i="14" s="1"/>
  <c r="C39" i="15" l="1"/>
  <c r="G39" i="15"/>
  <c r="F40" i="15"/>
  <c r="E41" i="15"/>
  <c r="D39" i="15"/>
  <c r="C40" i="15"/>
  <c r="G40" i="15"/>
  <c r="F41" i="15"/>
  <c r="B41" i="15"/>
  <c r="E39" i="15"/>
  <c r="D40" i="15"/>
  <c r="C41" i="15"/>
  <c r="G41" i="15"/>
  <c r="B40" i="15"/>
  <c r="F39" i="15"/>
  <c r="E40" i="15"/>
  <c r="D41" i="15"/>
  <c r="B39" i="15"/>
  <c r="C27" i="15"/>
  <c r="G27" i="15"/>
  <c r="F28" i="15"/>
  <c r="D27" i="15"/>
  <c r="C28" i="15"/>
  <c r="G28" i="15"/>
  <c r="E27" i="15"/>
  <c r="D28" i="15"/>
  <c r="B28" i="15"/>
  <c r="F27" i="15"/>
  <c r="E28" i="15"/>
  <c r="B27" i="15"/>
  <c r="E81" i="15"/>
  <c r="G81" i="15"/>
  <c r="F81" i="15"/>
  <c r="C81" i="15"/>
  <c r="D81" i="15"/>
  <c r="C99" i="15"/>
  <c r="G99" i="15"/>
  <c r="F98" i="15"/>
  <c r="E95" i="15"/>
  <c r="D96" i="15"/>
  <c r="C97" i="15"/>
  <c r="G97" i="15"/>
  <c r="D99" i="15"/>
  <c r="C98" i="15"/>
  <c r="G98" i="15"/>
  <c r="F95" i="15"/>
  <c r="E96" i="15"/>
  <c r="D97" i="15"/>
  <c r="E99" i="15"/>
  <c r="D98" i="15"/>
  <c r="C95" i="15"/>
  <c r="G95" i="15"/>
  <c r="F96" i="15"/>
  <c r="E97" i="15"/>
  <c r="F99" i="15"/>
  <c r="E98" i="15"/>
  <c r="D95" i="15"/>
  <c r="C96" i="15"/>
  <c r="G96" i="15"/>
  <c r="F97" i="15"/>
  <c r="C87" i="15"/>
  <c r="G87" i="15"/>
  <c r="D87" i="15"/>
  <c r="B87" i="15"/>
  <c r="E87" i="15"/>
  <c r="B86" i="15"/>
  <c r="F87" i="15"/>
  <c r="C86" i="15"/>
  <c r="G86" i="15"/>
  <c r="E85" i="15"/>
  <c r="C84" i="15"/>
  <c r="G84" i="15"/>
  <c r="E83" i="15"/>
  <c r="C82" i="15"/>
  <c r="G82" i="15"/>
  <c r="D80" i="15"/>
  <c r="B80" i="15"/>
  <c r="F79" i="15"/>
  <c r="D78" i="15"/>
  <c r="B78" i="15"/>
  <c r="F76" i="15"/>
  <c r="F77" i="15" s="1"/>
  <c r="D75" i="15"/>
  <c r="B75" i="15"/>
  <c r="D84" i="15"/>
  <c r="F83" i="15"/>
  <c r="B82" i="15"/>
  <c r="C79" i="15"/>
  <c r="E78" i="15"/>
  <c r="G76" i="15"/>
  <c r="G77" i="15" s="1"/>
  <c r="E86" i="15"/>
  <c r="G85" i="15"/>
  <c r="C83" i="15"/>
  <c r="E82" i="15"/>
  <c r="F80" i="15"/>
  <c r="B79" i="15"/>
  <c r="D76" i="15"/>
  <c r="D77" i="15" s="1"/>
  <c r="F75" i="15"/>
  <c r="F86" i="15"/>
  <c r="D85" i="15"/>
  <c r="B85" i="15"/>
  <c r="F84" i="15"/>
  <c r="D83" i="15"/>
  <c r="B83" i="15"/>
  <c r="F82" i="15"/>
  <c r="C80" i="15"/>
  <c r="G80" i="15"/>
  <c r="E79" i="15"/>
  <c r="C78" i="15"/>
  <c r="G78" i="15"/>
  <c r="E76" i="15"/>
  <c r="E77" i="15" s="1"/>
  <c r="C75" i="15"/>
  <c r="G75" i="15"/>
  <c r="D86" i="15"/>
  <c r="F85" i="15"/>
  <c r="B84" i="15"/>
  <c r="D82" i="15"/>
  <c r="E80" i="15"/>
  <c r="G79" i="15"/>
  <c r="C76" i="15"/>
  <c r="C77" i="15" s="1"/>
  <c r="E75" i="15"/>
  <c r="C85" i="15"/>
  <c r="E84" i="15"/>
  <c r="G83" i="15"/>
  <c r="B81" i="15"/>
  <c r="D79" i="15"/>
  <c r="F78" i="15"/>
  <c r="B76" i="15"/>
  <c r="B77" i="15" s="1"/>
  <c r="C103" i="15"/>
  <c r="G103" i="15"/>
  <c r="E102" i="15"/>
  <c r="C101" i="15"/>
  <c r="G101" i="15"/>
  <c r="E100" i="15"/>
  <c r="B97" i="15"/>
  <c r="B95" i="15"/>
  <c r="F94" i="15"/>
  <c r="G92" i="15"/>
  <c r="G93" i="15" s="1"/>
  <c r="C92" i="15"/>
  <c r="C93" i="15" s="1"/>
  <c r="E91" i="15"/>
  <c r="D103" i="15"/>
  <c r="B103" i="15"/>
  <c r="F102" i="15"/>
  <c r="D101" i="15"/>
  <c r="B101" i="15"/>
  <c r="F100" i="15"/>
  <c r="B99" i="15"/>
  <c r="C94" i="15"/>
  <c r="G94" i="15"/>
  <c r="F92" i="15"/>
  <c r="F93" i="15" s="1"/>
  <c r="D91" i="15"/>
  <c r="E103" i="15"/>
  <c r="G102" i="15"/>
  <c r="G100" i="15"/>
  <c r="B94" i="15"/>
  <c r="E92" i="15"/>
  <c r="E93" i="15" s="1"/>
  <c r="F103" i="15"/>
  <c r="D102" i="15"/>
  <c r="B102" i="15"/>
  <c r="F101" i="15"/>
  <c r="D100" i="15"/>
  <c r="B100" i="15"/>
  <c r="B98" i="15"/>
  <c r="E94" i="15"/>
  <c r="D92" i="15"/>
  <c r="D93" i="15" s="1"/>
  <c r="F91" i="15"/>
  <c r="B91" i="15"/>
  <c r="B92" i="15"/>
  <c r="B93" i="15" s="1"/>
  <c r="C102" i="15"/>
  <c r="E101" i="15"/>
  <c r="C100" i="15"/>
  <c r="B96" i="15"/>
  <c r="D94" i="15"/>
  <c r="G91" i="15"/>
  <c r="C91" i="15"/>
  <c r="C48" i="15"/>
  <c r="G48" i="15"/>
  <c r="F49" i="15"/>
  <c r="E50" i="15"/>
  <c r="D51" i="15"/>
  <c r="C52" i="15"/>
  <c r="G52" i="15"/>
  <c r="F53" i="15"/>
  <c r="E54" i="15"/>
  <c r="D55" i="15"/>
  <c r="B55" i="15"/>
  <c r="B51" i="15"/>
  <c r="C49" i="15"/>
  <c r="E51" i="15"/>
  <c r="G53" i="15"/>
  <c r="E55" i="15"/>
  <c r="D49" i="15"/>
  <c r="F51" i="15"/>
  <c r="C54" i="15"/>
  <c r="B53" i="15"/>
  <c r="F48" i="15"/>
  <c r="E49" i="15"/>
  <c r="D50" i="15"/>
  <c r="C51" i="15"/>
  <c r="G51" i="15"/>
  <c r="F52" i="15"/>
  <c r="E53" i="15"/>
  <c r="D54" i="15"/>
  <c r="C55" i="15"/>
  <c r="G55" i="15"/>
  <c r="B52" i="15"/>
  <c r="B48" i="15"/>
  <c r="D48" i="15"/>
  <c r="G49" i="15"/>
  <c r="F50" i="15"/>
  <c r="D52" i="15"/>
  <c r="C53" i="15"/>
  <c r="F54" i="15"/>
  <c r="B54" i="15"/>
  <c r="B50" i="15"/>
  <c r="E48" i="15"/>
  <c r="C50" i="15"/>
  <c r="G50" i="15"/>
  <c r="E52" i="15"/>
  <c r="D53" i="15"/>
  <c r="G54" i="15"/>
  <c r="F55" i="15"/>
  <c r="B49" i="15"/>
  <c r="C46" i="15"/>
  <c r="C47" i="15" s="1"/>
  <c r="G46" i="15"/>
  <c r="G47" i="15" s="1"/>
  <c r="E45" i="15"/>
  <c r="D45" i="15"/>
  <c r="D46" i="15"/>
  <c r="D47" i="15" s="1"/>
  <c r="B46" i="15"/>
  <c r="B47" i="15" s="1"/>
  <c r="F45" i="15"/>
  <c r="E46" i="15"/>
  <c r="E47" i="15" s="1"/>
  <c r="C45" i="15"/>
  <c r="G45" i="15"/>
  <c r="F46" i="15"/>
  <c r="F47" i="15" s="1"/>
  <c r="B45" i="15"/>
  <c r="F38" i="15"/>
  <c r="E37" i="15"/>
  <c r="D36" i="15"/>
  <c r="C35" i="15"/>
  <c r="G35" i="15"/>
  <c r="D34" i="15"/>
  <c r="C32" i="15"/>
  <c r="C33" i="15" s="1"/>
  <c r="G32" i="15"/>
  <c r="G33" i="15" s="1"/>
  <c r="E31" i="15"/>
  <c r="D38" i="15"/>
  <c r="E38" i="15"/>
  <c r="F32" i="15"/>
  <c r="F33" i="15" s="1"/>
  <c r="B31" i="15"/>
  <c r="C38" i="15"/>
  <c r="G38" i="15"/>
  <c r="F37" i="15"/>
  <c r="E36" i="15"/>
  <c r="B38" i="15"/>
  <c r="D35" i="15"/>
  <c r="B35" i="15"/>
  <c r="E34" i="15"/>
  <c r="D32" i="15"/>
  <c r="D33" i="15" s="1"/>
  <c r="B32" i="15"/>
  <c r="B33" i="15" s="1"/>
  <c r="F31" i="15"/>
  <c r="C37" i="15"/>
  <c r="G37" i="15"/>
  <c r="F36" i="15"/>
  <c r="B37" i="15"/>
  <c r="E35" i="15"/>
  <c r="B34" i="15"/>
  <c r="E32" i="15"/>
  <c r="E33" i="15" s="1"/>
  <c r="C31" i="15"/>
  <c r="G31" i="15"/>
  <c r="D37" i="15"/>
  <c r="C36" i="15"/>
  <c r="G36" i="15"/>
  <c r="B36" i="15"/>
  <c r="F35" i="15"/>
  <c r="C34" i="15"/>
  <c r="G34" i="15"/>
  <c r="D31" i="15"/>
  <c r="C26" i="15"/>
  <c r="G26" i="15"/>
  <c r="E25" i="15"/>
  <c r="C24" i="15"/>
  <c r="G24" i="15"/>
  <c r="E23" i="15"/>
  <c r="C22" i="15"/>
  <c r="G22" i="15"/>
  <c r="E21" i="15"/>
  <c r="C19" i="15"/>
  <c r="C20" i="15" s="1"/>
  <c r="G19" i="15"/>
  <c r="G20" i="15" s="1"/>
  <c r="E18" i="15"/>
  <c r="C25" i="15"/>
  <c r="C23" i="15"/>
  <c r="E22" i="15"/>
  <c r="G21" i="15"/>
  <c r="C18" i="15"/>
  <c r="D25" i="15"/>
  <c r="F24" i="15"/>
  <c r="B23" i="15"/>
  <c r="D21" i="15"/>
  <c r="F19" i="15"/>
  <c r="F20" i="15" s="1"/>
  <c r="B18" i="15"/>
  <c r="D26" i="15"/>
  <c r="B26" i="15"/>
  <c r="F25" i="15"/>
  <c r="D24" i="15"/>
  <c r="B24" i="15"/>
  <c r="F23" i="15"/>
  <c r="D22" i="15"/>
  <c r="B22" i="15"/>
  <c r="F21" i="15"/>
  <c r="D19" i="15"/>
  <c r="D20" i="15" s="1"/>
  <c r="B19" i="15"/>
  <c r="B20" i="15" s="1"/>
  <c r="F18" i="15"/>
  <c r="E26" i="15"/>
  <c r="G25" i="15"/>
  <c r="E24" i="15"/>
  <c r="G23" i="15"/>
  <c r="C21" i="15"/>
  <c r="E19" i="15"/>
  <c r="E20" i="15" s="1"/>
  <c r="G18" i="15"/>
  <c r="F26" i="15"/>
  <c r="B25" i="15"/>
  <c r="D23" i="15"/>
  <c r="F22" i="15"/>
  <c r="B21" i="15"/>
  <c r="D18" i="15"/>
  <c r="C15" i="14"/>
  <c r="D15" i="14"/>
  <c r="E15" i="14"/>
  <c r="F15" i="14"/>
  <c r="G15" i="14"/>
  <c r="H15" i="14"/>
  <c r="I15" i="14"/>
  <c r="J15" i="14"/>
  <c r="K15" i="14"/>
  <c r="L15" i="14"/>
  <c r="M15" i="14"/>
  <c r="N15" i="14"/>
  <c r="B15" i="14"/>
  <c r="B2" i="14"/>
  <c r="C2" i="14"/>
  <c r="D2" i="14"/>
  <c r="E2" i="14"/>
  <c r="F2" i="14"/>
  <c r="G2" i="14"/>
  <c r="H2" i="14"/>
  <c r="O2" i="14"/>
  <c r="P2" i="14"/>
  <c r="Q2" i="14"/>
  <c r="R2" i="14"/>
  <c r="S2" i="14"/>
  <c r="T2" i="14"/>
  <c r="U2" i="14"/>
  <c r="V2" i="14"/>
  <c r="W2" i="14"/>
  <c r="X2" i="14"/>
  <c r="Y2" i="14"/>
  <c r="Z2" i="14"/>
  <c r="I2" i="14"/>
  <c r="J2" i="14"/>
  <c r="K2" i="14"/>
  <c r="L2" i="14"/>
  <c r="M2" i="14"/>
  <c r="N2" i="14"/>
  <c r="Q30" i="6" l="1"/>
  <c r="S30" i="6" s="1"/>
  <c r="Q46" i="1" l="1"/>
  <c r="S46" i="1" s="1"/>
  <c r="Q42" i="1"/>
  <c r="Q37" i="5"/>
  <c r="S37" i="5" s="1"/>
  <c r="S42" i="1" l="1"/>
  <c r="Q39" i="5"/>
  <c r="Q36" i="5"/>
  <c r="S36" i="5" s="1"/>
  <c r="S39" i="5" l="1"/>
  <c r="AF283" i="11"/>
  <c r="AF235" i="11"/>
  <c r="AF187" i="11"/>
  <c r="AF142" i="11"/>
  <c r="AF95" i="11"/>
  <c r="AF48" i="11"/>
  <c r="AF46" i="11" l="1"/>
  <c r="AF93" i="11"/>
  <c r="AF140" i="11"/>
  <c r="AF185" i="11"/>
  <c r="AF233" i="11"/>
  <c r="AF281" i="11"/>
  <c r="AF47" i="11"/>
  <c r="AF94" i="11"/>
  <c r="AF141" i="11"/>
  <c r="AF186" i="11"/>
  <c r="AF234" i="11"/>
  <c r="AF282" i="11"/>
  <c r="AF276" i="11" l="1"/>
  <c r="AF228" i="11"/>
  <c r="AF280" i="11" l="1"/>
  <c r="AF41" i="11"/>
  <c r="AF44" i="11"/>
  <c r="AF45" i="11"/>
  <c r="AF92" i="11"/>
  <c r="AF91" i="11"/>
  <c r="AF90" i="11"/>
  <c r="AF89" i="11"/>
  <c r="AF43" i="11"/>
  <c r="AF42" i="11"/>
  <c r="AF88" i="11"/>
  <c r="AF135" i="11"/>
  <c r="AF138" i="11"/>
  <c r="AF137" i="11"/>
  <c r="AF136" i="11"/>
  <c r="AF139" i="11"/>
  <c r="AF232" i="11"/>
  <c r="AF327" i="11"/>
  <c r="AF231" i="11"/>
  <c r="AF326" i="11"/>
  <c r="AF230" i="11"/>
  <c r="AF325" i="11"/>
  <c r="AF229" i="11"/>
  <c r="AF324" i="11" l="1"/>
  <c r="AF258" i="11" l="1"/>
  <c r="AF210" i="11"/>
  <c r="AF306" i="11" l="1"/>
  <c r="D267" i="11" l="1"/>
  <c r="D275" i="11" s="1"/>
  <c r="D126" i="11"/>
  <c r="D315" i="11" l="1"/>
  <c r="AF267" i="11"/>
  <c r="AF227" i="11"/>
  <c r="AF219" i="11"/>
  <c r="D134" i="11"/>
  <c r="AF134" i="11" s="1"/>
  <c r="AF126" i="11"/>
  <c r="D87" i="11"/>
  <c r="AF87" i="11" s="1"/>
  <c r="AF79" i="11"/>
  <c r="D323" i="11" l="1"/>
  <c r="AF323" i="11" s="1"/>
  <c r="AF315" i="11"/>
  <c r="AF275" i="11"/>
  <c r="AF11" i="11" l="1"/>
  <c r="AF12" i="11"/>
  <c r="S258" i="11" l="1"/>
  <c r="T258" i="11" l="1"/>
  <c r="U258" i="11" s="1"/>
  <c r="V258" i="11" s="1"/>
  <c r="W258" i="11" s="1"/>
  <c r="X258" i="11" s="1"/>
  <c r="Y258" i="11" s="1"/>
  <c r="Z258" i="11" s="1"/>
  <c r="AA258" i="11" s="1"/>
  <c r="AB258" i="11" s="1"/>
  <c r="AC258" i="11" s="1"/>
  <c r="AD258" i="11" s="1"/>
  <c r="S195" i="11"/>
  <c r="T195" i="11" s="1"/>
  <c r="U195" i="11" s="1"/>
  <c r="V195" i="11" s="1"/>
  <c r="W195" i="11" s="1"/>
  <c r="X195" i="11" s="1"/>
  <c r="Y195" i="11" s="1"/>
  <c r="Z195" i="11" s="1"/>
  <c r="AA195" i="11" s="1"/>
  <c r="AB195" i="11" s="1"/>
  <c r="AC195" i="11" s="1"/>
  <c r="AD195" i="11" s="1"/>
  <c r="S331" i="11" l="1"/>
  <c r="S330" i="11"/>
  <c r="S329" i="11"/>
  <c r="S328" i="11"/>
  <c r="S327" i="11"/>
  <c r="S326" i="11"/>
  <c r="S325" i="11"/>
  <c r="S324" i="11"/>
  <c r="S323" i="11"/>
  <c r="T323" i="11" s="1"/>
  <c r="S322" i="11"/>
  <c r="U323" i="11" l="1"/>
  <c r="V323" i="11" s="1"/>
  <c r="W323" i="11" s="1"/>
  <c r="X323" i="11" s="1"/>
  <c r="Y323" i="11" s="1"/>
  <c r="Z323" i="11" s="1"/>
  <c r="AA323" i="11" s="1"/>
  <c r="AB323" i="11" s="1"/>
  <c r="AC323" i="11" s="1"/>
  <c r="AD323" i="11" s="1"/>
  <c r="D35" i="8" s="1"/>
  <c r="T322" i="11"/>
  <c r="U322" i="11" s="1"/>
  <c r="V322" i="11" s="1"/>
  <c r="W322" i="11" s="1"/>
  <c r="X322" i="11" s="1"/>
  <c r="Y322" i="11" s="1"/>
  <c r="Z322" i="11" s="1"/>
  <c r="AA322" i="11" s="1"/>
  <c r="AB322" i="11" s="1"/>
  <c r="AC322" i="11" s="1"/>
  <c r="AD322" i="11" s="1"/>
  <c r="D36" i="8" s="1"/>
  <c r="T330" i="11"/>
  <c r="U330" i="11" s="1"/>
  <c r="V330" i="11" s="1"/>
  <c r="T329" i="11"/>
  <c r="U329" i="11" s="1"/>
  <c r="V329" i="11" s="1"/>
  <c r="W329" i="11" s="1"/>
  <c r="X329" i="11" s="1"/>
  <c r="Y329" i="11" s="1"/>
  <c r="Z329" i="11" s="1"/>
  <c r="AA329" i="11" s="1"/>
  <c r="AB329" i="11" s="1"/>
  <c r="AC329" i="11" s="1"/>
  <c r="AD329" i="11" s="1"/>
  <c r="T331" i="11"/>
  <c r="U331" i="11" s="1"/>
  <c r="V331" i="11" s="1"/>
  <c r="T326" i="11"/>
  <c r="U326" i="11" s="1"/>
  <c r="T324" i="11"/>
  <c r="U324" i="11" s="1"/>
  <c r="T328" i="11"/>
  <c r="U328" i="11" s="1"/>
  <c r="T325" i="11"/>
  <c r="U325" i="11" s="1"/>
  <c r="T327" i="11"/>
  <c r="U327" i="11" s="1"/>
  <c r="S315" i="11"/>
  <c r="S275" i="11"/>
  <c r="T275" i="11" s="1"/>
  <c r="U275" i="11" s="1"/>
  <c r="V275" i="11" s="1"/>
  <c r="W275" i="11" s="1"/>
  <c r="X275" i="11" s="1"/>
  <c r="Y275" i="11" s="1"/>
  <c r="Z275" i="11" s="1"/>
  <c r="AA275" i="11" s="1"/>
  <c r="AB275" i="11" s="1"/>
  <c r="AC275" i="11" s="1"/>
  <c r="AD275" i="11" s="1"/>
  <c r="S219" i="11"/>
  <c r="S227" i="11"/>
  <c r="S228" i="11"/>
  <c r="T228" i="11" s="1"/>
  <c r="S126" i="11"/>
  <c r="T126" i="11" s="1"/>
  <c r="U126" i="11" s="1"/>
  <c r="V126" i="11" s="1"/>
  <c r="W126" i="11" s="1"/>
  <c r="X126" i="11" s="1"/>
  <c r="Y126" i="11" s="1"/>
  <c r="Z126" i="11" s="1"/>
  <c r="AA126" i="11" s="1"/>
  <c r="AB126" i="11" s="1"/>
  <c r="AC126" i="11" s="1"/>
  <c r="AD126" i="11" s="1"/>
  <c r="D27" i="6" s="1"/>
  <c r="S134" i="11"/>
  <c r="T134" i="11" s="1"/>
  <c r="S135" i="11"/>
  <c r="S79" i="11"/>
  <c r="S87" i="11"/>
  <c r="T87" i="11" s="1"/>
  <c r="S276" i="11"/>
  <c r="S277" i="11"/>
  <c r="S278" i="11"/>
  <c r="S279" i="11"/>
  <c r="S280" i="11"/>
  <c r="S281" i="11"/>
  <c r="S282" i="11"/>
  <c r="S283" i="11"/>
  <c r="S136" i="11"/>
  <c r="S137" i="11"/>
  <c r="T137" i="11" s="1"/>
  <c r="S138" i="11"/>
  <c r="T138" i="11" s="1"/>
  <c r="S139" i="11"/>
  <c r="S140" i="11"/>
  <c r="S141" i="11"/>
  <c r="S142" i="11"/>
  <c r="S88" i="11"/>
  <c r="T88" i="11" s="1"/>
  <c r="S89" i="11"/>
  <c r="T89" i="11" s="1"/>
  <c r="S90" i="11"/>
  <c r="S91" i="11"/>
  <c r="T91" i="11" s="1"/>
  <c r="S92" i="11"/>
  <c r="S93" i="11"/>
  <c r="S94" i="11"/>
  <c r="S95" i="11"/>
  <c r="S180" i="11"/>
  <c r="S181" i="11"/>
  <c r="T181" i="11" s="1"/>
  <c r="U181" i="11" s="1"/>
  <c r="S182" i="11"/>
  <c r="T182" i="11" s="1"/>
  <c r="U182" i="11" s="1"/>
  <c r="S183" i="11"/>
  <c r="T183" i="11" s="1"/>
  <c r="U183" i="11" s="1"/>
  <c r="S184" i="11"/>
  <c r="S185" i="11"/>
  <c r="S186" i="11"/>
  <c r="S187" i="11"/>
  <c r="S229" i="11"/>
  <c r="T229" i="11" s="1"/>
  <c r="S230" i="11"/>
  <c r="T230" i="11" s="1"/>
  <c r="S231" i="11"/>
  <c r="T231" i="11" s="1"/>
  <c r="S232" i="11"/>
  <c r="S233" i="11"/>
  <c r="S234" i="11"/>
  <c r="S235" i="11"/>
  <c r="V328" i="11" l="1"/>
  <c r="W328" i="11" s="1"/>
  <c r="V324" i="11"/>
  <c r="W324" i="11" s="1"/>
  <c r="X324" i="11" s="1"/>
  <c r="Y324" i="11" s="1"/>
  <c r="Z324" i="11" s="1"/>
  <c r="AA324" i="11" s="1"/>
  <c r="AB324" i="11" s="1"/>
  <c r="AC324" i="11" s="1"/>
  <c r="AD324" i="11" s="1"/>
  <c r="D47" i="8" s="1"/>
  <c r="T232" i="11"/>
  <c r="U232" i="11" s="1"/>
  <c r="V232" i="11" s="1"/>
  <c r="W232" i="11" s="1"/>
  <c r="T184" i="11"/>
  <c r="U184" i="11" s="1"/>
  <c r="V184" i="11" s="1"/>
  <c r="W184" i="11" s="1"/>
  <c r="T136" i="11"/>
  <c r="U136" i="11" s="1"/>
  <c r="T135" i="11"/>
  <c r="U135" i="11" s="1"/>
  <c r="T227" i="11"/>
  <c r="U227" i="11" s="1"/>
  <c r="V227" i="11" s="1"/>
  <c r="W227" i="11" s="1"/>
  <c r="X227" i="11" s="1"/>
  <c r="Y227" i="11" s="1"/>
  <c r="Z227" i="11" s="1"/>
  <c r="AA227" i="11" s="1"/>
  <c r="AB227" i="11" s="1"/>
  <c r="AC227" i="11" s="1"/>
  <c r="AD227" i="11" s="1"/>
  <c r="D29" i="9" s="1"/>
  <c r="T139" i="11"/>
  <c r="U139" i="11" s="1"/>
  <c r="T92" i="11"/>
  <c r="U92" i="11" s="1"/>
  <c r="U134" i="11"/>
  <c r="V134" i="11" s="1"/>
  <c r="W134" i="11" s="1"/>
  <c r="X134" i="11" s="1"/>
  <c r="Y134" i="11" s="1"/>
  <c r="Z134" i="11" s="1"/>
  <c r="AA134" i="11" s="1"/>
  <c r="AB134" i="11" s="1"/>
  <c r="AC134" i="11" s="1"/>
  <c r="AD134" i="11" s="1"/>
  <c r="V326" i="11"/>
  <c r="W326" i="11" s="1"/>
  <c r="X326" i="11" s="1"/>
  <c r="Y326" i="11" s="1"/>
  <c r="Z326" i="11" s="1"/>
  <c r="AA326" i="11" s="1"/>
  <c r="AB326" i="11" s="1"/>
  <c r="AC326" i="11" s="1"/>
  <c r="AD326" i="11" s="1"/>
  <c r="D49" i="8" s="1"/>
  <c r="V183" i="11"/>
  <c r="W183" i="11" s="1"/>
  <c r="X183" i="11" s="1"/>
  <c r="V182" i="11"/>
  <c r="W182" i="11" s="1"/>
  <c r="X182" i="11" s="1"/>
  <c r="V181" i="11"/>
  <c r="W181" i="11" s="1"/>
  <c r="X181" i="11" s="1"/>
  <c r="V327" i="11"/>
  <c r="W327" i="11" s="1"/>
  <c r="X327" i="11" s="1"/>
  <c r="Y327" i="11" s="1"/>
  <c r="Z327" i="11" s="1"/>
  <c r="AA327" i="11" s="1"/>
  <c r="AB327" i="11" s="1"/>
  <c r="AC327" i="11" s="1"/>
  <c r="AD327" i="11" s="1"/>
  <c r="V325" i="11"/>
  <c r="W325" i="11" s="1"/>
  <c r="X325" i="11" s="1"/>
  <c r="Y325" i="11" s="1"/>
  <c r="Z325" i="11" s="1"/>
  <c r="AA325" i="11" s="1"/>
  <c r="AB325" i="11" s="1"/>
  <c r="AC325" i="11" s="1"/>
  <c r="AD325" i="11" s="1"/>
  <c r="D48" i="8" s="1"/>
  <c r="T315" i="11"/>
  <c r="U315" i="11" s="1"/>
  <c r="V315" i="11" s="1"/>
  <c r="W315" i="11" s="1"/>
  <c r="X315" i="11" s="1"/>
  <c r="Y315" i="11" s="1"/>
  <c r="Z315" i="11" s="1"/>
  <c r="AA315" i="11" s="1"/>
  <c r="AB315" i="11" s="1"/>
  <c r="AC315" i="11" s="1"/>
  <c r="AD315" i="11" s="1"/>
  <c r="W331" i="11"/>
  <c r="X331" i="11" s="1"/>
  <c r="Y331" i="11" s="1"/>
  <c r="Z331" i="11" s="1"/>
  <c r="AA331" i="11" s="1"/>
  <c r="AB331" i="11" s="1"/>
  <c r="AC331" i="11" s="1"/>
  <c r="AD331" i="11" s="1"/>
  <c r="W330" i="11"/>
  <c r="X330" i="11" s="1"/>
  <c r="Y330" i="11" s="1"/>
  <c r="Z330" i="11" s="1"/>
  <c r="AA330" i="11" s="1"/>
  <c r="AB330" i="11" s="1"/>
  <c r="AC330" i="11" s="1"/>
  <c r="AD330" i="11" s="1"/>
  <c r="T79" i="11"/>
  <c r="U79" i="11" s="1"/>
  <c r="V79" i="11" s="1"/>
  <c r="W79" i="11" s="1"/>
  <c r="X79" i="11" s="1"/>
  <c r="Y79" i="11" s="1"/>
  <c r="Z79" i="11" s="1"/>
  <c r="AA79" i="11" s="1"/>
  <c r="AB79" i="11" s="1"/>
  <c r="AC79" i="11" s="1"/>
  <c r="AD79" i="11" s="1"/>
  <c r="D36" i="5" s="1"/>
  <c r="T281" i="11"/>
  <c r="U281" i="11" s="1"/>
  <c r="V281" i="11" s="1"/>
  <c r="W281" i="11" s="1"/>
  <c r="X281" i="11" s="1"/>
  <c r="Y281" i="11" s="1"/>
  <c r="Z281" i="11" s="1"/>
  <c r="AA281" i="11" s="1"/>
  <c r="AB281" i="11" s="1"/>
  <c r="AC281" i="11" s="1"/>
  <c r="AD281" i="11" s="1"/>
  <c r="T277" i="11"/>
  <c r="U277" i="11" s="1"/>
  <c r="T280" i="11"/>
  <c r="U280" i="11" s="1"/>
  <c r="V280" i="11" s="1"/>
  <c r="W280" i="11" s="1"/>
  <c r="T276" i="11"/>
  <c r="U276" i="11" s="1"/>
  <c r="T279" i="11"/>
  <c r="U279" i="11" s="1"/>
  <c r="T282" i="11"/>
  <c r="U282" i="11" s="1"/>
  <c r="V282" i="11" s="1"/>
  <c r="W282" i="11" s="1"/>
  <c r="X282" i="11" s="1"/>
  <c r="Y282" i="11" s="1"/>
  <c r="Z282" i="11" s="1"/>
  <c r="AA282" i="11" s="1"/>
  <c r="AB282" i="11" s="1"/>
  <c r="AC282" i="11" s="1"/>
  <c r="AD282" i="11" s="1"/>
  <c r="T278" i="11"/>
  <c r="U278" i="11" s="1"/>
  <c r="T283" i="11"/>
  <c r="U283" i="11" s="1"/>
  <c r="V283" i="11" s="1"/>
  <c r="T90" i="11"/>
  <c r="U90" i="11" s="1"/>
  <c r="T180" i="11"/>
  <c r="U180" i="11" s="1"/>
  <c r="T187" i="11"/>
  <c r="U187" i="11" s="1"/>
  <c r="V187" i="11" s="1"/>
  <c r="W187" i="11" s="1"/>
  <c r="X187" i="11" s="1"/>
  <c r="Y187" i="11" s="1"/>
  <c r="Z187" i="11" s="1"/>
  <c r="AA187" i="11" s="1"/>
  <c r="AB187" i="11" s="1"/>
  <c r="AC187" i="11" s="1"/>
  <c r="AD187" i="11" s="1"/>
  <c r="T140" i="11"/>
  <c r="U140" i="11" s="1"/>
  <c r="V140" i="11" s="1"/>
  <c r="W140" i="11" s="1"/>
  <c r="X140" i="11" s="1"/>
  <c r="Y140" i="11" s="1"/>
  <c r="Z140" i="11" s="1"/>
  <c r="AA140" i="11" s="1"/>
  <c r="AB140" i="11" s="1"/>
  <c r="AC140" i="11" s="1"/>
  <c r="AD140" i="11" s="1"/>
  <c r="T219" i="11"/>
  <c r="U219" i="11" s="1"/>
  <c r="T186" i="11"/>
  <c r="U186" i="11" s="1"/>
  <c r="V186" i="11" s="1"/>
  <c r="W186" i="11" s="1"/>
  <c r="X186" i="11" s="1"/>
  <c r="Y186" i="11" s="1"/>
  <c r="Z186" i="11" s="1"/>
  <c r="AA186" i="11" s="1"/>
  <c r="AB186" i="11" s="1"/>
  <c r="AC186" i="11" s="1"/>
  <c r="AD186" i="11" s="1"/>
  <c r="T233" i="11"/>
  <c r="U233" i="11" s="1"/>
  <c r="V233" i="11" s="1"/>
  <c r="W233" i="11" s="1"/>
  <c r="X233" i="11" s="1"/>
  <c r="Y233" i="11" s="1"/>
  <c r="Z233" i="11" s="1"/>
  <c r="AA233" i="11" s="1"/>
  <c r="AB233" i="11" s="1"/>
  <c r="AC233" i="11" s="1"/>
  <c r="AD233" i="11" s="1"/>
  <c r="T185" i="11"/>
  <c r="U185" i="11" s="1"/>
  <c r="V185" i="11" s="1"/>
  <c r="W185" i="11" s="1"/>
  <c r="X185" i="11" s="1"/>
  <c r="Y185" i="11" s="1"/>
  <c r="Z185" i="11" s="1"/>
  <c r="AA185" i="11" s="1"/>
  <c r="AB185" i="11" s="1"/>
  <c r="AC185" i="11" s="1"/>
  <c r="AD185" i="11" s="1"/>
  <c r="T142" i="11"/>
  <c r="U142" i="11" s="1"/>
  <c r="V142" i="11" s="1"/>
  <c r="W142" i="11" s="1"/>
  <c r="X142" i="11" s="1"/>
  <c r="Y142" i="11" s="1"/>
  <c r="Z142" i="11" s="1"/>
  <c r="AA142" i="11" s="1"/>
  <c r="AB142" i="11" s="1"/>
  <c r="AC142" i="11" s="1"/>
  <c r="AD142" i="11" s="1"/>
  <c r="T235" i="11"/>
  <c r="U235" i="11" s="1"/>
  <c r="V235" i="11" s="1"/>
  <c r="W235" i="11" s="1"/>
  <c r="X235" i="11" s="1"/>
  <c r="Y235" i="11" s="1"/>
  <c r="Z235" i="11" s="1"/>
  <c r="AA235" i="11" s="1"/>
  <c r="AB235" i="11" s="1"/>
  <c r="AC235" i="11" s="1"/>
  <c r="AD235" i="11" s="1"/>
  <c r="T234" i="11"/>
  <c r="U234" i="11" s="1"/>
  <c r="V234" i="11" s="1"/>
  <c r="W234" i="11" s="1"/>
  <c r="X234" i="11" s="1"/>
  <c r="Y234" i="11" s="1"/>
  <c r="Z234" i="11" s="1"/>
  <c r="AA234" i="11" s="1"/>
  <c r="AB234" i="11" s="1"/>
  <c r="AC234" i="11" s="1"/>
  <c r="AD234" i="11" s="1"/>
  <c r="T141" i="11"/>
  <c r="U141" i="11" s="1"/>
  <c r="V141" i="11" s="1"/>
  <c r="W141" i="11" s="1"/>
  <c r="X141" i="11" s="1"/>
  <c r="Y141" i="11" s="1"/>
  <c r="Z141" i="11" s="1"/>
  <c r="AA141" i="11" s="1"/>
  <c r="AB141" i="11" s="1"/>
  <c r="AC141" i="11" s="1"/>
  <c r="AD141" i="11" s="1"/>
  <c r="T95" i="11"/>
  <c r="U95" i="11" s="1"/>
  <c r="V95" i="11" s="1"/>
  <c r="W95" i="11" s="1"/>
  <c r="X95" i="11" s="1"/>
  <c r="Y95" i="11" s="1"/>
  <c r="Z95" i="11" s="1"/>
  <c r="AA95" i="11" s="1"/>
  <c r="AB95" i="11" s="1"/>
  <c r="AC95" i="11" s="1"/>
  <c r="AD95" i="11" s="1"/>
  <c r="T93" i="11"/>
  <c r="U93" i="11" s="1"/>
  <c r="V93" i="11" s="1"/>
  <c r="W93" i="11" s="1"/>
  <c r="X93" i="11" s="1"/>
  <c r="Y93" i="11" s="1"/>
  <c r="Z93" i="11" s="1"/>
  <c r="AA93" i="11" s="1"/>
  <c r="AB93" i="11" s="1"/>
  <c r="AC93" i="11" s="1"/>
  <c r="AD93" i="11" s="1"/>
  <c r="T94" i="11"/>
  <c r="S267" i="11"/>
  <c r="U230" i="11"/>
  <c r="U229" i="11"/>
  <c r="U231" i="11"/>
  <c r="U228" i="11"/>
  <c r="U89" i="11"/>
  <c r="U137" i="11"/>
  <c r="U91" i="11"/>
  <c r="U88" i="11"/>
  <c r="U138" i="11"/>
  <c r="U87" i="11"/>
  <c r="V87" i="11" s="1"/>
  <c r="W87" i="11" s="1"/>
  <c r="X87" i="11" s="1"/>
  <c r="Y87" i="11" s="1"/>
  <c r="Z87" i="11" s="1"/>
  <c r="AA87" i="11" s="1"/>
  <c r="AB87" i="11" s="1"/>
  <c r="AC87" i="11" s="1"/>
  <c r="AD87" i="11" s="1"/>
  <c r="X232" i="11" l="1"/>
  <c r="Y232" i="11" s="1"/>
  <c r="Z232" i="11" s="1"/>
  <c r="AA232" i="11" s="1"/>
  <c r="AB232" i="11" s="1"/>
  <c r="AC232" i="11" s="1"/>
  <c r="AD232" i="11" s="1"/>
  <c r="D46" i="9" s="1"/>
  <c r="X328" i="11"/>
  <c r="Y328" i="11" s="1"/>
  <c r="Z328" i="11" s="1"/>
  <c r="AA328" i="11" s="1"/>
  <c r="AB328" i="11" s="1"/>
  <c r="AC328" i="11" s="1"/>
  <c r="AD328" i="11" s="1"/>
  <c r="D52" i="8" s="1"/>
  <c r="X280" i="11"/>
  <c r="Y280" i="11" s="1"/>
  <c r="Z280" i="11" s="1"/>
  <c r="AA280" i="11" s="1"/>
  <c r="AB280" i="11" s="1"/>
  <c r="AC280" i="11" s="1"/>
  <c r="AD280" i="11" s="1"/>
  <c r="D45" i="10" s="1"/>
  <c r="X184" i="11"/>
  <c r="Y184" i="11" s="1"/>
  <c r="Z184" i="11" s="1"/>
  <c r="AA184" i="11" s="1"/>
  <c r="AB184" i="11" s="1"/>
  <c r="AC184" i="11" s="1"/>
  <c r="AD184" i="11" s="1"/>
  <c r="D50" i="7" s="1"/>
  <c r="Y181" i="11"/>
  <c r="Z181" i="11" s="1"/>
  <c r="AA181" i="11" s="1"/>
  <c r="AB181" i="11" s="1"/>
  <c r="AC181" i="11" s="1"/>
  <c r="AD181" i="11" s="1"/>
  <c r="D46" i="7" s="1"/>
  <c r="Y182" i="11"/>
  <c r="Z182" i="11" s="1"/>
  <c r="AA182" i="11" s="1"/>
  <c r="AB182" i="11" s="1"/>
  <c r="AC182" i="11" s="1"/>
  <c r="AD182" i="11" s="1"/>
  <c r="D47" i="7" s="1"/>
  <c r="Y183" i="11"/>
  <c r="Z183" i="11" s="1"/>
  <c r="AA183" i="11" s="1"/>
  <c r="AB183" i="11" s="1"/>
  <c r="AC183" i="11" s="1"/>
  <c r="AD183" i="11" s="1"/>
  <c r="D48" i="7" s="1"/>
  <c r="R48" i="8"/>
  <c r="R49" i="8"/>
  <c r="R50" i="8"/>
  <c r="V91" i="11"/>
  <c r="W91" i="11" s="1"/>
  <c r="V89" i="11"/>
  <c r="W89" i="11" s="1"/>
  <c r="X89" i="11" s="1"/>
  <c r="Y89" i="11" s="1"/>
  <c r="Z89" i="11" s="1"/>
  <c r="AA89" i="11" s="1"/>
  <c r="AB89" i="11" s="1"/>
  <c r="AC89" i="11" s="1"/>
  <c r="AD89" i="11" s="1"/>
  <c r="D48" i="5" s="1"/>
  <c r="V92" i="11"/>
  <c r="W92" i="11" s="1"/>
  <c r="V88" i="11"/>
  <c r="W88" i="11" s="1"/>
  <c r="X88" i="11" s="1"/>
  <c r="Y88" i="11" s="1"/>
  <c r="Z88" i="11" s="1"/>
  <c r="AA88" i="11" s="1"/>
  <c r="AB88" i="11" s="1"/>
  <c r="AC88" i="11" s="1"/>
  <c r="AD88" i="11" s="1"/>
  <c r="D47" i="5" s="1"/>
  <c r="V228" i="11"/>
  <c r="W228" i="11" s="1"/>
  <c r="X228" i="11" s="1"/>
  <c r="Y228" i="11" s="1"/>
  <c r="Z228" i="11" s="1"/>
  <c r="AA228" i="11" s="1"/>
  <c r="AB228" i="11" s="1"/>
  <c r="AC228" i="11" s="1"/>
  <c r="AD228" i="11" s="1"/>
  <c r="D41" i="9" s="1"/>
  <c r="V276" i="11"/>
  <c r="W276" i="11" s="1"/>
  <c r="X276" i="11" s="1"/>
  <c r="Y276" i="11" s="1"/>
  <c r="Z276" i="11" s="1"/>
  <c r="AA276" i="11" s="1"/>
  <c r="AB276" i="11" s="1"/>
  <c r="AC276" i="11" s="1"/>
  <c r="AD276" i="11" s="1"/>
  <c r="D40" i="10" s="1"/>
  <c r="D51" i="8"/>
  <c r="D50" i="8"/>
  <c r="V180" i="11"/>
  <c r="W180" i="11" s="1"/>
  <c r="X180" i="11" s="1"/>
  <c r="V135" i="11"/>
  <c r="W135" i="11" s="1"/>
  <c r="X135" i="11" s="1"/>
  <c r="Y135" i="11" s="1"/>
  <c r="Z135" i="11" s="1"/>
  <c r="AA135" i="11" s="1"/>
  <c r="AB135" i="11" s="1"/>
  <c r="AC135" i="11" s="1"/>
  <c r="AD135" i="11" s="1"/>
  <c r="D45" i="6" s="1"/>
  <c r="V90" i="11"/>
  <c r="W90" i="11" s="1"/>
  <c r="X90" i="11" s="1"/>
  <c r="Y90" i="11" s="1"/>
  <c r="Z90" i="11" s="1"/>
  <c r="AA90" i="11" s="1"/>
  <c r="R26" i="6"/>
  <c r="R29" i="9"/>
  <c r="D52" i="7"/>
  <c r="D53" i="7"/>
  <c r="D54" i="7"/>
  <c r="D31" i="5"/>
  <c r="D33" i="5"/>
  <c r="V277" i="11"/>
  <c r="W277" i="11" s="1"/>
  <c r="X277" i="11" s="1"/>
  <c r="Y277" i="11" s="1"/>
  <c r="Z277" i="11" s="1"/>
  <c r="AA277" i="11" s="1"/>
  <c r="AB277" i="11" s="1"/>
  <c r="AC277" i="11" s="1"/>
  <c r="AD277" i="11" s="1"/>
  <c r="D41" i="10" s="1"/>
  <c r="V230" i="11"/>
  <c r="W230" i="11" s="1"/>
  <c r="X230" i="11" s="1"/>
  <c r="Y230" i="11" s="1"/>
  <c r="Z230" i="11" s="1"/>
  <c r="AA230" i="11" s="1"/>
  <c r="AB230" i="11" s="1"/>
  <c r="AC230" i="11" s="1"/>
  <c r="AD230" i="11" s="1"/>
  <c r="D43" i="9" s="1"/>
  <c r="V136" i="11"/>
  <c r="W136" i="11" s="1"/>
  <c r="X136" i="11" s="1"/>
  <c r="Y136" i="11" s="1"/>
  <c r="Z136" i="11" s="1"/>
  <c r="AA136" i="11" s="1"/>
  <c r="AB136" i="11" s="1"/>
  <c r="AC136" i="11" s="1"/>
  <c r="AD136" i="11" s="1"/>
  <c r="D46" i="6" s="1"/>
  <c r="V231" i="11"/>
  <c r="W231" i="11" s="1"/>
  <c r="X231" i="11" s="1"/>
  <c r="Y231" i="11" s="1"/>
  <c r="Z231" i="11" s="1"/>
  <c r="AA231" i="11" s="1"/>
  <c r="AB231" i="11" s="1"/>
  <c r="AC231" i="11" s="1"/>
  <c r="AD231" i="11" s="1"/>
  <c r="V229" i="11"/>
  <c r="W229" i="11" s="1"/>
  <c r="X229" i="11" s="1"/>
  <c r="Y229" i="11" s="1"/>
  <c r="Z229" i="11" s="1"/>
  <c r="AA229" i="11" s="1"/>
  <c r="AB229" i="11" s="1"/>
  <c r="AC229" i="11" s="1"/>
  <c r="AD229" i="11" s="1"/>
  <c r="D42" i="9" s="1"/>
  <c r="V137" i="11"/>
  <c r="W137" i="11" s="1"/>
  <c r="X137" i="11" s="1"/>
  <c r="Y137" i="11" s="1"/>
  <c r="Z137" i="11" s="1"/>
  <c r="AA137" i="11" s="1"/>
  <c r="AB137" i="11" s="1"/>
  <c r="AC137" i="11" s="1"/>
  <c r="AD137" i="11" s="1"/>
  <c r="D47" i="6" s="1"/>
  <c r="V278" i="11"/>
  <c r="W278" i="11" s="1"/>
  <c r="X278" i="11" s="1"/>
  <c r="Y278" i="11" s="1"/>
  <c r="Z278" i="11" s="1"/>
  <c r="AA278" i="11" s="1"/>
  <c r="AB278" i="11" s="1"/>
  <c r="AC278" i="11" s="1"/>
  <c r="AD278" i="11" s="1"/>
  <c r="D42" i="10" s="1"/>
  <c r="V138" i="11"/>
  <c r="W138" i="11" s="1"/>
  <c r="X138" i="11" s="1"/>
  <c r="Y138" i="11" s="1"/>
  <c r="Z138" i="11" s="1"/>
  <c r="AA138" i="11" s="1"/>
  <c r="AB138" i="11" s="1"/>
  <c r="AC138" i="11" s="1"/>
  <c r="AD138" i="11" s="1"/>
  <c r="V139" i="11"/>
  <c r="W139" i="11" s="1"/>
  <c r="V219" i="11"/>
  <c r="W219" i="11" s="1"/>
  <c r="X219" i="11" s="1"/>
  <c r="Y219" i="11" s="1"/>
  <c r="Z219" i="11" s="1"/>
  <c r="AA219" i="11" s="1"/>
  <c r="AB219" i="11" s="1"/>
  <c r="AC219" i="11" s="1"/>
  <c r="AD219" i="11" s="1"/>
  <c r="D32" i="9" s="1"/>
  <c r="V279" i="11"/>
  <c r="W279" i="11" s="1"/>
  <c r="X279" i="11" s="1"/>
  <c r="Y279" i="11" s="1"/>
  <c r="Z279" i="11" s="1"/>
  <c r="AA279" i="11" s="1"/>
  <c r="AB279" i="11" s="1"/>
  <c r="AC279" i="11" s="1"/>
  <c r="AD279" i="11" s="1"/>
  <c r="D38" i="8"/>
  <c r="R36" i="5"/>
  <c r="W283" i="11"/>
  <c r="X283" i="11" s="1"/>
  <c r="Y283" i="11" s="1"/>
  <c r="Z283" i="11" s="1"/>
  <c r="AA283" i="11" s="1"/>
  <c r="AB283" i="11" s="1"/>
  <c r="AC283" i="11" s="1"/>
  <c r="AD283" i="11" s="1"/>
  <c r="T267" i="11"/>
  <c r="U267" i="11" s="1"/>
  <c r="U94" i="11"/>
  <c r="V94" i="11" s="1"/>
  <c r="W94" i="11" s="1"/>
  <c r="X94" i="11" s="1"/>
  <c r="Y94" i="11" s="1"/>
  <c r="Z94" i="11" s="1"/>
  <c r="AA94" i="11" s="1"/>
  <c r="AB94" i="11" s="1"/>
  <c r="AC94" i="11" s="1"/>
  <c r="AD94" i="11" s="1"/>
  <c r="Z43" i="11"/>
  <c r="Z48" i="11"/>
  <c r="AA48" i="11" s="1"/>
  <c r="AB48" i="11" s="1"/>
  <c r="AC48" i="11" s="1"/>
  <c r="AD48" i="11" s="1"/>
  <c r="Z33" i="11"/>
  <c r="AA33" i="11" s="1"/>
  <c r="AB33" i="11" s="1"/>
  <c r="AC33" i="11" s="1"/>
  <c r="AD33" i="11" s="1"/>
  <c r="D44" i="1" s="1"/>
  <c r="Z46" i="11"/>
  <c r="AA46" i="11" s="1"/>
  <c r="AB46" i="11" s="1"/>
  <c r="AC46" i="11" s="1"/>
  <c r="AD46" i="11" s="1"/>
  <c r="D57" i="1" s="1"/>
  <c r="Z44" i="11"/>
  <c r="Z47" i="11"/>
  <c r="AA47" i="11" s="1"/>
  <c r="AB47" i="11" s="1"/>
  <c r="AC47" i="11" s="1"/>
  <c r="AD47" i="11" s="1"/>
  <c r="Z42" i="11"/>
  <c r="Z41" i="11"/>
  <c r="AF5" i="11"/>
  <c r="AF388" i="11" s="1"/>
  <c r="AF6" i="11"/>
  <c r="AF395" i="11" s="1"/>
  <c r="AF7" i="11"/>
  <c r="AF8" i="11"/>
  <c r="AF9" i="11"/>
  <c r="AF10" i="11"/>
  <c r="AF13" i="11"/>
  <c r="AF14" i="11"/>
  <c r="AF15" i="11"/>
  <c r="AF16" i="11"/>
  <c r="AF17" i="11"/>
  <c r="AF18" i="11"/>
  <c r="AF4" i="11"/>
  <c r="S5" i="11"/>
  <c r="S388" i="11" s="1"/>
  <c r="Z9" i="11"/>
  <c r="AA9" i="11" s="1"/>
  <c r="AB9" i="11" s="1"/>
  <c r="Z10" i="11"/>
  <c r="AA10" i="11" s="1"/>
  <c r="AB10" i="11" s="1"/>
  <c r="Z13" i="11"/>
  <c r="AA13" i="11" s="1"/>
  <c r="AB13" i="11" s="1"/>
  <c r="AC13" i="11" s="1"/>
  <c r="AD13" i="11" s="1"/>
  <c r="Z15" i="11"/>
  <c r="AA15" i="11" s="1"/>
  <c r="AB15" i="11" s="1"/>
  <c r="AC15" i="11" s="1"/>
  <c r="AD15" i="11" s="1"/>
  <c r="Z16" i="11"/>
  <c r="AA16" i="11" s="1"/>
  <c r="AB16" i="11" s="1"/>
  <c r="AC16" i="11" s="1"/>
  <c r="AD16" i="11" s="1"/>
  <c r="Z18" i="11"/>
  <c r="Z27" i="11"/>
  <c r="AA27" i="11" s="1"/>
  <c r="AB27" i="11" s="1"/>
  <c r="AC27" i="11" s="1"/>
  <c r="AD27" i="11" s="1"/>
  <c r="Z32" i="11"/>
  <c r="AA32" i="11" s="1"/>
  <c r="AB32" i="11" s="1"/>
  <c r="AC32" i="11" s="1"/>
  <c r="AD32" i="11" s="1"/>
  <c r="S51" i="11"/>
  <c r="T51" i="11" s="1"/>
  <c r="U51" i="11" s="1"/>
  <c r="V51" i="11" s="1"/>
  <c r="W51" i="11" s="1"/>
  <c r="X51" i="11" s="1"/>
  <c r="Y51" i="11" s="1"/>
  <c r="Z51" i="11" s="1"/>
  <c r="AA51" i="11" s="1"/>
  <c r="AB51" i="11" s="1"/>
  <c r="AC51" i="11" s="1"/>
  <c r="AD51" i="11" s="1"/>
  <c r="S52" i="11"/>
  <c r="S53" i="11"/>
  <c r="S54" i="11"/>
  <c r="T54" i="11" s="1"/>
  <c r="U54" i="11" s="1"/>
  <c r="S55" i="11"/>
  <c r="S56" i="11"/>
  <c r="S57" i="11"/>
  <c r="S58" i="11"/>
  <c r="S59" i="11"/>
  <c r="T59" i="11" s="1"/>
  <c r="S60" i="11"/>
  <c r="T60" i="11" s="1"/>
  <c r="U60" i="11" s="1"/>
  <c r="V60" i="11" s="1"/>
  <c r="W60" i="11" s="1"/>
  <c r="X60" i="11" s="1"/>
  <c r="Y60" i="11" s="1"/>
  <c r="Z60" i="11" s="1"/>
  <c r="AA60" i="11" s="1"/>
  <c r="AB60" i="11" s="1"/>
  <c r="AC60" i="11" s="1"/>
  <c r="AD60" i="11" s="1"/>
  <c r="S61" i="11"/>
  <c r="T61" i="11" s="1"/>
  <c r="U61" i="11" s="1"/>
  <c r="V61" i="11" s="1"/>
  <c r="W61" i="11" s="1"/>
  <c r="X61" i="11" s="1"/>
  <c r="Y61" i="11" s="1"/>
  <c r="Z61" i="11" s="1"/>
  <c r="AA61" i="11" s="1"/>
  <c r="AB61" i="11" s="1"/>
  <c r="AC61" i="11" s="1"/>
  <c r="AD61" i="11" s="1"/>
  <c r="S62" i="11"/>
  <c r="T62" i="11" s="1"/>
  <c r="U62" i="11" s="1"/>
  <c r="V62" i="11" s="1"/>
  <c r="W62" i="11" s="1"/>
  <c r="X62" i="11" s="1"/>
  <c r="Y62" i="11" s="1"/>
  <c r="Z62" i="11" s="1"/>
  <c r="AA62" i="11" s="1"/>
  <c r="AB62" i="11" s="1"/>
  <c r="AC62" i="11" s="1"/>
  <c r="AD62" i="11" s="1"/>
  <c r="S63" i="11"/>
  <c r="T63" i="11" s="1"/>
  <c r="S64" i="11"/>
  <c r="T64" i="11" s="1"/>
  <c r="U64" i="11" s="1"/>
  <c r="V64" i="11" s="1"/>
  <c r="W64" i="11" s="1"/>
  <c r="X64" i="11" s="1"/>
  <c r="Y64" i="11" s="1"/>
  <c r="Z64" i="11" s="1"/>
  <c r="AA64" i="11" s="1"/>
  <c r="AB64" i="11" s="1"/>
  <c r="AC64" i="11" s="1"/>
  <c r="AD64" i="11" s="1"/>
  <c r="S65" i="11"/>
  <c r="S73" i="11"/>
  <c r="S74" i="11"/>
  <c r="S75" i="11"/>
  <c r="T75" i="11" s="1"/>
  <c r="U75" i="11" s="1"/>
  <c r="V75" i="11" s="1"/>
  <c r="W75" i="11" s="1"/>
  <c r="X75" i="11" s="1"/>
  <c r="Y75" i="11" s="1"/>
  <c r="Z75" i="11" s="1"/>
  <c r="AA75" i="11" s="1"/>
  <c r="AB75" i="11" s="1"/>
  <c r="AC75" i="11" s="1"/>
  <c r="AD75" i="11" s="1"/>
  <c r="S76" i="11"/>
  <c r="T76" i="11" s="1"/>
  <c r="U76" i="11" s="1"/>
  <c r="V76" i="11" s="1"/>
  <c r="W76" i="11" s="1"/>
  <c r="X76" i="11" s="1"/>
  <c r="Y76" i="11" s="1"/>
  <c r="Z76" i="11" s="1"/>
  <c r="AA76" i="11" s="1"/>
  <c r="AB76" i="11" s="1"/>
  <c r="AC76" i="11" s="1"/>
  <c r="AD76" i="11" s="1"/>
  <c r="S77" i="11"/>
  <c r="S78" i="11"/>
  <c r="T78" i="11" s="1"/>
  <c r="U78" i="11" s="1"/>
  <c r="V78" i="11" s="1"/>
  <c r="W78" i="11" s="1"/>
  <c r="X78" i="11" s="1"/>
  <c r="Y78" i="11" s="1"/>
  <c r="Z78" i="11" s="1"/>
  <c r="AA78" i="11" s="1"/>
  <c r="AB78" i="11" s="1"/>
  <c r="AC78" i="11" s="1"/>
  <c r="AD78" i="11" s="1"/>
  <c r="S80" i="11"/>
  <c r="T80" i="11" s="1"/>
  <c r="U80" i="11" s="1"/>
  <c r="V80" i="11" s="1"/>
  <c r="W80" i="11" s="1"/>
  <c r="X80" i="11" s="1"/>
  <c r="Y80" i="11" s="1"/>
  <c r="Z80" i="11" s="1"/>
  <c r="AA80" i="11" s="1"/>
  <c r="AB80" i="11" s="1"/>
  <c r="AC80" i="11" s="1"/>
  <c r="AD80" i="11" s="1"/>
  <c r="S81" i="11"/>
  <c r="S86" i="11"/>
  <c r="S98" i="11"/>
  <c r="T98" i="11" s="1"/>
  <c r="S99" i="11"/>
  <c r="S100" i="11"/>
  <c r="S101" i="11"/>
  <c r="T101" i="11" s="1"/>
  <c r="U101" i="11" s="1"/>
  <c r="S102" i="11"/>
  <c r="T102" i="11" s="1"/>
  <c r="U102" i="11" s="1"/>
  <c r="S103" i="11"/>
  <c r="T103" i="11" s="1"/>
  <c r="U103" i="11" s="1"/>
  <c r="V103" i="11" s="1"/>
  <c r="W103" i="11" s="1"/>
  <c r="X103" i="11" s="1"/>
  <c r="Y103" i="11" s="1"/>
  <c r="Z103" i="11" s="1"/>
  <c r="AA103" i="11" s="1"/>
  <c r="AB103" i="11" s="1"/>
  <c r="AC103" i="11" s="1"/>
  <c r="AD103" i="11" s="1"/>
  <c r="S104" i="11"/>
  <c r="S105" i="11"/>
  <c r="S106" i="11"/>
  <c r="T106" i="11" s="1"/>
  <c r="U106" i="11" s="1"/>
  <c r="V106" i="11" s="1"/>
  <c r="W106" i="11" s="1"/>
  <c r="X106" i="11" s="1"/>
  <c r="Y106" i="11" s="1"/>
  <c r="Z106" i="11" s="1"/>
  <c r="AA106" i="11" s="1"/>
  <c r="AB106" i="11" s="1"/>
  <c r="AC106" i="11" s="1"/>
  <c r="AD106" i="11" s="1"/>
  <c r="S107" i="11"/>
  <c r="T107" i="11" s="1"/>
  <c r="U107" i="11" s="1"/>
  <c r="V107" i="11" s="1"/>
  <c r="W107" i="11" s="1"/>
  <c r="X107" i="11" s="1"/>
  <c r="Y107" i="11" s="1"/>
  <c r="Z107" i="11" s="1"/>
  <c r="AA107" i="11" s="1"/>
  <c r="AB107" i="11" s="1"/>
  <c r="AC107" i="11" s="1"/>
  <c r="AD107" i="11" s="1"/>
  <c r="S108" i="11"/>
  <c r="T108" i="11" s="1"/>
  <c r="U108" i="11" s="1"/>
  <c r="V108" i="11" s="1"/>
  <c r="W108" i="11" s="1"/>
  <c r="X108" i="11" s="1"/>
  <c r="Y108" i="11" s="1"/>
  <c r="Z108" i="11" s="1"/>
  <c r="AA108" i="11" s="1"/>
  <c r="AB108" i="11" s="1"/>
  <c r="AC108" i="11" s="1"/>
  <c r="AD108" i="11" s="1"/>
  <c r="S109" i="11"/>
  <c r="S110" i="11"/>
  <c r="T110" i="11" s="1"/>
  <c r="U110" i="11" s="1"/>
  <c r="V110" i="11" s="1"/>
  <c r="W110" i="11" s="1"/>
  <c r="X110" i="11" s="1"/>
  <c r="Y110" i="11" s="1"/>
  <c r="Z110" i="11" s="1"/>
  <c r="AA110" i="11" s="1"/>
  <c r="AB110" i="11" s="1"/>
  <c r="AC110" i="11" s="1"/>
  <c r="AD110" i="11" s="1"/>
  <c r="S111" i="11"/>
  <c r="T111" i="11" s="1"/>
  <c r="U111" i="11" s="1"/>
  <c r="V111" i="11" s="1"/>
  <c r="W111" i="11" s="1"/>
  <c r="X111" i="11" s="1"/>
  <c r="Y111" i="11" s="1"/>
  <c r="Z111" i="11" s="1"/>
  <c r="AA111" i="11" s="1"/>
  <c r="AB111" i="11" s="1"/>
  <c r="AC111" i="11" s="1"/>
  <c r="AD111" i="11" s="1"/>
  <c r="S112" i="11"/>
  <c r="S120" i="11"/>
  <c r="S121" i="11"/>
  <c r="T121" i="11" s="1"/>
  <c r="U121" i="11" s="1"/>
  <c r="S122" i="11"/>
  <c r="T122" i="11" s="1"/>
  <c r="U122" i="11" s="1"/>
  <c r="V122" i="11" s="1"/>
  <c r="W122" i="11" s="1"/>
  <c r="X122" i="11" s="1"/>
  <c r="Y122" i="11" s="1"/>
  <c r="Z122" i="11" s="1"/>
  <c r="AA122" i="11" s="1"/>
  <c r="AB122" i="11" s="1"/>
  <c r="AC122" i="11" s="1"/>
  <c r="AD122" i="11" s="1"/>
  <c r="S123" i="11"/>
  <c r="T123" i="11" s="1"/>
  <c r="U123" i="11" s="1"/>
  <c r="V123" i="11" s="1"/>
  <c r="W123" i="11" s="1"/>
  <c r="X123" i="11" s="1"/>
  <c r="Y123" i="11" s="1"/>
  <c r="Z123" i="11" s="1"/>
  <c r="AA123" i="11" s="1"/>
  <c r="AB123" i="11" s="1"/>
  <c r="AC123" i="11" s="1"/>
  <c r="AD123" i="11" s="1"/>
  <c r="S124" i="11"/>
  <c r="T124" i="11" s="1"/>
  <c r="S125" i="11"/>
  <c r="T125" i="11" s="1"/>
  <c r="U125" i="11" s="1"/>
  <c r="V125" i="11" s="1"/>
  <c r="W125" i="11" s="1"/>
  <c r="X125" i="11" s="1"/>
  <c r="Y125" i="11" s="1"/>
  <c r="Z125" i="11" s="1"/>
  <c r="AA125" i="11" s="1"/>
  <c r="AB125" i="11" s="1"/>
  <c r="AC125" i="11" s="1"/>
  <c r="AD125" i="11" s="1"/>
  <c r="S127" i="11"/>
  <c r="T127" i="11" s="1"/>
  <c r="U127" i="11" s="1"/>
  <c r="V127" i="11" s="1"/>
  <c r="W127" i="11" s="1"/>
  <c r="X127" i="11" s="1"/>
  <c r="Y127" i="11" s="1"/>
  <c r="Z127" i="11" s="1"/>
  <c r="AA127" i="11" s="1"/>
  <c r="AB127" i="11" s="1"/>
  <c r="AC127" i="11" s="1"/>
  <c r="AD127" i="11" s="1"/>
  <c r="S128" i="11"/>
  <c r="T128" i="11" s="1"/>
  <c r="U128" i="11" s="1"/>
  <c r="S133" i="11"/>
  <c r="T133" i="11" s="1"/>
  <c r="S145" i="11"/>
  <c r="T145" i="11" s="1"/>
  <c r="U145" i="11" s="1"/>
  <c r="V145" i="11" s="1"/>
  <c r="W145" i="11" s="1"/>
  <c r="X145" i="11" s="1"/>
  <c r="Y145" i="11" s="1"/>
  <c r="Z145" i="11" s="1"/>
  <c r="AA145" i="11" s="1"/>
  <c r="AB145" i="11" s="1"/>
  <c r="AC145" i="11" s="1"/>
  <c r="AD145" i="11" s="1"/>
  <c r="S146" i="11"/>
  <c r="S391" i="11" s="1"/>
  <c r="S147" i="11"/>
  <c r="S398" i="11" s="1"/>
  <c r="S148" i="11"/>
  <c r="T148" i="11" s="1"/>
  <c r="U148" i="11" s="1"/>
  <c r="V148" i="11" s="1"/>
  <c r="W148" i="11" s="1"/>
  <c r="X148" i="11" s="1"/>
  <c r="Y148" i="11" s="1"/>
  <c r="Z148" i="11" s="1"/>
  <c r="AA148" i="11" s="1"/>
  <c r="AB148" i="11" s="1"/>
  <c r="AC148" i="11" s="1"/>
  <c r="AD148" i="11" s="1"/>
  <c r="S149" i="11"/>
  <c r="T149" i="11" s="1"/>
  <c r="U149" i="11" s="1"/>
  <c r="V149" i="11" s="1"/>
  <c r="W149" i="11" s="1"/>
  <c r="X149" i="11" s="1"/>
  <c r="Y149" i="11" s="1"/>
  <c r="Z149" i="11" s="1"/>
  <c r="AA149" i="11" s="1"/>
  <c r="AB149" i="11" s="1"/>
  <c r="AC149" i="11" s="1"/>
  <c r="AD149" i="11" s="1"/>
  <c r="S152" i="11"/>
  <c r="T152" i="11" s="1"/>
  <c r="U152" i="11" s="1"/>
  <c r="V152" i="11" s="1"/>
  <c r="W152" i="11" s="1"/>
  <c r="X152" i="11" s="1"/>
  <c r="Y152" i="11" s="1"/>
  <c r="Z152" i="11" s="1"/>
  <c r="AA152" i="11" s="1"/>
  <c r="AB152" i="11" s="1"/>
  <c r="AC152" i="11" s="1"/>
  <c r="AD152" i="11" s="1"/>
  <c r="S153" i="11"/>
  <c r="T153" i="11" s="1"/>
  <c r="U153" i="11" s="1"/>
  <c r="V153" i="11" s="1"/>
  <c r="W153" i="11" s="1"/>
  <c r="X153" i="11" s="1"/>
  <c r="Y153" i="11" s="1"/>
  <c r="Z153" i="11" s="1"/>
  <c r="AA153" i="11" s="1"/>
  <c r="AB153" i="11" s="1"/>
  <c r="AC153" i="11" s="1"/>
  <c r="AD153" i="11" s="1"/>
  <c r="S154" i="11"/>
  <c r="T154" i="11" s="1"/>
  <c r="U154" i="11" s="1"/>
  <c r="V154" i="11" s="1"/>
  <c r="W154" i="11" s="1"/>
  <c r="X154" i="11" s="1"/>
  <c r="Y154" i="11" s="1"/>
  <c r="Z154" i="11" s="1"/>
  <c r="AA154" i="11" s="1"/>
  <c r="AB154" i="11" s="1"/>
  <c r="AC154" i="11" s="1"/>
  <c r="AD154" i="11" s="1"/>
  <c r="S155" i="11"/>
  <c r="S156" i="11"/>
  <c r="S157" i="11"/>
  <c r="T157" i="11" s="1"/>
  <c r="U157" i="11" s="1"/>
  <c r="V157" i="11" s="1"/>
  <c r="W157" i="11" s="1"/>
  <c r="X157" i="11" s="1"/>
  <c r="Y157" i="11" s="1"/>
  <c r="Z157" i="11" s="1"/>
  <c r="AA157" i="11" s="1"/>
  <c r="AB157" i="11" s="1"/>
  <c r="AC157" i="11" s="1"/>
  <c r="AD157" i="11" s="1"/>
  <c r="S158" i="11"/>
  <c r="T158" i="11" s="1"/>
  <c r="U158" i="11" s="1"/>
  <c r="V158" i="11" s="1"/>
  <c r="W158" i="11" s="1"/>
  <c r="X158" i="11" s="1"/>
  <c r="Y158" i="11" s="1"/>
  <c r="Z158" i="11" s="1"/>
  <c r="AA158" i="11" s="1"/>
  <c r="AB158" i="11" s="1"/>
  <c r="AC158" i="11" s="1"/>
  <c r="AD158" i="11" s="1"/>
  <c r="S159" i="11"/>
  <c r="S161" i="11" s="1"/>
  <c r="S167" i="11"/>
  <c r="S168" i="11"/>
  <c r="S169" i="11"/>
  <c r="T169" i="11" s="1"/>
  <c r="U169" i="11" s="1"/>
  <c r="V169" i="11" s="1"/>
  <c r="W169" i="11" s="1"/>
  <c r="X169" i="11" s="1"/>
  <c r="Y169" i="11" s="1"/>
  <c r="Z169" i="11" s="1"/>
  <c r="AA169" i="11" s="1"/>
  <c r="AB169" i="11" s="1"/>
  <c r="AC169" i="11" s="1"/>
  <c r="AD169" i="11" s="1"/>
  <c r="S170" i="11"/>
  <c r="T170" i="11" s="1"/>
  <c r="U170" i="11" s="1"/>
  <c r="V170" i="11" s="1"/>
  <c r="W170" i="11" s="1"/>
  <c r="X170" i="11" s="1"/>
  <c r="Y170" i="11" s="1"/>
  <c r="Z170" i="11" s="1"/>
  <c r="AA170" i="11" s="1"/>
  <c r="AB170" i="11" s="1"/>
  <c r="AC170" i="11" s="1"/>
  <c r="AD170" i="11" s="1"/>
  <c r="S171" i="11"/>
  <c r="T171" i="11" s="1"/>
  <c r="U171" i="11" s="1"/>
  <c r="V171" i="11" s="1"/>
  <c r="W171" i="11" s="1"/>
  <c r="X171" i="11" s="1"/>
  <c r="Y171" i="11" s="1"/>
  <c r="Z171" i="11" s="1"/>
  <c r="AA171" i="11" s="1"/>
  <c r="AB171" i="11" s="1"/>
  <c r="AC171" i="11" s="1"/>
  <c r="AD171" i="11" s="1"/>
  <c r="S172" i="11"/>
  <c r="S173" i="11"/>
  <c r="T173" i="11" s="1"/>
  <c r="U173" i="11" s="1"/>
  <c r="V173" i="11" s="1"/>
  <c r="W173" i="11" s="1"/>
  <c r="X173" i="11" s="1"/>
  <c r="Y173" i="11" s="1"/>
  <c r="Z173" i="11" s="1"/>
  <c r="AA173" i="11" s="1"/>
  <c r="AB173" i="11" s="1"/>
  <c r="AC173" i="11" s="1"/>
  <c r="AD173" i="11" s="1"/>
  <c r="S174" i="11"/>
  <c r="S178" i="11"/>
  <c r="S179" i="11"/>
  <c r="S190" i="11"/>
  <c r="T190" i="11" s="1"/>
  <c r="U190" i="11" s="1"/>
  <c r="V190" i="11" s="1"/>
  <c r="W190" i="11" s="1"/>
  <c r="X190" i="11" s="1"/>
  <c r="Y190" i="11" s="1"/>
  <c r="Z190" i="11" s="1"/>
  <c r="AA190" i="11" s="1"/>
  <c r="AB190" i="11" s="1"/>
  <c r="AC190" i="11" s="1"/>
  <c r="AD190" i="11" s="1"/>
  <c r="S191" i="11"/>
  <c r="S192" i="11"/>
  <c r="S193" i="11"/>
  <c r="T193" i="11" s="1"/>
  <c r="U193" i="11" s="1"/>
  <c r="S194" i="11"/>
  <c r="T194" i="11" s="1"/>
  <c r="U194" i="11" s="1"/>
  <c r="S196" i="11"/>
  <c r="T196" i="11" s="1"/>
  <c r="S197" i="11"/>
  <c r="S198" i="11"/>
  <c r="S199" i="11"/>
  <c r="S200" i="11"/>
  <c r="S201" i="11"/>
  <c r="T201" i="11" s="1"/>
  <c r="U201" i="11" s="1"/>
  <c r="V201" i="11" s="1"/>
  <c r="W201" i="11" s="1"/>
  <c r="X201" i="11" s="1"/>
  <c r="Y201" i="11" s="1"/>
  <c r="Z201" i="11" s="1"/>
  <c r="AA201" i="11" s="1"/>
  <c r="AB201" i="11" s="1"/>
  <c r="AC201" i="11" s="1"/>
  <c r="AD201" i="11" s="1"/>
  <c r="S202" i="11"/>
  <c r="T202" i="11" s="1"/>
  <c r="U202" i="11" s="1"/>
  <c r="V202" i="11" s="1"/>
  <c r="W202" i="11" s="1"/>
  <c r="X202" i="11" s="1"/>
  <c r="Y202" i="11" s="1"/>
  <c r="Z202" i="11" s="1"/>
  <c r="AA202" i="11" s="1"/>
  <c r="AB202" i="11" s="1"/>
  <c r="AC202" i="11" s="1"/>
  <c r="AD202" i="11" s="1"/>
  <c r="S203" i="11"/>
  <c r="T203" i="11" s="1"/>
  <c r="U203" i="11" s="1"/>
  <c r="V203" i="11" s="1"/>
  <c r="W203" i="11" s="1"/>
  <c r="X203" i="11" s="1"/>
  <c r="Y203" i="11" s="1"/>
  <c r="Z203" i="11" s="1"/>
  <c r="AA203" i="11" s="1"/>
  <c r="AB203" i="11" s="1"/>
  <c r="AC203" i="11" s="1"/>
  <c r="AD203" i="11" s="1"/>
  <c r="S204" i="11"/>
  <c r="S213" i="11"/>
  <c r="T213" i="11" s="1"/>
  <c r="U213" i="11" s="1"/>
  <c r="S214" i="11"/>
  <c r="T214" i="11" s="1"/>
  <c r="U214" i="11" s="1"/>
  <c r="S215" i="11"/>
  <c r="T215" i="11" s="1"/>
  <c r="U215" i="11" s="1"/>
  <c r="V215" i="11" s="1"/>
  <c r="W215" i="11" s="1"/>
  <c r="X215" i="11" s="1"/>
  <c r="Y215" i="11" s="1"/>
  <c r="Z215" i="11" s="1"/>
  <c r="AA215" i="11" s="1"/>
  <c r="AB215" i="11" s="1"/>
  <c r="AC215" i="11" s="1"/>
  <c r="AD215" i="11" s="1"/>
  <c r="S216" i="11"/>
  <c r="T216" i="11" s="1"/>
  <c r="U216" i="11" s="1"/>
  <c r="V216" i="11" s="1"/>
  <c r="W216" i="11" s="1"/>
  <c r="X216" i="11" s="1"/>
  <c r="Y216" i="11" s="1"/>
  <c r="Z216" i="11" s="1"/>
  <c r="AA216" i="11" s="1"/>
  <c r="AB216" i="11" s="1"/>
  <c r="AC216" i="11" s="1"/>
  <c r="AD216" i="11" s="1"/>
  <c r="S217" i="11"/>
  <c r="T217" i="11" s="1"/>
  <c r="U217" i="11" s="1"/>
  <c r="S218" i="11"/>
  <c r="T218" i="11" s="1"/>
  <c r="U218" i="11" s="1"/>
  <c r="V218" i="11" s="1"/>
  <c r="W218" i="11" s="1"/>
  <c r="X218" i="11" s="1"/>
  <c r="Y218" i="11" s="1"/>
  <c r="Z218" i="11" s="1"/>
  <c r="AA218" i="11" s="1"/>
  <c r="AB218" i="11" s="1"/>
  <c r="AC218" i="11" s="1"/>
  <c r="AD218" i="11" s="1"/>
  <c r="S220" i="11"/>
  <c r="T220" i="11" s="1"/>
  <c r="U220" i="11" s="1"/>
  <c r="V220" i="11" s="1"/>
  <c r="W220" i="11" s="1"/>
  <c r="X220" i="11" s="1"/>
  <c r="Y220" i="11" s="1"/>
  <c r="Z220" i="11" s="1"/>
  <c r="AA220" i="11" s="1"/>
  <c r="AB220" i="11" s="1"/>
  <c r="AC220" i="11" s="1"/>
  <c r="AD220" i="11" s="1"/>
  <c r="S221" i="11"/>
  <c r="S226" i="11"/>
  <c r="S238" i="11"/>
  <c r="S239" i="11"/>
  <c r="S240" i="11"/>
  <c r="S401" i="11" s="1"/>
  <c r="S241" i="11"/>
  <c r="S242" i="11"/>
  <c r="S243" i="11"/>
  <c r="T243" i="11" s="1"/>
  <c r="U243" i="11" s="1"/>
  <c r="V243" i="11" s="1"/>
  <c r="W243" i="11" s="1"/>
  <c r="X243" i="11" s="1"/>
  <c r="Y243" i="11" s="1"/>
  <c r="Z243" i="11" s="1"/>
  <c r="AA243" i="11" s="1"/>
  <c r="AB243" i="11" s="1"/>
  <c r="AC243" i="11" s="1"/>
  <c r="AD243" i="11" s="1"/>
  <c r="S244" i="11"/>
  <c r="T244" i="11" s="1"/>
  <c r="U244" i="11" s="1"/>
  <c r="V244" i="11" s="1"/>
  <c r="W244" i="11" s="1"/>
  <c r="X244" i="11" s="1"/>
  <c r="Y244" i="11" s="1"/>
  <c r="Z244" i="11" s="1"/>
  <c r="AA244" i="11" s="1"/>
  <c r="AB244" i="11" s="1"/>
  <c r="AC244" i="11" s="1"/>
  <c r="AD244" i="11" s="1"/>
  <c r="S245" i="11"/>
  <c r="S246" i="11"/>
  <c r="T246" i="11" s="1"/>
  <c r="U246" i="11" s="1"/>
  <c r="V246" i="11" s="1"/>
  <c r="W246" i="11" s="1"/>
  <c r="X246" i="11" s="1"/>
  <c r="Y246" i="11" s="1"/>
  <c r="Z246" i="11" s="1"/>
  <c r="AA246" i="11" s="1"/>
  <c r="AB246" i="11" s="1"/>
  <c r="AC246" i="11" s="1"/>
  <c r="AD246" i="11" s="1"/>
  <c r="S247" i="11"/>
  <c r="T247" i="11" s="1"/>
  <c r="U247" i="11" s="1"/>
  <c r="V247" i="11" s="1"/>
  <c r="W247" i="11" s="1"/>
  <c r="X247" i="11" s="1"/>
  <c r="Y247" i="11" s="1"/>
  <c r="Z247" i="11" s="1"/>
  <c r="AA247" i="11" s="1"/>
  <c r="AB247" i="11" s="1"/>
  <c r="AC247" i="11" s="1"/>
  <c r="AD247" i="11" s="1"/>
  <c r="S248" i="11"/>
  <c r="S249" i="11"/>
  <c r="S250" i="11"/>
  <c r="T250" i="11" s="1"/>
  <c r="U250" i="11" s="1"/>
  <c r="V250" i="11" s="1"/>
  <c r="W250" i="11" s="1"/>
  <c r="X250" i="11" s="1"/>
  <c r="Y250" i="11" s="1"/>
  <c r="Z250" i="11" s="1"/>
  <c r="AA250" i="11" s="1"/>
  <c r="AB250" i="11" s="1"/>
  <c r="AC250" i="11" s="1"/>
  <c r="AD250" i="11" s="1"/>
  <c r="S251" i="11"/>
  <c r="T251" i="11" s="1"/>
  <c r="U251" i="11" s="1"/>
  <c r="V251" i="11" s="1"/>
  <c r="W251" i="11" s="1"/>
  <c r="X251" i="11" s="1"/>
  <c r="Y251" i="11" s="1"/>
  <c r="Z251" i="11" s="1"/>
  <c r="AA251" i="11" s="1"/>
  <c r="AB251" i="11" s="1"/>
  <c r="AC251" i="11" s="1"/>
  <c r="AD251" i="11" s="1"/>
  <c r="S252" i="11"/>
  <c r="S259" i="11"/>
  <c r="S261" i="11"/>
  <c r="S262" i="11"/>
  <c r="T262" i="11" s="1"/>
  <c r="S263" i="11"/>
  <c r="T263" i="11" s="1"/>
  <c r="U263" i="11" s="1"/>
  <c r="V263" i="11" s="1"/>
  <c r="W263" i="11" s="1"/>
  <c r="X263" i="11" s="1"/>
  <c r="Y263" i="11" s="1"/>
  <c r="Z263" i="11" s="1"/>
  <c r="AA263" i="11" s="1"/>
  <c r="AB263" i="11" s="1"/>
  <c r="AC263" i="11" s="1"/>
  <c r="AD263" i="11" s="1"/>
  <c r="S264" i="11"/>
  <c r="T264" i="11" s="1"/>
  <c r="U264" i="11" s="1"/>
  <c r="V264" i="11" s="1"/>
  <c r="W264" i="11" s="1"/>
  <c r="X264" i="11" s="1"/>
  <c r="Y264" i="11" s="1"/>
  <c r="Z264" i="11" s="1"/>
  <c r="AA264" i="11" s="1"/>
  <c r="AB264" i="11" s="1"/>
  <c r="AC264" i="11" s="1"/>
  <c r="AD264" i="11" s="1"/>
  <c r="S265" i="11"/>
  <c r="S266" i="11"/>
  <c r="T266" i="11" s="1"/>
  <c r="U266" i="11" s="1"/>
  <c r="V266" i="11" s="1"/>
  <c r="W266" i="11" s="1"/>
  <c r="X266" i="11" s="1"/>
  <c r="Y266" i="11" s="1"/>
  <c r="Z266" i="11" s="1"/>
  <c r="AA266" i="11" s="1"/>
  <c r="AB266" i="11" s="1"/>
  <c r="AC266" i="11" s="1"/>
  <c r="AD266" i="11" s="1"/>
  <c r="S268" i="11"/>
  <c r="T268" i="11" s="1"/>
  <c r="U268" i="11" s="1"/>
  <c r="V268" i="11" s="1"/>
  <c r="W268" i="11" s="1"/>
  <c r="X268" i="11" s="1"/>
  <c r="Y268" i="11" s="1"/>
  <c r="Z268" i="11" s="1"/>
  <c r="AA268" i="11" s="1"/>
  <c r="AB268" i="11" s="1"/>
  <c r="AC268" i="11" s="1"/>
  <c r="AD268" i="11" s="1"/>
  <c r="S269" i="11"/>
  <c r="S273" i="11"/>
  <c r="S274" i="11"/>
  <c r="S286" i="11"/>
  <c r="T286" i="11" s="1"/>
  <c r="S287" i="11"/>
  <c r="S288" i="11"/>
  <c r="S289" i="11"/>
  <c r="T289" i="11" s="1"/>
  <c r="U289" i="11" s="1"/>
  <c r="S290" i="11"/>
  <c r="T290" i="11" s="1"/>
  <c r="U290" i="11" s="1"/>
  <c r="S291" i="11"/>
  <c r="T291" i="11" s="1"/>
  <c r="U291" i="11" s="1"/>
  <c r="V291" i="11" s="1"/>
  <c r="W291" i="11" s="1"/>
  <c r="X291" i="11" s="1"/>
  <c r="Y291" i="11" s="1"/>
  <c r="Z291" i="11" s="1"/>
  <c r="AA291" i="11" s="1"/>
  <c r="AB291" i="11" s="1"/>
  <c r="AC291" i="11" s="1"/>
  <c r="AD291" i="11" s="1"/>
  <c r="S292" i="11"/>
  <c r="S293" i="11"/>
  <c r="T293" i="11" s="1"/>
  <c r="U293" i="11" s="1"/>
  <c r="V293" i="11" s="1"/>
  <c r="W293" i="11" s="1"/>
  <c r="X293" i="11" s="1"/>
  <c r="Y293" i="11" s="1"/>
  <c r="Z293" i="11" s="1"/>
  <c r="AA293" i="11" s="1"/>
  <c r="AB293" i="11" s="1"/>
  <c r="AC293" i="11" s="1"/>
  <c r="AD293" i="11" s="1"/>
  <c r="S294" i="11"/>
  <c r="T294" i="11" s="1"/>
  <c r="S295" i="11"/>
  <c r="T295" i="11" s="1"/>
  <c r="U295" i="11" s="1"/>
  <c r="V295" i="11" s="1"/>
  <c r="W295" i="11" s="1"/>
  <c r="X295" i="11" s="1"/>
  <c r="Y295" i="11" s="1"/>
  <c r="Z295" i="11" s="1"/>
  <c r="AA295" i="11" s="1"/>
  <c r="AB295" i="11" s="1"/>
  <c r="AC295" i="11" s="1"/>
  <c r="AD295" i="11" s="1"/>
  <c r="S296" i="11"/>
  <c r="S297" i="11"/>
  <c r="S298" i="11"/>
  <c r="T298" i="11" s="1"/>
  <c r="U298" i="11" s="1"/>
  <c r="V298" i="11" s="1"/>
  <c r="W298" i="11" s="1"/>
  <c r="X298" i="11" s="1"/>
  <c r="Y298" i="11" s="1"/>
  <c r="Z298" i="11" s="1"/>
  <c r="AA298" i="11" s="1"/>
  <c r="AB298" i="11" s="1"/>
  <c r="AC298" i="11" s="1"/>
  <c r="AD298" i="11" s="1"/>
  <c r="S299" i="11"/>
  <c r="T299" i="11" s="1"/>
  <c r="U299" i="11" s="1"/>
  <c r="V299" i="11" s="1"/>
  <c r="W299" i="11" s="1"/>
  <c r="X299" i="11" s="1"/>
  <c r="Y299" i="11" s="1"/>
  <c r="Z299" i="11" s="1"/>
  <c r="AA299" i="11" s="1"/>
  <c r="AB299" i="11" s="1"/>
  <c r="AC299" i="11" s="1"/>
  <c r="AD299" i="11" s="1"/>
  <c r="S300" i="11"/>
  <c r="S309" i="11"/>
  <c r="T309" i="11" s="1"/>
  <c r="U309" i="11" s="1"/>
  <c r="S310" i="11"/>
  <c r="T310" i="11" s="1"/>
  <c r="U310" i="11" s="1"/>
  <c r="S311" i="11"/>
  <c r="T311" i="11" s="1"/>
  <c r="U311" i="11" s="1"/>
  <c r="V311" i="11" s="1"/>
  <c r="W311" i="11" s="1"/>
  <c r="X311" i="11" s="1"/>
  <c r="Y311" i="11" s="1"/>
  <c r="Z311" i="11" s="1"/>
  <c r="AA311" i="11" s="1"/>
  <c r="AB311" i="11" s="1"/>
  <c r="AC311" i="11" s="1"/>
  <c r="AD311" i="11" s="1"/>
  <c r="S312" i="11"/>
  <c r="T312" i="11" s="1"/>
  <c r="U312" i="11" s="1"/>
  <c r="V312" i="11" s="1"/>
  <c r="W312" i="11" s="1"/>
  <c r="X312" i="11" s="1"/>
  <c r="Y312" i="11" s="1"/>
  <c r="Z312" i="11" s="1"/>
  <c r="AA312" i="11" s="1"/>
  <c r="AB312" i="11" s="1"/>
  <c r="AC312" i="11" s="1"/>
  <c r="AD312" i="11" s="1"/>
  <c r="S313" i="11"/>
  <c r="S314" i="11"/>
  <c r="T314" i="11" s="1"/>
  <c r="U314" i="11" s="1"/>
  <c r="V314" i="11" s="1"/>
  <c r="W314" i="11" s="1"/>
  <c r="X314" i="11" s="1"/>
  <c r="Y314" i="11" s="1"/>
  <c r="Z314" i="11" s="1"/>
  <c r="AA314" i="11" s="1"/>
  <c r="AB314" i="11" s="1"/>
  <c r="AC314" i="11" s="1"/>
  <c r="AD314" i="11" s="1"/>
  <c r="S316" i="11"/>
  <c r="T316" i="11" s="1"/>
  <c r="U316" i="11" s="1"/>
  <c r="V316" i="11" s="1"/>
  <c r="W316" i="11" s="1"/>
  <c r="X316" i="11" s="1"/>
  <c r="Y316" i="11" s="1"/>
  <c r="Z316" i="11" s="1"/>
  <c r="AA316" i="11" s="1"/>
  <c r="AB316" i="11" s="1"/>
  <c r="AC316" i="11" s="1"/>
  <c r="AD316" i="11" s="1"/>
  <c r="S317" i="11"/>
  <c r="S321" i="11"/>
  <c r="T321" i="11" s="1"/>
  <c r="U321" i="11" s="1"/>
  <c r="V321" i="11" s="1"/>
  <c r="W321" i="11" s="1"/>
  <c r="X321" i="11" s="1"/>
  <c r="Y321" i="11" s="1"/>
  <c r="Z321" i="11" s="1"/>
  <c r="AA321" i="11" s="1"/>
  <c r="AB321" i="11" s="1"/>
  <c r="AC321" i="11" s="1"/>
  <c r="AD321" i="11" s="1"/>
  <c r="S4" i="11"/>
  <c r="R45" i="10" l="1"/>
  <c r="R52" i="8"/>
  <c r="R46" i="9"/>
  <c r="R50" i="7"/>
  <c r="X91" i="11"/>
  <c r="Y91" i="11" s="1"/>
  <c r="Z91" i="11" s="1"/>
  <c r="AA91" i="11" s="1"/>
  <c r="AB91" i="11" s="1"/>
  <c r="AC91" i="11" s="1"/>
  <c r="AD91" i="11" s="1"/>
  <c r="D50" i="5" s="1"/>
  <c r="X139" i="11"/>
  <c r="Y139" i="11" s="1"/>
  <c r="Z139" i="11" s="1"/>
  <c r="AA139" i="11" s="1"/>
  <c r="AB139" i="11" s="1"/>
  <c r="AC139" i="11" s="1"/>
  <c r="AD139" i="11" s="1"/>
  <c r="D50" i="6" s="1"/>
  <c r="R49" i="7"/>
  <c r="X92" i="11"/>
  <c r="Y92" i="11" s="1"/>
  <c r="Z92" i="11" s="1"/>
  <c r="AA92" i="11" s="1"/>
  <c r="AB92" i="11" s="1"/>
  <c r="AC92" i="11" s="1"/>
  <c r="AD92" i="11" s="1"/>
  <c r="D51" i="5" s="1"/>
  <c r="R47" i="7"/>
  <c r="AB90" i="11"/>
  <c r="AC90" i="11" s="1"/>
  <c r="AD90" i="11" s="1"/>
  <c r="D49" i="5" s="1"/>
  <c r="R48" i="7"/>
  <c r="AA43" i="11"/>
  <c r="AB43" i="11" s="1"/>
  <c r="AC43" i="11" s="1"/>
  <c r="AD43" i="11" s="1"/>
  <c r="D49" i="1" s="1"/>
  <c r="AA41" i="11"/>
  <c r="AB41" i="11" s="1"/>
  <c r="AC41" i="11" s="1"/>
  <c r="AD41" i="11" s="1"/>
  <c r="D47" i="1" s="1"/>
  <c r="AA42" i="11"/>
  <c r="AB42" i="11" s="1"/>
  <c r="AC42" i="11" s="1"/>
  <c r="AD42" i="11" s="1"/>
  <c r="D48" i="1" s="1"/>
  <c r="AA44" i="11"/>
  <c r="AB44" i="11" s="1"/>
  <c r="AC44" i="11" s="1"/>
  <c r="AD44" i="11" s="1"/>
  <c r="D50" i="1" s="1"/>
  <c r="R46" i="7"/>
  <c r="D49" i="7"/>
  <c r="Y180" i="11"/>
  <c r="Z180" i="11" s="1"/>
  <c r="AA180" i="11" s="1"/>
  <c r="AB180" i="11" s="1"/>
  <c r="AC180" i="11" s="1"/>
  <c r="AD180" i="11" s="1"/>
  <c r="D45" i="7" s="1"/>
  <c r="R48" i="5"/>
  <c r="R42" i="10"/>
  <c r="R46" i="6"/>
  <c r="R43" i="9"/>
  <c r="R48" i="6"/>
  <c r="R41" i="10"/>
  <c r="R43" i="10"/>
  <c r="R42" i="9"/>
  <c r="R47" i="6"/>
  <c r="R44" i="9"/>
  <c r="D48" i="6"/>
  <c r="D49" i="6"/>
  <c r="D44" i="9"/>
  <c r="D45" i="9"/>
  <c r="D44" i="10"/>
  <c r="D43" i="10"/>
  <c r="T245" i="11"/>
  <c r="U245" i="11" s="1"/>
  <c r="V245" i="11" s="1"/>
  <c r="W245" i="11" s="1"/>
  <c r="X245" i="11" s="1"/>
  <c r="Y245" i="11" s="1"/>
  <c r="Z245" i="11" s="1"/>
  <c r="AA245" i="11" s="1"/>
  <c r="AB245" i="11" s="1"/>
  <c r="AC245" i="11" s="1"/>
  <c r="AD245" i="11" s="1"/>
  <c r="T238" i="11"/>
  <c r="U238" i="11" s="1"/>
  <c r="V238" i="11" s="1"/>
  <c r="W238" i="11" s="1"/>
  <c r="X238" i="11" s="1"/>
  <c r="Y238" i="11" s="1"/>
  <c r="Z238" i="11" s="1"/>
  <c r="AA238" i="11" s="1"/>
  <c r="AB238" i="11" s="1"/>
  <c r="AC238" i="11" s="1"/>
  <c r="AD238" i="11" s="1"/>
  <c r="T155" i="11"/>
  <c r="U155" i="11" s="1"/>
  <c r="V155" i="11" s="1"/>
  <c r="W155" i="11" s="1"/>
  <c r="X155" i="11" s="1"/>
  <c r="T239" i="11"/>
  <c r="S394" i="11"/>
  <c r="T192" i="11"/>
  <c r="S400" i="11"/>
  <c r="T288" i="11"/>
  <c r="S399" i="11"/>
  <c r="T292" i="11"/>
  <c r="U292" i="11" s="1"/>
  <c r="V292" i="11" s="1"/>
  <c r="W292" i="11" s="1"/>
  <c r="X292" i="11" s="1"/>
  <c r="Y292" i="11" s="1"/>
  <c r="Z292" i="11" s="1"/>
  <c r="AA292" i="11" s="1"/>
  <c r="AB292" i="11" s="1"/>
  <c r="AC292" i="11" s="1"/>
  <c r="AD292" i="11" s="1"/>
  <c r="D39" i="8" s="1"/>
  <c r="T287" i="11"/>
  <c r="S392" i="11"/>
  <c r="T191" i="11"/>
  <c r="S393" i="11"/>
  <c r="T178" i="11"/>
  <c r="U178" i="11" s="1"/>
  <c r="V178" i="11" s="1"/>
  <c r="W178" i="11" s="1"/>
  <c r="X178" i="11" s="1"/>
  <c r="T100" i="11"/>
  <c r="S397" i="11"/>
  <c r="T99" i="11"/>
  <c r="S390" i="11"/>
  <c r="T53" i="11"/>
  <c r="T396" i="11" s="1"/>
  <c r="S396" i="11"/>
  <c r="T52" i="11"/>
  <c r="S389" i="11"/>
  <c r="U196" i="11"/>
  <c r="U124" i="11"/>
  <c r="V124" i="11" s="1"/>
  <c r="W124" i="11" s="1"/>
  <c r="X124" i="11" s="1"/>
  <c r="Y124" i="11" s="1"/>
  <c r="Z124" i="11" s="1"/>
  <c r="AA124" i="11" s="1"/>
  <c r="AB124" i="11" s="1"/>
  <c r="AC124" i="11" s="1"/>
  <c r="AD124" i="11" s="1"/>
  <c r="D28" i="6" s="1"/>
  <c r="U294" i="11"/>
  <c r="V294" i="11" s="1"/>
  <c r="W294" i="11" s="1"/>
  <c r="X294" i="11" s="1"/>
  <c r="Y294" i="11" s="1"/>
  <c r="Z294" i="11" s="1"/>
  <c r="AA294" i="11" s="1"/>
  <c r="AB294" i="11" s="1"/>
  <c r="AC294" i="11" s="1"/>
  <c r="AD294" i="11" s="1"/>
  <c r="U262" i="11"/>
  <c r="V262" i="11" s="1"/>
  <c r="W262" i="11" s="1"/>
  <c r="X262" i="11" s="1"/>
  <c r="Y262" i="11" s="1"/>
  <c r="Z262" i="11" s="1"/>
  <c r="AA262" i="11" s="1"/>
  <c r="AB262" i="11" s="1"/>
  <c r="AC262" i="11" s="1"/>
  <c r="AD262" i="11" s="1"/>
  <c r="D16" i="10" s="1"/>
  <c r="U133" i="11"/>
  <c r="V133" i="11" s="1"/>
  <c r="W133" i="11" s="1"/>
  <c r="X133" i="11" s="1"/>
  <c r="Y133" i="11" s="1"/>
  <c r="Z133" i="11" s="1"/>
  <c r="AA133" i="11" s="1"/>
  <c r="AB133" i="11" s="1"/>
  <c r="AC133" i="11" s="1"/>
  <c r="AD133" i="11" s="1"/>
  <c r="D29" i="6" s="1"/>
  <c r="R32" i="9"/>
  <c r="D32" i="5"/>
  <c r="D59" i="1"/>
  <c r="D58" i="1"/>
  <c r="D13" i="1"/>
  <c r="R13" i="1"/>
  <c r="V290" i="11"/>
  <c r="W290" i="11" s="1"/>
  <c r="X290" i="11" s="1"/>
  <c r="Y290" i="11" s="1"/>
  <c r="Z290" i="11" s="1"/>
  <c r="AA290" i="11" s="1"/>
  <c r="AB290" i="11" s="1"/>
  <c r="AC290" i="11" s="1"/>
  <c r="AD290" i="11" s="1"/>
  <c r="D18" i="8" s="1"/>
  <c r="V289" i="11"/>
  <c r="W289" i="11" s="1"/>
  <c r="X289" i="11" s="1"/>
  <c r="Y289" i="11" s="1"/>
  <c r="Z289" i="11" s="1"/>
  <c r="AA289" i="11" s="1"/>
  <c r="AB289" i="11" s="1"/>
  <c r="AC289" i="11" s="1"/>
  <c r="AD289" i="11" s="1"/>
  <c r="D17" i="8" s="1"/>
  <c r="V310" i="11"/>
  <c r="W310" i="11" s="1"/>
  <c r="X310" i="11" s="1"/>
  <c r="Y310" i="11" s="1"/>
  <c r="Z310" i="11" s="1"/>
  <c r="AA310" i="11" s="1"/>
  <c r="AB310" i="11" s="1"/>
  <c r="AC310" i="11" s="1"/>
  <c r="AD310" i="11" s="1"/>
  <c r="D21" i="8" s="1"/>
  <c r="V214" i="11"/>
  <c r="W214" i="11" s="1"/>
  <c r="X214" i="11" s="1"/>
  <c r="Y214" i="11" s="1"/>
  <c r="Z214" i="11" s="1"/>
  <c r="AA214" i="11" s="1"/>
  <c r="AB214" i="11" s="1"/>
  <c r="AC214" i="11" s="1"/>
  <c r="AD214" i="11" s="1"/>
  <c r="D16" i="9" s="1"/>
  <c r="V128" i="11"/>
  <c r="W128" i="11" s="1"/>
  <c r="X128" i="11" s="1"/>
  <c r="Y128" i="11" s="1"/>
  <c r="Z128" i="11" s="1"/>
  <c r="AA128" i="11" s="1"/>
  <c r="AB128" i="11" s="1"/>
  <c r="AC128" i="11" s="1"/>
  <c r="AD128" i="11" s="1"/>
  <c r="D32" i="6" s="1"/>
  <c r="V217" i="11"/>
  <c r="W217" i="11" s="1"/>
  <c r="X217" i="11" s="1"/>
  <c r="Y217" i="11" s="1"/>
  <c r="Z217" i="11" s="1"/>
  <c r="AA217" i="11" s="1"/>
  <c r="AB217" i="11" s="1"/>
  <c r="AC217" i="11" s="1"/>
  <c r="AD217" i="11" s="1"/>
  <c r="D31" i="9" s="1"/>
  <c r="V121" i="11"/>
  <c r="W121" i="11" s="1"/>
  <c r="X121" i="11" s="1"/>
  <c r="Y121" i="11" s="1"/>
  <c r="Z121" i="11" s="1"/>
  <c r="AA121" i="11" s="1"/>
  <c r="AB121" i="11" s="1"/>
  <c r="AC121" i="11" s="1"/>
  <c r="AD121" i="11" s="1"/>
  <c r="D15" i="6" s="1"/>
  <c r="V267" i="11"/>
  <c r="W267" i="11" s="1"/>
  <c r="X267" i="11" s="1"/>
  <c r="Y267" i="11" s="1"/>
  <c r="Z267" i="11" s="1"/>
  <c r="AA267" i="11" s="1"/>
  <c r="AB267" i="11" s="1"/>
  <c r="AC267" i="11" s="1"/>
  <c r="AD267" i="11" s="1"/>
  <c r="D32" i="10" s="1"/>
  <c r="V309" i="11"/>
  <c r="W309" i="11" s="1"/>
  <c r="X309" i="11" s="1"/>
  <c r="Y309" i="11" s="1"/>
  <c r="Z309" i="11" s="1"/>
  <c r="AA309" i="11" s="1"/>
  <c r="AB309" i="11" s="1"/>
  <c r="AC309" i="11" s="1"/>
  <c r="AD309" i="11" s="1"/>
  <c r="D20" i="8" s="1"/>
  <c r="V213" i="11"/>
  <c r="W213" i="11" s="1"/>
  <c r="X213" i="11" s="1"/>
  <c r="Y213" i="11" s="1"/>
  <c r="Z213" i="11" s="1"/>
  <c r="AA213" i="11" s="1"/>
  <c r="AB213" i="11" s="1"/>
  <c r="AC213" i="11" s="1"/>
  <c r="AD213" i="11" s="1"/>
  <c r="D15" i="9" s="1"/>
  <c r="V102" i="11"/>
  <c r="W102" i="11" s="1"/>
  <c r="X102" i="11" s="1"/>
  <c r="Y102" i="11" s="1"/>
  <c r="Z102" i="11" s="1"/>
  <c r="AA102" i="11" s="1"/>
  <c r="AB102" i="11" s="1"/>
  <c r="AC102" i="11" s="1"/>
  <c r="AD102" i="11" s="1"/>
  <c r="D13" i="6" s="1"/>
  <c r="V194" i="11"/>
  <c r="W194" i="11" s="1"/>
  <c r="X194" i="11" s="1"/>
  <c r="Y194" i="11" s="1"/>
  <c r="Z194" i="11" s="1"/>
  <c r="AA194" i="11" s="1"/>
  <c r="AB194" i="11" s="1"/>
  <c r="AC194" i="11" s="1"/>
  <c r="AD194" i="11" s="1"/>
  <c r="D13" i="9" s="1"/>
  <c r="V101" i="11"/>
  <c r="W101" i="11" s="1"/>
  <c r="X101" i="11" s="1"/>
  <c r="Y101" i="11" s="1"/>
  <c r="Z101" i="11" s="1"/>
  <c r="AA101" i="11" s="1"/>
  <c r="AB101" i="11" s="1"/>
  <c r="AC101" i="11" s="1"/>
  <c r="AD101" i="11" s="1"/>
  <c r="D12" i="6" s="1"/>
  <c r="V54" i="11"/>
  <c r="W54" i="11" s="1"/>
  <c r="X54" i="11" s="1"/>
  <c r="Y54" i="11" s="1"/>
  <c r="Z54" i="11" s="1"/>
  <c r="AA54" i="11" s="1"/>
  <c r="AB54" i="11" s="1"/>
  <c r="AC54" i="11" s="1"/>
  <c r="AD54" i="11" s="1"/>
  <c r="D15" i="5" s="1"/>
  <c r="V193" i="11"/>
  <c r="W193" i="11" s="1"/>
  <c r="X193" i="11" s="1"/>
  <c r="Y193" i="11" s="1"/>
  <c r="Z193" i="11" s="1"/>
  <c r="AA193" i="11" s="1"/>
  <c r="AB193" i="11" s="1"/>
  <c r="AC193" i="11" s="1"/>
  <c r="AD193" i="11" s="1"/>
  <c r="D12" i="9" s="1"/>
  <c r="T313" i="11"/>
  <c r="U313" i="11" s="1"/>
  <c r="V313" i="11" s="1"/>
  <c r="W313" i="11" s="1"/>
  <c r="X313" i="11" s="1"/>
  <c r="Y313" i="11" s="1"/>
  <c r="Z313" i="11" s="1"/>
  <c r="AA313" i="11" s="1"/>
  <c r="AB313" i="11" s="1"/>
  <c r="AC313" i="11" s="1"/>
  <c r="AD313" i="11" s="1"/>
  <c r="T5" i="11"/>
  <c r="T388" i="11" s="1"/>
  <c r="AC9" i="11"/>
  <c r="AD9" i="11" s="1"/>
  <c r="AC10" i="11"/>
  <c r="AD10" i="11" s="1"/>
  <c r="T300" i="11"/>
  <c r="S302" i="11"/>
  <c r="T265" i="11"/>
  <c r="U265" i="11" s="1"/>
  <c r="T168" i="11"/>
  <c r="U168" i="11" s="1"/>
  <c r="V168" i="11" s="1"/>
  <c r="W168" i="11" s="1"/>
  <c r="X168" i="11" s="1"/>
  <c r="T269" i="11"/>
  <c r="U269" i="11" s="1"/>
  <c r="T167" i="11"/>
  <c r="T252" i="11"/>
  <c r="S254" i="11"/>
  <c r="T248" i="11"/>
  <c r="U248" i="11" s="1"/>
  <c r="V248" i="11" s="1"/>
  <c r="W248" i="11" s="1"/>
  <c r="X248" i="11" s="1"/>
  <c r="Y248" i="11" s="1"/>
  <c r="Z248" i="11" s="1"/>
  <c r="AA248" i="11" s="1"/>
  <c r="AB248" i="11" s="1"/>
  <c r="AC248" i="11" s="1"/>
  <c r="AD248" i="11" s="1"/>
  <c r="T204" i="11"/>
  <c r="S206" i="11"/>
  <c r="T146" i="11"/>
  <c r="T147" i="11"/>
  <c r="T112" i="11"/>
  <c r="S114" i="11"/>
  <c r="T104" i="11"/>
  <c r="T74" i="11"/>
  <c r="T73" i="11"/>
  <c r="U73" i="11" s="1"/>
  <c r="T77" i="11"/>
  <c r="U77" i="11" s="1"/>
  <c r="V77" i="11" s="1"/>
  <c r="W77" i="11" s="1"/>
  <c r="X77" i="11" s="1"/>
  <c r="Y77" i="11" s="1"/>
  <c r="Z77" i="11" s="1"/>
  <c r="AA77" i="11" s="1"/>
  <c r="AB77" i="11" s="1"/>
  <c r="AC77" i="11" s="1"/>
  <c r="AD77" i="11" s="1"/>
  <c r="D37" i="5" s="1"/>
  <c r="T81" i="11"/>
  <c r="U81" i="11" s="1"/>
  <c r="T65" i="11"/>
  <c r="S67" i="11"/>
  <c r="T55" i="11"/>
  <c r="U55" i="11" s="1"/>
  <c r="T57" i="11"/>
  <c r="T274" i="11"/>
  <c r="T273" i="11"/>
  <c r="U273" i="11" s="1"/>
  <c r="V273" i="11" s="1"/>
  <c r="W273" i="11" s="1"/>
  <c r="X273" i="11" s="1"/>
  <c r="Y273" i="11" s="1"/>
  <c r="Z273" i="11" s="1"/>
  <c r="AA273" i="11" s="1"/>
  <c r="AB273" i="11" s="1"/>
  <c r="AC273" i="11" s="1"/>
  <c r="AD273" i="11" s="1"/>
  <c r="T261" i="11"/>
  <c r="U261" i="11" s="1"/>
  <c r="T226" i="11"/>
  <c r="T199" i="11"/>
  <c r="U199" i="11" s="1"/>
  <c r="V199" i="11" s="1"/>
  <c r="W199" i="11" s="1"/>
  <c r="X199" i="11" s="1"/>
  <c r="Y199" i="11" s="1"/>
  <c r="Z199" i="11" s="1"/>
  <c r="AA199" i="11" s="1"/>
  <c r="AB199" i="11" s="1"/>
  <c r="AC199" i="11" s="1"/>
  <c r="AD199" i="11" s="1"/>
  <c r="T172" i="11"/>
  <c r="U172" i="11" s="1"/>
  <c r="V172" i="11" s="1"/>
  <c r="W172" i="11" s="1"/>
  <c r="X172" i="11" s="1"/>
  <c r="Y172" i="11" s="1"/>
  <c r="Z172" i="11" s="1"/>
  <c r="AA172" i="11" s="1"/>
  <c r="AB172" i="11" s="1"/>
  <c r="AC172" i="11" s="1"/>
  <c r="AD172" i="11" s="1"/>
  <c r="T197" i="11"/>
  <c r="U197" i="11" s="1"/>
  <c r="V197" i="11" s="1"/>
  <c r="W197" i="11" s="1"/>
  <c r="X197" i="11" s="1"/>
  <c r="Y197" i="11" s="1"/>
  <c r="Z197" i="11" s="1"/>
  <c r="AA197" i="11" s="1"/>
  <c r="AB197" i="11" s="1"/>
  <c r="AC197" i="11" s="1"/>
  <c r="AD197" i="11" s="1"/>
  <c r="T120" i="11"/>
  <c r="U120" i="11" s="1"/>
  <c r="T105" i="11"/>
  <c r="U105" i="11" s="1"/>
  <c r="V105" i="11" s="1"/>
  <c r="W105" i="11" s="1"/>
  <c r="X105" i="11" s="1"/>
  <c r="Y105" i="11" s="1"/>
  <c r="Z105" i="11" s="1"/>
  <c r="AA105" i="11" s="1"/>
  <c r="AB105" i="11" s="1"/>
  <c r="AC105" i="11" s="1"/>
  <c r="AD105" i="11" s="1"/>
  <c r="T56" i="11"/>
  <c r="U56" i="11" s="1"/>
  <c r="AA18" i="11"/>
  <c r="Z20" i="11"/>
  <c r="U63" i="11"/>
  <c r="V63" i="11" s="1"/>
  <c r="W63" i="11" s="1"/>
  <c r="X63" i="11" s="1"/>
  <c r="Y63" i="11" s="1"/>
  <c r="Z63" i="11" s="1"/>
  <c r="AA63" i="11" s="1"/>
  <c r="AB63" i="11" s="1"/>
  <c r="AC63" i="11" s="1"/>
  <c r="AD63" i="11" s="1"/>
  <c r="U59" i="11"/>
  <c r="V59" i="11" s="1"/>
  <c r="W59" i="11" s="1"/>
  <c r="X59" i="11" s="1"/>
  <c r="Y59" i="11" s="1"/>
  <c r="Z59" i="11" s="1"/>
  <c r="AA59" i="11" s="1"/>
  <c r="AB59" i="11" s="1"/>
  <c r="AC59" i="11" s="1"/>
  <c r="AD59" i="11" s="1"/>
  <c r="T221" i="11"/>
  <c r="U221" i="11" s="1"/>
  <c r="T296" i="11"/>
  <c r="U296" i="11" s="1"/>
  <c r="V296" i="11" s="1"/>
  <c r="W296" i="11" s="1"/>
  <c r="X296" i="11" s="1"/>
  <c r="Y296" i="11" s="1"/>
  <c r="Z296" i="11" s="1"/>
  <c r="AA296" i="11" s="1"/>
  <c r="AB296" i="11" s="1"/>
  <c r="AC296" i="11" s="1"/>
  <c r="AD296" i="11" s="1"/>
  <c r="T200" i="11"/>
  <c r="U200" i="11" s="1"/>
  <c r="V200" i="11" s="1"/>
  <c r="W200" i="11" s="1"/>
  <c r="X200" i="11" s="1"/>
  <c r="Y200" i="11" s="1"/>
  <c r="Z200" i="11" s="1"/>
  <c r="AA200" i="11" s="1"/>
  <c r="AB200" i="11" s="1"/>
  <c r="AC200" i="11" s="1"/>
  <c r="AD200" i="11" s="1"/>
  <c r="T174" i="11"/>
  <c r="U174" i="11" s="1"/>
  <c r="T109" i="11"/>
  <c r="U109" i="11" s="1"/>
  <c r="V109" i="11" s="1"/>
  <c r="W109" i="11" s="1"/>
  <c r="X109" i="11" s="1"/>
  <c r="Y109" i="11" s="1"/>
  <c r="Z109" i="11" s="1"/>
  <c r="AA109" i="11" s="1"/>
  <c r="AB109" i="11" s="1"/>
  <c r="AC109" i="11" s="1"/>
  <c r="AD109" i="11" s="1"/>
  <c r="T179" i="11"/>
  <c r="U179" i="11" s="1"/>
  <c r="V179" i="11" s="1"/>
  <c r="W179" i="11" s="1"/>
  <c r="X179" i="11" s="1"/>
  <c r="Y179" i="11" s="1"/>
  <c r="Z179" i="11" s="1"/>
  <c r="AA179" i="11" s="1"/>
  <c r="AB179" i="11" s="1"/>
  <c r="AC179" i="11" s="1"/>
  <c r="AD179" i="11" s="1"/>
  <c r="T317" i="11"/>
  <c r="T198" i="11"/>
  <c r="U198" i="11" s="1"/>
  <c r="V198" i="11" s="1"/>
  <c r="W198" i="11" s="1"/>
  <c r="X198" i="11" s="1"/>
  <c r="Y198" i="11" s="1"/>
  <c r="Z198" i="11" s="1"/>
  <c r="AA198" i="11" s="1"/>
  <c r="AB198" i="11" s="1"/>
  <c r="AC198" i="11" s="1"/>
  <c r="AD198" i="11" s="1"/>
  <c r="T58" i="11"/>
  <c r="T86" i="11"/>
  <c r="T297" i="11"/>
  <c r="U297" i="11" s="1"/>
  <c r="V297" i="11" s="1"/>
  <c r="W297" i="11" s="1"/>
  <c r="X297" i="11" s="1"/>
  <c r="Y297" i="11" s="1"/>
  <c r="Z297" i="11" s="1"/>
  <c r="AA297" i="11" s="1"/>
  <c r="AB297" i="11" s="1"/>
  <c r="AC297" i="11" s="1"/>
  <c r="AD297" i="11" s="1"/>
  <c r="Z34" i="11"/>
  <c r="AA34" i="11" s="1"/>
  <c r="AB34" i="11" s="1"/>
  <c r="AC34" i="11" s="1"/>
  <c r="AD34" i="11" s="1"/>
  <c r="D43" i="1" s="1"/>
  <c r="Z11" i="11"/>
  <c r="AA11" i="11" s="1"/>
  <c r="AB11" i="11" s="1"/>
  <c r="Z40" i="11"/>
  <c r="Z14" i="11"/>
  <c r="AA14" i="11" s="1"/>
  <c r="AB14" i="11" s="1"/>
  <c r="AC14" i="11" s="1"/>
  <c r="AD14" i="11" s="1"/>
  <c r="Z31" i="11"/>
  <c r="AA31" i="11" s="1"/>
  <c r="AB31" i="11" s="1"/>
  <c r="AC31" i="11" s="1"/>
  <c r="AD31" i="11" s="1"/>
  <c r="D45" i="1" s="1"/>
  <c r="Z35" i="11"/>
  <c r="AA35" i="11" s="1"/>
  <c r="AB35" i="11" s="1"/>
  <c r="Z30" i="11"/>
  <c r="AA30" i="11" s="1"/>
  <c r="AB30" i="11" s="1"/>
  <c r="AC30" i="11" s="1"/>
  <c r="AD30" i="11" s="1"/>
  <c r="Z12" i="11"/>
  <c r="AA12" i="11" s="1"/>
  <c r="AB12" i="11" s="1"/>
  <c r="AC12" i="11" s="1"/>
  <c r="AD12" i="11" s="1"/>
  <c r="Z7" i="11"/>
  <c r="AA7" i="11" s="1"/>
  <c r="AB7" i="11" s="1"/>
  <c r="AC7" i="11" s="1"/>
  <c r="Z6" i="11"/>
  <c r="Z17" i="11"/>
  <c r="AA17" i="11" s="1"/>
  <c r="AB17" i="11" s="1"/>
  <c r="AC17" i="11" s="1"/>
  <c r="AD17" i="11" s="1"/>
  <c r="T4" i="11"/>
  <c r="U4" i="11" s="1"/>
  <c r="V4" i="11" s="1"/>
  <c r="W4" i="11" s="1"/>
  <c r="X4" i="11" s="1"/>
  <c r="Y4" i="11" s="1"/>
  <c r="Z4" i="11" s="1"/>
  <c r="AA4" i="11" s="1"/>
  <c r="AB4" i="11" s="1"/>
  <c r="AC4" i="11" s="1"/>
  <c r="AD4" i="11" s="1"/>
  <c r="T240" i="11"/>
  <c r="T259" i="11"/>
  <c r="U259" i="11" s="1"/>
  <c r="T249" i="11"/>
  <c r="U249" i="11" s="1"/>
  <c r="V249" i="11" s="1"/>
  <c r="W249" i="11" s="1"/>
  <c r="X249" i="11" s="1"/>
  <c r="Y249" i="11" s="1"/>
  <c r="Z249" i="11" s="1"/>
  <c r="AA249" i="11" s="1"/>
  <c r="AB249" i="11" s="1"/>
  <c r="AC249" i="11" s="1"/>
  <c r="AD249" i="11" s="1"/>
  <c r="T241" i="11"/>
  <c r="U241" i="11" s="1"/>
  <c r="T159" i="11"/>
  <c r="Z29" i="11"/>
  <c r="AA29" i="11" s="1"/>
  <c r="AB29" i="11" s="1"/>
  <c r="AC29" i="11" s="1"/>
  <c r="AD29" i="11" s="1"/>
  <c r="T242" i="11"/>
  <c r="U242" i="11" s="1"/>
  <c r="T156" i="11"/>
  <c r="U156" i="11" s="1"/>
  <c r="V156" i="11" s="1"/>
  <c r="W156" i="11" s="1"/>
  <c r="X156" i="11" s="1"/>
  <c r="Y156" i="11" s="1"/>
  <c r="Z156" i="11" s="1"/>
  <c r="AA156" i="11" s="1"/>
  <c r="AB156" i="11" s="1"/>
  <c r="AC156" i="11" s="1"/>
  <c r="AD156" i="11" s="1"/>
  <c r="Z28" i="11"/>
  <c r="AA28" i="11" s="1"/>
  <c r="AB28" i="11" s="1"/>
  <c r="AC28" i="11" s="1"/>
  <c r="AD28" i="11" s="1"/>
  <c r="Z45" i="11"/>
  <c r="U286" i="11"/>
  <c r="V286" i="11" s="1"/>
  <c r="W286" i="11" s="1"/>
  <c r="X286" i="11" s="1"/>
  <c r="Y286" i="11" s="1"/>
  <c r="Z286" i="11" s="1"/>
  <c r="AA286" i="11" s="1"/>
  <c r="AB286" i="11" s="1"/>
  <c r="AC286" i="11" s="1"/>
  <c r="AD286" i="11" s="1"/>
  <c r="U98" i="11"/>
  <c r="V98" i="11" s="1"/>
  <c r="W98" i="11" s="1"/>
  <c r="X98" i="11" s="1"/>
  <c r="Y98" i="11" s="1"/>
  <c r="Z98" i="11" s="1"/>
  <c r="AA98" i="11" s="1"/>
  <c r="AB98" i="11" s="1"/>
  <c r="AC98" i="11" s="1"/>
  <c r="AD98" i="11" s="1"/>
  <c r="E35" i="5"/>
  <c r="R51" i="5" l="1"/>
  <c r="R50" i="6"/>
  <c r="R50" i="5"/>
  <c r="R52" i="5"/>
  <c r="D52" i="5"/>
  <c r="AA40" i="11"/>
  <c r="AB40" i="11" s="1"/>
  <c r="AC40" i="11" s="1"/>
  <c r="AD40" i="11" s="1"/>
  <c r="D42" i="1" s="1"/>
  <c r="R29" i="6"/>
  <c r="U226" i="11"/>
  <c r="V226" i="11" s="1"/>
  <c r="W226" i="11" s="1"/>
  <c r="X226" i="11" s="1"/>
  <c r="Y226" i="11" s="1"/>
  <c r="Z226" i="11" s="1"/>
  <c r="AA226" i="11" s="1"/>
  <c r="AB226" i="11" s="1"/>
  <c r="AC226" i="11" s="1"/>
  <c r="AD226" i="11" s="1"/>
  <c r="D30" i="9" s="1"/>
  <c r="U274" i="11"/>
  <c r="R49" i="5"/>
  <c r="AA45" i="11"/>
  <c r="AB45" i="11" s="1"/>
  <c r="AC45" i="11" s="1"/>
  <c r="AD45" i="11" s="1"/>
  <c r="D52" i="1" s="1"/>
  <c r="Y155" i="11"/>
  <c r="Z155" i="11" s="1"/>
  <c r="AA155" i="11" s="1"/>
  <c r="AB155" i="11" s="1"/>
  <c r="AC155" i="11" s="1"/>
  <c r="AD155" i="11" s="1"/>
  <c r="D28" i="7" s="1"/>
  <c r="Y168" i="11"/>
  <c r="Z168" i="11" s="1"/>
  <c r="AA168" i="11" s="1"/>
  <c r="AB168" i="11" s="1"/>
  <c r="AC168" i="11" s="1"/>
  <c r="AD168" i="11" s="1"/>
  <c r="D13" i="7" s="1"/>
  <c r="Y178" i="11"/>
  <c r="Z178" i="11" s="1"/>
  <c r="AA178" i="11" s="1"/>
  <c r="AB178" i="11" s="1"/>
  <c r="AC178" i="11" s="1"/>
  <c r="AD178" i="11" s="1"/>
  <c r="D27" i="7" s="1"/>
  <c r="R13" i="9"/>
  <c r="R28" i="6"/>
  <c r="V196" i="11"/>
  <c r="W196" i="11" s="1"/>
  <c r="X196" i="11" s="1"/>
  <c r="Y196" i="11" s="1"/>
  <c r="Z196" i="11" s="1"/>
  <c r="AA196" i="11" s="1"/>
  <c r="AB196" i="11" s="1"/>
  <c r="AC196" i="11" s="1"/>
  <c r="AD196" i="11" s="1"/>
  <c r="D33" i="9" s="1"/>
  <c r="R16" i="10"/>
  <c r="U53" i="11"/>
  <c r="U396" i="11" s="1"/>
  <c r="U240" i="11"/>
  <c r="U401" i="11" s="1"/>
  <c r="T401" i="11"/>
  <c r="U239" i="11"/>
  <c r="T394" i="11"/>
  <c r="U288" i="11"/>
  <c r="T399" i="11"/>
  <c r="U192" i="11"/>
  <c r="T400" i="11"/>
  <c r="U191" i="11"/>
  <c r="T393" i="11"/>
  <c r="U287" i="11"/>
  <c r="T392" i="11"/>
  <c r="U147" i="11"/>
  <c r="T398" i="11"/>
  <c r="U146" i="11"/>
  <c r="T391" i="11"/>
  <c r="U100" i="11"/>
  <c r="T397" i="11"/>
  <c r="U99" i="11"/>
  <c r="T390" i="11"/>
  <c r="U52" i="11"/>
  <c r="T389" i="11"/>
  <c r="AA6" i="11"/>
  <c r="Z395" i="11"/>
  <c r="U317" i="11"/>
  <c r="V317" i="11" s="1"/>
  <c r="W317" i="11" s="1"/>
  <c r="X317" i="11" s="1"/>
  <c r="Y317" i="11" s="1"/>
  <c r="Z317" i="11" s="1"/>
  <c r="AA317" i="11" s="1"/>
  <c r="AB317" i="11" s="1"/>
  <c r="AC317" i="11" s="1"/>
  <c r="AD317" i="11" s="1"/>
  <c r="D43" i="8" s="1"/>
  <c r="U167" i="11"/>
  <c r="V167" i="11" s="1"/>
  <c r="W167" i="11" s="1"/>
  <c r="X167" i="11" s="1"/>
  <c r="U74" i="11"/>
  <c r="V74" i="11" s="1"/>
  <c r="W74" i="11" s="1"/>
  <c r="X74" i="11" s="1"/>
  <c r="Y74" i="11" s="1"/>
  <c r="U57" i="11"/>
  <c r="V57" i="11" s="1"/>
  <c r="W57" i="11" s="1"/>
  <c r="X57" i="11" s="1"/>
  <c r="Y57" i="11" s="1"/>
  <c r="Z57" i="11" s="1"/>
  <c r="AA57" i="11" s="1"/>
  <c r="AB57" i="11" s="1"/>
  <c r="AC57" i="11" s="1"/>
  <c r="AD57" i="11" s="1"/>
  <c r="D39" i="5" s="1"/>
  <c r="U104" i="11"/>
  <c r="V104" i="11" s="1"/>
  <c r="W104" i="11" s="1"/>
  <c r="X104" i="11" s="1"/>
  <c r="Y104" i="11" s="1"/>
  <c r="Z104" i="11" s="1"/>
  <c r="AA104" i="11" s="1"/>
  <c r="AB104" i="11" s="1"/>
  <c r="AC104" i="11" s="1"/>
  <c r="AD104" i="11" s="1"/>
  <c r="D30" i="6" s="1"/>
  <c r="D26" i="6" s="1"/>
  <c r="R32" i="10"/>
  <c r="R32" i="6"/>
  <c r="R16" i="9"/>
  <c r="R15" i="9"/>
  <c r="R31" i="9"/>
  <c r="R12" i="9"/>
  <c r="R15" i="6"/>
  <c r="R12" i="6"/>
  <c r="R13" i="6"/>
  <c r="R15" i="5"/>
  <c r="D14" i="1"/>
  <c r="R14" i="1"/>
  <c r="U5" i="11"/>
  <c r="V221" i="11"/>
  <c r="W221" i="11" s="1"/>
  <c r="X221" i="11" s="1"/>
  <c r="Y221" i="11" s="1"/>
  <c r="Z221" i="11" s="1"/>
  <c r="AA221" i="11" s="1"/>
  <c r="AB221" i="11" s="1"/>
  <c r="AC221" i="11" s="1"/>
  <c r="AD221" i="11" s="1"/>
  <c r="D37" i="9" s="1"/>
  <c r="R46" i="1"/>
  <c r="D46" i="1"/>
  <c r="V259" i="11"/>
  <c r="W259" i="11" s="1"/>
  <c r="X259" i="11" s="1"/>
  <c r="Y259" i="11" s="1"/>
  <c r="Z259" i="11" s="1"/>
  <c r="AA259" i="11" s="1"/>
  <c r="AB259" i="11" s="1"/>
  <c r="AC259" i="11" s="1"/>
  <c r="AD259" i="11" s="1"/>
  <c r="D6" i="10" s="1"/>
  <c r="V242" i="11"/>
  <c r="W242" i="11" s="1"/>
  <c r="X242" i="11" s="1"/>
  <c r="Y242" i="11" s="1"/>
  <c r="Z242" i="11" s="1"/>
  <c r="AA242" i="11" s="1"/>
  <c r="AB242" i="11" s="1"/>
  <c r="AC242" i="11" s="1"/>
  <c r="AD242" i="11" s="1"/>
  <c r="D13" i="10" s="1"/>
  <c r="V174" i="11"/>
  <c r="W174" i="11" s="1"/>
  <c r="X174" i="11" s="1"/>
  <c r="V265" i="11"/>
  <c r="W265" i="11" s="1"/>
  <c r="X265" i="11" s="1"/>
  <c r="Y265" i="11" s="1"/>
  <c r="Z265" i="11" s="1"/>
  <c r="AA265" i="11" s="1"/>
  <c r="AB265" i="11" s="1"/>
  <c r="AC265" i="11" s="1"/>
  <c r="AD265" i="11" s="1"/>
  <c r="D31" i="10" s="1"/>
  <c r="V241" i="11"/>
  <c r="W241" i="11" s="1"/>
  <c r="X241" i="11" s="1"/>
  <c r="Y241" i="11" s="1"/>
  <c r="Z241" i="11" s="1"/>
  <c r="AA241" i="11" s="1"/>
  <c r="AB241" i="11" s="1"/>
  <c r="AC241" i="11" s="1"/>
  <c r="AD241" i="11" s="1"/>
  <c r="D12" i="10" s="1"/>
  <c r="V81" i="11"/>
  <c r="W81" i="11" s="1"/>
  <c r="X81" i="11" s="1"/>
  <c r="Y81" i="11" s="1"/>
  <c r="Z81" i="11" s="1"/>
  <c r="AA81" i="11" s="1"/>
  <c r="AB81" i="11" s="1"/>
  <c r="AC81" i="11" s="1"/>
  <c r="AD81" i="11" s="1"/>
  <c r="D41" i="5" s="1"/>
  <c r="V261" i="11"/>
  <c r="W261" i="11" s="1"/>
  <c r="X261" i="11" s="1"/>
  <c r="Y261" i="11" s="1"/>
  <c r="Z261" i="11" s="1"/>
  <c r="AA261" i="11" s="1"/>
  <c r="AB261" i="11" s="1"/>
  <c r="AC261" i="11" s="1"/>
  <c r="AD261" i="11" s="1"/>
  <c r="D15" i="10" s="1"/>
  <c r="V269" i="11"/>
  <c r="W269" i="11" s="1"/>
  <c r="X269" i="11" s="1"/>
  <c r="Y269" i="11" s="1"/>
  <c r="Z269" i="11" s="1"/>
  <c r="AA269" i="11" s="1"/>
  <c r="AB269" i="11" s="1"/>
  <c r="AC269" i="11" s="1"/>
  <c r="AD269" i="11" s="1"/>
  <c r="D36" i="10" s="1"/>
  <c r="V73" i="11"/>
  <c r="W73" i="11" s="1"/>
  <c r="X73" i="11" s="1"/>
  <c r="Y73" i="11" s="1"/>
  <c r="Z73" i="11" s="1"/>
  <c r="AA73" i="11" s="1"/>
  <c r="AB73" i="11" s="1"/>
  <c r="AC73" i="11" s="1"/>
  <c r="AD73" i="11" s="1"/>
  <c r="D17" i="5" s="1"/>
  <c r="V120" i="11"/>
  <c r="W120" i="11" s="1"/>
  <c r="X120" i="11" s="1"/>
  <c r="Y120" i="11" s="1"/>
  <c r="Z120" i="11" s="1"/>
  <c r="AA120" i="11" s="1"/>
  <c r="AB120" i="11" s="1"/>
  <c r="AC120" i="11" s="1"/>
  <c r="AD120" i="11" s="1"/>
  <c r="D14" i="6" s="1"/>
  <c r="V55" i="11"/>
  <c r="W55" i="11" s="1"/>
  <c r="X55" i="11" s="1"/>
  <c r="Y55" i="11" s="1"/>
  <c r="Z55" i="11" s="1"/>
  <c r="AA55" i="11" s="1"/>
  <c r="AB55" i="11" s="1"/>
  <c r="AC55" i="11" s="1"/>
  <c r="AD55" i="11" s="1"/>
  <c r="D16" i="5" s="1"/>
  <c r="D37" i="8"/>
  <c r="AC35" i="11"/>
  <c r="AC11" i="11"/>
  <c r="AD11" i="11" s="1"/>
  <c r="V56" i="11"/>
  <c r="W56" i="11" s="1"/>
  <c r="X56" i="11" s="1"/>
  <c r="Y56" i="11" s="1"/>
  <c r="Z56" i="11" s="1"/>
  <c r="AA56" i="11" s="1"/>
  <c r="AB56" i="11" s="1"/>
  <c r="AC56" i="11" s="1"/>
  <c r="AD56" i="11" s="1"/>
  <c r="R37" i="5"/>
  <c r="U204" i="11"/>
  <c r="T206" i="11"/>
  <c r="U252" i="11"/>
  <c r="T254" i="11"/>
  <c r="U300" i="11"/>
  <c r="T302" i="11"/>
  <c r="U159" i="11"/>
  <c r="T161" i="11"/>
  <c r="U112" i="11"/>
  <c r="T114" i="11"/>
  <c r="U65" i="11"/>
  <c r="T67" i="11"/>
  <c r="AB18" i="11"/>
  <c r="AA20" i="11"/>
  <c r="Q35" i="5"/>
  <c r="U86" i="11"/>
  <c r="V86" i="11" s="1"/>
  <c r="W86" i="11" s="1"/>
  <c r="X86" i="11" s="1"/>
  <c r="Y86" i="11" s="1"/>
  <c r="Z86" i="11" s="1"/>
  <c r="AA86" i="11" s="1"/>
  <c r="AB86" i="11" s="1"/>
  <c r="AC86" i="11" s="1"/>
  <c r="AD86" i="11" s="1"/>
  <c r="D38" i="5" s="1"/>
  <c r="U58" i="11"/>
  <c r="V58" i="11" s="1"/>
  <c r="W58" i="11" s="1"/>
  <c r="X58" i="11" s="1"/>
  <c r="Y58" i="11" s="1"/>
  <c r="Z58" i="11" s="1"/>
  <c r="AA58" i="11" s="1"/>
  <c r="AB58" i="11" s="1"/>
  <c r="AC58" i="11" s="1"/>
  <c r="AD58" i="11" s="1"/>
  <c r="AD7" i="11"/>
  <c r="D19" i="1" s="1"/>
  <c r="Z8" i="11"/>
  <c r="AA8" i="11" s="1"/>
  <c r="AB8" i="11" s="1"/>
  <c r="AC8" i="11" s="1"/>
  <c r="Q38" i="5"/>
  <c r="R52" i="1" l="1"/>
  <c r="R42" i="1"/>
  <c r="Z74" i="11"/>
  <c r="AA74" i="11" s="1"/>
  <c r="AB74" i="11" s="1"/>
  <c r="AC74" i="11" s="1"/>
  <c r="AD74" i="11" s="1"/>
  <c r="D18" i="5" s="1"/>
  <c r="V274" i="11"/>
  <c r="W274" i="11" s="1"/>
  <c r="X274" i="11" s="1"/>
  <c r="Y274" i="11" s="1"/>
  <c r="Z274" i="11" s="1"/>
  <c r="AA274" i="11" s="1"/>
  <c r="AB274" i="11" s="1"/>
  <c r="AC274" i="11" s="1"/>
  <c r="AD274" i="11" s="1"/>
  <c r="D30" i="10" s="1"/>
  <c r="R30" i="9"/>
  <c r="R39" i="5"/>
  <c r="R38" i="5"/>
  <c r="D35" i="5"/>
  <c r="AD35" i="11"/>
  <c r="D32" i="1" s="1"/>
  <c r="R27" i="7"/>
  <c r="R13" i="7"/>
  <c r="R28" i="7"/>
  <c r="Y167" i="11"/>
  <c r="Z167" i="11" s="1"/>
  <c r="AA167" i="11" s="1"/>
  <c r="AB167" i="11" s="1"/>
  <c r="AC167" i="11" s="1"/>
  <c r="AD167" i="11" s="1"/>
  <c r="D12" i="7" s="1"/>
  <c r="Y174" i="11"/>
  <c r="Z174" i="11" s="1"/>
  <c r="AA174" i="11" s="1"/>
  <c r="AB174" i="11" s="1"/>
  <c r="AC174" i="11" s="1"/>
  <c r="AD174" i="11" s="1"/>
  <c r="D31" i="7" s="1"/>
  <c r="R12" i="10"/>
  <c r="R33" i="9"/>
  <c r="R41" i="5"/>
  <c r="R30" i="6"/>
  <c r="S38" i="5"/>
  <c r="V240" i="11"/>
  <c r="W240" i="11" s="1"/>
  <c r="V53" i="11"/>
  <c r="W53" i="11" s="1"/>
  <c r="W396" i="11" s="1"/>
  <c r="U394" i="11"/>
  <c r="V239" i="11"/>
  <c r="U400" i="11"/>
  <c r="V192" i="11"/>
  <c r="U399" i="11"/>
  <c r="V288" i="11"/>
  <c r="U392" i="11"/>
  <c r="V287" i="11"/>
  <c r="U393" i="11"/>
  <c r="V191" i="11"/>
  <c r="V147" i="11"/>
  <c r="U398" i="11"/>
  <c r="V146" i="11"/>
  <c r="U391" i="11"/>
  <c r="U397" i="11"/>
  <c r="V100" i="11"/>
  <c r="U390" i="11"/>
  <c r="V99" i="11"/>
  <c r="U389" i="11"/>
  <c r="V52" i="11"/>
  <c r="AB6" i="11"/>
  <c r="AA395" i="11"/>
  <c r="R35" i="5"/>
  <c r="S35" i="5"/>
  <c r="V5" i="11"/>
  <c r="U388" i="11"/>
  <c r="R14" i="6"/>
  <c r="R15" i="10"/>
  <c r="R17" i="5"/>
  <c r="R16" i="5"/>
  <c r="R36" i="10"/>
  <c r="R31" i="10"/>
  <c r="R6" i="10"/>
  <c r="R13" i="10"/>
  <c r="R37" i="9"/>
  <c r="V252" i="11"/>
  <c r="U254" i="11"/>
  <c r="V300" i="11"/>
  <c r="U302" i="11"/>
  <c r="V204" i="11"/>
  <c r="U206" i="11"/>
  <c r="V159" i="11"/>
  <c r="U161" i="11"/>
  <c r="V112" i="11"/>
  <c r="U114" i="11"/>
  <c r="V65" i="11"/>
  <c r="U67" i="11"/>
  <c r="AC18" i="11"/>
  <c r="AB20" i="11"/>
  <c r="AD8" i="11"/>
  <c r="D20" i="1" s="1"/>
  <c r="B301" i="2"/>
  <c r="B302" i="2"/>
  <c r="B258" i="2"/>
  <c r="B259" i="2"/>
  <c r="B215" i="2"/>
  <c r="B216" i="2"/>
  <c r="B172" i="2"/>
  <c r="B173" i="2"/>
  <c r="B129" i="2"/>
  <c r="B130" i="2"/>
  <c r="B86" i="2"/>
  <c r="B87" i="2"/>
  <c r="B42" i="2"/>
  <c r="B43" i="2"/>
  <c r="R18" i="5" l="1"/>
  <c r="R32" i="1"/>
  <c r="R30" i="10"/>
  <c r="R12" i="7"/>
  <c r="R31" i="7"/>
  <c r="X53" i="11"/>
  <c r="Y53" i="11" s="1"/>
  <c r="V396" i="11"/>
  <c r="V401" i="11"/>
  <c r="W239" i="11"/>
  <c r="V394" i="11"/>
  <c r="X240" i="11"/>
  <c r="W401" i="11"/>
  <c r="W288" i="11"/>
  <c r="V399" i="11"/>
  <c r="W192" i="11"/>
  <c r="V400" i="11"/>
  <c r="W191" i="11"/>
  <c r="V393" i="11"/>
  <c r="W287" i="11"/>
  <c r="V392" i="11"/>
  <c r="W147" i="11"/>
  <c r="V398" i="11"/>
  <c r="W146" i="11"/>
  <c r="V391" i="11"/>
  <c r="W100" i="11"/>
  <c r="V397" i="11"/>
  <c r="W99" i="11"/>
  <c r="V390" i="11"/>
  <c r="W52" i="11"/>
  <c r="V389" i="11"/>
  <c r="AC6" i="11"/>
  <c r="AB395" i="11"/>
  <c r="W5" i="11"/>
  <c r="W388" i="11" s="1"/>
  <c r="V388" i="11"/>
  <c r="W204" i="11"/>
  <c r="V206" i="11"/>
  <c r="W252" i="11"/>
  <c r="V254" i="11"/>
  <c r="W300" i="11"/>
  <c r="V302" i="11"/>
  <c r="W159" i="11"/>
  <c r="V161" i="11"/>
  <c r="W112" i="11"/>
  <c r="V114" i="11"/>
  <c r="W65" i="11"/>
  <c r="V67" i="11"/>
  <c r="AD18" i="11"/>
  <c r="AD20" i="11" s="1"/>
  <c r="AC20" i="11"/>
  <c r="R11" i="1" s="1"/>
  <c r="X396" i="11" l="1"/>
  <c r="Y240" i="11"/>
  <c r="X401" i="11"/>
  <c r="X239" i="11"/>
  <c r="W394" i="11"/>
  <c r="X192" i="11"/>
  <c r="W400" i="11"/>
  <c r="X288" i="11"/>
  <c r="W399" i="11"/>
  <c r="X287" i="11"/>
  <c r="W392" i="11"/>
  <c r="X191" i="11"/>
  <c r="W393" i="11"/>
  <c r="X147" i="11"/>
  <c r="W398" i="11"/>
  <c r="X146" i="11"/>
  <c r="W391" i="11"/>
  <c r="X100" i="11"/>
  <c r="W397" i="11"/>
  <c r="X99" i="11"/>
  <c r="W390" i="11"/>
  <c r="X52" i="11"/>
  <c r="W389" i="11"/>
  <c r="Z53" i="11"/>
  <c r="Y396" i="11"/>
  <c r="AC395" i="11"/>
  <c r="AD6" i="11"/>
  <c r="X5" i="11"/>
  <c r="D11" i="1"/>
  <c r="X300" i="11"/>
  <c r="W302" i="11"/>
  <c r="X204" i="11"/>
  <c r="W206" i="11"/>
  <c r="X252" i="11"/>
  <c r="W254" i="11"/>
  <c r="X159" i="11"/>
  <c r="W161" i="11"/>
  <c r="X112" i="11"/>
  <c r="W114" i="11"/>
  <c r="X65" i="11"/>
  <c r="W67" i="11"/>
  <c r="Y239" i="11" l="1"/>
  <c r="X394" i="11"/>
  <c r="Z240" i="11"/>
  <c r="Y401" i="11"/>
  <c r="Y288" i="11"/>
  <c r="X399" i="11"/>
  <c r="Y192" i="11"/>
  <c r="X400" i="11"/>
  <c r="Y191" i="11"/>
  <c r="X393" i="11"/>
  <c r="Y287" i="11"/>
  <c r="X392" i="11"/>
  <c r="Y147" i="11"/>
  <c r="X398" i="11"/>
  <c r="Y146" i="11"/>
  <c r="X391" i="11"/>
  <c r="Y100" i="11"/>
  <c r="X397" i="11"/>
  <c r="Y99" i="11"/>
  <c r="X390" i="11"/>
  <c r="AA53" i="11"/>
  <c r="Z396" i="11"/>
  <c r="Y52" i="11"/>
  <c r="X389" i="11"/>
  <c r="D8" i="1"/>
  <c r="D10" i="1" s="1"/>
  <c r="AD395" i="11"/>
  <c r="Y5" i="11"/>
  <c r="X388" i="11"/>
  <c r="Y252" i="11"/>
  <c r="X254" i="11"/>
  <c r="Y300" i="11"/>
  <c r="X302" i="11"/>
  <c r="Y204" i="11"/>
  <c r="X206" i="11"/>
  <c r="Y159" i="11"/>
  <c r="X161" i="11"/>
  <c r="Y112" i="11"/>
  <c r="X114" i="11"/>
  <c r="Y65" i="11"/>
  <c r="X67" i="11"/>
  <c r="AA240" i="11" l="1"/>
  <c r="Z401" i="11"/>
  <c r="Z239" i="11"/>
  <c r="Y394" i="11"/>
  <c r="Z192" i="11"/>
  <c r="Y400" i="11"/>
  <c r="Z288" i="11"/>
  <c r="Y399" i="11"/>
  <c r="Z287" i="11"/>
  <c r="Y392" i="11"/>
  <c r="Z191" i="11"/>
  <c r="Y393" i="11"/>
  <c r="Z147" i="11"/>
  <c r="Y398" i="11"/>
  <c r="Z146" i="11"/>
  <c r="Y391" i="11"/>
  <c r="Z100" i="11"/>
  <c r="Y397" i="11"/>
  <c r="Z99" i="11"/>
  <c r="Y390" i="11"/>
  <c r="Z52" i="11"/>
  <c r="Y389" i="11"/>
  <c r="AB53" i="11"/>
  <c r="AA396" i="11"/>
  <c r="Z5" i="11"/>
  <c r="Y388" i="11"/>
  <c r="Z204" i="11"/>
  <c r="Y206" i="11"/>
  <c r="Z252" i="11"/>
  <c r="Y254" i="11"/>
  <c r="Z300" i="11"/>
  <c r="Y302" i="11"/>
  <c r="Z159" i="11"/>
  <c r="Y161" i="11"/>
  <c r="Z112" i="11"/>
  <c r="Y114" i="11"/>
  <c r="Z65" i="11"/>
  <c r="Y67" i="11"/>
  <c r="AA239" i="11" l="1"/>
  <c r="Z394" i="11"/>
  <c r="AB240" i="11"/>
  <c r="AA401" i="11"/>
  <c r="AA288" i="11"/>
  <c r="Z399" i="11"/>
  <c r="AA192" i="11"/>
  <c r="Z400" i="11"/>
  <c r="AA191" i="11"/>
  <c r="Z393" i="11"/>
  <c r="AA287" i="11"/>
  <c r="Z392" i="11"/>
  <c r="AA147" i="11"/>
  <c r="Z398" i="11"/>
  <c r="AA146" i="11"/>
  <c r="Z391" i="11"/>
  <c r="AA100" i="11"/>
  <c r="Z397" i="11"/>
  <c r="AA99" i="11"/>
  <c r="Z390" i="11"/>
  <c r="AA52" i="11"/>
  <c r="Z389" i="11"/>
  <c r="AC53" i="11"/>
  <c r="AB396" i="11"/>
  <c r="AA5" i="11"/>
  <c r="Z388" i="11"/>
  <c r="AA300" i="11"/>
  <c r="Z302" i="11"/>
  <c r="AA204" i="11"/>
  <c r="Z206" i="11"/>
  <c r="AA252" i="11"/>
  <c r="Z254" i="11"/>
  <c r="AA159" i="11"/>
  <c r="Z161" i="11"/>
  <c r="AA112" i="11"/>
  <c r="Z114" i="11"/>
  <c r="AA65" i="11"/>
  <c r="Z67" i="11"/>
  <c r="Q27" i="6"/>
  <c r="AC240" i="11" l="1"/>
  <c r="AB401" i="11"/>
  <c r="AB239" i="11"/>
  <c r="AA394" i="11"/>
  <c r="AB192" i="11"/>
  <c r="AA400" i="11"/>
  <c r="AB288" i="11"/>
  <c r="AA399" i="11"/>
  <c r="AB287" i="11"/>
  <c r="AA392" i="11"/>
  <c r="AB191" i="11"/>
  <c r="AA393" i="11"/>
  <c r="AB147" i="11"/>
  <c r="AA398" i="11"/>
  <c r="AB146" i="11"/>
  <c r="AA391" i="11"/>
  <c r="AB100" i="11"/>
  <c r="AA397" i="11"/>
  <c r="AB99" i="11"/>
  <c r="AA390" i="11"/>
  <c r="AD53" i="11"/>
  <c r="R10" i="5" s="1"/>
  <c r="AC396" i="11"/>
  <c r="AB52" i="11"/>
  <c r="AA389" i="11"/>
  <c r="R27" i="6"/>
  <c r="S27" i="6"/>
  <c r="AB5" i="11"/>
  <c r="AA388" i="11"/>
  <c r="AB204" i="11"/>
  <c r="AA206" i="11"/>
  <c r="AB252" i="11"/>
  <c r="AA254" i="11"/>
  <c r="AB300" i="11"/>
  <c r="AA302" i="11"/>
  <c r="AB159" i="11"/>
  <c r="AA161" i="11"/>
  <c r="AB112" i="11"/>
  <c r="AA114" i="11"/>
  <c r="AB65" i="11"/>
  <c r="AA67" i="11"/>
  <c r="Q20" i="1"/>
  <c r="S20" i="1" s="1"/>
  <c r="Q19" i="1"/>
  <c r="S19" i="1" s="1"/>
  <c r="E10" i="1"/>
  <c r="AC239" i="11" l="1"/>
  <c r="AB394" i="11"/>
  <c r="AD240" i="11"/>
  <c r="R8" i="10" s="1"/>
  <c r="AC401" i="11"/>
  <c r="AC288" i="11"/>
  <c r="AB399" i="11"/>
  <c r="AC192" i="11"/>
  <c r="AB400" i="11"/>
  <c r="AC191" i="11"/>
  <c r="AB393" i="11"/>
  <c r="AC287" i="11"/>
  <c r="AB392" i="11"/>
  <c r="AC147" i="11"/>
  <c r="AB398" i="11"/>
  <c r="AC146" i="11"/>
  <c r="AB391" i="11"/>
  <c r="AC100" i="11"/>
  <c r="AB397" i="11"/>
  <c r="AC99" i="11"/>
  <c r="AB390" i="11"/>
  <c r="AC52" i="11"/>
  <c r="AB389" i="11"/>
  <c r="D10" i="5"/>
  <c r="D12" i="5" s="1"/>
  <c r="AD396" i="11"/>
  <c r="R12" i="5" s="1"/>
  <c r="AC5" i="11"/>
  <c r="AB388" i="11"/>
  <c r="E7" i="1"/>
  <c r="AC252" i="11"/>
  <c r="AB254" i="11"/>
  <c r="AC300" i="11"/>
  <c r="AB302" i="11"/>
  <c r="AC204" i="11"/>
  <c r="AB206" i="11"/>
  <c r="AC159" i="11"/>
  <c r="AB161" i="11"/>
  <c r="AC112" i="11"/>
  <c r="AB114" i="11"/>
  <c r="AC65" i="11"/>
  <c r="AD65" i="11" s="1"/>
  <c r="D9" i="5" s="1"/>
  <c r="AB67" i="11"/>
  <c r="B264" i="2"/>
  <c r="B272" i="2"/>
  <c r="B275" i="2"/>
  <c r="B271" i="2"/>
  <c r="B268" i="2"/>
  <c r="B269" i="2"/>
  <c r="B270" i="2"/>
  <c r="B267" i="2"/>
  <c r="B274" i="2"/>
  <c r="B273" i="2"/>
  <c r="B265" i="2"/>
  <c r="B266" i="2"/>
  <c r="B276" i="2"/>
  <c r="B277" i="2"/>
  <c r="B278" i="2"/>
  <c r="B279" i="2"/>
  <c r="B285" i="2"/>
  <c r="B286" i="2"/>
  <c r="B287" i="2"/>
  <c r="B288" i="2"/>
  <c r="B289" i="2"/>
  <c r="B290" i="2"/>
  <c r="B291" i="2"/>
  <c r="B292" i="2"/>
  <c r="B293" i="2"/>
  <c r="B294" i="2"/>
  <c r="B295" i="2"/>
  <c r="B300" i="2"/>
  <c r="B263" i="2"/>
  <c r="B221" i="2"/>
  <c r="B229" i="2"/>
  <c r="B232" i="2"/>
  <c r="B228" i="2"/>
  <c r="B225" i="2"/>
  <c r="B226" i="2"/>
  <c r="B227" i="2"/>
  <c r="B224" i="2"/>
  <c r="B231" i="2"/>
  <c r="B230" i="2"/>
  <c r="B222" i="2"/>
  <c r="B223" i="2"/>
  <c r="B233" i="2"/>
  <c r="B234" i="2"/>
  <c r="B235" i="2"/>
  <c r="B236" i="2"/>
  <c r="B242" i="2"/>
  <c r="B243" i="2"/>
  <c r="B244" i="2"/>
  <c r="B245" i="2"/>
  <c r="B246" i="2"/>
  <c r="B247" i="2"/>
  <c r="B248" i="2"/>
  <c r="B249" i="2"/>
  <c r="B250" i="2"/>
  <c r="B251" i="2"/>
  <c r="B252" i="2"/>
  <c r="B256" i="2"/>
  <c r="B257" i="2"/>
  <c r="B220" i="2"/>
  <c r="B178" i="2"/>
  <c r="B186" i="2"/>
  <c r="B189" i="2"/>
  <c r="B185" i="2"/>
  <c r="B182" i="2"/>
  <c r="B183" i="2"/>
  <c r="B184" i="2"/>
  <c r="B181" i="2"/>
  <c r="B188" i="2"/>
  <c r="B187" i="2"/>
  <c r="B179" i="2"/>
  <c r="B180" i="2"/>
  <c r="B190" i="2"/>
  <c r="B191" i="2"/>
  <c r="B192" i="2"/>
  <c r="B193" i="2"/>
  <c r="B199" i="2"/>
  <c r="B200" i="2"/>
  <c r="B201" i="2"/>
  <c r="B202" i="2"/>
  <c r="B203" i="2"/>
  <c r="B204" i="2"/>
  <c r="B205" i="2"/>
  <c r="B206" i="2"/>
  <c r="B207" i="2"/>
  <c r="B208" i="2"/>
  <c r="B209" i="2"/>
  <c r="B214" i="2"/>
  <c r="B177" i="2"/>
  <c r="B135" i="2"/>
  <c r="B143" i="2"/>
  <c r="B146" i="2"/>
  <c r="B142" i="2"/>
  <c r="B139" i="2"/>
  <c r="B140" i="2"/>
  <c r="B141" i="2"/>
  <c r="B138" i="2"/>
  <c r="B145" i="2"/>
  <c r="B144" i="2"/>
  <c r="B136" i="2"/>
  <c r="B137" i="2"/>
  <c r="B147" i="2"/>
  <c r="B148" i="2"/>
  <c r="B149" i="2"/>
  <c r="B150" i="2"/>
  <c r="B157" i="2"/>
  <c r="B158" i="2"/>
  <c r="B159" i="2"/>
  <c r="B160" i="2"/>
  <c r="B161" i="2"/>
  <c r="B162" i="2"/>
  <c r="B163" i="2"/>
  <c r="B164" i="2"/>
  <c r="B165" i="2"/>
  <c r="B166" i="2"/>
  <c r="B171" i="2"/>
  <c r="B134" i="2"/>
  <c r="B92" i="2"/>
  <c r="B100" i="2"/>
  <c r="B103" i="2"/>
  <c r="B99" i="2"/>
  <c r="B96" i="2"/>
  <c r="B97" i="2"/>
  <c r="B98" i="2"/>
  <c r="B95" i="2"/>
  <c r="B102" i="2"/>
  <c r="B101" i="2"/>
  <c r="B93" i="2"/>
  <c r="B94" i="2"/>
  <c r="B104" i="2"/>
  <c r="B105" i="2"/>
  <c r="B106" i="2"/>
  <c r="B107" i="2"/>
  <c r="B111" i="2"/>
  <c r="B114" i="2"/>
  <c r="B115" i="2"/>
  <c r="B116" i="2"/>
  <c r="B117" i="2"/>
  <c r="B118" i="2"/>
  <c r="B119" i="2"/>
  <c r="B120" i="2"/>
  <c r="B121" i="2"/>
  <c r="B122" i="2"/>
  <c r="B123" i="2"/>
  <c r="B128" i="2"/>
  <c r="B91" i="2"/>
  <c r="B48" i="2"/>
  <c r="B56" i="2"/>
  <c r="B59" i="2"/>
  <c r="B55" i="2"/>
  <c r="B52" i="2"/>
  <c r="B53" i="2"/>
  <c r="B54" i="2"/>
  <c r="B51" i="2"/>
  <c r="B58" i="2"/>
  <c r="B57" i="2"/>
  <c r="B49" i="2"/>
  <c r="B50" i="2"/>
  <c r="B60" i="2"/>
  <c r="B61" i="2"/>
  <c r="B62" i="2"/>
  <c r="B63" i="2"/>
  <c r="B66" i="2"/>
  <c r="B68" i="2"/>
  <c r="B70" i="2"/>
  <c r="B71" i="2"/>
  <c r="B72" i="2"/>
  <c r="B73" i="2"/>
  <c r="B74" i="2"/>
  <c r="B75" i="2"/>
  <c r="B76" i="2"/>
  <c r="B77" i="2"/>
  <c r="B78" i="2"/>
  <c r="B79" i="2"/>
  <c r="B80" i="2"/>
  <c r="B84" i="2"/>
  <c r="B85" i="2"/>
  <c r="B47" i="2"/>
  <c r="B14" i="2"/>
  <c r="B6" i="2"/>
  <c r="B7" i="2"/>
  <c r="B17" i="2"/>
  <c r="B18" i="2"/>
  <c r="B19" i="2"/>
  <c r="B20" i="2"/>
  <c r="B22" i="2"/>
  <c r="B24" i="2"/>
  <c r="B26" i="2"/>
  <c r="B27" i="2"/>
  <c r="B28" i="2"/>
  <c r="B29" i="2"/>
  <c r="B30" i="2"/>
  <c r="B31" i="2"/>
  <c r="B32" i="2"/>
  <c r="B33" i="2"/>
  <c r="B34" i="2"/>
  <c r="B35" i="2"/>
  <c r="B36" i="2"/>
  <c r="B40" i="2"/>
  <c r="B41" i="2"/>
  <c r="B5" i="2"/>
  <c r="B13" i="2"/>
  <c r="B16" i="2"/>
  <c r="B12" i="2"/>
  <c r="B9" i="2"/>
  <c r="B10" i="2"/>
  <c r="B11" i="2"/>
  <c r="B8" i="2"/>
  <c r="B15" i="2"/>
  <c r="B4" i="2"/>
  <c r="R9" i="5" l="1"/>
  <c r="D8" i="10"/>
  <c r="D10" i="10" s="1"/>
  <c r="AD401" i="11"/>
  <c r="R10" i="10" s="1"/>
  <c r="AD239" i="11"/>
  <c r="D5" i="10" s="1"/>
  <c r="AC394" i="11"/>
  <c r="AD192" i="11"/>
  <c r="R8" i="9" s="1"/>
  <c r="AC400" i="11"/>
  <c r="AD288" i="11"/>
  <c r="AC399" i="11"/>
  <c r="AD287" i="11"/>
  <c r="D5" i="8" s="1"/>
  <c r="AC392" i="11"/>
  <c r="AD191" i="11"/>
  <c r="D5" i="9" s="1"/>
  <c r="AC393" i="11"/>
  <c r="AD147" i="11"/>
  <c r="R9" i="7" s="1"/>
  <c r="AC398" i="11"/>
  <c r="AD146" i="11"/>
  <c r="R6" i="7" s="1"/>
  <c r="AC391" i="11"/>
  <c r="AD100" i="11"/>
  <c r="R9" i="6" s="1"/>
  <c r="AC397" i="11"/>
  <c r="AD99" i="11"/>
  <c r="R6" i="6" s="1"/>
  <c r="AC390" i="11"/>
  <c r="AD52" i="11"/>
  <c r="R6" i="5" s="1"/>
  <c r="AC389" i="11"/>
  <c r="AD5" i="11"/>
  <c r="AC388" i="11"/>
  <c r="AD300" i="11"/>
  <c r="AD302" i="11" s="1"/>
  <c r="D26" i="8" s="1"/>
  <c r="AC302" i="11"/>
  <c r="AD204" i="11"/>
  <c r="AD206" i="11" s="1"/>
  <c r="AC206" i="11"/>
  <c r="AD252" i="11"/>
  <c r="AD254" i="11" s="1"/>
  <c r="AC254" i="11"/>
  <c r="AD159" i="11"/>
  <c r="AD161" i="11" s="1"/>
  <c r="AC161" i="11"/>
  <c r="R39" i="7" s="1"/>
  <c r="AD112" i="11"/>
  <c r="AD114" i="11" s="1"/>
  <c r="AC114" i="11"/>
  <c r="AD67" i="11"/>
  <c r="D14" i="5" s="1"/>
  <c r="AC67" i="11"/>
  <c r="R14" i="5" s="1"/>
  <c r="Q43" i="1"/>
  <c r="S43" i="1" s="1"/>
  <c r="R19" i="1"/>
  <c r="R20" i="1"/>
  <c r="Q8" i="1"/>
  <c r="S8" i="1" s="1"/>
  <c r="Q44" i="1"/>
  <c r="S44" i="1" s="1"/>
  <c r="Q5" i="1"/>
  <c r="S5" i="1" s="1"/>
  <c r="Q45" i="1"/>
  <c r="S45" i="1" s="1"/>
  <c r="R5" i="10" l="1"/>
  <c r="R5" i="9"/>
  <c r="D7" i="10"/>
  <c r="AD394" i="11"/>
  <c r="R7" i="10" s="1"/>
  <c r="D8" i="8"/>
  <c r="D10" i="8" s="1"/>
  <c r="AD399" i="11"/>
  <c r="R10" i="9" s="1"/>
  <c r="D8" i="9"/>
  <c r="D10" i="9" s="1"/>
  <c r="AD400" i="11"/>
  <c r="D7" i="9"/>
  <c r="AD393" i="11"/>
  <c r="R7" i="9" s="1"/>
  <c r="D7" i="8"/>
  <c r="AD392" i="11"/>
  <c r="D9" i="7"/>
  <c r="D11" i="7" s="1"/>
  <c r="AD398" i="11"/>
  <c r="D6" i="7"/>
  <c r="D8" i="7" s="1"/>
  <c r="AD391" i="11"/>
  <c r="D9" i="6"/>
  <c r="D11" i="6" s="1"/>
  <c r="AD397" i="11"/>
  <c r="R11" i="6" s="1"/>
  <c r="D6" i="6"/>
  <c r="D8" i="6" s="1"/>
  <c r="AD390" i="11"/>
  <c r="R8" i="6" s="1"/>
  <c r="D6" i="5"/>
  <c r="D8" i="5" s="1"/>
  <c r="AD389" i="11"/>
  <c r="R8" i="5" s="1"/>
  <c r="R43" i="1"/>
  <c r="R45" i="1"/>
  <c r="R5" i="1"/>
  <c r="R44" i="1"/>
  <c r="R8" i="1"/>
  <c r="D5" i="1"/>
  <c r="D7" i="1" s="1"/>
  <c r="AD388" i="11"/>
  <c r="D21" i="10"/>
  <c r="R21" i="10"/>
  <c r="D21" i="9"/>
  <c r="R21" i="9"/>
  <c r="D39" i="7"/>
  <c r="D39" i="6"/>
  <c r="R39" i="6"/>
  <c r="Q7" i="1"/>
  <c r="Q10" i="1"/>
  <c r="R10" i="1" l="1"/>
  <c r="S10" i="1"/>
  <c r="R7" i="1"/>
  <c r="S7" i="1"/>
  <c r="AU2" i="14"/>
  <c r="AV2" i="14"/>
  <c r="AW2" i="14" l="1"/>
  <c r="AK2" i="14" l="1"/>
  <c r="AJ2" i="14" l="1"/>
  <c r="AI2" i="14" l="1"/>
  <c r="AH2" i="14" l="1"/>
  <c r="AA2" i="14" l="1"/>
  <c r="G42" i="15" l="1"/>
  <c r="AQ2" i="14" l="1"/>
  <c r="AP2" i="14"/>
  <c r="AS2" i="14" l="1"/>
  <c r="AT2" i="14"/>
  <c r="AL2" i="14"/>
  <c r="AM2" i="14"/>
  <c r="AO2" i="14"/>
  <c r="AR2" i="14"/>
  <c r="AN2" i="14"/>
  <c r="AQ107" i="14" l="1"/>
  <c r="E7" i="8"/>
  <c r="E10" i="8"/>
  <c r="AR107" i="14" l="1"/>
  <c r="AT107" i="14"/>
  <c r="AS107" i="14"/>
  <c r="AR95" i="14"/>
  <c r="AS95" i="14"/>
  <c r="AM107" i="14"/>
  <c r="AL107" i="14"/>
  <c r="AQ95" i="14"/>
  <c r="AN107" i="14"/>
  <c r="AP107" i="14"/>
  <c r="AP95" i="14"/>
  <c r="AM95" i="14"/>
  <c r="AO107" i="14"/>
  <c r="AN95" i="14"/>
  <c r="AO95" i="14"/>
  <c r="AL95" i="14"/>
  <c r="AT95" i="14"/>
  <c r="AT94" i="14" s="1"/>
  <c r="AS94" i="14" l="1"/>
  <c r="AR94" i="14" s="1"/>
  <c r="AQ94" i="14" s="1"/>
  <c r="AP94" i="14" s="1"/>
  <c r="AO94" i="14" s="1"/>
  <c r="AN94" i="14" s="1"/>
  <c r="AM94" i="14" s="1"/>
  <c r="AL94" i="14" s="1"/>
  <c r="AK94" i="14" s="1"/>
  <c r="AJ94" i="14" s="1"/>
  <c r="AI94" i="14" s="1"/>
  <c r="AH94" i="14" s="1"/>
  <c r="AG94" i="14" s="1"/>
  <c r="AF94" i="14" s="1"/>
  <c r="AE94" i="14" s="1"/>
  <c r="AD94" i="14" s="1"/>
  <c r="AC94" i="14" s="1"/>
  <c r="AB94" i="14" s="1"/>
  <c r="AA94" i="14" s="1"/>
  <c r="Z94" i="14" s="1"/>
  <c r="Y94" i="14" s="1"/>
  <c r="X94" i="14" s="1"/>
  <c r="W94" i="14" s="1"/>
  <c r="V94" i="14" s="1"/>
  <c r="U94" i="14" s="1"/>
  <c r="T94" i="14" s="1"/>
  <c r="S94" i="14" s="1"/>
  <c r="R94" i="14" s="1"/>
  <c r="Q94" i="14" s="1"/>
  <c r="P94" i="14" s="1"/>
  <c r="O94" i="14" s="1"/>
  <c r="N94" i="14" s="1"/>
  <c r="M94" i="14" s="1"/>
  <c r="L94" i="14" s="1"/>
  <c r="K94" i="14" s="1"/>
  <c r="J94" i="14" s="1"/>
  <c r="I94" i="14" s="1"/>
  <c r="H94" i="14" s="1"/>
  <c r="G94" i="14" s="1"/>
  <c r="F94" i="14" s="1"/>
  <c r="E94" i="14" s="1"/>
  <c r="D94" i="14" s="1"/>
  <c r="C94" i="14" s="1"/>
  <c r="B94" i="14" s="1"/>
  <c r="D66" i="15" s="1"/>
  <c r="B69" i="15" l="1"/>
  <c r="G59" i="15"/>
  <c r="D70" i="15"/>
  <c r="G68" i="15"/>
  <c r="D62" i="15"/>
  <c r="D69" i="15"/>
  <c r="D68" i="15"/>
  <c r="F67" i="15"/>
  <c r="E63" i="15"/>
  <c r="F60" i="15"/>
  <c r="F61" i="15" s="1"/>
  <c r="G65" i="15"/>
  <c r="D67" i="15"/>
  <c r="F64" i="15"/>
  <c r="E64" i="15"/>
  <c r="F65" i="15"/>
  <c r="C64" i="15"/>
  <c r="E67" i="15"/>
  <c r="C66" i="15"/>
  <c r="E59" i="15"/>
  <c r="E60" i="15"/>
  <c r="E61" i="15" s="1"/>
  <c r="F69" i="15"/>
  <c r="C69" i="15"/>
  <c r="E66" i="15"/>
  <c r="B66" i="15"/>
  <c r="G64" i="15"/>
  <c r="B64" i="15"/>
  <c r="C59" i="15"/>
  <c r="C68" i="15"/>
  <c r="B59" i="15"/>
  <c r="D60" i="15"/>
  <c r="D61" i="15" s="1"/>
  <c r="F62" i="15"/>
  <c r="B62" i="15"/>
  <c r="F68" i="15"/>
  <c r="D63" i="15"/>
  <c r="D64" i="15"/>
  <c r="G63" i="15"/>
  <c r="F70" i="15"/>
  <c r="G62" i="15"/>
  <c r="C63" i="15"/>
  <c r="F66" i="15"/>
  <c r="D59" i="15"/>
  <c r="C65" i="15"/>
  <c r="C67" i="15"/>
  <c r="F59" i="15"/>
  <c r="C60" i="15"/>
  <c r="C61" i="15" s="1"/>
  <c r="B60" i="15"/>
  <c r="B61" i="15" s="1"/>
  <c r="E69" i="15"/>
  <c r="B65" i="15"/>
  <c r="E65" i="15"/>
  <c r="E68" i="15"/>
  <c r="G60" i="15"/>
  <c r="G61" i="15" s="1"/>
  <c r="G67" i="15"/>
  <c r="B68" i="15"/>
  <c r="G70" i="15"/>
  <c r="F63" i="15"/>
  <c r="C70" i="15"/>
  <c r="B67" i="15"/>
  <c r="G66" i="15"/>
  <c r="B70" i="15"/>
  <c r="E62" i="15"/>
  <c r="E70" i="15"/>
  <c r="B63" i="15"/>
  <c r="D65" i="15"/>
  <c r="G69" i="15"/>
  <c r="C62" i="15"/>
  <c r="BD2" i="14" l="1"/>
  <c r="BE2" i="14"/>
  <c r="BI2" i="14"/>
  <c r="BH2" i="14"/>
  <c r="BG2" i="14"/>
  <c r="BF2" i="14"/>
  <c r="G71" i="15" l="1"/>
  <c r="Q44" i="10" l="1"/>
  <c r="Q45" i="9"/>
  <c r="Q49" i="6"/>
  <c r="S45" i="9" l="1"/>
  <c r="R45" i="9"/>
  <c r="R49" i="6"/>
  <c r="S49" i="6"/>
  <c r="R44" i="10"/>
  <c r="S44" i="10"/>
  <c r="AY2" i="14"/>
  <c r="BB2" i="14"/>
  <c r="BA2" i="14"/>
  <c r="AZ2" i="14"/>
  <c r="BC2" i="14"/>
  <c r="Q51" i="8" l="1"/>
  <c r="AX2" i="14"/>
  <c r="R51" i="1"/>
  <c r="R51" i="8" l="1"/>
  <c r="S51" i="8"/>
  <c r="Q5" i="8" l="1"/>
  <c r="Q8" i="8"/>
  <c r="Q17" i="8"/>
  <c r="Q18" i="8"/>
  <c r="Q39" i="8"/>
  <c r="Q36" i="8"/>
  <c r="R36" i="8" s="1"/>
  <c r="Q20" i="8"/>
  <c r="Q21" i="8"/>
  <c r="Q37" i="8"/>
  <c r="Q43" i="8"/>
  <c r="Q54" i="8"/>
  <c r="Q31" i="8"/>
  <c r="R54" i="8" l="1"/>
  <c r="S54" i="8"/>
  <c r="S20" i="8"/>
  <c r="R20" i="8"/>
  <c r="Q27" i="8"/>
  <c r="S18" i="8"/>
  <c r="R18" i="8"/>
  <c r="S17" i="8"/>
  <c r="R17" i="8"/>
  <c r="S37" i="8"/>
  <c r="R37" i="8"/>
  <c r="Q9" i="8"/>
  <c r="S5" i="8"/>
  <c r="R5" i="8"/>
  <c r="S21" i="8"/>
  <c r="R21" i="8"/>
  <c r="S36" i="8"/>
  <c r="R31" i="8"/>
  <c r="S31" i="8"/>
  <c r="S43" i="8"/>
  <c r="R43" i="8"/>
  <c r="Q35" i="8"/>
  <c r="Q38" i="8"/>
  <c r="Q6" i="8"/>
  <c r="Q7" i="8" s="1"/>
  <c r="Q26" i="8"/>
  <c r="S39" i="8"/>
  <c r="R39" i="8"/>
  <c r="S8" i="8"/>
  <c r="R8" i="8"/>
  <c r="R38" i="8" l="1"/>
  <c r="S38" i="8"/>
  <c r="S35" i="8"/>
  <c r="R35" i="8"/>
  <c r="S9" i="8"/>
  <c r="R9" i="8"/>
  <c r="Q10" i="8"/>
  <c r="R26" i="8"/>
  <c r="S26" i="8"/>
  <c r="S6" i="8"/>
  <c r="R6" i="8"/>
  <c r="S27" i="8"/>
  <c r="R27" i="8"/>
  <c r="S10" i="8" l="1"/>
  <c r="R10" i="8"/>
  <c r="S7" i="8"/>
  <c r="R7" i="8"/>
  <c r="Q8" i="7" l="1"/>
  <c r="Q11" i="7"/>
  <c r="R11" i="7" l="1"/>
  <c r="S11" i="7"/>
  <c r="S8" i="7"/>
  <c r="R8" i="7"/>
  <c r="S60" i="1" l="1"/>
  <c r="S41" i="8"/>
  <c r="AN580" i="2" l="1"/>
  <c r="E16" i="1" s="1"/>
  <c r="Q16" i="1" s="1"/>
  <c r="R16" i="1" s="1"/>
  <c r="CR108" i="14" l="1"/>
  <c r="AX387" i="2"/>
  <c r="O40" i="10" s="1"/>
  <c r="AX379" i="2"/>
  <c r="AX371" i="2"/>
  <c r="O45" i="7" s="1"/>
  <c r="AX349" i="2"/>
  <c r="O49" i="1" s="1"/>
  <c r="AX350" i="2"/>
  <c r="O50" i="1" s="1"/>
  <c r="AX355" i="2"/>
  <c r="O47" i="5" s="1"/>
  <c r="AX506" i="2"/>
  <c r="O25" i="8" s="1"/>
  <c r="AX507" i="2"/>
  <c r="O18" i="1" s="1"/>
  <c r="AX497" i="2"/>
  <c r="O24" i="8" s="1"/>
  <c r="AX498" i="2"/>
  <c r="O17" i="1" s="1"/>
  <c r="AX551" i="2"/>
  <c r="O30" i="8" s="1"/>
  <c r="AX552" i="2"/>
  <c r="O56" i="1" s="1"/>
  <c r="AX542" i="2"/>
  <c r="O29" i="8" s="1"/>
  <c r="AX543" i="2"/>
  <c r="O55" i="1" s="1"/>
  <c r="AX533" i="2"/>
  <c r="O28" i="8" s="1"/>
  <c r="AX534" i="2"/>
  <c r="O54" i="1" s="1"/>
  <c r="AX485" i="2"/>
  <c r="O45" i="8" s="1"/>
  <c r="AX486" i="2"/>
  <c r="O62" i="1" s="1"/>
  <c r="O41" i="9" l="1"/>
  <c r="AX395" i="2"/>
  <c r="O47" i="8" s="1"/>
  <c r="CR44" i="14"/>
  <c r="AX363" i="2"/>
  <c r="O45" i="6" s="1"/>
  <c r="CR11" i="14"/>
  <c r="CR2" i="14" s="1"/>
  <c r="CR1" i="14" s="1"/>
  <c r="AX348" i="2"/>
  <c r="O48" i="1" s="1"/>
  <c r="AX347" i="2"/>
  <c r="O47" i="1" s="1"/>
  <c r="AW551" i="2"/>
  <c r="N30" i="8" s="1"/>
  <c r="AW552" i="2"/>
  <c r="N56" i="1" s="1"/>
  <c r="AW533" i="2"/>
  <c r="N28" i="8" s="1"/>
  <c r="AW534" i="2"/>
  <c r="N54" i="1" s="1"/>
  <c r="AW542" i="2"/>
  <c r="N29" i="8" s="1"/>
  <c r="AW543" i="2"/>
  <c r="N55" i="1" s="1"/>
  <c r="AW506" i="2"/>
  <c r="N25" i="8" s="1"/>
  <c r="AW507" i="2"/>
  <c r="N18" i="1" s="1"/>
  <c r="AW497" i="2"/>
  <c r="N24" i="8" s="1"/>
  <c r="AW498" i="2"/>
  <c r="N17" i="1" s="1"/>
  <c r="AW485" i="2"/>
  <c r="N45" i="8" s="1"/>
  <c r="AW486" i="2"/>
  <c r="N62" i="1" s="1"/>
  <c r="AW387" i="2"/>
  <c r="N40" i="10" s="1"/>
  <c r="AW379" i="2"/>
  <c r="AW371" i="2"/>
  <c r="N45" i="7" s="1"/>
  <c r="AW355" i="2"/>
  <c r="N47" i="5" s="1"/>
  <c r="AW349" i="2"/>
  <c r="N49" i="1" s="1"/>
  <c r="AW350" i="2"/>
  <c r="N50" i="1" s="1"/>
  <c r="N41" i="9" l="1"/>
  <c r="AW395" i="2"/>
  <c r="N47" i="8" s="1"/>
  <c r="CQ108" i="14"/>
  <c r="CQ44" i="14"/>
  <c r="AW363" i="2"/>
  <c r="N45" i="6" s="1"/>
  <c r="CQ11" i="14"/>
  <c r="CQ2" i="14" s="1"/>
  <c r="AW348" i="2"/>
  <c r="N48" i="1" s="1"/>
  <c r="CQ1" i="14"/>
  <c r="AW347" i="2"/>
  <c r="N47" i="1" s="1"/>
  <c r="CP108" i="14" l="1"/>
  <c r="AV506" i="2" l="1"/>
  <c r="M25" i="8" s="1"/>
  <c r="AV507" i="2"/>
  <c r="M18" i="1" s="1"/>
  <c r="AV497" i="2"/>
  <c r="M24" i="8" s="1"/>
  <c r="AV498" i="2"/>
  <c r="M17" i="1" s="1"/>
  <c r="AV551" i="2"/>
  <c r="M30" i="8" s="1"/>
  <c r="AV552" i="2"/>
  <c r="M56" i="1" s="1"/>
  <c r="AV542" i="2"/>
  <c r="M29" i="8" s="1"/>
  <c r="AV543" i="2"/>
  <c r="M55" i="1" s="1"/>
  <c r="AV533" i="2"/>
  <c r="M28" i="8" s="1"/>
  <c r="AV534" i="2"/>
  <c r="M54" i="1" s="1"/>
  <c r="AV485" i="2"/>
  <c r="M45" i="8" s="1"/>
  <c r="AV486" i="2"/>
  <c r="M62" i="1" s="1"/>
  <c r="AV387" i="2"/>
  <c r="M40" i="10" s="1"/>
  <c r="AV379" i="2"/>
  <c r="AV371" i="2"/>
  <c r="M45" i="7" s="1"/>
  <c r="AV355" i="2"/>
  <c r="M47" i="5" s="1"/>
  <c r="AV349" i="2"/>
  <c r="M49" i="1" s="1"/>
  <c r="AV350" i="2"/>
  <c r="M50" i="1" s="1"/>
  <c r="M41" i="9" l="1"/>
  <c r="AV395" i="2"/>
  <c r="M47" i="8" s="1"/>
  <c r="CP44" i="14"/>
  <c r="AV363" i="2"/>
  <c r="M45" i="6" s="1"/>
  <c r="CP11" i="14"/>
  <c r="CP2" i="14" s="1"/>
  <c r="CP1" i="14" s="1"/>
  <c r="AV348" i="2"/>
  <c r="M48" i="1" s="1"/>
  <c r="AV347" i="2"/>
  <c r="M47" i="1" s="1"/>
  <c r="CO108" i="14"/>
  <c r="AU350" i="2"/>
  <c r="L50" i="1" s="1"/>
  <c r="AU387" i="2"/>
  <c r="L40" i="10" s="1"/>
  <c r="AU379" i="2"/>
  <c r="AU371" i="2"/>
  <c r="L45" i="7" s="1"/>
  <c r="AS371" i="2"/>
  <c r="J45" i="7" s="1"/>
  <c r="AT371" i="2"/>
  <c r="K45" i="7" s="1"/>
  <c r="AU355" i="2"/>
  <c r="L47" i="5" s="1"/>
  <c r="AU349" i="2"/>
  <c r="L49" i="1" s="1"/>
  <c r="L41" i="9" l="1"/>
  <c r="AU395" i="2"/>
  <c r="L47" i="8" s="1"/>
  <c r="CO44" i="14"/>
  <c r="AU363" i="2"/>
  <c r="L45" i="6" s="1"/>
  <c r="CO11" i="14"/>
  <c r="CO2" i="14" s="1"/>
  <c r="CO1" i="14" s="1"/>
  <c r="AU348" i="2"/>
  <c r="L48" i="1" s="1"/>
  <c r="AU347" i="2"/>
  <c r="L47" i="1" s="1"/>
  <c r="AU506" i="2" l="1"/>
  <c r="L25" i="8" s="1"/>
  <c r="AU507" i="2"/>
  <c r="L18" i="1" s="1"/>
  <c r="AU497" i="2"/>
  <c r="L24" i="8" s="1"/>
  <c r="AU498" i="2"/>
  <c r="L17" i="1" s="1"/>
  <c r="AU551" i="2"/>
  <c r="L30" i="8" s="1"/>
  <c r="AU552" i="2"/>
  <c r="L56" i="1" s="1"/>
  <c r="AU542" i="2"/>
  <c r="L29" i="8" s="1"/>
  <c r="AU543" i="2"/>
  <c r="L55" i="1" s="1"/>
  <c r="AU533" i="2"/>
  <c r="L28" i="8" s="1"/>
  <c r="AU534" i="2"/>
  <c r="L54" i="1" s="1"/>
  <c r="AT485" i="2"/>
  <c r="K45" i="8" s="1"/>
  <c r="AU485" i="2"/>
  <c r="L45" i="8" s="1"/>
  <c r="AU486" i="2"/>
  <c r="L62" i="1" s="1"/>
  <c r="AT551" i="2" l="1"/>
  <c r="K30" i="8" s="1"/>
  <c r="AT552" i="2"/>
  <c r="K56" i="1" s="1"/>
  <c r="AT542" i="2"/>
  <c r="K29" i="8" s="1"/>
  <c r="AT543" i="2"/>
  <c r="K55" i="1" s="1"/>
  <c r="AT533" i="2"/>
  <c r="K28" i="8" s="1"/>
  <c r="AT534" i="2"/>
  <c r="K54" i="1" s="1"/>
  <c r="AT506" i="2"/>
  <c r="K25" i="8" s="1"/>
  <c r="AT507" i="2"/>
  <c r="K18" i="1" s="1"/>
  <c r="AT497" i="2"/>
  <c r="K24" i="8" s="1"/>
  <c r="AT498" i="2"/>
  <c r="K17" i="1" s="1"/>
  <c r="AT486" i="2"/>
  <c r="K62" i="1" s="1"/>
  <c r="CN108" i="14"/>
  <c r="AT349" i="2"/>
  <c r="K49" i="1" s="1"/>
  <c r="AT350" i="2"/>
  <c r="K50" i="1" s="1"/>
  <c r="AT387" i="2"/>
  <c r="K40" i="10" s="1"/>
  <c r="AT379" i="2"/>
  <c r="AT355" i="2"/>
  <c r="K47" i="5" s="1"/>
  <c r="K41" i="9" l="1"/>
  <c r="AT395" i="2"/>
  <c r="K47" i="8" s="1"/>
  <c r="CN44" i="14"/>
  <c r="AT363" i="2"/>
  <c r="K45" i="6" s="1"/>
  <c r="AT347" i="2"/>
  <c r="K47" i="1" s="1"/>
  <c r="CN11" i="14" l="1"/>
  <c r="CN2" i="14" s="1"/>
  <c r="CN1" i="14" s="1"/>
  <c r="AT348" i="2"/>
  <c r="K48" i="1" s="1"/>
  <c r="AS506" i="2" l="1"/>
  <c r="J25" i="8" s="1"/>
  <c r="AS507" i="2"/>
  <c r="J18" i="1" s="1"/>
  <c r="AS497" i="2"/>
  <c r="J24" i="8" s="1"/>
  <c r="AS498" i="2"/>
  <c r="J17" i="1" s="1"/>
  <c r="AS542" i="2"/>
  <c r="J29" i="8" s="1"/>
  <c r="AS543" i="2"/>
  <c r="J55" i="1" s="1"/>
  <c r="AS551" i="2"/>
  <c r="J30" i="8" s="1"/>
  <c r="AS552" i="2"/>
  <c r="J56" i="1" s="1"/>
  <c r="AS533" i="2"/>
  <c r="J28" i="8" s="1"/>
  <c r="AS534" i="2"/>
  <c r="J54" i="1" s="1"/>
  <c r="AS485" i="2"/>
  <c r="J45" i="8" s="1"/>
  <c r="AS486" i="2"/>
  <c r="J62" i="1" s="1"/>
  <c r="CM108" i="14"/>
  <c r="C71" i="15" s="1"/>
  <c r="AS349" i="2"/>
  <c r="J49" i="1" s="1"/>
  <c r="AS350" i="2"/>
  <c r="J50" i="1" s="1"/>
  <c r="AS387" i="2"/>
  <c r="J40" i="10" s="1"/>
  <c r="AS379" i="2"/>
  <c r="AS355" i="2"/>
  <c r="J47" i="5" s="1"/>
  <c r="J41" i="9" l="1"/>
  <c r="AS395" i="2"/>
  <c r="J47" i="8" s="1"/>
  <c r="CM44" i="14"/>
  <c r="C42" i="15" s="1"/>
  <c r="AS363" i="2"/>
  <c r="J45" i="6" s="1"/>
  <c r="AS347" i="2"/>
  <c r="J47" i="1" s="1"/>
  <c r="AR551" i="2"/>
  <c r="I30" i="8" s="1"/>
  <c r="AR552" i="2"/>
  <c r="I56" i="1" s="1"/>
  <c r="AR533" i="2"/>
  <c r="I28" i="8" s="1"/>
  <c r="AR534" i="2"/>
  <c r="I54" i="1" s="1"/>
  <c r="AR542" i="2"/>
  <c r="I29" i="8" s="1"/>
  <c r="AR543" i="2"/>
  <c r="I55" i="1" s="1"/>
  <c r="AR506" i="2"/>
  <c r="I25" i="8" s="1"/>
  <c r="AR507" i="2"/>
  <c r="I18" i="1" s="1"/>
  <c r="AR497" i="2"/>
  <c r="I24" i="8" s="1"/>
  <c r="AR498" i="2"/>
  <c r="I17" i="1" s="1"/>
  <c r="AR485" i="2"/>
  <c r="I45" i="8" s="1"/>
  <c r="AR486" i="2"/>
  <c r="I62" i="1" s="1"/>
  <c r="AR387" i="2"/>
  <c r="I40" i="10" s="1"/>
  <c r="AR379" i="2"/>
  <c r="AR371" i="2"/>
  <c r="I45" i="7" s="1"/>
  <c r="AR355" i="2"/>
  <c r="I47" i="5" s="1"/>
  <c r="CL108" i="14"/>
  <c r="B71" i="15" s="1"/>
  <c r="AR349" i="2"/>
  <c r="I49" i="1" s="1"/>
  <c r="AR350" i="2"/>
  <c r="I50" i="1" s="1"/>
  <c r="I41" i="9" l="1"/>
  <c r="AR395" i="2"/>
  <c r="I47" i="8" s="1"/>
  <c r="CL44" i="14"/>
  <c r="B42" i="15" s="1"/>
  <c r="AR363" i="2"/>
  <c r="I45" i="6" s="1"/>
  <c r="CM11" i="14"/>
  <c r="CM2" i="14" s="1"/>
  <c r="CM1" i="14" s="1"/>
  <c r="AS348" i="2"/>
  <c r="J48" i="1" s="1"/>
  <c r="AR347" i="2"/>
  <c r="I47" i="1" s="1"/>
  <c r="CL11" i="14" l="1"/>
  <c r="CL2" i="14" s="1"/>
  <c r="CL1" i="14" s="1"/>
  <c r="AR348" i="2"/>
  <c r="I48" i="1" s="1"/>
  <c r="AQ506" i="2" l="1"/>
  <c r="H25" i="8" s="1"/>
  <c r="AQ507" i="2"/>
  <c r="H18" i="1" s="1"/>
  <c r="AQ497" i="2"/>
  <c r="H24" i="8" s="1"/>
  <c r="AQ498" i="2"/>
  <c r="H17" i="1" s="1"/>
  <c r="AQ551" i="2"/>
  <c r="H30" i="8" s="1"/>
  <c r="AQ552" i="2"/>
  <c r="H56" i="1" s="1"/>
  <c r="AQ542" i="2"/>
  <c r="H29" i="8" s="1"/>
  <c r="AQ543" i="2"/>
  <c r="H55" i="1" s="1"/>
  <c r="AQ533" i="2"/>
  <c r="H28" i="8" s="1"/>
  <c r="AQ534" i="2"/>
  <c r="H54" i="1" s="1"/>
  <c r="AQ485" i="2"/>
  <c r="H45" i="8" s="1"/>
  <c r="AQ486" i="2"/>
  <c r="H62" i="1" s="1"/>
  <c r="CK108" i="14"/>
  <c r="F71" i="15" s="1"/>
  <c r="AQ349" i="2"/>
  <c r="H49" i="1" s="1"/>
  <c r="AQ350" i="2"/>
  <c r="H50" i="1" s="1"/>
  <c r="AQ387" i="2"/>
  <c r="H40" i="10" s="1"/>
  <c r="AQ379" i="2"/>
  <c r="AQ371" i="2"/>
  <c r="H45" i="7" s="1"/>
  <c r="AQ355" i="2"/>
  <c r="H47" i="5" s="1"/>
  <c r="H41" i="9" l="1"/>
  <c r="AQ395" i="2"/>
  <c r="H47" i="8" s="1"/>
  <c r="CK44" i="14"/>
  <c r="F42" i="15" s="1"/>
  <c r="AQ363" i="2"/>
  <c r="H45" i="6" s="1"/>
  <c r="AQ347" i="2"/>
  <c r="H47" i="1" s="1"/>
  <c r="AO387" i="2"/>
  <c r="F40" i="10" s="1"/>
  <c r="AP387" i="2"/>
  <c r="G40" i="10" s="1"/>
  <c r="AO379" i="2"/>
  <c r="AP379" i="2"/>
  <c r="AO371" i="2"/>
  <c r="F45" i="7" s="1"/>
  <c r="AP371" i="2"/>
  <c r="G45" i="7" s="1"/>
  <c r="AO355" i="2"/>
  <c r="F47" i="5" s="1"/>
  <c r="AP355" i="2"/>
  <c r="G47" i="5" s="1"/>
  <c r="CJ108" i="14"/>
  <c r="E71" i="15" s="1"/>
  <c r="AP349" i="2"/>
  <c r="G49" i="1" s="1"/>
  <c r="AP350" i="2"/>
  <c r="G50" i="1" s="1"/>
  <c r="AP551" i="2"/>
  <c r="G30" i="8" s="1"/>
  <c r="AP552" i="2"/>
  <c r="G56" i="1" s="1"/>
  <c r="AP542" i="2"/>
  <c r="G29" i="8" s="1"/>
  <c r="AP543" i="2"/>
  <c r="G55" i="1" s="1"/>
  <c r="AP533" i="2"/>
  <c r="G28" i="8" s="1"/>
  <c r="AP534" i="2"/>
  <c r="G54" i="1" s="1"/>
  <c r="AP506" i="2"/>
  <c r="G25" i="8" s="1"/>
  <c r="AP507" i="2"/>
  <c r="G18" i="1" s="1"/>
  <c r="AP497" i="2"/>
  <c r="G24" i="8" s="1"/>
  <c r="AP498" i="2"/>
  <c r="G17" i="1" s="1"/>
  <c r="AP485" i="2"/>
  <c r="G45" i="8" s="1"/>
  <c r="AP486" i="2"/>
  <c r="G62" i="1" s="1"/>
  <c r="G41" i="9" l="1"/>
  <c r="AP395" i="2"/>
  <c r="G47" i="8" s="1"/>
  <c r="F41" i="9"/>
  <c r="AO395" i="2"/>
  <c r="F47" i="8" s="1"/>
  <c r="CJ44" i="14"/>
  <c r="E42" i="15" s="1"/>
  <c r="AP363" i="2"/>
  <c r="G45" i="6" s="1"/>
  <c r="AO363" i="2"/>
  <c r="F45" i="6" s="1"/>
  <c r="CI44" i="14"/>
  <c r="D42" i="15" s="1"/>
  <c r="CK11" i="14"/>
  <c r="CK2" i="14" s="1"/>
  <c r="CK1" i="14" s="1"/>
  <c r="AQ348" i="2"/>
  <c r="H48" i="1" s="1"/>
  <c r="AP347" i="2"/>
  <c r="G47" i="1" s="1"/>
  <c r="CJ11" i="14" l="1"/>
  <c r="CJ2" i="14" s="1"/>
  <c r="CJ1" i="14" s="1"/>
  <c r="AP348" i="2"/>
  <c r="G48" i="1" s="1"/>
  <c r="AO347" i="2"/>
  <c r="F47" i="1" s="1"/>
  <c r="CI108" i="14"/>
  <c r="D71" i="15" s="1"/>
  <c r="AO349" i="2"/>
  <c r="F49" i="1" s="1"/>
  <c r="AO350" i="2"/>
  <c r="F50" i="1" s="1"/>
  <c r="AO551" i="2"/>
  <c r="F30" i="8" s="1"/>
  <c r="AO552" i="2"/>
  <c r="F56" i="1" s="1"/>
  <c r="AO533" i="2"/>
  <c r="F28" i="8" s="1"/>
  <c r="AO534" i="2"/>
  <c r="F54" i="1" s="1"/>
  <c r="AO543" i="2"/>
  <c r="F55" i="1" s="1"/>
  <c r="AO542" i="2"/>
  <c r="F29" i="8" s="1"/>
  <c r="AO507" i="2"/>
  <c r="F18" i="1" s="1"/>
  <c r="AO506" i="2"/>
  <c r="F25" i="8" s="1"/>
  <c r="AO498" i="2"/>
  <c r="F17" i="1" s="1"/>
  <c r="AO497" i="2"/>
  <c r="F24" i="8" s="1"/>
  <c r="AO486" i="2"/>
  <c r="F62" i="1" s="1"/>
  <c r="AO485" i="2"/>
  <c r="F45" i="8" s="1"/>
  <c r="AN506" i="2" l="1"/>
  <c r="E25" i="8" s="1"/>
  <c r="Q25" i="8" s="1"/>
  <c r="R25" i="8" s="1"/>
  <c r="AN507" i="2"/>
  <c r="E18" i="1" s="1"/>
  <c r="Q18" i="1" s="1"/>
  <c r="AN497" i="2"/>
  <c r="E24" i="8" s="1"/>
  <c r="Q24" i="8" s="1"/>
  <c r="AN498" i="2"/>
  <c r="E17" i="1" s="1"/>
  <c r="Q17" i="1" s="1"/>
  <c r="AN533" i="2"/>
  <c r="E28" i="8" s="1"/>
  <c r="Q28" i="8" s="1"/>
  <c r="AN534" i="2"/>
  <c r="E54" i="1" s="1"/>
  <c r="Q54" i="1" s="1"/>
  <c r="AN551" i="2"/>
  <c r="E30" i="8" s="1"/>
  <c r="Q30" i="8" s="1"/>
  <c r="R30" i="8" s="1"/>
  <c r="AN552" i="2"/>
  <c r="E56" i="1" s="1"/>
  <c r="Q56" i="1" s="1"/>
  <c r="AN542" i="2"/>
  <c r="E29" i="8" s="1"/>
  <c r="Q29" i="8" s="1"/>
  <c r="AN543" i="2"/>
  <c r="E55" i="1" s="1"/>
  <c r="Q55" i="1" s="1"/>
  <c r="AN485" i="2"/>
  <c r="E45" i="8" s="1"/>
  <c r="Q45" i="8" s="1"/>
  <c r="R45" i="8" s="1"/>
  <c r="AN486" i="2"/>
  <c r="E62" i="1" s="1"/>
  <c r="Q62" i="1" s="1"/>
  <c r="CH108" i="14"/>
  <c r="AN349" i="2"/>
  <c r="E49" i="1" s="1"/>
  <c r="Q49" i="1" s="1"/>
  <c r="AN350" i="2"/>
  <c r="E50" i="1" s="1"/>
  <c r="Q50" i="1" s="1"/>
  <c r="AN387" i="2"/>
  <c r="E40" i="10" s="1"/>
  <c r="Q40" i="10" s="1"/>
  <c r="AN379" i="2"/>
  <c r="AN371" i="2"/>
  <c r="E45" i="7" s="1"/>
  <c r="Q45" i="7" s="1"/>
  <c r="AN355" i="2"/>
  <c r="E47" i="5" s="1"/>
  <c r="Q47" i="5" s="1"/>
  <c r="R56" i="1" l="1"/>
  <c r="S56" i="1"/>
  <c r="R54" i="1"/>
  <c r="S54" i="1"/>
  <c r="S28" i="8"/>
  <c r="R28" i="8"/>
  <c r="R55" i="1"/>
  <c r="S55" i="1"/>
  <c r="S29" i="8"/>
  <c r="R29" i="8"/>
  <c r="R18" i="1"/>
  <c r="S18" i="1"/>
  <c r="S17" i="1"/>
  <c r="R24" i="8"/>
  <c r="S24" i="8"/>
  <c r="R62" i="1"/>
  <c r="S62" i="1"/>
  <c r="S40" i="10"/>
  <c r="R40" i="10"/>
  <c r="E41" i="9"/>
  <c r="Q41" i="9" s="1"/>
  <c r="AN395" i="2"/>
  <c r="E47" i="8" s="1"/>
  <c r="Q47" i="8" s="1"/>
  <c r="R45" i="7"/>
  <c r="S45" i="7"/>
  <c r="CH44" i="14"/>
  <c r="AN363" i="2"/>
  <c r="E45" i="6" s="1"/>
  <c r="Q45" i="6" s="1"/>
  <c r="S50" i="1"/>
  <c r="R50" i="1"/>
  <c r="R47" i="5"/>
  <c r="S47" i="5"/>
  <c r="S49" i="1"/>
  <c r="R49" i="1"/>
  <c r="AO348" i="2"/>
  <c r="F48" i="1" s="1"/>
  <c r="CI11" i="14"/>
  <c r="CI2" i="14" s="1"/>
  <c r="CI1" i="14" s="1"/>
  <c r="AN347" i="2"/>
  <c r="E47" i="1" s="1"/>
  <c r="Q47" i="1" s="1"/>
  <c r="S47" i="8" l="1"/>
  <c r="R47" i="8"/>
  <c r="S41" i="9"/>
  <c r="R41" i="9"/>
  <c r="S45" i="6"/>
  <c r="R45" i="6"/>
  <c r="AN348" i="2"/>
  <c r="E48" i="1" s="1"/>
  <c r="Q48" i="1" s="1"/>
  <c r="CH11" i="14"/>
  <c r="CH2" i="14" s="1"/>
  <c r="CH1" i="14" s="1"/>
  <c r="CG1" i="14" s="1"/>
  <c r="CF1" i="14" s="1"/>
  <c r="CE1" i="14" s="1"/>
  <c r="CD1" i="14" s="1"/>
  <c r="CC1" i="14" s="1"/>
  <c r="CB1" i="14" s="1"/>
  <c r="CA1" i="14" s="1"/>
  <c r="BZ1" i="14" s="1"/>
  <c r="BY1" i="14" s="1"/>
  <c r="BX1" i="14" s="1"/>
  <c r="BW1" i="14" s="1"/>
  <c r="BV1" i="14" s="1"/>
  <c r="BU1" i="14" s="1"/>
  <c r="BT1" i="14" s="1"/>
  <c r="BS1" i="14" s="1"/>
  <c r="BR1" i="14" s="1"/>
  <c r="BQ1" i="14" s="1"/>
  <c r="BP1" i="14" s="1"/>
  <c r="BO1" i="14" s="1"/>
  <c r="BN1" i="14" s="1"/>
  <c r="BM1" i="14" s="1"/>
  <c r="BL1" i="14" s="1"/>
  <c r="BK1" i="14" s="1"/>
  <c r="BJ1" i="14" s="1"/>
  <c r="BI1" i="14" s="1"/>
  <c r="BH1" i="14" s="1"/>
  <c r="BG1" i="14" s="1"/>
  <c r="BF1" i="14" s="1"/>
  <c r="BE1" i="14" s="1"/>
  <c r="BD1" i="14" s="1"/>
  <c r="BC1" i="14" s="1"/>
  <c r="BB1" i="14" s="1"/>
  <c r="BA1" i="14" s="1"/>
  <c r="AZ1" i="14" s="1"/>
  <c r="AY1" i="14" s="1"/>
  <c r="AX1" i="14" s="1"/>
  <c r="AW1" i="14" s="1"/>
  <c r="AV1" i="14" s="1"/>
  <c r="AU1" i="14" s="1"/>
  <c r="AT1" i="14" s="1"/>
  <c r="AS1" i="14" s="1"/>
  <c r="AR1" i="14" s="1"/>
  <c r="AQ1" i="14" s="1"/>
  <c r="AP1" i="14" s="1"/>
  <c r="AO1" i="14" s="1"/>
  <c r="AN1" i="14" s="1"/>
  <c r="AM1" i="14" s="1"/>
  <c r="AL1" i="14" s="1"/>
  <c r="AK1" i="14" s="1"/>
  <c r="AJ1" i="14" s="1"/>
  <c r="AI1" i="14" s="1"/>
  <c r="AH1" i="14" s="1"/>
  <c r="AG1" i="14" s="1"/>
  <c r="AF1" i="14" s="1"/>
  <c r="AE1" i="14" s="1"/>
  <c r="AD1" i="14" s="1"/>
  <c r="AC1" i="14" s="1"/>
  <c r="AB1" i="14" s="1"/>
  <c r="AA1" i="14" s="1"/>
  <c r="Z1" i="14" s="1"/>
  <c r="Y1" i="14" s="1"/>
  <c r="X1" i="14" s="1"/>
  <c r="W1" i="14" s="1"/>
  <c r="V1" i="14" s="1"/>
  <c r="U1" i="14" s="1"/>
  <c r="T1" i="14" s="1"/>
  <c r="S1" i="14" s="1"/>
  <c r="R1" i="14" s="1"/>
  <c r="Q1" i="14" s="1"/>
  <c r="P1" i="14" s="1"/>
  <c r="O1" i="14" s="1"/>
  <c r="N1" i="14" s="1"/>
  <c r="M1" i="14" s="1"/>
  <c r="L1" i="14" s="1"/>
  <c r="K1" i="14" s="1"/>
  <c r="J1" i="14" s="1"/>
  <c r="I1" i="14" s="1"/>
  <c r="H1" i="14" s="1"/>
  <c r="G1" i="14" s="1"/>
  <c r="F1" i="14" s="1"/>
  <c r="E1" i="14" s="1"/>
  <c r="D1" i="14" s="1"/>
  <c r="C1" i="14" s="1"/>
  <c r="B1" i="14" s="1"/>
  <c r="R47" i="1"/>
  <c r="S47" i="1"/>
  <c r="D6" i="15" l="1"/>
  <c r="B11" i="15"/>
  <c r="F11" i="15"/>
  <c r="G4" i="15"/>
  <c r="G5" i="15" s="1"/>
  <c r="G9" i="15"/>
  <c r="E8" i="15"/>
  <c r="G13" i="15"/>
  <c r="E3" i="15"/>
  <c r="C7" i="15"/>
  <c r="E7" i="15"/>
  <c r="E9" i="15"/>
  <c r="F4" i="15"/>
  <c r="F5" i="15" s="1"/>
  <c r="C9" i="15"/>
  <c r="F9" i="15"/>
  <c r="F8" i="15"/>
  <c r="F7" i="15"/>
  <c r="E12" i="15"/>
  <c r="F3" i="15"/>
  <c r="D11" i="15"/>
  <c r="G10" i="15"/>
  <c r="B7" i="15"/>
  <c r="D7" i="15"/>
  <c r="B12" i="15"/>
  <c r="D13" i="15"/>
  <c r="E10" i="15"/>
  <c r="B9" i="15"/>
  <c r="B3" i="15"/>
  <c r="B4" i="15"/>
  <c r="B5" i="15" s="1"/>
  <c r="C11" i="15"/>
  <c r="F6" i="15"/>
  <c r="F13" i="15"/>
  <c r="E4" i="15"/>
  <c r="E5" i="15" s="1"/>
  <c r="D8" i="15"/>
  <c r="G11" i="15"/>
  <c r="G7" i="15"/>
  <c r="B8" i="15"/>
  <c r="F12" i="15"/>
  <c r="B13" i="15"/>
  <c r="C3" i="15"/>
  <c r="C12" i="15"/>
  <c r="C10" i="15"/>
  <c r="C8" i="15"/>
  <c r="D10" i="15"/>
  <c r="D3" i="15"/>
  <c r="G3" i="15"/>
  <c r="C4" i="15"/>
  <c r="C5" i="15" s="1"/>
  <c r="F10" i="15"/>
  <c r="C6" i="15"/>
  <c r="E6" i="15"/>
  <c r="D9" i="15"/>
  <c r="G8" i="15"/>
  <c r="G6" i="15"/>
  <c r="G12" i="15"/>
  <c r="B10" i="15"/>
  <c r="D12" i="15"/>
  <c r="C13" i="15"/>
  <c r="E13" i="15"/>
  <c r="B6" i="15"/>
  <c r="D4" i="15"/>
  <c r="D5" i="15" s="1"/>
  <c r="E11" i="15"/>
  <c r="R48" i="1"/>
  <c r="S48" i="1"/>
  <c r="AL498" i="2" l="1"/>
  <c r="N411" i="11"/>
  <c r="AF411" i="11" l="1"/>
  <c r="AC411" i="11"/>
  <c r="AD411" i="11" s="1"/>
  <c r="D17" i="1" l="1"/>
  <c r="R17" i="1"/>
</calcChain>
</file>

<file path=xl/sharedStrings.xml><?xml version="1.0" encoding="utf-8"?>
<sst xmlns="http://schemas.openxmlformats.org/spreadsheetml/2006/main" count="6702" uniqueCount="524">
  <si>
    <t>Warwickshire</t>
  </si>
  <si>
    <t>Indicator</t>
  </si>
  <si>
    <t>Violence with injury</t>
  </si>
  <si>
    <t>Violence with injury - domestic abuse flag</t>
  </si>
  <si>
    <t>Violence without injury</t>
  </si>
  <si>
    <t>Rape</t>
  </si>
  <si>
    <t>Other sexual offences</t>
  </si>
  <si>
    <t>Outcomes % Removed</t>
  </si>
  <si>
    <t>Outcomes % Avoided</t>
  </si>
  <si>
    <t>Outcomes % Reduced</t>
  </si>
  <si>
    <t>Outcomes % Accepted</t>
  </si>
  <si>
    <t>Personal</t>
  </si>
  <si>
    <t>Nuisance</t>
  </si>
  <si>
    <t>Environmental</t>
  </si>
  <si>
    <t>Total vehicle crime</t>
  </si>
  <si>
    <t>Theft of vehicle</t>
  </si>
  <si>
    <t>Theft from vehicle</t>
  </si>
  <si>
    <t>Shoplifting</t>
  </si>
  <si>
    <t>Hate offences and crimed incidents</t>
  </si>
  <si>
    <t>Apr</t>
  </si>
  <si>
    <t>May</t>
  </si>
  <si>
    <t>Jun</t>
  </si>
  <si>
    <t>Jul</t>
  </si>
  <si>
    <t>Aug</t>
  </si>
  <si>
    <t>Sep</t>
  </si>
  <si>
    <t>Oct</t>
  </si>
  <si>
    <t>Nov</t>
  </si>
  <si>
    <t>Dec</t>
  </si>
  <si>
    <t>Jan</t>
  </si>
  <si>
    <t>Feb</t>
  </si>
  <si>
    <t>Mar</t>
  </si>
  <si>
    <t>Burglary Residential</t>
  </si>
  <si>
    <t>Total to 
date</t>
  </si>
  <si>
    <t>Total Recorded Crime</t>
  </si>
  <si>
    <t>Criminal Damage &amp; Arson</t>
  </si>
  <si>
    <t>Other Sexual Offences</t>
  </si>
  <si>
    <t>Business Robbery</t>
  </si>
  <si>
    <t>Personal Robbery</t>
  </si>
  <si>
    <t>Vehicle Offences</t>
  </si>
  <si>
    <t>Violence With Injury</t>
  </si>
  <si>
    <t>Violence Without Injury</t>
  </si>
  <si>
    <t>Total Robbery</t>
  </si>
  <si>
    <t>Total VAP &amp; Sexual Offences</t>
  </si>
  <si>
    <t>VAP With Injury - Alcohol Related</t>
  </si>
  <si>
    <t>VAP With Injury - Drug Related</t>
  </si>
  <si>
    <t>VAP With Injury- Domestic Abuse Related</t>
  </si>
  <si>
    <t>Aggravated Vehicle Taking</t>
  </si>
  <si>
    <t>Interfering with a Motor Vehicle</t>
  </si>
  <si>
    <t>Theft From A Vehicle</t>
  </si>
  <si>
    <t>Theft Or Unauthorised Taking Of A Motor Vehicle</t>
  </si>
  <si>
    <t>Total Vehicle Crime</t>
  </si>
  <si>
    <t>Hate Offences &amp; Crimed Incidents</t>
  </si>
  <si>
    <t>Business Crime</t>
  </si>
  <si>
    <t>Section 18</t>
  </si>
  <si>
    <t>Section 20</t>
  </si>
  <si>
    <t>Burglary Business and Community</t>
  </si>
  <si>
    <t>Month-Year</t>
  </si>
  <si>
    <t>North Warwickshire</t>
  </si>
  <si>
    <t>Nuneaton &amp; Bedworth</t>
  </si>
  <si>
    <t>Rugby</t>
  </si>
  <si>
    <t>Stratford</t>
  </si>
  <si>
    <t>Warwick</t>
  </si>
  <si>
    <t>South Warwickshire</t>
  </si>
  <si>
    <t>MARAC - Number of cases discussed</t>
  </si>
  <si>
    <t>Total Anti-Social Behaviour Incidents</t>
  </si>
  <si>
    <t>People killed or seriously injured in road traffic accidents</t>
  </si>
  <si>
    <t>Fatal</t>
  </si>
  <si>
    <t>Serious</t>
  </si>
  <si>
    <t>Personal ASB</t>
  </si>
  <si>
    <t>Trend Charts - Last 6 months</t>
  </si>
  <si>
    <t>Serious Acquisitive Crime</t>
  </si>
  <si>
    <t>Theft of Vehicle</t>
  </si>
  <si>
    <t>Theft from Vehicle</t>
  </si>
  <si>
    <t>Section 18 wounding with intent to do GBH</t>
  </si>
  <si>
    <t>Section 20 malicious wounding: wounding or inflicting GBH</t>
  </si>
  <si>
    <t>Serious acquisitive crime</t>
  </si>
  <si>
    <t>Total ASB</t>
  </si>
  <si>
    <t>Additional Indicator:
Road Safety</t>
  </si>
  <si>
    <t>Deliberate small fire Incidents (WFRS)</t>
  </si>
  <si>
    <t>Community Safety Partnership Performance</t>
  </si>
  <si>
    <t xml:space="preserve">Sources: </t>
  </si>
  <si>
    <t>Residential dwelling</t>
  </si>
  <si>
    <t>Burglary residential dwelling</t>
  </si>
  <si>
    <t>Y/E total check</t>
  </si>
  <si>
    <t>Drugs and alcohol combined</t>
  </si>
  <si>
    <t>Total theft of</t>
  </si>
  <si>
    <t>ASB Personal</t>
  </si>
  <si>
    <t xml:space="preserve">ASB Environmental </t>
  </si>
  <si>
    <t>ASB Nuisance</t>
  </si>
  <si>
    <t>Total KSI</t>
  </si>
  <si>
    <t>Deliberate small fires</t>
  </si>
  <si>
    <t>KSI</t>
  </si>
  <si>
    <t>Nuneaton Total KSI</t>
  </si>
  <si>
    <t>Nuneaton Serious</t>
  </si>
  <si>
    <t>Nuneaton Fatal</t>
  </si>
  <si>
    <t>North Warks Total KSI</t>
  </si>
  <si>
    <t>North Warks Fatal</t>
  </si>
  <si>
    <t>North Warks Serious</t>
  </si>
  <si>
    <t>Stratford Total KSI</t>
  </si>
  <si>
    <t>Stratford Fatal</t>
  </si>
  <si>
    <t>Stratford Serious</t>
  </si>
  <si>
    <t>Rugby Total KSI</t>
  </si>
  <si>
    <t>Rugby Fatal</t>
  </si>
  <si>
    <t>Rugby Serious</t>
  </si>
  <si>
    <t>Warwick Total KSI</t>
  </si>
  <si>
    <t>Warwick Fatal</t>
  </si>
  <si>
    <t>Warwick Serious</t>
  </si>
  <si>
    <t>Warwickshire Total KSI</t>
  </si>
  <si>
    <t>Warwickshire Serious</t>
  </si>
  <si>
    <t>Warwickshire Fatal</t>
  </si>
  <si>
    <t>South Warks Total KSI</t>
  </si>
  <si>
    <t>South Warks Fatal</t>
  </si>
  <si>
    <t>South Warks Serious</t>
  </si>
  <si>
    <t>DSF</t>
  </si>
  <si>
    <t>Alcester</t>
  </si>
  <si>
    <t>North Warks</t>
  </si>
  <si>
    <t>Stratford total</t>
  </si>
  <si>
    <t>South Warks</t>
  </si>
  <si>
    <t>Copyright Statement</t>
  </si>
  <si>
    <t xml:space="preserve">The copyright for this publication rests with Warwickshire County Council.  </t>
  </si>
  <si>
    <t>Any material that is reproduced from this spreadsheet must be quoted accurately and not used in a misleading context.</t>
  </si>
  <si>
    <t xml:space="preserve">  Red  (Performing over 5% compared to the previous year)</t>
  </si>
  <si>
    <t xml:space="preserve">  Green  (Performing better by more than 5% compared to the previous year )</t>
  </si>
  <si>
    <t xml:space="preserve">  Amber  (Within 5% - above or below previous year)</t>
  </si>
  <si>
    <t>At end of the year (i.e April) - use this template to create the next year's spreadsheet.</t>
  </si>
  <si>
    <t>The formulas in Year End will need to be amended to point to folder - 2018/19/March 2019/March 2019 - community safety performance spreadsheet, for the year end 2018/19 data.</t>
  </si>
  <si>
    <t>Amend the years on Masterlist to the next year</t>
  </si>
  <si>
    <t>ASB</t>
  </si>
  <si>
    <t>Total</t>
  </si>
  <si>
    <t xml:space="preserve">Nuisance </t>
  </si>
  <si>
    <t>Nuneaton</t>
  </si>
  <si>
    <t>ShopLifting</t>
  </si>
  <si>
    <t>April</t>
  </si>
  <si>
    <t>Priority Theme:  
Road Safety</t>
  </si>
  <si>
    <t>Warks</t>
  </si>
  <si>
    <t>2018/19</t>
  </si>
  <si>
    <t>2017/18</t>
  </si>
  <si>
    <t>Data in column? Yes=1</t>
  </si>
  <si>
    <t>Total Theft Of Motor Vehicle</t>
  </si>
  <si>
    <t>Theft Of A Motor Vehicle</t>
  </si>
  <si>
    <t>North Warks District</t>
  </si>
  <si>
    <t>005.01 Wounding with intent to do grievous bodily harm (sec. 18)</t>
  </si>
  <si>
    <t>008.01 Malicious wounding: wounding or inflicting grievous bodily harm (sec. 20)</t>
  </si>
  <si>
    <t>Residential-Dwelling</t>
  </si>
  <si>
    <t>Nuntn &amp; Bedwt District</t>
  </si>
  <si>
    <t>Rugby District</t>
  </si>
  <si>
    <t>Stratford District</t>
  </si>
  <si>
    <t>Warwick District</t>
  </si>
  <si>
    <t>Total Theft Of MV</t>
  </si>
  <si>
    <t>Total Theft of MV</t>
  </si>
  <si>
    <t>005.01 Wounding (sec. 18)</t>
  </si>
  <si>
    <t>008.01 Malicious wounding (sec. 20)</t>
  </si>
  <si>
    <t>South Warks District</t>
  </si>
  <si>
    <t>Priority Theme:
Reducing Reoffending</t>
  </si>
  <si>
    <t>IOM Cohort</t>
  </si>
  <si>
    <t>Domestic Abuse Offences and Crimed Incidents</t>
  </si>
  <si>
    <t>Vulnerable Adult Offences and Crimed Incidents</t>
  </si>
  <si>
    <t>CSE Offences and Crimed Incidents</t>
  </si>
  <si>
    <t>Violence without injury - domestic abuse flag</t>
  </si>
  <si>
    <t>Priority Theme:
Violent Crime including Domestic Violence</t>
  </si>
  <si>
    <t>MARAC (DV) - Number of cases discussed</t>
  </si>
  <si>
    <t>Priority Theme:
Anti-Social Behaviour with links to Street Begging</t>
  </si>
  <si>
    <t>Street Begging</t>
  </si>
  <si>
    <t>Priority Theme:
Crime in Rural Areas</t>
  </si>
  <si>
    <t>All Recorded Crime in Rural Locations</t>
  </si>
  <si>
    <t>Areas of concern and Cross Cutting Themes</t>
  </si>
  <si>
    <t xml:space="preserve">Reducing Reoffending - </t>
  </si>
  <si>
    <t>Alcohol Flag</t>
  </si>
  <si>
    <t>Drugs Flag</t>
  </si>
  <si>
    <t>Reoffending Rate</t>
  </si>
  <si>
    <t>Alcohol and Drugs</t>
  </si>
  <si>
    <t>Vulnerability and Exploitation</t>
  </si>
  <si>
    <t>Anti-Social Behaviour</t>
  </si>
  <si>
    <t>Violence with and without injury - Drugs Related Flag</t>
  </si>
  <si>
    <t>Violence with and without injury - Alcohol Related Flag</t>
  </si>
  <si>
    <t>Non Reoffending Rate % (IOM)</t>
  </si>
  <si>
    <t>Priority Theme:
Serious Acquisitive Crime focusing on:</t>
  </si>
  <si>
    <t>Priority Theme:  Serious Acquisitive Crime focusing on:</t>
  </si>
  <si>
    <t>`</t>
  </si>
  <si>
    <t>Source</t>
  </si>
  <si>
    <t>Monthly Performance from Police</t>
  </si>
  <si>
    <t>MARAC</t>
  </si>
  <si>
    <t>WFRS</t>
  </si>
  <si>
    <t>? P3/Police/CCTV?</t>
  </si>
  <si>
    <t>Police?  Not yet requested</t>
  </si>
  <si>
    <t>IOM Monthly Rpt</t>
  </si>
  <si>
    <t>Sum of VWI and VWOI Alcohol flag - requested VWOI alcohol flag from Lisa</t>
  </si>
  <si>
    <t>Sum of VWI and VWOI drugs flag - requested VWOI drugs flag from Lisa</t>
  </si>
  <si>
    <t>Requested - Police</t>
  </si>
  <si>
    <t>Sally Hart</t>
  </si>
  <si>
    <t>From IOM monthly rpt</t>
  </si>
  <si>
    <t>VAP Without Injury- Domestic Abuse Related</t>
  </si>
  <si>
    <t>ASB officer?  Provides notices info for begging</t>
  </si>
  <si>
    <t>P3 data relates to rough sleepers</t>
  </si>
  <si>
    <t>CCTV have too much data to identify</t>
  </si>
  <si>
    <t>DON'T INCLUDE</t>
  </si>
  <si>
    <t>Brady's query?</t>
  </si>
  <si>
    <t>Serious Acquisitive Crime Total</t>
  </si>
  <si>
    <t>VAP Without Injury - Alcohol Related</t>
  </si>
  <si>
    <t>VAP Without Injury - Drug Related</t>
  </si>
  <si>
    <t>DA Offences &amp; Crimed Incidents</t>
  </si>
  <si>
    <t>Vulnerable adult offences and crimed incidents</t>
  </si>
  <si>
    <t>CSE offences and crimed incidents</t>
  </si>
  <si>
    <t>Auto update from "Monthly Data for Observatory - new format 2019 rolling monthly figures" spreadsheet</t>
  </si>
  <si>
    <t>All violence - alcohol related</t>
  </si>
  <si>
    <t>All violence - drug related</t>
  </si>
  <si>
    <t>N/A</t>
  </si>
  <si>
    <t>2019/20</t>
  </si>
  <si>
    <t>Theft Of Motor Vehicle</t>
  </si>
  <si>
    <t>Road Safety</t>
  </si>
  <si>
    <t>TBC</t>
  </si>
  <si>
    <t>Produced by Warwickshire Business Intelligence</t>
  </si>
  <si>
    <t>North Warks Borough</t>
  </si>
  <si>
    <t>Nuntn &amp; Bedwt Borough</t>
  </si>
  <si>
    <t>Rugby Borough</t>
  </si>
  <si>
    <t>Rural Crime (based on Oct 2019 definition)</t>
  </si>
  <si>
    <t xml:space="preserve">This report has been prepared by Warwickshire Business Intelligence,  Warwickshire County Council, with all reasonable skill, care, and diligence.  </t>
  </si>
  <si>
    <r>
      <t xml:space="preserve">Number of repeat cases - </t>
    </r>
    <r>
      <rPr>
        <b/>
        <i/>
        <sz val="10"/>
        <color rgb="FFFF0000"/>
        <rFont val="Calibri"/>
        <family val="2"/>
        <scheme val="minor"/>
      </rPr>
      <t>new</t>
    </r>
  </si>
  <si>
    <t>Rural Crime</t>
  </si>
  <si>
    <r>
      <t xml:space="preserve"> % of mental health involved</t>
    </r>
    <r>
      <rPr>
        <b/>
        <i/>
        <sz val="10"/>
        <color rgb="FFFF0000"/>
        <rFont val="Calibri"/>
        <family val="2"/>
        <scheme val="minor"/>
      </rPr>
      <t xml:space="preserve"> - new</t>
    </r>
  </si>
  <si>
    <r>
      <t xml:space="preserve">% of alcohol involved - </t>
    </r>
    <r>
      <rPr>
        <i/>
        <sz val="10"/>
        <color rgb="FFFF0000"/>
        <rFont val="Calibri"/>
        <family val="2"/>
        <scheme val="minor"/>
      </rPr>
      <t>new</t>
    </r>
  </si>
  <si>
    <r>
      <rPr>
        <i/>
        <sz val="10"/>
        <rFont val="Calibri"/>
        <family val="2"/>
        <scheme val="minor"/>
      </rPr>
      <t>% of drugs involved -</t>
    </r>
    <r>
      <rPr>
        <i/>
        <sz val="10"/>
        <color rgb="FFFF0000"/>
        <rFont val="Calibri"/>
        <family val="2"/>
        <scheme val="minor"/>
      </rPr>
      <t xml:space="preserve"> new</t>
    </r>
  </si>
  <si>
    <t>County Lines Flagged Offences</t>
  </si>
  <si>
    <t>Cuckooing Flagged Offences</t>
  </si>
  <si>
    <t>Rural Crime Flagged</t>
  </si>
  <si>
    <t>Knife Crime</t>
  </si>
  <si>
    <t>From Information Provision</t>
  </si>
  <si>
    <t>Requested?</t>
  </si>
  <si>
    <t>COVID-19 ASB</t>
  </si>
  <si>
    <t>COVID-19 Crime?</t>
  </si>
  <si>
    <t>Create tab on monthly rolling spreadsheet and manually update monthly with MARAC data</t>
  </si>
  <si>
    <t>Priority Theme:
Personal Robbery</t>
  </si>
  <si>
    <t xml:space="preserve"> % of mental health involved</t>
  </si>
  <si>
    <t>% of alcohol involved</t>
  </si>
  <si>
    <t>% of drugs involved</t>
  </si>
  <si>
    <t>Violence with injury - domestic abuse flag - as a % of total violence with injury</t>
  </si>
  <si>
    <t>Violence without injury - domestic abuse flag - as a % of total violence without injury</t>
  </si>
  <si>
    <t xml:space="preserve">Section 18 Wounding </t>
  </si>
  <si>
    <t>Section 20 Wounding</t>
  </si>
  <si>
    <t>Priority Theme:
Rural Crime</t>
  </si>
  <si>
    <t>Cross-Cutting Theme:
Drugs and Alcohol</t>
  </si>
  <si>
    <t>Other Performance Measures of Note:
Anti-Social Behaviour</t>
  </si>
  <si>
    <t>Priority Theme:
Acquisitive Crime in Rural Areas</t>
  </si>
  <si>
    <t>Adult Protection offences and crimed incidents    </t>
  </si>
  <si>
    <t xml:space="preserve">Adult Protection offences and crimed incidents    
</t>
  </si>
  <si>
    <r>
      <t>Knife crime</t>
    </r>
    <r>
      <rPr>
        <sz val="12"/>
        <color rgb="FF1F497D"/>
        <rFont val="Times New Roman"/>
        <family val="1"/>
      </rPr>
      <t> – no, this is a separate dataset</t>
    </r>
  </si>
  <si>
    <r>
      <t>County lines</t>
    </r>
    <r>
      <rPr>
        <sz val="12"/>
        <color rgb="FF1F497D"/>
        <rFont val="Times New Roman"/>
        <family val="1"/>
      </rPr>
      <t> – a tag / marker / keyword was introduced recently. I would need to investigate if it’s being used and where it’s being saved – there is no guarantee we can access it in BI</t>
    </r>
  </si>
  <si>
    <r>
      <t>Cuckooing</t>
    </r>
    <r>
      <rPr>
        <sz val="12"/>
        <color rgb="FF1F497D"/>
        <rFont val="Times New Roman"/>
        <family val="1"/>
      </rPr>
      <t> – I don’t know if there is a  tag / marker / keyword for this</t>
    </r>
  </si>
  <si>
    <r>
      <t>Rural crime</t>
    </r>
    <r>
      <rPr>
        <sz val="12"/>
        <color rgb="FF1F497D"/>
        <rFont val="Times New Roman"/>
        <family val="1"/>
      </rPr>
      <t> – no, this is a manual process to determine if the location is rural</t>
    </r>
  </si>
  <si>
    <r>
      <t>COVID ASB / crimes</t>
    </r>
    <r>
      <rPr>
        <sz val="12"/>
        <color rgb="FF1F497D"/>
        <rFont val="Times New Roman"/>
        <family val="1"/>
      </rPr>
      <t> – yes, but not if you want April’s today. I will add this though and apologies for not doing it sooner.</t>
    </r>
  </si>
  <si>
    <t>MARAC - Number of cases discussed (NORTH WARKS &amp; N&amp;B)</t>
  </si>
  <si>
    <t>2020/21</t>
  </si>
  <si>
    <t>RURAL</t>
  </si>
  <si>
    <t>ASB COVID-19</t>
  </si>
  <si>
    <r>
      <t xml:space="preserve">VAP Knife Crime </t>
    </r>
    <r>
      <rPr>
        <b/>
        <sz val="11"/>
        <color rgb="FFFFFF5D"/>
        <rFont val="Calibri"/>
        <family val="2"/>
        <scheme val="minor"/>
      </rPr>
      <t>(RECEIVED QUARTERLY!)</t>
    </r>
  </si>
  <si>
    <t>Actual</t>
  </si>
  <si>
    <t>Cumulative</t>
  </si>
  <si>
    <t>Related COVID-19 Incidents</t>
  </si>
  <si>
    <t>Rugby Total theft of Vehicles</t>
  </si>
  <si>
    <t>2021/22</t>
  </si>
  <si>
    <t>Cyber Fraud - Theft' offences only incorporate offences with a cyber flag relating to 'Theft,' Theft other' and 'blackmail' offences.</t>
  </si>
  <si>
    <t>Cyber Fraud</t>
  </si>
  <si>
    <t>Cyber Fraud - Theft, blackmail, theft other (from Apr 20)</t>
  </si>
  <si>
    <t>Personal robbery</t>
  </si>
  <si>
    <t>NW Personal</t>
  </si>
  <si>
    <t>NW Nuisance</t>
  </si>
  <si>
    <t>NW Environmental</t>
  </si>
  <si>
    <t>North Warks Borough Total</t>
  </si>
  <si>
    <t>N&amp;B Personal</t>
  </si>
  <si>
    <t>N&amp;B Nuisance</t>
  </si>
  <si>
    <t>N&amp;B Environmental</t>
  </si>
  <si>
    <t>Rug Personal</t>
  </si>
  <si>
    <t>Rug Nuisance</t>
  </si>
  <si>
    <t>Rug Environmental</t>
  </si>
  <si>
    <t>Strat Personal</t>
  </si>
  <si>
    <t>Strat Nuisance</t>
  </si>
  <si>
    <t>Strat Environmental</t>
  </si>
  <si>
    <t>Wark Personal</t>
  </si>
  <si>
    <t>Wark Nuisance</t>
  </si>
  <si>
    <t>Wark Environmental</t>
  </si>
  <si>
    <t>South Warks Personal</t>
  </si>
  <si>
    <t>South Warks Nuisance</t>
  </si>
  <si>
    <t>South Warks Environmental</t>
  </si>
  <si>
    <t>N&amp;B Borough Total</t>
  </si>
  <si>
    <t>Rugby Borough Total</t>
  </si>
  <si>
    <t>Stratford District Total</t>
  </si>
  <si>
    <t>Warwick District Total</t>
  </si>
  <si>
    <t>South Warwickshire Total</t>
  </si>
  <si>
    <t>Warwickshire Personal</t>
  </si>
  <si>
    <t>WarwickshireNuisance</t>
  </si>
  <si>
    <t>Warwickshire Environmental</t>
  </si>
  <si>
    <t>Warwickshire Total</t>
  </si>
  <si>
    <t>Row Ref</t>
  </si>
  <si>
    <t>Warwickshire - Violence with injury - domestic abuse flag - as a % of total violence with injury</t>
  </si>
  <si>
    <t>NW - Violence with injury - domestic abuse flag - as a % of total violence with injury</t>
  </si>
  <si>
    <t>N&amp;B - Violence with injury - domestic abuse flag - as a % of total violence with injury</t>
  </si>
  <si>
    <t>Rugby - Violence with injury - domestic abuse flag - as a % of total violence with injury</t>
  </si>
  <si>
    <t>South Warks - Violence with injury - domestic abuse flag - as a % of total violence with injury</t>
  </si>
  <si>
    <t>Warwick - Violence with injury - domestic abuse flag - as a % of total violence with injury</t>
  </si>
  <si>
    <t>Warwickshire - Violence without injury - domestic abuse flag - as a % of total violence with injury</t>
  </si>
  <si>
    <t>VWI &amp; VWOI DA % of total violence</t>
  </si>
  <si>
    <t>Stratford - Violence with injury - domestic abuse flag - as a % of total violence with injury</t>
  </si>
  <si>
    <t>Total Vehicle Crime is a total of 'Aggravated Vehicle Taking', 'Interfering with a Motor Vehcile', 'Theft or Unauthorised Taking of a Motor Vehicle' and 'Theft  From a Vehicle' offences - only the CSP priorities of interest are displayed for the differing district and boroughs</t>
  </si>
  <si>
    <t>NW - Violence without injury - domestic abuse flag - as a % of total violence with injury</t>
  </si>
  <si>
    <t>N&amp;B - Violence without injury - domestic abuse flag - as a % of total violence with injury</t>
  </si>
  <si>
    <t>Rugby - Violence without injury - domestic abuse flag - as a % of total violence with injury</t>
  </si>
  <si>
    <t>South Warks - Violence without injury - domestic abuse flag - as a % of total violence with injury</t>
  </si>
  <si>
    <t>Stratford - Violence without injury - domestic abuse flag - as a % of total violence with injury</t>
  </si>
  <si>
    <t>Warwick - Violence without injury - domestic abuse flag - as a % of total violence with injury</t>
  </si>
  <si>
    <t>Actual 3 yr Averages</t>
  </si>
  <si>
    <t>but with averages for each month - Apr 3 year average, May 3 yr average etc… point new column to cumalitive on right to show typical average month</t>
  </si>
  <si>
    <t>Monthly Average Cumulative</t>
  </si>
  <si>
    <t>RURAL (2 years only!)</t>
  </si>
  <si>
    <t>VAP Knife Crime (2 years only!)</t>
  </si>
  <si>
    <t>Cyber Fraud Offences**</t>
  </si>
  <si>
    <t>Warwickshire No of cases</t>
  </si>
  <si>
    <t>Warwickshire No of Repeat Cases</t>
  </si>
  <si>
    <t>Warwickshire mental health</t>
  </si>
  <si>
    <t>Warwickshire alcohol involved</t>
  </si>
  <si>
    <t>Warwickshire drugs involved</t>
  </si>
  <si>
    <t>Warwickshire % of mental health involved</t>
  </si>
  <si>
    <t>Warwickshire % of alcohol involved</t>
  </si>
  <si>
    <t>Warwickshire % of drugs involved</t>
  </si>
  <si>
    <t>North No of cases</t>
  </si>
  <si>
    <t>North No of Repeat Cases</t>
  </si>
  <si>
    <t>North mental health</t>
  </si>
  <si>
    <t>North alcohol involved</t>
  </si>
  <si>
    <t>North drugs involved</t>
  </si>
  <si>
    <t>North % of mental health involved</t>
  </si>
  <si>
    <t>North % of alcohol involved</t>
  </si>
  <si>
    <t>North % of drugs involved</t>
  </si>
  <si>
    <t>South No of cases</t>
  </si>
  <si>
    <t>South No of Repeat Cases</t>
  </si>
  <si>
    <t>South mental health</t>
  </si>
  <si>
    <t>South alcohol involved</t>
  </si>
  <si>
    <t>South drugs involved</t>
  </si>
  <si>
    <t>South % of mental health involved</t>
  </si>
  <si>
    <t>South % of alcohol involved</t>
  </si>
  <si>
    <t>South % of drugs involved</t>
  </si>
  <si>
    <t>Rugby No of cases</t>
  </si>
  <si>
    <t>Rugby No of Repeat Cases</t>
  </si>
  <si>
    <t>Rugby mental health</t>
  </si>
  <si>
    <t>Rugby alcohol involved</t>
  </si>
  <si>
    <t>Rugby drugs involved</t>
  </si>
  <si>
    <t>Rugby % of mental health involved</t>
  </si>
  <si>
    <t>Rugby % of alcohol involved</t>
  </si>
  <si>
    <t>Rugby % of drugs involved</t>
  </si>
  <si>
    <t>Row Ref for VS Calcs</t>
  </si>
  <si>
    <t>Hate Non Crimed Investigations</t>
  </si>
  <si>
    <t>Domestic Abuse Non Crimed Investigations</t>
  </si>
  <si>
    <t>CSE Non Crimed Investigations</t>
  </si>
  <si>
    <t>Performance vs Cumulative 3 Year Monthly Averages*</t>
  </si>
  <si>
    <t>Adult Protection Non Crimed Investigations</t>
  </si>
  <si>
    <t>N&amp;B - Violence without injury - domestic abuse flag - as a % of total violence without injury</t>
  </si>
  <si>
    <t>Rugby - Violence without injury - domestic abuse flag - as a % of total violence without injury</t>
  </si>
  <si>
    <t>South Warks - Violence without injury - domestic abuse flag - as a % of total violence without injury</t>
  </si>
  <si>
    <t>Stratford - Violence without injury - domestic abuse flag - as a % of total violence without injury</t>
  </si>
  <si>
    <t>Warwick - Violence without injury - domestic abuse flag - as a % of total violence without injury</t>
  </si>
  <si>
    <t xml:space="preserve">Disclaimer </t>
  </si>
  <si>
    <t>Hate Offences and Non Crimed Investigations</t>
  </si>
  <si>
    <t>Domestic Abuse Offences and Non Crimed Investigations</t>
  </si>
  <si>
    <t>CSE Offences and Non Crimed Investigations</t>
  </si>
  <si>
    <t>Violence with injury - alcohol related flag</t>
  </si>
  <si>
    <t>Violence without injury - alcohol related flag</t>
  </si>
  <si>
    <t>Violence with and without injury - alcohol related flag</t>
  </si>
  <si>
    <t>Making Off Without Payment</t>
  </si>
  <si>
    <t>RUGBY</t>
  </si>
  <si>
    <t>Modern Slavery</t>
  </si>
  <si>
    <t>Abuse of Children Through Sexual Exploitation</t>
  </si>
  <si>
    <t>Other Drug Offences</t>
  </si>
  <si>
    <t>Possesion of Controlled Drugs (Cannabis)</t>
  </si>
  <si>
    <t>Possession of Controlled Drugs (Excluding Cannabis)</t>
  </si>
  <si>
    <t>Possession of Other Weapons</t>
  </si>
  <si>
    <t>Possession of Article with Blade or Point</t>
  </si>
  <si>
    <t>Priority Theme: Retail Business Crime</t>
  </si>
  <si>
    <t>Cross-Cutting Theme:
Vulnerability and Community Cohesion</t>
  </si>
  <si>
    <t>Priority Theme:  Serious Acqusitive Crime</t>
  </si>
  <si>
    <t>Priority Theme: Hate Crime</t>
  </si>
  <si>
    <t>Priority Theme:
Violent Crime - Young people linked to knife related vilent crime</t>
  </si>
  <si>
    <t>Priority Theme: Vulnerability - focus on Domestic Abuse, Exploitation of Young People and Hate Crime</t>
  </si>
  <si>
    <t>Cross Cutting Theme: Cyber Crime</t>
  </si>
  <si>
    <t>Priority Theme: Personal Anti-Social Behaviour</t>
  </si>
  <si>
    <t>Priority Theme: Cyber Fraud</t>
  </si>
  <si>
    <t>Other Performance Measures of Note:
Vulnerability</t>
  </si>
  <si>
    <t>Other Performance Measures of Note: Road Safety</t>
  </si>
  <si>
    <t>Deliberate Small Fire Incidents (DSFs)</t>
  </si>
  <si>
    <t>Apr Av</t>
  </si>
  <si>
    <t>May Av</t>
  </si>
  <si>
    <t>Jun Av</t>
  </si>
  <si>
    <t>Jul Av</t>
  </si>
  <si>
    <t>Aug Av</t>
  </si>
  <si>
    <t>Sep Av</t>
  </si>
  <si>
    <t>Oct Av</t>
  </si>
  <si>
    <t>Nov Av</t>
  </si>
  <si>
    <t>Dec Av</t>
  </si>
  <si>
    <t>Jan Av</t>
  </si>
  <si>
    <t>Feb Av</t>
  </si>
  <si>
    <t>Mar Av</t>
  </si>
  <si>
    <t>1)</t>
  </si>
  <si>
    <t>2)</t>
  </si>
  <si>
    <t>3)</t>
  </si>
  <si>
    <t>4)</t>
  </si>
  <si>
    <r>
      <rPr>
        <b/>
        <sz val="12"/>
        <color theme="1"/>
        <rFont val="Calibri"/>
        <family val="2"/>
        <scheme val="minor"/>
      </rPr>
      <t>Please Note</t>
    </r>
    <r>
      <rPr>
        <sz val="12"/>
        <color theme="1"/>
        <rFont val="Calibri"/>
        <family val="2"/>
        <scheme val="minor"/>
      </rPr>
      <t xml:space="preserve">: </t>
    </r>
  </si>
  <si>
    <t>Sources: Warwickshire Police, Warwickshire Fire &amp; Rescue, Transport and Highways Team, WCC, Refuge, Rural Crime Coordinator.</t>
  </si>
  <si>
    <t>Knife Related Violence</t>
  </si>
  <si>
    <t>Other Drug Offences (including 'Trafficking of Controlled Drugs')</t>
  </si>
  <si>
    <t>2021/23</t>
  </si>
  <si>
    <t>2021/24</t>
  </si>
  <si>
    <t>2021/25</t>
  </si>
  <si>
    <t>2021/26</t>
  </si>
  <si>
    <t>2021/27</t>
  </si>
  <si>
    <t>2021/28</t>
  </si>
  <si>
    <t>2021/29</t>
  </si>
  <si>
    <t>2021/30</t>
  </si>
  <si>
    <t>2021/31</t>
  </si>
  <si>
    <t>2021/32</t>
  </si>
  <si>
    <t>2021/33</t>
  </si>
  <si>
    <t>2021/34</t>
  </si>
  <si>
    <t>2021/35</t>
  </si>
  <si>
    <t>2021/36</t>
  </si>
  <si>
    <t>People killed or seriously injured in road traffic collisions</t>
  </si>
  <si>
    <t>Priority Theme:
Violent crime with a focus on knife crime, domestic violence and alcohol related violence</t>
  </si>
  <si>
    <t>Cross-Cutting Theme:
Vulnerability and Exploitation</t>
  </si>
  <si>
    <t>Priority Theme: Violent Crime with a focus on knife and weapon related crime and domestic violence</t>
  </si>
  <si>
    <r>
      <rPr>
        <sz val="10"/>
        <rFont val="Calibri"/>
        <family val="2"/>
        <scheme val="minor"/>
      </rPr>
      <t>Knife Related Violence</t>
    </r>
  </si>
  <si>
    <t>Knife Related Violence - Suspects aged 18 years old and under</t>
  </si>
  <si>
    <t>Knife related Violence - under 18 years old only</t>
  </si>
  <si>
    <t>Rugby Knife violence-under 18s only</t>
  </si>
  <si>
    <t>Address the causes of violence</t>
  </si>
  <si>
    <t>Racist</t>
  </si>
  <si>
    <t>Homophobic</t>
  </si>
  <si>
    <t>Disability</t>
  </si>
  <si>
    <t>Religion</t>
  </si>
  <si>
    <t>Subculture</t>
  </si>
  <si>
    <t>Transphobic</t>
  </si>
  <si>
    <t>Schools Prejudice Related Incidents</t>
  </si>
  <si>
    <t>StreetSafe Reports</t>
  </si>
  <si>
    <t>Community Safety Theme</t>
  </si>
  <si>
    <t>Violent Crime including serious violence and domestic abuse</t>
  </si>
  <si>
    <t>Safe, healthy and empowered communities</t>
  </si>
  <si>
    <t>PREVENT</t>
  </si>
  <si>
    <t>Substance Misuse</t>
  </si>
  <si>
    <t>Other</t>
  </si>
  <si>
    <t>Hate Crime</t>
  </si>
  <si>
    <t>Hate Crime Types</t>
  </si>
  <si>
    <t xml:space="preserve"> % of people reporting a good understanding (KPI)</t>
  </si>
  <si>
    <t>online grooming training number of people attending</t>
  </si>
  <si>
    <t>StreetSafe</t>
  </si>
  <si>
    <t>No of Reports</t>
  </si>
  <si>
    <t>n/a</t>
  </si>
  <si>
    <t>Schools Prejudice related incidents</t>
  </si>
  <si>
    <t>% of repeat cases</t>
  </si>
  <si>
    <t>WCC (PREVENT and Schools data)</t>
  </si>
  <si>
    <t>StreetSafe Knowledge Hub</t>
  </si>
  <si>
    <t>Priority Theme:
Rape and Other Sexual Offences</t>
  </si>
  <si>
    <t>Tackle discrimination in all its forms</t>
  </si>
  <si>
    <t>PREVENT'-% of people reporting a good understanding (KPI) (Quarterly only)</t>
  </si>
  <si>
    <r>
      <t>% of people reporting a good understanding (KPI)</t>
    </r>
    <r>
      <rPr>
        <b/>
        <i/>
        <sz val="11"/>
        <color theme="0"/>
        <rFont val="Calibri"/>
        <family val="2"/>
        <scheme val="minor"/>
      </rPr>
      <t xml:space="preserve"> (Quarterly only)</t>
    </r>
    <r>
      <rPr>
        <b/>
        <sz val="11"/>
        <color theme="0"/>
        <rFont val="Calibri"/>
        <family val="2"/>
        <scheme val="minor"/>
      </rPr>
      <t>***</t>
    </r>
  </si>
  <si>
    <t>Domestic Abuse Offences and Crimed Investigations</t>
  </si>
  <si>
    <t>Priority Theme: Violent Crime focusing on Domestic Abuse and NTE</t>
  </si>
  <si>
    <t>Priority Theme:
County Lines  focusing on: knife crime, links to violence, substance misuse and exploitation in Warwick District</t>
  </si>
  <si>
    <t>'Online grooming training number of people attending sessions (Quarterly only)</t>
  </si>
  <si>
    <t>'% of adult victim-survivors leaving the WCC commissioned Domestic Abuse support service who say that they feel ‘safer’ compared to when they accessed the service ('somewhat/much safer')</t>
  </si>
  <si>
    <t>Refuge Warwickshire</t>
  </si>
  <si>
    <t xml:space="preserve">* This is based on themes specific to the rural crime strategy (e.g. acquisitive crime on farms, equine, livestock offences, etc). This is a new measure for 2019.
** 'Cyber Fraud - Theft' offences only incorporate offences with a cyber flag relating to 'Theft,' Theft other' and 'blackmail' offences. </t>
  </si>
  <si>
    <t>Rural Crime Offences*</t>
  </si>
  <si>
    <r>
      <t xml:space="preserve">Online grooming training number of people attending sessions </t>
    </r>
    <r>
      <rPr>
        <b/>
        <i/>
        <sz val="11"/>
        <color theme="0"/>
        <rFont val="Calibri"/>
        <family val="2"/>
        <scheme val="minor"/>
      </rPr>
      <t>(Quarterly only)</t>
    </r>
    <r>
      <rPr>
        <b/>
        <sz val="11"/>
        <color theme="0"/>
        <rFont val="Calibri"/>
        <family val="2"/>
        <scheme val="minor"/>
      </rPr>
      <t>***</t>
    </r>
  </si>
  <si>
    <t>* This is based on themes specific to the rural crime strategy (e.g. acquisitive crime on farms, equine, livestock offences, etc). This is a new measure for 2019.</t>
  </si>
  <si>
    <t xml:space="preserve">**'Cyber Fraud - Theft' offences only incorporate offences with a cyber flag relating to 'Theft,' Theft other' and 'blackmail' offences. </t>
  </si>
  <si>
    <t>Burglary Residential (dwelling only)</t>
  </si>
  <si>
    <t>Residential burglary (dwelling only)</t>
  </si>
  <si>
    <t>Proportions of MARAC factors relate to the number of victims and offenders discussed in a case, which will result in some proportions possibly being over 100%.</t>
  </si>
  <si>
    <t>2021/37</t>
  </si>
  <si>
    <t>2021/38</t>
  </si>
  <si>
    <t>2021/39</t>
  </si>
  <si>
    <t>2021/40</t>
  </si>
  <si>
    <t>2021/41</t>
  </si>
  <si>
    <t>2021/42</t>
  </si>
  <si>
    <t>June</t>
  </si>
  <si>
    <t>July</t>
  </si>
  <si>
    <t>August</t>
  </si>
  <si>
    <t>September</t>
  </si>
  <si>
    <t>October</t>
  </si>
  <si>
    <t>November</t>
  </si>
  <si>
    <t>2021/43</t>
  </si>
  <si>
    <t>2021/44</t>
  </si>
  <si>
    <t>2021/45</t>
  </si>
  <si>
    <t>2021/46</t>
  </si>
  <si>
    <t>December</t>
  </si>
  <si>
    <t>January</t>
  </si>
  <si>
    <t>February</t>
  </si>
  <si>
    <t>March</t>
  </si>
  <si>
    <t>Warwickshire Strategic Ambition</t>
  </si>
  <si>
    <t>MARAC - Number of cases discussed (RUGBY)</t>
  </si>
  <si>
    <t>SeDFion 18</t>
  </si>
  <si>
    <t>SeDFion 20</t>
  </si>
  <si>
    <t>PREVENT-these ones not used (see further below)</t>
  </si>
  <si>
    <t>2023/24
Total</t>
  </si>
  <si>
    <t>Performance vs same period 23/24</t>
  </si>
  <si>
    <t>Warwickshire 2024/25</t>
  </si>
  <si>
    <t>North Warwickshire Borough 2024/25</t>
  </si>
  <si>
    <t>Nuneaton and Bedworth Borough 2024/25</t>
  </si>
  <si>
    <t>Rugby Borough 2024/25</t>
  </si>
  <si>
    <t>Stratford-on-Avon District 2024/25</t>
  </si>
  <si>
    <t>Warwick District 2024/25</t>
  </si>
  <si>
    <t>South Warwickshire CSP 2024/25</t>
  </si>
  <si>
    <t>2021/47</t>
  </si>
  <si>
    <t>2021/48</t>
  </si>
  <si>
    <t>2021/49</t>
  </si>
  <si>
    <t>2021/50</t>
  </si>
  <si>
    <t>2021/51</t>
  </si>
  <si>
    <t>2021/52</t>
  </si>
  <si>
    <t>2021/53</t>
  </si>
  <si>
    <t>2021/54</t>
  </si>
  <si>
    <t>2021/55</t>
  </si>
  <si>
    <t>2021/56</t>
  </si>
  <si>
    <t>2021/57</t>
  </si>
  <si>
    <t>2021/58</t>
  </si>
  <si>
    <t>*** Measure is only collated quarterly and therefore is only updated in the 3rd month of the quarter.  All other months will show '-'.</t>
  </si>
  <si>
    <r>
      <t>Road Safety Data is not available before 20th of each month.  Therefore, the previous month will show '</t>
    </r>
    <r>
      <rPr>
        <i/>
        <sz val="11"/>
        <color theme="1"/>
        <rFont val="Calibri"/>
        <family val="2"/>
        <scheme val="minor"/>
      </rPr>
      <t>TBC</t>
    </r>
    <r>
      <rPr>
        <sz val="11"/>
        <color theme="1"/>
        <rFont val="Calibri"/>
        <family val="2"/>
        <scheme val="minor"/>
      </rPr>
      <t>' and performance vs same period last year comparisons can not be made.</t>
    </r>
  </si>
  <si>
    <t>Knife related Violence suspects - under 18 years old only</t>
  </si>
  <si>
    <r>
      <t xml:space="preserve">% of adult victim-survivors leaving the WCC commissioned Domestic Abuse support service who say that they feel ‘safer’ compared to when they accessed the service </t>
    </r>
    <r>
      <rPr>
        <b/>
        <i/>
        <sz val="11"/>
        <rFont val="Calibri"/>
        <family val="2"/>
        <scheme val="minor"/>
      </rPr>
      <t>(Quarterly only)</t>
    </r>
    <r>
      <rPr>
        <b/>
        <sz val="11"/>
        <rFont val="Calibri"/>
        <family val="2"/>
        <scheme val="minor"/>
      </rPr>
      <t>***</t>
    </r>
    <r>
      <rPr>
        <i/>
        <sz val="11"/>
        <rFont val="Calibri"/>
        <family val="2"/>
        <scheme val="minor"/>
      </rPr>
      <t xml:space="preserve"> (last year figure is not 'actual' for last year but instead it is the agreed KBM target)</t>
    </r>
  </si>
  <si>
    <t>STORM Incident System, Warwickshire Police
Business Objects, Warwickshire Police
MARAC Performance Data, Refuge
Deliberate Small Fires, Warwickshire Fire and Rescue
KSI data, Road Safety Team WCC
Rural Crime Coordinator, Warwickshire Police</t>
  </si>
  <si>
    <t>Possession of Controlled Drugs (Cannabis)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</si>
</sst>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32"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6"/>
      <color indexed="8"/>
      <name val="Arial"/>
      <family val="2"/>
    </font>
    <font>
      <sz val="9"/>
      <color indexed="8"/>
      <name val="Arial"/>
      <family val="2"/>
    </font>
    <font>
      <sz val="10"/>
      <color theme="1"/>
      <name val="Calibri"/>
      <family val="2"/>
      <scheme val="minor"/>
    </font>
    <font>
      <i/>
      <sz val="10"/>
      <color theme="1"/>
      <name val="Calibri"/>
      <family val="2"/>
      <scheme val="minor"/>
    </font>
    <font>
      <b/>
      <sz val="18"/>
      <color theme="1"/>
      <name val="Arial"/>
      <family val="2"/>
    </font>
    <font>
      <b/>
      <sz val="10"/>
      <color theme="1"/>
      <name val="Calibri"/>
      <family val="2"/>
      <scheme val="minor"/>
    </font>
    <font>
      <sz val="10"/>
      <color theme="0"/>
      <name val="Calibri"/>
      <family val="2"/>
      <scheme val="minor"/>
    </font>
    <font>
      <b/>
      <sz val="10"/>
      <color theme="0"/>
      <name val="Calibri"/>
      <family val="2"/>
      <scheme val="minor"/>
    </font>
    <font>
      <b/>
      <sz val="12"/>
      <color theme="0"/>
      <name val="Calibri"/>
      <family val="2"/>
      <scheme val="minor"/>
    </font>
    <font>
      <i/>
      <sz val="10"/>
      <color theme="0"/>
      <name val="Calibri"/>
      <family val="2"/>
      <scheme val="minor"/>
    </font>
    <font>
      <b/>
      <sz val="12"/>
      <color theme="1"/>
      <name val="Arial"/>
      <family val="2"/>
    </font>
    <font>
      <b/>
      <sz val="20"/>
      <color theme="1"/>
      <name val="Calibri"/>
      <family val="2"/>
      <scheme val="minor"/>
    </font>
    <font>
      <b/>
      <sz val="20"/>
      <color rgb="FF477CBF"/>
      <name val="Calibri"/>
      <family val="2"/>
      <scheme val="minor"/>
    </font>
    <font>
      <i/>
      <sz val="10"/>
      <name val="Calibri"/>
      <family val="2"/>
      <scheme val="minor"/>
    </font>
    <font>
      <b/>
      <sz val="12"/>
      <color rgb="FF477CBF"/>
      <name val="Calibri"/>
      <family val="2"/>
      <scheme val="minor"/>
    </font>
    <font>
      <sz val="10"/>
      <name val="Calibri"/>
      <family val="2"/>
      <scheme val="minor"/>
    </font>
    <font>
      <sz val="12"/>
      <name val="Arial"/>
      <family val="2"/>
    </font>
    <font>
      <sz val="10"/>
      <name val="Arial"/>
      <family val="2"/>
    </font>
    <font>
      <sz val="9"/>
      <color theme="1"/>
      <name val="Arial"/>
      <family val="2"/>
    </font>
    <font>
      <b/>
      <sz val="11"/>
      <color theme="1"/>
      <name val="Calibri"/>
      <family val="2"/>
      <scheme val="minor"/>
    </font>
    <font>
      <sz val="10"/>
      <color indexed="8"/>
      <name val="Arial"/>
      <family val="2"/>
    </font>
    <font>
      <sz val="10"/>
      <name val="Arial"/>
      <family val="2"/>
    </font>
    <font>
      <sz val="10"/>
      <name val="Calibri"/>
      <family val="2"/>
    </font>
    <font>
      <sz val="11"/>
      <name val="Calibri"/>
      <family val="2"/>
    </font>
    <font>
      <b/>
      <sz val="11"/>
      <name val="Calibri"/>
      <family val="2"/>
    </font>
    <font>
      <sz val="10"/>
      <color theme="1"/>
      <name val="Arial"/>
      <family val="2"/>
    </font>
    <font>
      <sz val="10"/>
      <color rgb="FF000000"/>
      <name val="Times New Roman"/>
      <family val="1"/>
    </font>
    <font>
      <sz val="10"/>
      <name val="Arial"/>
      <family val="2"/>
    </font>
    <font>
      <sz val="9"/>
      <color indexed="8"/>
      <name val="Arial"/>
      <family val="2"/>
    </font>
    <font>
      <b/>
      <sz val="12"/>
      <color rgb="FFFF0000"/>
      <name val="Arial"/>
      <family val="2"/>
    </font>
    <font>
      <b/>
      <sz val="20"/>
      <color theme="8"/>
      <name val="Calibri"/>
      <family val="2"/>
      <scheme val="minor"/>
    </font>
    <font>
      <sz val="10"/>
      <color rgb="FFFF0000"/>
      <name val="Calibri"/>
      <family val="2"/>
      <scheme val="minor"/>
    </font>
    <font>
      <b/>
      <sz val="10"/>
      <name val="Calibri"/>
      <family val="2"/>
      <scheme val="minor"/>
    </font>
    <font>
      <sz val="10"/>
      <name val="Arial"/>
      <family val="2"/>
    </font>
    <font>
      <sz val="9"/>
      <color indexed="8"/>
      <name val="Arial"/>
      <family val="2"/>
    </font>
    <font>
      <sz val="12"/>
      <color rgb="FFFF0000"/>
      <name val="Arial"/>
      <family val="2"/>
    </font>
    <font>
      <sz val="12"/>
      <color indexed="8"/>
      <name val="Arial"/>
      <family val="2"/>
    </font>
    <font>
      <b/>
      <sz val="9"/>
      <color indexed="9"/>
      <name val="Arial"/>
      <family val="2"/>
    </font>
    <font>
      <b/>
      <sz val="12"/>
      <color indexed="8"/>
      <name val="Arial"/>
      <family val="2"/>
    </font>
    <font>
      <b/>
      <sz val="9"/>
      <name val="Arial"/>
      <family val="2"/>
    </font>
    <font>
      <i/>
      <sz val="12"/>
      <color theme="1"/>
      <name val="Arial"/>
      <family val="2"/>
    </font>
    <font>
      <b/>
      <i/>
      <sz val="10"/>
      <color theme="0"/>
      <name val="Calibri"/>
      <family val="2"/>
      <scheme val="minor"/>
    </font>
    <font>
      <sz val="10"/>
      <name val="Arial"/>
      <family val="2"/>
    </font>
    <font>
      <sz val="11"/>
      <name val="Calibri"/>
      <family val="2"/>
      <scheme val="minor"/>
    </font>
    <font>
      <sz val="9"/>
      <name val="Arial"/>
      <family val="2"/>
    </font>
    <font>
      <sz val="12"/>
      <color theme="0"/>
      <name val="Arial"/>
      <family val="2"/>
    </font>
    <font>
      <sz val="10"/>
      <color rgb="FFCCC0DA"/>
      <name val="Calibri"/>
      <family val="2"/>
      <scheme val="minor"/>
    </font>
    <font>
      <b/>
      <u/>
      <sz val="12"/>
      <color theme="1"/>
      <name val="Arial"/>
      <family val="2"/>
    </font>
    <font>
      <sz val="8"/>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0"/>
      <name val="Arial"/>
      <family val="2"/>
    </font>
    <font>
      <sz val="10"/>
      <color rgb="FF000000"/>
      <name val="Arial"/>
      <family val="2"/>
    </font>
    <font>
      <sz val="9"/>
      <color rgb="FF000000"/>
      <name val="Arial"/>
      <family val="2"/>
    </font>
    <font>
      <b/>
      <sz val="9"/>
      <color rgb="FF000000"/>
      <name val="Calibri"/>
      <family val="2"/>
      <scheme val="minor"/>
    </font>
    <font>
      <b/>
      <sz val="9"/>
      <color theme="0"/>
      <name val="Arial"/>
      <family val="2"/>
    </font>
    <font>
      <b/>
      <sz val="11"/>
      <color theme="0"/>
      <name val="Calibri"/>
      <family val="2"/>
      <scheme val="minor"/>
    </font>
    <font>
      <i/>
      <sz val="10"/>
      <color rgb="FFFF0000"/>
      <name val="Calibri"/>
      <family val="2"/>
      <scheme val="minor"/>
    </font>
    <font>
      <b/>
      <i/>
      <sz val="10"/>
      <color rgb="FFFF0000"/>
      <name val="Calibri"/>
      <family val="2"/>
      <scheme val="minor"/>
    </font>
    <font>
      <sz val="11"/>
      <name val="Arial"/>
      <family val="2"/>
    </font>
    <font>
      <b/>
      <sz val="12"/>
      <color rgb="FF1F497D"/>
      <name val="Times New Roman"/>
      <family val="1"/>
    </font>
    <font>
      <sz val="12"/>
      <color rgb="FF1F497D"/>
      <name val="Times New Roman"/>
      <family val="1"/>
    </font>
    <font>
      <b/>
      <sz val="9"/>
      <color theme="1"/>
      <name val="Arial"/>
      <family val="2"/>
    </font>
    <font>
      <sz val="8"/>
      <name val="Arial"/>
      <family val="2"/>
    </font>
    <font>
      <sz val="11"/>
      <color theme="0"/>
      <name val="Calibri"/>
      <family val="2"/>
      <scheme val="minor"/>
    </font>
    <font>
      <b/>
      <sz val="11"/>
      <color rgb="FFFFFF5D"/>
      <name val="Calibri"/>
      <family val="2"/>
      <scheme val="minor"/>
    </font>
    <font>
      <b/>
      <sz val="11"/>
      <name val="Calibri"/>
      <family val="2"/>
      <scheme val="minor"/>
    </font>
    <font>
      <b/>
      <sz val="12"/>
      <name val="Arial"/>
      <family val="2"/>
    </font>
    <font>
      <i/>
      <sz val="11"/>
      <color theme="1"/>
      <name val="Calibri"/>
      <family val="2"/>
      <scheme val="minor"/>
    </font>
    <font>
      <sz val="11"/>
      <color rgb="FFFF0000"/>
      <name val="Calibri"/>
      <family val="2"/>
    </font>
    <font>
      <sz val="10"/>
      <name val="Arial"/>
      <family val="2"/>
    </font>
    <font>
      <b/>
      <i/>
      <sz val="10"/>
      <name val="Calibri"/>
      <family val="2"/>
      <scheme val="minor"/>
    </font>
    <font>
      <sz val="9"/>
      <color theme="1"/>
      <name val="Calibri"/>
      <family val="2"/>
      <scheme val="minor"/>
    </font>
    <font>
      <sz val="9"/>
      <name val="Calibri"/>
      <family val="2"/>
      <scheme val="minor"/>
    </font>
    <font>
      <sz val="10"/>
      <name val="Arial"/>
      <family val="2"/>
    </font>
    <font>
      <b/>
      <sz val="10"/>
      <name val="Arial"/>
      <family val="2"/>
    </font>
    <font>
      <sz val="12"/>
      <color theme="1"/>
      <name val="Calibri"/>
      <family val="2"/>
      <scheme val="minor"/>
    </font>
    <font>
      <b/>
      <i/>
      <sz val="14"/>
      <color theme="1"/>
      <name val="Calibri"/>
      <family val="2"/>
      <scheme val="minor"/>
    </font>
    <font>
      <b/>
      <sz val="11"/>
      <color rgb="FFFF0000"/>
      <name val="Calibri"/>
      <family val="2"/>
      <scheme val="minor"/>
    </font>
    <font>
      <sz val="11"/>
      <color rgb="FFFF0000"/>
      <name val="Calibri"/>
      <family val="2"/>
      <scheme val="minor"/>
    </font>
    <font>
      <b/>
      <sz val="9"/>
      <color indexed="8"/>
      <name val="Arial"/>
      <family val="2"/>
    </font>
    <font>
      <i/>
      <sz val="11"/>
      <color theme="0"/>
      <name val="Calibri"/>
      <family val="2"/>
      <scheme val="minor"/>
    </font>
    <font>
      <b/>
      <sz val="14"/>
      <color theme="0"/>
      <name val="Calibri"/>
      <family val="2"/>
      <scheme val="minor"/>
    </font>
    <font>
      <b/>
      <i/>
      <sz val="14"/>
      <color theme="0"/>
      <name val="Calibri"/>
      <family val="2"/>
      <scheme val="minor"/>
    </font>
    <font>
      <b/>
      <sz val="14"/>
      <name val="Calibri"/>
      <family val="2"/>
      <scheme val="minor"/>
    </font>
    <font>
      <sz val="10"/>
      <name val="Arial"/>
      <family val="2"/>
    </font>
    <font>
      <b/>
      <sz val="12"/>
      <color theme="1"/>
      <name val="Calibri"/>
      <family val="2"/>
      <scheme val="minor"/>
    </font>
    <font>
      <i/>
      <sz val="11"/>
      <name val="Calibri"/>
      <family val="2"/>
    </font>
    <font>
      <b/>
      <sz val="10"/>
      <color rgb="FF000000"/>
      <name val="Calibri"/>
      <family val="2"/>
      <scheme val="minor"/>
    </font>
    <font>
      <b/>
      <sz val="10"/>
      <color rgb="FF477CBF"/>
      <name val="Calibri"/>
      <family val="2"/>
      <scheme val="minor"/>
    </font>
    <font>
      <b/>
      <sz val="16"/>
      <color theme="0"/>
      <name val="Calibri"/>
      <family val="2"/>
      <scheme val="minor"/>
    </font>
    <font>
      <i/>
      <sz val="11"/>
      <name val="Calibri"/>
      <family val="2"/>
      <scheme val="minor"/>
    </font>
    <font>
      <i/>
      <sz val="12"/>
      <color theme="1"/>
      <name val="Calibri"/>
      <family val="2"/>
      <scheme val="minor"/>
    </font>
    <font>
      <b/>
      <sz val="12"/>
      <name val="Calibri"/>
      <family val="2"/>
      <scheme val="minor"/>
    </font>
    <font>
      <sz val="11"/>
      <color theme="1"/>
      <name val="Arial"/>
      <family val="2"/>
    </font>
    <font>
      <b/>
      <i/>
      <sz val="11"/>
      <name val="Calibri"/>
      <family val="2"/>
      <scheme val="minor"/>
    </font>
    <font>
      <b/>
      <i/>
      <sz val="11"/>
      <color rgb="FFE84599"/>
      <name val="Calibri"/>
      <family val="2"/>
    </font>
    <font>
      <b/>
      <i/>
      <sz val="11"/>
      <color rgb="FFE84599"/>
      <name val="Calibri"/>
      <family val="2"/>
      <scheme val="minor"/>
    </font>
    <font>
      <i/>
      <sz val="11"/>
      <color theme="1"/>
      <name val="Arial"/>
      <family val="2"/>
    </font>
    <font>
      <b/>
      <sz val="11"/>
      <color theme="1"/>
      <name val="Arial"/>
      <family val="2"/>
    </font>
    <font>
      <b/>
      <i/>
      <sz val="11"/>
      <color theme="0"/>
      <name val="Calibri"/>
      <family val="2"/>
      <scheme val="minor"/>
    </font>
    <font>
      <sz val="11"/>
      <color theme="0"/>
      <name val="Arial"/>
      <family val="2"/>
    </font>
    <font>
      <b/>
      <i/>
      <sz val="11"/>
      <color theme="9"/>
      <name val="Calibri"/>
      <family val="2"/>
      <scheme val="minor"/>
    </font>
    <font>
      <b/>
      <sz val="11"/>
      <color theme="2"/>
      <name val="Calibri"/>
      <family val="2"/>
      <scheme val="minor"/>
    </font>
    <font>
      <sz val="12"/>
      <color theme="2"/>
      <name val="Arial"/>
      <family val="2"/>
    </font>
    <font>
      <b/>
      <i/>
      <sz val="11"/>
      <color theme="1"/>
      <name val="Calibri"/>
      <family val="2"/>
      <scheme val="minor"/>
    </font>
    <font>
      <b/>
      <sz val="20"/>
      <name val="Calibri"/>
      <family val="2"/>
      <scheme val="minor"/>
    </font>
  </fonts>
  <fills count="101">
    <fill>
      <patternFill patternType="none"/>
    </fill>
    <fill>
      <patternFill patternType="gray125"/>
    </fill>
    <fill>
      <patternFill patternType="solid">
        <fgColor rgb="FFFCB247"/>
        <bgColor indexed="64"/>
      </patternFill>
    </fill>
    <fill>
      <patternFill patternType="solid">
        <fgColor rgb="FFE84599"/>
        <bgColor indexed="64"/>
      </patternFill>
    </fill>
    <fill>
      <patternFill patternType="solid">
        <fgColor rgb="FF477CBF"/>
        <bgColor indexed="64"/>
      </patternFill>
    </fill>
    <fill>
      <patternFill patternType="solid">
        <fgColor rgb="FF72C48F"/>
        <bgColor indexed="64"/>
      </patternFill>
    </fill>
    <fill>
      <patternFill patternType="solid">
        <fgColor theme="0" tint="-4.9989318521683403E-2"/>
        <bgColor indexed="64"/>
      </patternFill>
    </fill>
    <fill>
      <patternFill patternType="solid">
        <fgColor rgb="FF4B4B4B"/>
        <bgColor indexed="64"/>
      </patternFill>
    </fill>
    <fill>
      <patternFill patternType="solid">
        <fgColor rgb="FFFEE0B4"/>
        <bgColor indexed="64"/>
      </patternFill>
    </fill>
    <fill>
      <patternFill patternType="solid">
        <fgColor rgb="FFF5ADD3"/>
        <bgColor indexed="64"/>
      </patternFill>
    </fill>
    <fill>
      <patternFill patternType="solid">
        <fgColor rgb="FFBED1E8"/>
        <bgColor indexed="64"/>
      </patternFill>
    </fill>
    <fill>
      <patternFill patternType="solid">
        <fgColor rgb="FFC1E5CE"/>
        <bgColor indexed="64"/>
      </patternFill>
    </fill>
    <fill>
      <patternFill patternType="solid">
        <fgColor theme="0"/>
        <bgColor indexed="64"/>
      </patternFill>
    </fill>
    <fill>
      <patternFill patternType="solid">
        <fgColor rgb="FFFFFF00"/>
        <bgColor indexed="9"/>
      </patternFill>
    </fill>
    <fill>
      <patternFill patternType="solid">
        <fgColor rgb="FFFFFF00"/>
        <bgColor indexed="64"/>
      </patternFill>
    </fill>
    <fill>
      <patternFill patternType="solid">
        <fgColor indexed="9"/>
        <bgColor indexed="9"/>
      </patternFill>
    </fill>
    <fill>
      <patternFill patternType="solid">
        <fgColor indexed="54"/>
        <bgColor indexed="9"/>
      </patternFill>
    </fill>
    <fill>
      <patternFill patternType="solid">
        <fgColor theme="0"/>
        <bgColor indexed="9"/>
      </patternFill>
    </fill>
    <fill>
      <patternFill patternType="solid">
        <fgColor theme="7"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0F0F4"/>
        <bgColor rgb="FFFFFFFF"/>
      </patternFill>
    </fill>
    <fill>
      <patternFill patternType="solid">
        <fgColor rgb="FFFFFFFF"/>
        <bgColor rgb="FFFFFFFF"/>
      </patternFill>
    </fill>
    <fill>
      <patternFill patternType="solid">
        <fgColor rgb="FF477CBF"/>
        <bgColor indexed="9"/>
      </patternFill>
    </fill>
    <fill>
      <patternFill patternType="solid">
        <fgColor rgb="FF666699"/>
        <bgColor indexed="9"/>
      </patternFill>
    </fill>
    <fill>
      <patternFill patternType="solid">
        <fgColor rgb="FFE84599"/>
        <bgColor indexed="9"/>
      </patternFill>
    </fill>
    <fill>
      <patternFill patternType="solid">
        <fgColor rgb="FFFCB247"/>
        <bgColor indexed="9"/>
      </patternFill>
    </fill>
    <fill>
      <patternFill patternType="solid">
        <fgColor rgb="FF72C48F"/>
        <bgColor indexed="9"/>
      </patternFill>
    </fill>
    <fill>
      <patternFill patternType="solid">
        <fgColor rgb="FF4B4B4B"/>
        <bgColor indexed="9"/>
      </patternFill>
    </fill>
    <fill>
      <patternFill patternType="solid">
        <fgColor theme="4" tint="-0.249977111117893"/>
        <bgColor indexed="9"/>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3399"/>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rgb="FF99FF9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68E38"/>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2" tint="-0.249977111117893"/>
        <bgColor indexed="9"/>
      </patternFill>
    </fill>
    <fill>
      <patternFill patternType="solid">
        <fgColor theme="4" tint="0.39997558519241921"/>
        <bgColor indexed="64"/>
      </patternFill>
    </fill>
    <fill>
      <patternFill patternType="solid">
        <fgColor rgb="FF76933C"/>
        <bgColor indexed="64"/>
      </patternFill>
    </fill>
    <fill>
      <patternFill patternType="solid">
        <fgColor rgb="FFD8E4BC"/>
        <bgColor indexed="64"/>
      </patternFill>
    </fill>
    <fill>
      <patternFill patternType="solid">
        <fgColor theme="5"/>
        <bgColor indexed="64"/>
      </patternFill>
    </fill>
    <fill>
      <patternFill patternType="solid">
        <fgColor rgb="FFEFEFEF"/>
        <bgColor rgb="FFEFEFEF"/>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bgColor indexed="64"/>
      </patternFill>
    </fill>
    <fill>
      <patternFill patternType="solid">
        <fgColor theme="9" tint="0.39997558519241921"/>
        <bgColor indexed="64"/>
      </patternFill>
    </fill>
    <fill>
      <patternFill patternType="solid">
        <fgColor rgb="FFBC8FDD"/>
        <bgColor indexed="64"/>
      </patternFill>
    </fill>
    <fill>
      <patternFill patternType="solid">
        <fgColor theme="7" tint="0.79998168889431442"/>
        <bgColor indexed="64"/>
      </patternFill>
    </fill>
    <fill>
      <patternFill patternType="solid">
        <fgColor rgb="FFB4B4B4"/>
        <bgColor indexed="64"/>
      </patternFill>
    </fill>
    <fill>
      <patternFill patternType="solid">
        <fgColor rgb="FFFFFFFF"/>
        <bgColor indexed="64"/>
      </patternFill>
    </fill>
    <fill>
      <patternFill patternType="solid">
        <fgColor rgb="FF8559A6"/>
        <bgColor indexed="64"/>
      </patternFill>
    </fill>
    <fill>
      <patternFill patternType="solid">
        <fgColor rgb="FFDDD0E6"/>
        <bgColor indexed="64"/>
      </patternFill>
    </fill>
    <fill>
      <patternFill patternType="solid">
        <fgColor theme="4"/>
        <bgColor indexed="64"/>
      </patternFill>
    </fill>
    <fill>
      <patternFill patternType="solid">
        <fgColor theme="9" tint="0.79998168889431442"/>
        <bgColor indexed="64"/>
      </patternFill>
    </fill>
    <fill>
      <patternFill patternType="solid">
        <fgColor rgb="FFC4D79D"/>
        <bgColor indexed="64"/>
      </patternFill>
    </fill>
    <fill>
      <patternFill patternType="solid">
        <fgColor rgb="FF31869B"/>
        <bgColor indexed="64"/>
      </patternFill>
    </fill>
    <fill>
      <patternFill patternType="solid">
        <fgColor rgb="FFCAE7EE"/>
        <bgColor indexed="64"/>
      </patternFill>
    </fill>
    <fill>
      <patternFill patternType="solid">
        <fgColor rgb="FFC00000"/>
        <bgColor indexed="64"/>
      </patternFill>
    </fill>
    <fill>
      <patternFill patternType="solid">
        <fgColor rgb="FFFFC000"/>
        <bgColor indexed="64"/>
      </patternFill>
    </fill>
  </fills>
  <borders count="107">
    <border>
      <left/>
      <right/>
      <top/>
      <bottom/>
      <diagonal/>
    </border>
    <border>
      <left style="thin">
        <color indexed="31"/>
      </left>
      <right style="thin">
        <color indexed="31"/>
      </right>
      <top style="thin">
        <color indexed="31"/>
      </top>
      <bottom style="thin">
        <color indexed="31"/>
      </bottom>
      <diagonal/>
    </border>
    <border>
      <left style="thin">
        <color rgb="FF4B4B4B"/>
      </left>
      <right style="thin">
        <color rgb="FF4B4B4B"/>
      </right>
      <top style="thin">
        <color rgb="FF4B4B4B"/>
      </top>
      <bottom style="thin">
        <color rgb="FF4B4B4B"/>
      </bottom>
      <diagonal/>
    </border>
    <border>
      <left style="thin">
        <color theme="0"/>
      </left>
      <right/>
      <top/>
      <bottom style="thin">
        <color theme="0"/>
      </bottom>
      <diagonal/>
    </border>
    <border>
      <left style="thin">
        <color rgb="FF4B4B4B"/>
      </left>
      <right/>
      <top/>
      <bottom/>
      <diagonal/>
    </border>
    <border>
      <left style="thin">
        <color theme="0"/>
      </left>
      <right/>
      <top/>
      <bottom/>
      <diagonal/>
    </border>
    <border>
      <left style="thin">
        <color theme="0"/>
      </left>
      <right/>
      <top style="thin">
        <color theme="0"/>
      </top>
      <bottom/>
      <diagonal/>
    </border>
    <border>
      <left style="thin">
        <color theme="0"/>
      </left>
      <right style="thin">
        <color rgb="FF4B4B4B"/>
      </right>
      <top/>
      <bottom/>
      <diagonal/>
    </border>
    <border>
      <left style="thin">
        <color theme="0"/>
      </left>
      <right style="thin">
        <color rgb="FF4B4B4B"/>
      </right>
      <top style="thin">
        <color theme="0"/>
      </top>
      <bottom style="thin">
        <color theme="0"/>
      </bottom>
      <diagonal/>
    </border>
    <border>
      <left style="thin">
        <color rgb="FF4B4B4B"/>
      </left>
      <right/>
      <top style="thin">
        <color rgb="FF4B4B4B"/>
      </top>
      <bottom style="thin">
        <color rgb="FF4B4B4B"/>
      </bottom>
      <diagonal/>
    </border>
    <border>
      <left/>
      <right style="thin">
        <color rgb="FF4B4B4B"/>
      </right>
      <top/>
      <bottom/>
      <diagonal/>
    </border>
    <border>
      <left/>
      <right/>
      <top style="thin">
        <color rgb="FF4B4B4B"/>
      </top>
      <bottom/>
      <diagonal/>
    </border>
    <border>
      <left style="thin">
        <color rgb="FF4B4B4B"/>
      </left>
      <right style="thin">
        <color rgb="FF4B4B4B"/>
      </right>
      <top/>
      <bottom/>
      <diagonal/>
    </border>
    <border>
      <left/>
      <right style="thin">
        <color theme="0"/>
      </right>
      <top/>
      <bottom/>
      <diagonal/>
    </border>
    <border>
      <left style="thin">
        <color theme="0"/>
      </left>
      <right style="thin">
        <color theme="0"/>
      </right>
      <top style="thin">
        <color rgb="FF4B4B4B"/>
      </top>
      <bottom/>
      <diagonal/>
    </border>
    <border>
      <left style="thin">
        <color rgb="FF4B4B4B"/>
      </left>
      <right style="thin">
        <color theme="0"/>
      </right>
      <top style="thin">
        <color rgb="FF4B4B4B"/>
      </top>
      <bottom style="thin">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theme="0"/>
      </left>
      <right/>
      <top style="thin">
        <color rgb="FF4B4B4B"/>
      </top>
      <bottom style="thin">
        <color rgb="FF4B4B4B"/>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indexed="64"/>
      </right>
      <top style="thin">
        <color theme="0"/>
      </top>
      <bottom style="thin">
        <color theme="0"/>
      </bottom>
      <diagonal/>
    </border>
    <border>
      <left style="thin">
        <color indexed="31"/>
      </left>
      <right style="thin">
        <color indexed="31"/>
      </right>
      <top/>
      <bottom/>
      <diagonal/>
    </border>
    <border>
      <left style="thin">
        <color theme="0"/>
      </left>
      <right style="thin">
        <color indexed="64"/>
      </right>
      <top style="thin">
        <color theme="0"/>
      </top>
      <bottom/>
      <diagonal/>
    </border>
    <border>
      <left style="thin">
        <color theme="0"/>
      </left>
      <right style="thin">
        <color indexed="64"/>
      </right>
      <top/>
      <bottom style="thin">
        <color theme="0"/>
      </bottom>
      <diagonal/>
    </border>
    <border>
      <left/>
      <right/>
      <top style="thin">
        <color theme="0"/>
      </top>
      <bottom/>
      <diagonal/>
    </border>
    <border>
      <left style="thin">
        <color theme="0"/>
      </left>
      <right style="thin">
        <color indexed="64"/>
      </right>
      <top/>
      <bottom/>
      <diagonal/>
    </border>
    <border>
      <left/>
      <right style="thin">
        <color indexed="64"/>
      </right>
      <top style="thin">
        <color theme="0"/>
      </top>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theme="0"/>
      </left>
      <right/>
      <top/>
      <bottom style="thin">
        <color indexed="64"/>
      </bottom>
      <diagonal/>
    </border>
    <border>
      <left style="thin">
        <color rgb="FF4B4B4B"/>
      </left>
      <right style="thin">
        <color indexed="64"/>
      </right>
      <top style="thin">
        <color indexed="64"/>
      </top>
      <bottom style="thin">
        <color indexed="64"/>
      </bottom>
      <diagonal/>
    </border>
    <border>
      <left style="thin">
        <color theme="0"/>
      </left>
      <right/>
      <top style="thin">
        <color theme="0"/>
      </top>
      <bottom style="thin">
        <color indexed="64"/>
      </bottom>
      <diagonal/>
    </border>
    <border>
      <left style="thin">
        <color indexed="64"/>
      </left>
      <right style="thin">
        <color theme="0"/>
      </right>
      <top/>
      <bottom/>
      <diagonal/>
    </border>
    <border>
      <left style="thin">
        <color theme="0"/>
      </left>
      <right style="thin">
        <color rgb="FF4B4B4B"/>
      </right>
      <top/>
      <bottom style="thin">
        <color indexed="64"/>
      </bottom>
      <diagonal/>
    </border>
    <border>
      <left style="thin">
        <color rgb="FF4B4B4B"/>
      </left>
      <right style="thin">
        <color theme="0"/>
      </right>
      <top style="thin">
        <color rgb="FF4B4B4B"/>
      </top>
      <bottom/>
      <diagonal/>
    </border>
    <border>
      <left style="thin">
        <color indexed="64"/>
      </left>
      <right style="thin">
        <color theme="0"/>
      </right>
      <top/>
      <bottom style="thin">
        <color indexed="64"/>
      </bottom>
      <diagonal/>
    </border>
    <border>
      <left style="thin">
        <color theme="0"/>
      </left>
      <right style="thin">
        <color rgb="FF4B4B4B"/>
      </right>
      <top style="thin">
        <color indexed="64"/>
      </top>
      <bottom/>
      <diagonal/>
    </border>
    <border>
      <left/>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CAC9D9"/>
      </left>
      <right style="thin">
        <color rgb="FFCAC9D9"/>
      </right>
      <top style="thin">
        <color rgb="FFCAC9D9"/>
      </top>
      <bottom style="thin">
        <color rgb="FFCAC9D9"/>
      </bottom>
      <diagonal/>
    </border>
    <border>
      <left style="thin">
        <color theme="0" tint="-0.34998626667073579"/>
      </left>
      <right/>
      <top style="thin">
        <color theme="0" tint="-0.34998626667073579"/>
      </top>
      <bottom style="thin">
        <color theme="0" tint="-0.34998626667073579"/>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31"/>
      </left>
      <right/>
      <top style="thin">
        <color indexed="31"/>
      </top>
      <bottom style="thin">
        <color indexed="31"/>
      </bottom>
      <diagonal/>
    </border>
    <border>
      <left style="thin">
        <color theme="0"/>
      </left>
      <right/>
      <top style="thin">
        <color rgb="FF4B4B4B"/>
      </top>
      <bottom/>
      <diagonal/>
    </border>
    <border>
      <left style="thin">
        <color indexed="64"/>
      </left>
      <right style="thin">
        <color indexed="64"/>
      </right>
      <top style="thin">
        <color rgb="FF4B4B4B"/>
      </top>
      <bottom/>
      <diagonal/>
    </border>
    <border>
      <left/>
      <right/>
      <top style="thin">
        <color theme="1"/>
      </top>
      <bottom/>
      <diagonal/>
    </border>
    <border>
      <left/>
      <right/>
      <top style="thin">
        <color theme="1"/>
      </top>
      <bottom style="thin">
        <color theme="1"/>
      </bottom>
      <diagonal/>
    </border>
    <border>
      <left style="thin">
        <color rgb="FF4B4B4B"/>
      </left>
      <right style="thin">
        <color rgb="FF4B4B4B"/>
      </right>
      <top style="thin">
        <color rgb="FF4B4B4B"/>
      </top>
      <bottom/>
      <diagonal/>
    </border>
    <border>
      <left style="thin">
        <color rgb="FF4B4B4B"/>
      </left>
      <right style="thin">
        <color rgb="FF4B4B4B"/>
      </right>
      <top/>
      <bottom style="thin">
        <color rgb="FF4B4B4B"/>
      </bottom>
      <diagonal/>
    </border>
    <border>
      <left/>
      <right style="thin">
        <color rgb="FF4B4B4B"/>
      </right>
      <top style="thin">
        <color rgb="FF4B4B4B"/>
      </top>
      <bottom style="thin">
        <color rgb="FF4B4B4B"/>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right style="thin">
        <color theme="0"/>
      </right>
      <top style="thin">
        <color theme="0"/>
      </top>
      <bottom/>
      <diagonal/>
    </border>
    <border>
      <left style="thin">
        <color theme="1"/>
      </left>
      <right style="thin">
        <color indexed="64"/>
      </right>
      <top/>
      <bottom/>
      <diagonal/>
    </border>
    <border>
      <left/>
      <right style="thin">
        <color indexed="64"/>
      </right>
      <top style="thin">
        <color rgb="FF4B4B4B"/>
      </top>
      <bottom/>
      <diagonal/>
    </border>
    <border>
      <left style="thin">
        <color rgb="FF000000"/>
      </left>
      <right style="thin">
        <color rgb="FF000000"/>
      </right>
      <top style="thin">
        <color rgb="FF000000"/>
      </top>
      <bottom style="thin">
        <color rgb="FF000000"/>
      </bottom>
      <diagonal/>
    </border>
    <border>
      <left style="thin">
        <color theme="0"/>
      </left>
      <right/>
      <top style="thin">
        <color theme="0"/>
      </top>
      <bottom style="thin">
        <color theme="0"/>
      </bottom>
      <diagonal/>
    </border>
    <border>
      <left/>
      <right/>
      <top style="thin">
        <color auto="1"/>
      </top>
      <bottom/>
      <diagonal/>
    </border>
    <border>
      <left style="thin">
        <color rgb="FF4B4B4B"/>
      </left>
      <right style="thin">
        <color indexed="64"/>
      </right>
      <top style="thin">
        <color rgb="FF4B4B4B"/>
      </top>
      <bottom style="thin">
        <color rgb="FF4B4B4B"/>
      </bottom>
      <diagonal/>
    </border>
    <border>
      <left style="thin">
        <color theme="0"/>
      </left>
      <right style="thin">
        <color theme="0"/>
      </right>
      <top style="thin">
        <color rgb="FF4B4B4B"/>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style="thin">
        <color rgb="FF4B4B4B"/>
      </right>
      <top style="thin">
        <color indexed="64"/>
      </top>
      <bottom style="thin">
        <color indexed="64"/>
      </bottom>
      <diagonal/>
    </border>
    <border>
      <left style="thin">
        <color indexed="64"/>
      </left>
      <right style="thin">
        <color indexed="64"/>
      </right>
      <top style="thin">
        <color theme="1"/>
      </top>
      <bottom/>
      <diagonal/>
    </border>
    <border>
      <left/>
      <right style="thin">
        <color theme="0"/>
      </right>
      <top/>
      <bottom style="thin">
        <color theme="0"/>
      </bottom>
      <diagonal/>
    </border>
  </borders>
  <cellStyleXfs count="257">
    <xf numFmtId="0" fontId="0" fillId="0" borderId="0"/>
    <xf numFmtId="0" fontId="13" fillId="0" borderId="0"/>
    <xf numFmtId="0" fontId="13" fillId="0" borderId="0"/>
    <xf numFmtId="0" fontId="13" fillId="0" borderId="0"/>
    <xf numFmtId="0" fontId="12" fillId="0" borderId="0"/>
    <xf numFmtId="0" fontId="31" fillId="0" borderId="0"/>
    <xf numFmtId="0" fontId="34" fillId="0" borderId="0">
      <alignment vertical="top"/>
    </xf>
    <xf numFmtId="0" fontId="34" fillId="0" borderId="0">
      <alignment vertical="top"/>
    </xf>
    <xf numFmtId="0" fontId="13" fillId="0" borderId="0"/>
    <xf numFmtId="0" fontId="35" fillId="0" borderId="0"/>
    <xf numFmtId="0" fontId="12" fillId="0" borderId="0"/>
    <xf numFmtId="0" fontId="39"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35" fillId="0" borderId="0"/>
    <xf numFmtId="0" fontId="13" fillId="0" borderId="0"/>
    <xf numFmtId="0" fontId="39" fillId="0" borderId="0"/>
    <xf numFmtId="0" fontId="13" fillId="0" borderId="0"/>
    <xf numFmtId="0" fontId="12" fillId="0" borderId="0"/>
    <xf numFmtId="0" fontId="12" fillId="0" borderId="0"/>
    <xf numFmtId="0" fontId="13" fillId="0" borderId="0"/>
    <xf numFmtId="0" fontId="40" fillId="0" borderId="0"/>
    <xf numFmtId="0" fontId="12" fillId="0" borderId="0"/>
    <xf numFmtId="0" fontId="13" fillId="0" borderId="0"/>
    <xf numFmtId="0" fontId="13" fillId="0" borderId="0"/>
    <xf numFmtId="0" fontId="13" fillId="0" borderId="0"/>
    <xf numFmtId="0" fontId="12" fillId="0" borderId="0"/>
    <xf numFmtId="0" fontId="13" fillId="0" borderId="0"/>
    <xf numFmtId="9" fontId="12" fillId="0" borderId="0" applyFont="0" applyFill="0" applyBorder="0" applyAlignment="0" applyProtection="0"/>
    <xf numFmtId="0" fontId="12" fillId="0" borderId="0"/>
    <xf numFmtId="0" fontId="34" fillId="0" borderId="0">
      <alignment vertical="top"/>
    </xf>
    <xf numFmtId="0" fontId="34" fillId="0" borderId="0">
      <alignment vertical="top"/>
    </xf>
    <xf numFmtId="0" fontId="12" fillId="0" borderId="0"/>
    <xf numFmtId="0" fontId="41"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47" fillId="0" borderId="0"/>
    <xf numFmtId="0" fontId="47" fillId="0" borderId="0"/>
    <xf numFmtId="0" fontId="13" fillId="0" borderId="0"/>
    <xf numFmtId="0" fontId="12" fillId="0" borderId="0"/>
    <xf numFmtId="0" fontId="56" fillId="0" borderId="0"/>
    <xf numFmtId="0" fontId="63" fillId="0" borderId="0" applyNumberFormat="0" applyFill="0" applyBorder="0" applyAlignment="0" applyProtection="0"/>
    <xf numFmtId="0" fontId="64" fillId="0" borderId="50" applyNumberFormat="0" applyFill="0" applyAlignment="0" applyProtection="0"/>
    <xf numFmtId="0" fontId="65" fillId="0" borderId="51" applyNumberFormat="0" applyFill="0" applyAlignment="0" applyProtection="0"/>
    <xf numFmtId="0" fontId="66" fillId="0" borderId="52" applyNumberFormat="0" applyFill="0" applyAlignment="0" applyProtection="0"/>
    <xf numFmtId="0" fontId="66" fillId="0" borderId="0" applyNumberFormat="0" applyFill="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9" fillId="26" borderId="0" applyNumberFormat="0" applyBorder="0" applyAlignment="0" applyProtection="0"/>
    <xf numFmtId="0" fontId="70" fillId="27" borderId="53" applyNumberFormat="0" applyAlignment="0" applyProtection="0"/>
    <xf numFmtId="0" fontId="71" fillId="28" borderId="54" applyNumberFormat="0" applyAlignment="0" applyProtection="0"/>
    <xf numFmtId="0" fontId="72" fillId="28" borderId="53" applyNumberFormat="0" applyAlignment="0" applyProtection="0"/>
    <xf numFmtId="0" fontId="73" fillId="0" borderId="55" applyNumberFormat="0" applyFill="0" applyAlignment="0" applyProtection="0"/>
    <xf numFmtId="0" fontId="74" fillId="29" borderId="56" applyNumberFormat="0" applyAlignment="0" applyProtection="0"/>
    <xf numFmtId="0" fontId="49" fillId="0" borderId="0" applyNumberFormat="0" applyFill="0" applyBorder="0" applyAlignment="0" applyProtection="0"/>
    <xf numFmtId="0" fontId="75" fillId="0" borderId="0" applyNumberFormat="0" applyFill="0" applyBorder="0" applyAlignment="0" applyProtection="0"/>
    <xf numFmtId="0" fontId="24" fillId="0" borderId="58" applyNumberFormat="0" applyFill="0" applyAlignment="0" applyProtection="0"/>
    <xf numFmtId="0" fontId="59"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59" fillId="54" borderId="0" applyNumberFormat="0" applyBorder="0" applyAlignment="0" applyProtection="0"/>
    <xf numFmtId="0" fontId="7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2" fillId="30" borderId="57" applyNumberFormat="0" applyFont="0" applyAlignment="0" applyProtection="0"/>
    <xf numFmtId="0" fontId="12" fillId="0" borderId="0"/>
    <xf numFmtId="0" fontId="77" fillId="0" borderId="0"/>
    <xf numFmtId="9" fontId="12" fillId="0" borderId="0" applyFont="0" applyFill="0" applyBorder="0" applyAlignment="0" applyProtection="0"/>
    <xf numFmtId="0" fontId="99" fillId="0" borderId="0"/>
    <xf numFmtId="9" fontId="13" fillId="0" borderId="0" applyFont="0" applyFill="0" applyBorder="0" applyAlignment="0" applyProtection="0"/>
    <xf numFmtId="0"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1254">
    <xf numFmtId="0" fontId="0" fillId="0" borderId="0" xfId="0"/>
    <xf numFmtId="0" fontId="0" fillId="6" borderId="0" xfId="0" applyFill="1"/>
    <xf numFmtId="0" fontId="16" fillId="6" borderId="0" xfId="0" applyFont="1" applyFill="1"/>
    <xf numFmtId="0" fontId="19" fillId="6" borderId="0" xfId="0" applyFont="1" applyFill="1" applyAlignment="1">
      <alignment horizontal="center" vertical="center" wrapText="1"/>
    </xf>
    <xf numFmtId="0" fontId="16" fillId="6" borderId="0" xfId="0" applyFont="1" applyFill="1" applyBorder="1" applyAlignment="1">
      <alignment horizontal="right"/>
    </xf>
    <xf numFmtId="0" fontId="17" fillId="5" borderId="5" xfId="0" applyFont="1" applyFill="1" applyBorder="1" applyAlignment="1">
      <alignment horizontal="right" vertical="center"/>
    </xf>
    <xf numFmtId="0" fontId="25" fillId="6" borderId="0" xfId="0" applyFont="1" applyFill="1"/>
    <xf numFmtId="0" fontId="24" fillId="6" borderId="0" xfId="0" applyFont="1" applyFill="1"/>
    <xf numFmtId="0" fontId="16" fillId="0" borderId="0" xfId="0" applyFont="1" applyAlignment="1">
      <alignment horizontal="center"/>
    </xf>
    <xf numFmtId="0" fontId="26" fillId="6" borderId="0" xfId="0" applyFont="1" applyFill="1"/>
    <xf numFmtId="0" fontId="28" fillId="6" borderId="0" xfId="0" applyFont="1" applyFill="1"/>
    <xf numFmtId="0" fontId="23" fillId="4" borderId="5" xfId="0" applyFont="1" applyFill="1" applyBorder="1" applyAlignment="1">
      <alignment horizontal="right" vertical="center"/>
    </xf>
    <xf numFmtId="0" fontId="21" fillId="7" borderId="14" xfId="0" applyFont="1" applyFill="1" applyBorder="1" applyAlignment="1">
      <alignment horizontal="center" vertical="center"/>
    </xf>
    <xf numFmtId="0" fontId="21" fillId="7" borderId="20" xfId="0" applyFont="1" applyFill="1" applyBorder="1" applyAlignment="1">
      <alignment horizontal="center" vertical="center" wrapText="1"/>
    </xf>
    <xf numFmtId="0" fontId="22" fillId="7" borderId="15" xfId="0" applyFont="1" applyFill="1" applyBorder="1" applyAlignment="1">
      <alignment horizontal="center" vertical="center"/>
    </xf>
    <xf numFmtId="3" fontId="16" fillId="6" borderId="0" xfId="0" applyNumberFormat="1" applyFont="1" applyFill="1" applyBorder="1" applyAlignment="1">
      <alignment horizontal="center" vertical="center"/>
    </xf>
    <xf numFmtId="3" fontId="17" fillId="0" borderId="0" xfId="0" applyNumberFormat="1" applyFont="1" applyBorder="1" applyAlignment="1">
      <alignment horizontal="center" vertical="center"/>
    </xf>
    <xf numFmtId="0" fontId="16" fillId="6" borderId="0" xfId="0" applyFont="1" applyFill="1" applyAlignment="1">
      <alignment horizontal="center" vertical="center"/>
    </xf>
    <xf numFmtId="0" fontId="0" fillId="6" borderId="0" xfId="0" applyFill="1" applyAlignment="1">
      <alignment vertical="center"/>
    </xf>
    <xf numFmtId="0" fontId="30" fillId="6" borderId="0" xfId="0" applyFont="1" applyFill="1" applyAlignment="1">
      <alignment vertical="center"/>
    </xf>
    <xf numFmtId="0" fontId="17" fillId="2" borderId="5" xfId="0" applyFont="1" applyFill="1" applyBorder="1" applyAlignment="1">
      <alignment horizontal="right" vertical="center"/>
    </xf>
    <xf numFmtId="0" fontId="17" fillId="2" borderId="3" xfId="0" applyFont="1" applyFill="1" applyBorder="1" applyAlignment="1">
      <alignment horizontal="right" vertical="center"/>
    </xf>
    <xf numFmtId="0" fontId="16" fillId="2" borderId="6" xfId="0" applyFont="1" applyFill="1" applyBorder="1" applyAlignment="1">
      <alignment vertical="center"/>
    </xf>
    <xf numFmtId="0" fontId="23" fillId="3" borderId="5" xfId="0" applyFont="1" applyFill="1" applyBorder="1" applyAlignment="1">
      <alignment horizontal="right" vertical="center"/>
    </xf>
    <xf numFmtId="0" fontId="23" fillId="3" borderId="7" xfId="0" applyFont="1" applyFill="1" applyBorder="1" applyAlignment="1">
      <alignment horizontal="right" vertical="center"/>
    </xf>
    <xf numFmtId="0" fontId="20" fillId="3" borderId="6" xfId="0" applyFont="1" applyFill="1" applyBorder="1" applyAlignment="1">
      <alignment horizontal="left" vertical="center"/>
    </xf>
    <xf numFmtId="0" fontId="16" fillId="6" borderId="0" xfId="0" applyFont="1" applyFill="1" applyBorder="1" applyAlignment="1">
      <alignment horizontal="right" vertical="center"/>
    </xf>
    <xf numFmtId="0" fontId="32" fillId="0" borderId="0" xfId="0" applyFont="1"/>
    <xf numFmtId="0" fontId="0" fillId="0" borderId="0" xfId="0"/>
    <xf numFmtId="17" fontId="16" fillId="0" borderId="0" xfId="0" applyNumberFormat="1" applyFont="1" applyAlignment="1">
      <alignment horizontal="center"/>
    </xf>
    <xf numFmtId="3" fontId="27" fillId="0" borderId="0" xfId="0" applyNumberFormat="1" applyFont="1" applyBorder="1" applyAlignment="1">
      <alignment horizontal="center" vertical="center"/>
    </xf>
    <xf numFmtId="0" fontId="24" fillId="0" borderId="0" xfId="0" applyFont="1"/>
    <xf numFmtId="1" fontId="42" fillId="13" borderId="1" xfId="92" applyNumberFormat="1" applyFont="1" applyFill="1" applyBorder="1" applyAlignment="1">
      <alignment horizontal="center" vertical="center"/>
    </xf>
    <xf numFmtId="0" fontId="0" fillId="14" borderId="0" xfId="0" applyFill="1"/>
    <xf numFmtId="1" fontId="15" fillId="13" borderId="1" xfId="2" applyNumberFormat="1" applyFont="1" applyFill="1" applyBorder="1" applyAlignment="1">
      <alignment horizontal="center" vertical="center"/>
    </xf>
    <xf numFmtId="0" fontId="32" fillId="14" borderId="0" xfId="0" applyNumberFormat="1" applyFont="1" applyFill="1" applyAlignment="1">
      <alignment horizontal="center"/>
    </xf>
    <xf numFmtId="0" fontId="0" fillId="0" borderId="0" xfId="0" applyFill="1"/>
    <xf numFmtId="0" fontId="24" fillId="0" borderId="0" xfId="0" applyFont="1" applyFill="1"/>
    <xf numFmtId="0" fontId="16" fillId="0" borderId="0" xfId="0" applyFont="1" applyFill="1"/>
    <xf numFmtId="17" fontId="16" fillId="0" borderId="0" xfId="0" applyNumberFormat="1" applyFont="1" applyFill="1" applyAlignment="1">
      <alignment horizontal="center"/>
    </xf>
    <xf numFmtId="0" fontId="12" fillId="0" borderId="0" xfId="4"/>
    <xf numFmtId="17" fontId="0" fillId="0" borderId="0" xfId="0" applyNumberFormat="1" applyAlignment="1">
      <alignment horizontal="center"/>
    </xf>
    <xf numFmtId="0" fontId="29" fillId="0" borderId="0" xfId="0" applyFont="1" applyAlignment="1">
      <alignment horizontal="center"/>
    </xf>
    <xf numFmtId="0" fontId="29" fillId="14" borderId="0" xfId="0" applyFont="1" applyFill="1" applyAlignment="1">
      <alignment horizontal="center"/>
    </xf>
    <xf numFmtId="0" fontId="43" fillId="14" borderId="0" xfId="0" applyFont="1" applyFill="1"/>
    <xf numFmtId="1" fontId="0" fillId="0" borderId="0" xfId="0" applyNumberFormat="1"/>
    <xf numFmtId="3" fontId="16" fillId="0" borderId="22" xfId="0" applyNumberFormat="1" applyFont="1" applyBorder="1" applyAlignment="1">
      <alignment horizontal="center" vertical="center"/>
    </xf>
    <xf numFmtId="3" fontId="16" fillId="0" borderId="23" xfId="0" applyNumberFormat="1" applyFont="1" applyBorder="1" applyAlignment="1">
      <alignment horizontal="center" vertical="center"/>
    </xf>
    <xf numFmtId="3" fontId="29" fillId="0" borderId="23" xfId="0" applyNumberFormat="1" applyFont="1" applyBorder="1" applyAlignment="1">
      <alignment horizontal="center" vertical="center"/>
    </xf>
    <xf numFmtId="3" fontId="29" fillId="0" borderId="22" xfId="0" applyNumberFormat="1" applyFont="1" applyBorder="1" applyAlignment="1">
      <alignment horizontal="center" vertical="center"/>
    </xf>
    <xf numFmtId="9" fontId="27" fillId="0" borderId="0" xfId="0" applyNumberFormat="1" applyFont="1" applyBorder="1" applyAlignment="1">
      <alignment horizontal="center" vertical="center"/>
    </xf>
    <xf numFmtId="0" fontId="29" fillId="6" borderId="0" xfId="0" applyFont="1" applyFill="1" applyBorder="1" applyAlignment="1">
      <alignment horizontal="center" vertical="center"/>
    </xf>
    <xf numFmtId="0" fontId="29" fillId="6" borderId="0" xfId="0" applyFont="1" applyFill="1" applyAlignment="1">
      <alignment horizontal="center" vertical="center"/>
    </xf>
    <xf numFmtId="3" fontId="27" fillId="0" borderId="16" xfId="0" applyNumberFormat="1" applyFont="1" applyBorder="1" applyAlignment="1">
      <alignment horizontal="center" vertical="center"/>
    </xf>
    <xf numFmtId="0" fontId="17" fillId="6" borderId="0" xfId="0" applyFont="1" applyFill="1"/>
    <xf numFmtId="3" fontId="29" fillId="0" borderId="16" xfId="0" applyNumberFormat="1" applyFont="1" applyBorder="1" applyAlignment="1">
      <alignment horizontal="center" vertical="center"/>
    </xf>
    <xf numFmtId="9" fontId="17" fillId="8" borderId="21" xfId="0" applyNumberFormat="1" applyFont="1" applyFill="1" applyBorder="1" applyAlignment="1">
      <alignment horizontal="center" vertical="center"/>
    </xf>
    <xf numFmtId="1" fontId="48" fillId="13" borderId="1" xfId="110" applyNumberFormat="1" applyFont="1" applyFill="1" applyBorder="1" applyAlignment="1">
      <alignment horizontal="center" vertical="center"/>
    </xf>
    <xf numFmtId="1" fontId="15" fillId="13" borderId="1" xfId="110" applyNumberFormat="1" applyFont="1" applyFill="1" applyBorder="1" applyAlignment="1">
      <alignment horizontal="center" vertical="center"/>
    </xf>
    <xf numFmtId="0" fontId="45" fillId="12" borderId="0" xfId="0" applyFont="1" applyFill="1" applyAlignment="1">
      <alignment horizontal="center"/>
    </xf>
    <xf numFmtId="0" fontId="0" fillId="12" borderId="0" xfId="0" applyFill="1"/>
    <xf numFmtId="0" fontId="29" fillId="12" borderId="0" xfId="0" applyFont="1" applyFill="1" applyAlignment="1">
      <alignment horizontal="center"/>
    </xf>
    <xf numFmtId="0" fontId="12" fillId="12" borderId="0" xfId="4" applyFill="1"/>
    <xf numFmtId="0" fontId="12" fillId="12" borderId="0" xfId="4" applyFill="1" applyAlignment="1">
      <alignment horizontal="left"/>
    </xf>
    <xf numFmtId="0" fontId="0" fillId="0" borderId="0" xfId="0"/>
    <xf numFmtId="49" fontId="51" fillId="16" borderId="1" xfId="2" applyNumberFormat="1" applyFont="1" applyFill="1" applyBorder="1" applyAlignment="1">
      <alignment horizontal="left" vertical="center"/>
    </xf>
    <xf numFmtId="1" fontId="15" fillId="15" borderId="1" xfId="2" applyNumberFormat="1" applyFont="1" applyFill="1" applyBorder="1" applyAlignment="1">
      <alignment horizontal="center" vertical="center"/>
    </xf>
    <xf numFmtId="0" fontId="50" fillId="15" borderId="0" xfId="2" applyNumberFormat="1" applyFont="1" applyFill="1" applyAlignment="1">
      <alignment vertical="center"/>
    </xf>
    <xf numFmtId="17" fontId="51" fillId="16" borderId="1" xfId="2" applyNumberFormat="1" applyFont="1" applyFill="1" applyBorder="1" applyAlignment="1">
      <alignment horizontal="center"/>
    </xf>
    <xf numFmtId="0" fontId="29" fillId="0" borderId="0" xfId="2" applyFont="1" applyAlignment="1">
      <alignment horizontal="center"/>
    </xf>
    <xf numFmtId="49" fontId="51" fillId="16" borderId="1" xfId="2" applyNumberFormat="1" applyFont="1" applyFill="1" applyBorder="1" applyAlignment="1">
      <alignment horizontal="left" vertical="center" wrapText="1"/>
    </xf>
    <xf numFmtId="0" fontId="15" fillId="15" borderId="1" xfId="2" applyFont="1" applyFill="1" applyBorder="1" applyAlignment="1">
      <alignment horizontal="center" vertical="center"/>
    </xf>
    <xf numFmtId="49" fontId="51" fillId="16" borderId="1" xfId="2" applyNumberFormat="1" applyFont="1" applyFill="1" applyBorder="1" applyAlignment="1">
      <alignment horizontal="left" vertical="center"/>
    </xf>
    <xf numFmtId="0" fontId="13" fillId="0" borderId="0" xfId="2"/>
    <xf numFmtId="49" fontId="52" fillId="15" borderId="0" xfId="0" applyNumberFormat="1" applyFont="1" applyFill="1" applyAlignment="1">
      <alignment horizontal="left"/>
    </xf>
    <xf numFmtId="0" fontId="14" fillId="15" borderId="0" xfId="0" applyFont="1" applyFill="1" applyAlignment="1">
      <alignment vertical="center"/>
    </xf>
    <xf numFmtId="49" fontId="50" fillId="15" borderId="0" xfId="0" applyNumberFormat="1" applyFont="1" applyFill="1" applyAlignment="1">
      <alignment vertical="center"/>
    </xf>
    <xf numFmtId="17" fontId="51" fillId="16" borderId="1" xfId="0" applyNumberFormat="1" applyFont="1" applyFill="1" applyBorder="1" applyAlignment="1">
      <alignment horizontal="center"/>
    </xf>
    <xf numFmtId="49" fontId="51" fillId="16" borderId="1" xfId="0" applyNumberFormat="1" applyFont="1" applyFill="1" applyBorder="1" applyAlignment="1">
      <alignment horizontal="left" vertical="center"/>
    </xf>
    <xf numFmtId="1" fontId="48" fillId="15" borderId="1" xfId="0" applyNumberFormat="1" applyFont="1" applyFill="1" applyBorder="1" applyAlignment="1">
      <alignment horizontal="center" vertical="center"/>
    </xf>
    <xf numFmtId="49" fontId="51" fillId="16" borderId="1" xfId="0" applyNumberFormat="1" applyFont="1" applyFill="1" applyBorder="1" applyAlignment="1">
      <alignment horizontal="left" vertical="center" wrapText="1"/>
    </xf>
    <xf numFmtId="0" fontId="48" fillId="15" borderId="1" xfId="0" applyFont="1" applyFill="1" applyBorder="1" applyAlignment="1">
      <alignment horizontal="center" vertical="center"/>
    </xf>
    <xf numFmtId="49" fontId="51" fillId="16" borderId="1" xfId="2" applyNumberFormat="1" applyFont="1" applyFill="1" applyBorder="1" applyAlignment="1">
      <alignment horizontal="left"/>
    </xf>
    <xf numFmtId="49" fontId="52" fillId="13" borderId="0" xfId="0" applyNumberFormat="1" applyFont="1" applyFill="1" applyAlignment="1">
      <alignment horizontal="left"/>
    </xf>
    <xf numFmtId="0" fontId="14" fillId="13" borderId="0" xfId="0" applyFont="1" applyFill="1" applyAlignment="1">
      <alignment vertical="center"/>
    </xf>
    <xf numFmtId="0" fontId="15" fillId="15" borderId="0" xfId="0" applyFont="1" applyFill="1" applyAlignment="1">
      <alignment vertical="center"/>
    </xf>
    <xf numFmtId="49" fontId="51" fillId="16" borderId="0" xfId="2" applyNumberFormat="1" applyFont="1" applyFill="1" applyBorder="1" applyAlignment="1">
      <alignment horizontal="left"/>
    </xf>
    <xf numFmtId="0" fontId="48" fillId="15" borderId="0" xfId="0" applyFont="1" applyFill="1" applyBorder="1" applyAlignment="1">
      <alignment horizontal="center"/>
    </xf>
    <xf numFmtId="49" fontId="53" fillId="17" borderId="0" xfId="2" applyNumberFormat="1" applyFont="1" applyFill="1" applyBorder="1" applyAlignment="1">
      <alignment horizontal="left"/>
    </xf>
    <xf numFmtId="1" fontId="48" fillId="15" borderId="0" xfId="0" applyNumberFormat="1" applyFont="1" applyFill="1" applyBorder="1" applyAlignment="1">
      <alignment horizontal="center"/>
    </xf>
    <xf numFmtId="49" fontId="51" fillId="13" borderId="0" xfId="2" applyNumberFormat="1" applyFont="1" applyFill="1" applyBorder="1" applyAlignment="1">
      <alignment horizontal="left"/>
    </xf>
    <xf numFmtId="0" fontId="48" fillId="13" borderId="0" xfId="0" applyFont="1" applyFill="1" applyBorder="1" applyAlignment="1">
      <alignment horizontal="center"/>
    </xf>
    <xf numFmtId="49" fontId="51" fillId="14" borderId="0" xfId="2" applyNumberFormat="1" applyFont="1" applyFill="1" applyBorder="1" applyAlignment="1">
      <alignment horizontal="left"/>
    </xf>
    <xf numFmtId="49" fontId="51" fillId="16" borderId="33" xfId="0" applyNumberFormat="1" applyFont="1" applyFill="1" applyBorder="1" applyAlignment="1">
      <alignment horizontal="left" vertical="center" wrapText="1"/>
    </xf>
    <xf numFmtId="49" fontId="51" fillId="16" borderId="0" xfId="0" applyNumberFormat="1" applyFont="1" applyFill="1" applyBorder="1" applyAlignment="1">
      <alignment horizontal="left" vertical="center" wrapText="1"/>
    </xf>
    <xf numFmtId="0" fontId="30" fillId="6" borderId="0" xfId="0" applyFont="1" applyFill="1"/>
    <xf numFmtId="0" fontId="29" fillId="6" borderId="0" xfId="0" applyFont="1" applyFill="1"/>
    <xf numFmtId="3" fontId="29" fillId="0" borderId="0" xfId="0" applyNumberFormat="1" applyFont="1" applyBorder="1" applyAlignment="1">
      <alignment horizontal="center" vertical="center"/>
    </xf>
    <xf numFmtId="3" fontId="29" fillId="0" borderId="19" xfId="0" applyNumberFormat="1" applyFont="1" applyBorder="1" applyAlignment="1">
      <alignment horizontal="center" vertical="center"/>
    </xf>
    <xf numFmtId="1" fontId="29" fillId="0" borderId="0" xfId="0" applyNumberFormat="1" applyFont="1" applyAlignment="1">
      <alignment horizontal="center"/>
    </xf>
    <xf numFmtId="3" fontId="29" fillId="0" borderId="0" xfId="4" applyNumberFormat="1" applyFont="1" applyFill="1" applyAlignment="1">
      <alignment horizontal="center"/>
    </xf>
    <xf numFmtId="3" fontId="27" fillId="0" borderId="25" xfId="0" applyNumberFormat="1" applyFont="1" applyBorder="1" applyAlignment="1">
      <alignment horizontal="center" vertical="center"/>
    </xf>
    <xf numFmtId="0" fontId="54" fillId="6" borderId="0" xfId="0" applyFont="1" applyFill="1"/>
    <xf numFmtId="0" fontId="17" fillId="6" borderId="0" xfId="0" applyFont="1" applyFill="1" applyBorder="1" applyAlignment="1">
      <alignment horizontal="center" vertical="center"/>
    </xf>
    <xf numFmtId="9" fontId="17" fillId="0" borderId="22" xfId="0" applyNumberFormat="1" applyFont="1" applyBorder="1" applyAlignment="1">
      <alignment horizontal="center" vertical="center"/>
    </xf>
    <xf numFmtId="3" fontId="27" fillId="0" borderId="22" xfId="0" applyNumberFormat="1" applyFont="1" applyBorder="1" applyAlignment="1">
      <alignment horizontal="center" vertical="center"/>
    </xf>
    <xf numFmtId="3" fontId="17" fillId="9" borderId="21" xfId="0" applyNumberFormat="1" applyFont="1" applyFill="1" applyBorder="1" applyAlignment="1">
      <alignment horizontal="center" vertical="center"/>
    </xf>
    <xf numFmtId="0" fontId="32" fillId="14" borderId="0" xfId="0" applyFont="1" applyFill="1" applyAlignment="1">
      <alignment horizontal="center"/>
    </xf>
    <xf numFmtId="0" fontId="49" fillId="0" borderId="0" xfId="0" applyFont="1"/>
    <xf numFmtId="0" fontId="20" fillId="19" borderId="28" xfId="0" applyFont="1" applyFill="1" applyBorder="1" applyAlignment="1">
      <alignment vertical="center"/>
    </xf>
    <xf numFmtId="0" fontId="20" fillId="20" borderId="19" xfId="0" applyFont="1" applyFill="1" applyBorder="1"/>
    <xf numFmtId="0" fontId="23" fillId="20" borderId="0" xfId="0" applyFont="1" applyFill="1" applyBorder="1" applyAlignment="1">
      <alignment horizontal="right"/>
    </xf>
    <xf numFmtId="0" fontId="20" fillId="20" borderId="38" xfId="0" applyFont="1" applyFill="1" applyBorder="1"/>
    <xf numFmtId="0" fontId="23" fillId="20" borderId="18" xfId="0" applyFont="1" applyFill="1" applyBorder="1" applyAlignment="1">
      <alignment horizontal="right" vertical="center"/>
    </xf>
    <xf numFmtId="0" fontId="20" fillId="20" borderId="18" xfId="0" applyFont="1" applyFill="1" applyBorder="1" applyAlignment="1">
      <alignment vertical="center"/>
    </xf>
    <xf numFmtId="0" fontId="23" fillId="20" borderId="35" xfId="0" applyFont="1" applyFill="1" applyBorder="1" applyAlignment="1">
      <alignment horizontal="right" vertical="center"/>
    </xf>
    <xf numFmtId="0" fontId="20" fillId="20" borderId="8" xfId="0" applyFont="1" applyFill="1" applyBorder="1" applyAlignment="1">
      <alignment vertical="center"/>
    </xf>
    <xf numFmtId="3" fontId="27" fillId="0" borderId="23" xfId="0" applyNumberFormat="1" applyFont="1" applyBorder="1" applyAlignment="1">
      <alignment horizontal="center" vertical="center"/>
    </xf>
    <xf numFmtId="3" fontId="27" fillId="0" borderId="19" xfId="0" applyNumberFormat="1" applyFont="1" applyBorder="1" applyAlignment="1">
      <alignment horizontal="center" vertical="center"/>
    </xf>
    <xf numFmtId="0" fontId="27" fillId="2" borderId="5" xfId="0" applyFont="1" applyFill="1" applyBorder="1" applyAlignment="1">
      <alignment horizontal="right" vertical="center"/>
    </xf>
    <xf numFmtId="0" fontId="0" fillId="6" borderId="0" xfId="0" applyFill="1" applyBorder="1"/>
    <xf numFmtId="0" fontId="27" fillId="5" borderId="0" xfId="0" applyFont="1" applyFill="1" applyBorder="1" applyAlignment="1">
      <alignment horizontal="right" vertical="center"/>
    </xf>
    <xf numFmtId="0" fontId="27" fillId="5" borderId="5" xfId="0" applyFont="1" applyFill="1" applyBorder="1" applyAlignment="1">
      <alignment horizontal="right" vertical="center"/>
    </xf>
    <xf numFmtId="0" fontId="22" fillId="7" borderId="0" xfId="0" applyFont="1" applyFill="1" applyBorder="1" applyAlignment="1">
      <alignment horizontal="center" vertical="center"/>
    </xf>
    <xf numFmtId="0" fontId="20" fillId="3" borderId="43" xfId="0" applyFont="1" applyFill="1" applyBorder="1" applyAlignment="1">
      <alignment horizontal="left" vertical="center"/>
    </xf>
    <xf numFmtId="0" fontId="0" fillId="6" borderId="0" xfId="0" applyFont="1" applyFill="1"/>
    <xf numFmtId="0" fontId="20" fillId="4" borderId="7" xfId="0" applyFont="1" applyFill="1" applyBorder="1" applyAlignment="1">
      <alignment horizontal="right" vertical="center"/>
    </xf>
    <xf numFmtId="0" fontId="16" fillId="2" borderId="5" xfId="0" applyFont="1" applyFill="1" applyBorder="1" applyAlignment="1">
      <alignment horizontal="right" vertical="center"/>
    </xf>
    <xf numFmtId="0" fontId="22" fillId="7" borderId="46" xfId="0" applyFont="1" applyFill="1" applyBorder="1" applyAlignment="1">
      <alignment horizontal="center" vertical="center"/>
    </xf>
    <xf numFmtId="0" fontId="17" fillId="2" borderId="41" xfId="0" applyFont="1" applyFill="1" applyBorder="1" applyAlignment="1">
      <alignment horizontal="right" vertical="center"/>
    </xf>
    <xf numFmtId="0" fontId="0" fillId="23" borderId="0" xfId="0" applyFill="1"/>
    <xf numFmtId="0" fontId="19" fillId="23" borderId="0" xfId="0" applyFont="1" applyFill="1" applyBorder="1" applyAlignment="1">
      <alignment horizontal="center" vertical="center" wrapText="1"/>
    </xf>
    <xf numFmtId="0" fontId="17" fillId="23" borderId="0" xfId="0" applyFont="1" applyFill="1" applyBorder="1" applyAlignment="1">
      <alignment horizontal="right" vertical="center"/>
    </xf>
    <xf numFmtId="0" fontId="16" fillId="23" borderId="0" xfId="0" applyFont="1" applyFill="1" applyBorder="1" applyAlignment="1">
      <alignment horizontal="center" vertical="center"/>
    </xf>
    <xf numFmtId="0" fontId="17" fillId="23" borderId="0" xfId="0" applyFont="1" applyFill="1" applyBorder="1" applyAlignment="1">
      <alignment horizontal="center" vertical="center"/>
    </xf>
    <xf numFmtId="3" fontId="16" fillId="23" borderId="0" xfId="0" applyNumberFormat="1" applyFont="1" applyFill="1" applyBorder="1" applyAlignment="1">
      <alignment horizontal="center" vertical="center"/>
    </xf>
    <xf numFmtId="0" fontId="23" fillId="23" borderId="0" xfId="0" applyFont="1" applyFill="1" applyBorder="1" applyAlignment="1">
      <alignment horizontal="right" vertical="center"/>
    </xf>
    <xf numFmtId="3" fontId="17" fillId="23" borderId="0" xfId="0" applyNumberFormat="1" applyFont="1" applyFill="1" applyBorder="1" applyAlignment="1">
      <alignment horizontal="center" vertical="center"/>
    </xf>
    <xf numFmtId="0" fontId="0" fillId="23" borderId="0" xfId="0" applyFill="1" applyBorder="1" applyAlignment="1">
      <alignment horizontal="center" vertical="center" wrapText="1"/>
    </xf>
    <xf numFmtId="0" fontId="20" fillId="23" borderId="6" xfId="0" applyFont="1" applyFill="1" applyBorder="1" applyAlignment="1">
      <alignment vertical="center"/>
    </xf>
    <xf numFmtId="0" fontId="20" fillId="23" borderId="0" xfId="0" applyFont="1" applyFill="1" applyBorder="1" applyAlignment="1">
      <alignment vertical="center"/>
    </xf>
    <xf numFmtId="0" fontId="0" fillId="23" borderId="0" xfId="0" applyFill="1" applyBorder="1"/>
    <xf numFmtId="0" fontId="20" fillId="4" borderId="48" xfId="0" applyFont="1" applyFill="1" applyBorder="1" applyAlignment="1">
      <alignment horizontal="right" vertical="center"/>
    </xf>
    <xf numFmtId="0" fontId="20" fillId="4" borderId="45" xfId="0" applyFont="1" applyFill="1" applyBorder="1" applyAlignment="1">
      <alignment horizontal="right" vertical="center"/>
    </xf>
    <xf numFmtId="0" fontId="16" fillId="5" borderId="39" xfId="0" applyFont="1" applyFill="1" applyBorder="1" applyAlignment="1">
      <alignment vertical="center"/>
    </xf>
    <xf numFmtId="0" fontId="17" fillId="5" borderId="41" xfId="0" applyFont="1" applyFill="1" applyBorder="1" applyAlignment="1">
      <alignment horizontal="right" vertical="center"/>
    </xf>
    <xf numFmtId="0" fontId="20" fillId="3" borderId="48" xfId="0" applyFont="1" applyFill="1" applyBorder="1" applyAlignment="1">
      <alignment vertical="center"/>
    </xf>
    <xf numFmtId="0" fontId="16" fillId="2" borderId="39" xfId="0" applyFont="1" applyFill="1" applyBorder="1" applyAlignment="1">
      <alignment horizontal="right" vertical="center"/>
    </xf>
    <xf numFmtId="0" fontId="20" fillId="22" borderId="39" xfId="0" applyFont="1" applyFill="1" applyBorder="1" applyAlignment="1">
      <alignment horizontal="right" vertical="center"/>
    </xf>
    <xf numFmtId="0" fontId="20" fillId="22" borderId="41" xfId="0" applyFont="1" applyFill="1" applyBorder="1" applyAlignment="1">
      <alignment horizontal="right" vertical="center"/>
    </xf>
    <xf numFmtId="0" fontId="16" fillId="23" borderId="0" xfId="0" applyFont="1" applyFill="1" applyBorder="1" applyAlignment="1">
      <alignment horizontal="center" vertical="center" wrapText="1"/>
    </xf>
    <xf numFmtId="0" fontId="0" fillId="23" borderId="0" xfId="0" applyFill="1" applyBorder="1" applyAlignment="1"/>
    <xf numFmtId="0" fontId="16" fillId="23" borderId="0" xfId="0" applyFont="1" applyFill="1" applyAlignment="1">
      <alignment horizontal="center"/>
    </xf>
    <xf numFmtId="0" fontId="20" fillId="19" borderId="30" xfId="0" applyFont="1" applyFill="1" applyBorder="1" applyAlignment="1">
      <alignment horizontal="center" vertical="center" wrapText="1"/>
    </xf>
    <xf numFmtId="0" fontId="20" fillId="23" borderId="5" xfId="0" applyFont="1" applyFill="1" applyBorder="1" applyAlignment="1">
      <alignment vertical="center"/>
    </xf>
    <xf numFmtId="0" fontId="20" fillId="6" borderId="0" xfId="0" applyFont="1" applyFill="1" applyBorder="1" applyAlignment="1">
      <alignment horizontal="center" vertical="center"/>
    </xf>
    <xf numFmtId="0" fontId="60" fillId="6" borderId="0" xfId="0" applyFont="1" applyFill="1"/>
    <xf numFmtId="0" fontId="0" fillId="0" borderId="0" xfId="0" applyFill="1" applyBorder="1"/>
    <xf numFmtId="0" fontId="61" fillId="0" borderId="0" xfId="0" applyFont="1"/>
    <xf numFmtId="3" fontId="20" fillId="23" borderId="0" xfId="0" applyNumberFormat="1" applyFont="1" applyFill="1" applyBorder="1" applyAlignment="1">
      <alignment horizontal="center" vertical="center"/>
    </xf>
    <xf numFmtId="0" fontId="62" fillId="0" borderId="0" xfId="0" applyFont="1"/>
    <xf numFmtId="0" fontId="49" fillId="0" borderId="0" xfId="0" applyFont="1" applyFill="1" applyBorder="1"/>
    <xf numFmtId="0" fontId="30" fillId="0" borderId="0" xfId="0" applyFont="1" applyFill="1"/>
    <xf numFmtId="0" fontId="29" fillId="0" borderId="12" xfId="0" applyFont="1" applyFill="1" applyBorder="1" applyAlignment="1">
      <alignment horizontal="center"/>
    </xf>
    <xf numFmtId="17" fontId="30" fillId="0" borderId="0" xfId="0" applyNumberFormat="1" applyFont="1" applyFill="1" applyAlignment="1">
      <alignment horizontal="center"/>
    </xf>
    <xf numFmtId="3" fontId="29" fillId="0" borderId="2" xfId="0" applyNumberFormat="1" applyFont="1" applyFill="1" applyBorder="1" applyAlignment="1">
      <alignment horizontal="center"/>
    </xf>
    <xf numFmtId="0" fontId="29" fillId="0" borderId="0" xfId="0" applyFont="1" applyFill="1" applyAlignment="1">
      <alignment horizontal="center"/>
    </xf>
    <xf numFmtId="0" fontId="29" fillId="0" borderId="0" xfId="4" applyNumberFormat="1" applyFont="1" applyFill="1" applyAlignment="1">
      <alignment horizontal="center"/>
    </xf>
    <xf numFmtId="17" fontId="29" fillId="0" borderId="0" xfId="0" applyNumberFormat="1" applyFont="1" applyFill="1" applyAlignment="1">
      <alignment horizontal="center"/>
    </xf>
    <xf numFmtId="0" fontId="57" fillId="0" borderId="0" xfId="0" applyFont="1" applyFill="1" applyAlignment="1">
      <alignment horizontal="center"/>
    </xf>
    <xf numFmtId="1" fontId="58" fillId="0" borderId="2" xfId="2" applyNumberFormat="1" applyFont="1" applyFill="1" applyBorder="1" applyAlignment="1">
      <alignment horizontal="center" vertical="center"/>
    </xf>
    <xf numFmtId="0" fontId="29" fillId="0" borderId="28" xfId="4" applyFont="1" applyFill="1" applyBorder="1" applyAlignment="1">
      <alignment horizontal="center"/>
    </xf>
    <xf numFmtId="0" fontId="30" fillId="0" borderId="2" xfId="0" applyFont="1" applyFill="1" applyBorder="1"/>
    <xf numFmtId="3" fontId="29" fillId="0" borderId="0" xfId="0" applyNumberFormat="1" applyFont="1" applyFill="1" applyAlignment="1">
      <alignment horizontal="center"/>
    </xf>
    <xf numFmtId="1" fontId="29" fillId="0" borderId="2" xfId="0" applyNumberFormat="1" applyFont="1" applyFill="1" applyBorder="1" applyAlignment="1">
      <alignment horizontal="center"/>
    </xf>
    <xf numFmtId="0" fontId="29" fillId="0" borderId="0" xfId="4" applyFont="1" applyFill="1" applyAlignment="1">
      <alignment horizontal="center"/>
    </xf>
    <xf numFmtId="0" fontId="29" fillId="0" borderId="2" xfId="0" applyFont="1" applyFill="1" applyBorder="1" applyAlignment="1">
      <alignment horizontal="center"/>
    </xf>
    <xf numFmtId="3" fontId="17" fillId="0" borderId="22" xfId="0" applyNumberFormat="1" applyFont="1" applyBorder="1" applyAlignment="1">
      <alignment horizontal="center" vertical="center"/>
    </xf>
    <xf numFmtId="0" fontId="58" fillId="0" borderId="0" xfId="0" applyFont="1" applyFill="1" applyBorder="1" applyAlignment="1">
      <alignment horizontal="center" vertical="center"/>
    </xf>
    <xf numFmtId="1" fontId="58" fillId="0" borderId="0" xfId="92" applyNumberFormat="1" applyFont="1" applyFill="1" applyBorder="1" applyAlignment="1">
      <alignment horizontal="center" vertical="center"/>
    </xf>
    <xf numFmtId="0" fontId="58" fillId="0" borderId="0" xfId="114" applyFont="1" applyFill="1" applyBorder="1" applyAlignment="1">
      <alignment horizontal="center" vertical="center"/>
    </xf>
    <xf numFmtId="0" fontId="29" fillId="0" borderId="0" xfId="0" applyFont="1" applyFill="1" applyBorder="1" applyAlignment="1">
      <alignment horizontal="center"/>
    </xf>
    <xf numFmtId="0" fontId="30" fillId="0" borderId="0" xfId="0" applyFont="1" applyFill="1" applyBorder="1"/>
    <xf numFmtId="1" fontId="58" fillId="0" borderId="0" xfId="2" applyNumberFormat="1" applyFont="1" applyFill="1" applyBorder="1" applyAlignment="1">
      <alignment horizontal="center" vertical="center"/>
    </xf>
    <xf numFmtId="1" fontId="58" fillId="0" borderId="0" xfId="0" applyNumberFormat="1" applyFont="1" applyFill="1" applyBorder="1" applyAlignment="1">
      <alignment horizontal="center" vertical="center"/>
    </xf>
    <xf numFmtId="0" fontId="58" fillId="0" borderId="0" xfId="0" applyFont="1" applyFill="1" applyBorder="1" applyAlignment="1">
      <alignment horizontal="center"/>
    </xf>
    <xf numFmtId="3" fontId="29" fillId="0" borderId="0" xfId="0" applyNumberFormat="1" applyFont="1" applyFill="1" applyBorder="1" applyAlignment="1">
      <alignment horizontal="center"/>
    </xf>
    <xf numFmtId="0" fontId="29" fillId="0" borderId="0" xfId="4" applyFont="1" applyFill="1" applyBorder="1" applyAlignment="1">
      <alignment horizontal="center"/>
    </xf>
    <xf numFmtId="0" fontId="58" fillId="0" borderId="0" xfId="95" applyNumberFormat="1" applyFont="1" applyFill="1" applyBorder="1" applyAlignment="1">
      <alignment horizontal="center"/>
    </xf>
    <xf numFmtId="1" fontId="29" fillId="0" borderId="0" xfId="0" applyNumberFormat="1" applyFont="1" applyFill="1" applyBorder="1" applyAlignment="1">
      <alignment horizontal="center"/>
    </xf>
    <xf numFmtId="3" fontId="29" fillId="0" borderId="21" xfId="0" applyNumberFormat="1" applyFont="1" applyBorder="1" applyAlignment="1">
      <alignment horizontal="center" vertical="center"/>
    </xf>
    <xf numFmtId="3" fontId="29" fillId="0" borderId="29" xfId="0" applyNumberFormat="1" applyFont="1" applyBorder="1" applyAlignment="1">
      <alignment horizontal="center" vertical="center"/>
    </xf>
    <xf numFmtId="3" fontId="29" fillId="6" borderId="0" xfId="0" applyNumberFormat="1" applyFont="1" applyFill="1" applyBorder="1" applyAlignment="1">
      <alignment horizontal="center" vertical="center"/>
    </xf>
    <xf numFmtId="3" fontId="29" fillId="0" borderId="28" xfId="0" applyNumberFormat="1" applyFont="1" applyBorder="1" applyAlignment="1">
      <alignment horizontal="center" vertical="center"/>
    </xf>
    <xf numFmtId="1" fontId="78" fillId="55" borderId="61" xfId="0" applyNumberFormat="1" applyFont="1" applyFill="1" applyBorder="1" applyAlignment="1">
      <alignment horizontal="center" vertical="center"/>
    </xf>
    <xf numFmtId="0" fontId="78" fillId="55" borderId="61" xfId="0" applyFont="1" applyFill="1" applyBorder="1" applyAlignment="1">
      <alignment horizontal="center" vertical="center"/>
    </xf>
    <xf numFmtId="0" fontId="78" fillId="55" borderId="61" xfId="0" applyFont="1" applyFill="1" applyBorder="1" applyAlignment="1">
      <alignment horizontal="center"/>
    </xf>
    <xf numFmtId="0" fontId="78" fillId="56" borderId="61" xfId="0" applyFont="1" applyFill="1" applyBorder="1" applyAlignment="1">
      <alignment horizontal="center" vertical="center"/>
    </xf>
    <xf numFmtId="0" fontId="79" fillId="6" borderId="0" xfId="0" applyFont="1" applyFill="1"/>
    <xf numFmtId="49" fontId="51" fillId="57" borderId="62" xfId="0" applyNumberFormat="1" applyFont="1" applyFill="1" applyBorder="1" applyAlignment="1">
      <alignment horizontal="left" vertical="center"/>
    </xf>
    <xf numFmtId="49" fontId="51" fillId="58" borderId="1" xfId="0" applyNumberFormat="1" applyFont="1" applyFill="1" applyBorder="1" applyAlignment="1">
      <alignment horizontal="left" vertical="center"/>
    </xf>
    <xf numFmtId="49" fontId="51" fillId="58" borderId="62" xfId="0" applyNumberFormat="1" applyFont="1" applyFill="1" applyBorder="1" applyAlignment="1">
      <alignment horizontal="left" vertical="center"/>
    </xf>
    <xf numFmtId="49" fontId="80" fillId="58" borderId="0" xfId="2" applyNumberFormat="1" applyFont="1" applyFill="1" applyBorder="1" applyAlignment="1">
      <alignment horizontal="left"/>
    </xf>
    <xf numFmtId="3" fontId="29" fillId="23" borderId="26" xfId="0" applyNumberFormat="1" applyFont="1" applyFill="1" applyBorder="1" applyAlignment="1">
      <alignment horizontal="center" vertical="center"/>
    </xf>
    <xf numFmtId="0" fontId="27" fillId="0" borderId="22" xfId="0" applyFont="1" applyBorder="1" applyAlignment="1">
      <alignment horizontal="center" vertical="center"/>
    </xf>
    <xf numFmtId="0" fontId="27" fillId="0" borderId="25" xfId="0" applyFont="1" applyBorder="1" applyAlignment="1">
      <alignment horizontal="center" vertical="center"/>
    </xf>
    <xf numFmtId="0" fontId="19" fillId="6" borderId="0" xfId="0" applyFont="1" applyFill="1" applyBorder="1" applyAlignment="1">
      <alignment horizontal="center" vertical="center" wrapText="1"/>
    </xf>
    <xf numFmtId="0" fontId="23" fillId="4" borderId="0" xfId="0" applyFont="1" applyFill="1" applyBorder="1" applyAlignment="1">
      <alignment horizontal="right" vertical="center"/>
    </xf>
    <xf numFmtId="0" fontId="27" fillId="23" borderId="0" xfId="0" applyFont="1" applyFill="1" applyBorder="1" applyAlignment="1">
      <alignment horizontal="left" vertical="center"/>
    </xf>
    <xf numFmtId="0" fontId="27" fillId="5" borderId="49" xfId="0" applyFont="1" applyFill="1" applyBorder="1" applyAlignment="1">
      <alignment horizontal="right" vertical="center"/>
    </xf>
    <xf numFmtId="0" fontId="21" fillId="7" borderId="46" xfId="0" applyFont="1" applyFill="1" applyBorder="1" applyAlignment="1">
      <alignment horizontal="center" vertical="center"/>
    </xf>
    <xf numFmtId="0" fontId="16" fillId="6" borderId="0" xfId="0" applyFont="1" applyFill="1" applyBorder="1" applyAlignment="1">
      <alignment horizontal="center" vertical="center"/>
    </xf>
    <xf numFmtId="3" fontId="29" fillId="23" borderId="0" xfId="0" applyNumberFormat="1" applyFont="1" applyFill="1" applyBorder="1" applyAlignment="1">
      <alignment horizontal="center" vertical="center"/>
    </xf>
    <xf numFmtId="3" fontId="27" fillId="23" borderId="0" xfId="0" applyNumberFormat="1" applyFont="1" applyFill="1" applyBorder="1" applyAlignment="1">
      <alignment horizontal="center" vertical="center"/>
    </xf>
    <xf numFmtId="0" fontId="21" fillId="7" borderId="15" xfId="0" applyFont="1" applyFill="1" applyBorder="1" applyAlignment="1">
      <alignment horizontal="center" vertical="center"/>
    </xf>
    <xf numFmtId="0" fontId="17" fillId="6" borderId="5" xfId="0" applyFont="1" applyFill="1" applyBorder="1" applyAlignment="1">
      <alignment horizontal="right" vertical="center"/>
    </xf>
    <xf numFmtId="9" fontId="23" fillId="6" borderId="0" xfId="0" applyNumberFormat="1" applyFont="1" applyFill="1" applyBorder="1" applyAlignment="1">
      <alignment horizontal="center" vertical="center"/>
    </xf>
    <xf numFmtId="0" fontId="29" fillId="10" borderId="16" xfId="0" applyFont="1" applyFill="1" applyBorder="1" applyAlignment="1">
      <alignment horizontal="center" vertical="center"/>
    </xf>
    <xf numFmtId="0" fontId="21" fillId="4" borderId="64" xfId="0" applyFont="1" applyFill="1" applyBorder="1" applyAlignment="1">
      <alignment horizontal="center" vertical="center" wrapText="1"/>
    </xf>
    <xf numFmtId="0" fontId="16" fillId="2" borderId="6" xfId="0" applyFont="1" applyFill="1" applyBorder="1" applyAlignment="1">
      <alignment horizontal="right" vertical="center"/>
    </xf>
    <xf numFmtId="49" fontId="81" fillId="59" borderId="0" xfId="0" applyNumberFormat="1" applyFont="1" applyFill="1" applyAlignment="1">
      <alignment horizontal="left"/>
    </xf>
    <xf numFmtId="49" fontId="81" fillId="57" borderId="0" xfId="0" applyNumberFormat="1" applyFont="1" applyFill="1" applyAlignment="1">
      <alignment horizontal="left"/>
    </xf>
    <xf numFmtId="49" fontId="81" fillId="60" borderId="0" xfId="0" applyNumberFormat="1" applyFont="1" applyFill="1" applyAlignment="1">
      <alignment horizontal="left"/>
    </xf>
    <xf numFmtId="49" fontId="81" fillId="61" borderId="0" xfId="0" applyNumberFormat="1" applyFont="1" applyFill="1" applyAlignment="1">
      <alignment horizontal="left"/>
    </xf>
    <xf numFmtId="49" fontId="81" fillId="62" borderId="0" xfId="0" applyNumberFormat="1" applyFont="1" applyFill="1" applyAlignment="1">
      <alignment horizontal="left"/>
    </xf>
    <xf numFmtId="49" fontId="81" fillId="63" borderId="0" xfId="0" applyNumberFormat="1" applyFont="1" applyFill="1" applyAlignment="1">
      <alignment horizontal="left"/>
    </xf>
    <xf numFmtId="3" fontId="0" fillId="0" borderId="0" xfId="0" applyNumberFormat="1"/>
    <xf numFmtId="1" fontId="30" fillId="0" borderId="0" xfId="0" applyNumberFormat="1" applyFont="1"/>
    <xf numFmtId="0" fontId="20" fillId="3" borderId="36" xfId="0" applyFont="1" applyFill="1" applyBorder="1" applyAlignment="1">
      <alignment vertical="center"/>
    </xf>
    <xf numFmtId="0" fontId="23" fillId="3" borderId="0" xfId="0" applyFont="1" applyFill="1" applyBorder="1" applyAlignment="1">
      <alignment horizontal="right" vertical="center"/>
    </xf>
    <xf numFmtId="0" fontId="17" fillId="2" borderId="0" xfId="0" applyFont="1" applyFill="1" applyBorder="1" applyAlignment="1">
      <alignment horizontal="right" vertical="center"/>
    </xf>
    <xf numFmtId="9" fontId="17" fillId="0" borderId="0" xfId="0" applyNumberFormat="1" applyFont="1" applyBorder="1" applyAlignment="1">
      <alignment horizontal="center" vertical="center"/>
    </xf>
    <xf numFmtId="3" fontId="17" fillId="0" borderId="19" xfId="0" applyNumberFormat="1" applyFont="1" applyBorder="1" applyAlignment="1">
      <alignment horizontal="center" vertical="center"/>
    </xf>
    <xf numFmtId="3" fontId="17" fillId="8" borderId="31" xfId="0" applyNumberFormat="1" applyFont="1" applyFill="1" applyBorder="1" applyAlignment="1">
      <alignment horizontal="center" vertical="center"/>
    </xf>
    <xf numFmtId="3" fontId="17" fillId="8" borderId="21" xfId="0" applyNumberFormat="1" applyFont="1" applyFill="1" applyBorder="1" applyAlignment="1">
      <alignment horizontal="center" vertical="center"/>
    </xf>
    <xf numFmtId="0" fontId="82" fillId="2" borderId="37" xfId="0" applyFont="1" applyFill="1" applyBorder="1" applyAlignment="1">
      <alignment horizontal="right" vertical="center"/>
    </xf>
    <xf numFmtId="3" fontId="16" fillId="0" borderId="31" xfId="0" applyNumberFormat="1" applyFont="1" applyBorder="1" applyAlignment="1">
      <alignment horizontal="center" vertical="center"/>
    </xf>
    <xf numFmtId="3" fontId="16" fillId="0" borderId="29" xfId="0" applyNumberFormat="1" applyFont="1" applyBorder="1" applyAlignment="1">
      <alignment horizontal="center" vertical="center"/>
    </xf>
    <xf numFmtId="3" fontId="16" fillId="0" borderId="21" xfId="0" applyNumberFormat="1" applyFont="1" applyBorder="1" applyAlignment="1">
      <alignment horizontal="center" vertical="center"/>
    </xf>
    <xf numFmtId="3" fontId="29" fillId="0" borderId="26" xfId="0" applyNumberFormat="1" applyFont="1" applyBorder="1" applyAlignment="1">
      <alignment horizontal="center" vertical="center"/>
    </xf>
    <xf numFmtId="0" fontId="0" fillId="0" borderId="13" xfId="0" applyBorder="1" applyAlignment="1">
      <alignment horizontal="center" vertical="center" wrapText="1"/>
    </xf>
    <xf numFmtId="3" fontId="29" fillId="0" borderId="25" xfId="0" applyNumberFormat="1" applyFont="1" applyBorder="1" applyAlignment="1">
      <alignment horizontal="center" vertical="center"/>
    </xf>
    <xf numFmtId="0" fontId="27" fillId="2" borderId="37" xfId="0" applyFont="1" applyFill="1" applyBorder="1" applyAlignment="1">
      <alignment horizontal="right" vertical="center"/>
    </xf>
    <xf numFmtId="3" fontId="17" fillId="8" borderId="29" xfId="0" applyNumberFormat="1" applyFont="1" applyFill="1" applyBorder="1" applyAlignment="1">
      <alignment horizontal="center" vertical="center"/>
    </xf>
    <xf numFmtId="0" fontId="17" fillId="2" borderId="34" xfId="0" applyFont="1" applyFill="1" applyBorder="1" applyAlignment="1">
      <alignment horizontal="right" vertical="center"/>
    </xf>
    <xf numFmtId="3" fontId="17" fillId="9" borderId="31" xfId="0" applyNumberFormat="1" applyFont="1" applyFill="1" applyBorder="1" applyAlignment="1">
      <alignment horizontal="center" vertical="center"/>
    </xf>
    <xf numFmtId="3" fontId="17" fillId="9" borderId="28" xfId="0" applyNumberFormat="1" applyFont="1" applyFill="1" applyBorder="1" applyAlignment="1">
      <alignment horizontal="center" vertical="center"/>
    </xf>
    <xf numFmtId="3" fontId="17" fillId="9" borderId="29" xfId="0" applyNumberFormat="1" applyFont="1" applyFill="1" applyBorder="1" applyAlignment="1">
      <alignment horizontal="center" vertical="center"/>
    </xf>
    <xf numFmtId="0" fontId="27" fillId="2" borderId="35" xfId="0" applyFont="1" applyFill="1" applyBorder="1" applyAlignment="1">
      <alignment horizontal="right" vertical="center"/>
    </xf>
    <xf numFmtId="3" fontId="17" fillId="8" borderId="23" xfId="0" applyNumberFormat="1" applyFont="1" applyFill="1" applyBorder="1" applyAlignment="1">
      <alignment horizontal="center" vertical="center"/>
    </xf>
    <xf numFmtId="3" fontId="17" fillId="8" borderId="22" xfId="0" applyNumberFormat="1" applyFont="1" applyFill="1" applyBorder="1" applyAlignment="1">
      <alignment horizontal="center" vertical="center"/>
    </xf>
    <xf numFmtId="3" fontId="17" fillId="8" borderId="25" xfId="0" applyNumberFormat="1" applyFont="1" applyFill="1" applyBorder="1" applyAlignment="1">
      <alignment horizontal="center" vertical="center"/>
    </xf>
    <xf numFmtId="0" fontId="21" fillId="7" borderId="69" xfId="0" applyFont="1" applyFill="1" applyBorder="1" applyAlignment="1">
      <alignment horizontal="center" vertical="center" wrapText="1"/>
    </xf>
    <xf numFmtId="3" fontId="17" fillId="0" borderId="25" xfId="0" applyNumberFormat="1" applyFont="1" applyBorder="1" applyAlignment="1">
      <alignment horizontal="center" vertical="center"/>
    </xf>
    <xf numFmtId="3" fontId="16" fillId="0" borderId="70" xfId="0" applyNumberFormat="1" applyFont="1" applyBorder="1" applyAlignment="1">
      <alignment horizontal="center" vertical="center"/>
    </xf>
    <xf numFmtId="3" fontId="29" fillId="0" borderId="31" xfId="0" applyNumberFormat="1" applyFont="1" applyBorder="1" applyAlignment="1">
      <alignment horizontal="center" vertical="center"/>
    </xf>
    <xf numFmtId="9" fontId="17" fillId="0" borderId="21" xfId="0" applyNumberFormat="1" applyFont="1" applyBorder="1" applyAlignment="1">
      <alignment horizontal="center" vertical="center"/>
    </xf>
    <xf numFmtId="0" fontId="16" fillId="0" borderId="28" xfId="0" applyFont="1" applyBorder="1" applyAlignment="1">
      <alignment horizontal="center"/>
    </xf>
    <xf numFmtId="1" fontId="27" fillId="0" borderId="30" xfId="0" applyNumberFormat="1" applyFont="1" applyBorder="1" applyAlignment="1">
      <alignment horizontal="center" vertical="center"/>
    </xf>
    <xf numFmtId="1" fontId="29" fillId="0" borderId="23" xfId="0" applyNumberFormat="1" applyFont="1" applyBorder="1" applyAlignment="1">
      <alignment horizontal="center" vertical="center"/>
    </xf>
    <xf numFmtId="1" fontId="27" fillId="0" borderId="22" xfId="0" applyNumberFormat="1" applyFont="1" applyBorder="1" applyAlignment="1">
      <alignment horizontal="center" vertical="center"/>
    </xf>
    <xf numFmtId="1" fontId="27" fillId="0" borderId="25" xfId="0" applyNumberFormat="1" applyFont="1" applyBorder="1" applyAlignment="1">
      <alignment horizontal="center" vertical="center"/>
    </xf>
    <xf numFmtId="3" fontId="17" fillId="9" borderId="25" xfId="0" applyNumberFormat="1" applyFont="1" applyFill="1" applyBorder="1" applyAlignment="1">
      <alignment horizontal="center" vertical="center"/>
    </xf>
    <xf numFmtId="3" fontId="27" fillId="0" borderId="30" xfId="0" applyNumberFormat="1" applyFont="1" applyBorder="1" applyAlignment="1">
      <alignment horizontal="center" vertical="center"/>
    </xf>
    <xf numFmtId="3" fontId="16" fillId="0" borderId="31" xfId="0" applyNumberFormat="1" applyFont="1" applyFill="1" applyBorder="1" applyAlignment="1">
      <alignment horizontal="center" vertical="center"/>
    </xf>
    <xf numFmtId="0" fontId="20" fillId="3" borderId="32" xfId="0" applyFont="1" applyFill="1" applyBorder="1" applyAlignment="1">
      <alignment horizontal="left" vertical="center"/>
    </xf>
    <xf numFmtId="0" fontId="20" fillId="3" borderId="36" xfId="0" applyFont="1" applyFill="1" applyBorder="1" applyAlignment="1">
      <alignment horizontal="left" vertical="center"/>
    </xf>
    <xf numFmtId="3" fontId="16" fillId="0" borderId="21" xfId="0" applyNumberFormat="1" applyFont="1" applyFill="1" applyBorder="1" applyAlignment="1">
      <alignment horizontal="center" vertical="center"/>
    </xf>
    <xf numFmtId="3" fontId="27" fillId="8" borderId="31" xfId="0" applyNumberFormat="1" applyFont="1" applyFill="1" applyBorder="1" applyAlignment="1">
      <alignment horizontal="center" vertical="center"/>
    </xf>
    <xf numFmtId="3" fontId="27" fillId="8" borderId="29" xfId="0" applyNumberFormat="1" applyFont="1" applyFill="1" applyBorder="1" applyAlignment="1">
      <alignment horizontal="center" vertical="center"/>
    </xf>
    <xf numFmtId="9" fontId="27" fillId="0" borderId="21" xfId="0" applyNumberFormat="1" applyFont="1" applyBorder="1" applyAlignment="1">
      <alignment horizontal="center" vertical="center"/>
    </xf>
    <xf numFmtId="3" fontId="29" fillId="6" borderId="0" xfId="0" applyNumberFormat="1" applyFont="1" applyFill="1" applyAlignment="1">
      <alignment horizontal="center" vertical="center"/>
    </xf>
    <xf numFmtId="3" fontId="27" fillId="9" borderId="25" xfId="0" applyNumberFormat="1" applyFont="1" applyFill="1" applyBorder="1" applyAlignment="1">
      <alignment horizontal="center" vertical="center"/>
    </xf>
    <xf numFmtId="3" fontId="27" fillId="0" borderId="72" xfId="0" applyNumberFormat="1" applyFont="1" applyBorder="1" applyAlignment="1">
      <alignment horizontal="center" vertical="center"/>
    </xf>
    <xf numFmtId="9" fontId="17" fillId="8" borderId="22" xfId="0" applyNumberFormat="1" applyFont="1" applyFill="1" applyBorder="1" applyAlignment="1">
      <alignment horizontal="center" vertical="center"/>
    </xf>
    <xf numFmtId="3" fontId="17" fillId="10" borderId="23" xfId="0" applyNumberFormat="1" applyFont="1" applyFill="1" applyBorder="1" applyAlignment="1">
      <alignment horizontal="center" vertical="center"/>
    </xf>
    <xf numFmtId="3" fontId="17" fillId="10" borderId="22" xfId="0" applyNumberFormat="1" applyFont="1" applyFill="1" applyBorder="1" applyAlignment="1">
      <alignment horizontal="center" vertical="center"/>
    </xf>
    <xf numFmtId="0" fontId="17" fillId="10" borderId="25" xfId="0" applyFont="1" applyFill="1" applyBorder="1" applyAlignment="1">
      <alignment horizontal="center" vertical="center"/>
    </xf>
    <xf numFmtId="9" fontId="27" fillId="0" borderId="22" xfId="0" applyNumberFormat="1" applyFont="1" applyBorder="1" applyAlignment="1">
      <alignment horizontal="center" vertical="center"/>
    </xf>
    <xf numFmtId="9" fontId="27" fillId="0" borderId="25" xfId="0" applyNumberFormat="1" applyFont="1" applyBorder="1" applyAlignment="1">
      <alignment horizontal="center" vertical="center"/>
    </xf>
    <xf numFmtId="0" fontId="58" fillId="67" borderId="59" xfId="0" applyFont="1" applyFill="1" applyBorder="1" applyAlignment="1">
      <alignment horizontal="center" vertical="center"/>
    </xf>
    <xf numFmtId="0" fontId="58" fillId="67" borderId="0" xfId="0" applyFont="1" applyFill="1" applyBorder="1" applyAlignment="1">
      <alignment horizontal="center" vertical="center"/>
    </xf>
    <xf numFmtId="1" fontId="58" fillId="67" borderId="1" xfId="92" applyNumberFormat="1" applyFont="1" applyFill="1" applyBorder="1" applyAlignment="1">
      <alignment horizontal="center" vertical="center"/>
    </xf>
    <xf numFmtId="0" fontId="58" fillId="67" borderId="60" xfId="2" applyFont="1" applyFill="1" applyBorder="1" applyAlignment="1">
      <alignment horizontal="center" vertical="center"/>
    </xf>
    <xf numFmtId="1" fontId="58" fillId="67" borderId="2" xfId="2" applyNumberFormat="1" applyFont="1" applyFill="1" applyBorder="1" applyAlignment="1">
      <alignment horizontal="center" vertical="center"/>
    </xf>
    <xf numFmtId="0" fontId="84" fillId="12" borderId="28" xfId="0" applyFont="1" applyFill="1" applyBorder="1" applyAlignment="1">
      <alignment horizontal="center" vertical="center" wrapText="1"/>
    </xf>
    <xf numFmtId="0" fontId="29" fillId="67" borderId="2" xfId="0" applyFont="1" applyFill="1" applyBorder="1" applyAlignment="1">
      <alignment horizontal="center"/>
    </xf>
    <xf numFmtId="3" fontId="29" fillId="67" borderId="2" xfId="0" applyNumberFormat="1" applyFont="1" applyFill="1" applyBorder="1" applyAlignment="1">
      <alignment horizontal="center"/>
    </xf>
    <xf numFmtId="0" fontId="58" fillId="67" borderId="60" xfId="0" applyFont="1" applyFill="1" applyBorder="1" applyAlignment="1">
      <alignment horizontal="center" vertical="center"/>
    </xf>
    <xf numFmtId="1" fontId="29" fillId="67" borderId="2" xfId="0" applyNumberFormat="1" applyFont="1" applyFill="1" applyBorder="1" applyAlignment="1">
      <alignment horizontal="center"/>
    </xf>
    <xf numFmtId="0" fontId="23" fillId="3" borderId="49" xfId="0" applyFont="1" applyFill="1" applyBorder="1" applyAlignment="1">
      <alignment horizontal="right" vertical="center"/>
    </xf>
    <xf numFmtId="0" fontId="85" fillId="0" borderId="0" xfId="0" applyFont="1" applyAlignment="1">
      <alignment vertical="center"/>
    </xf>
    <xf numFmtId="0" fontId="27" fillId="2" borderId="3" xfId="0" applyFont="1" applyFill="1" applyBorder="1" applyAlignment="1">
      <alignment horizontal="right" vertical="center"/>
    </xf>
    <xf numFmtId="0" fontId="19" fillId="6" borderId="0" xfId="0" applyFont="1" applyFill="1"/>
    <xf numFmtId="164" fontId="19" fillId="0" borderId="24" xfId="0" applyNumberFormat="1" applyFont="1" applyBorder="1" applyAlignment="1">
      <alignment horizontal="center" vertical="center"/>
    </xf>
    <xf numFmtId="164" fontId="19" fillId="0" borderId="18" xfId="0" applyNumberFormat="1" applyFont="1" applyBorder="1" applyAlignment="1">
      <alignment horizontal="center" vertical="center"/>
    </xf>
    <xf numFmtId="164" fontId="19" fillId="0" borderId="27"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21" xfId="0" applyNumberFormat="1" applyFont="1" applyBorder="1" applyAlignment="1">
      <alignment horizontal="center" vertical="center"/>
    </xf>
    <xf numFmtId="164" fontId="19" fillId="0" borderId="29" xfId="0" applyNumberFormat="1" applyFont="1" applyBorder="1" applyAlignment="1">
      <alignment horizontal="center" vertical="center"/>
    </xf>
    <xf numFmtId="164" fontId="19" fillId="0" borderId="28" xfId="0" applyNumberFormat="1" applyFont="1" applyBorder="1" applyAlignment="1">
      <alignment horizontal="center" vertical="center"/>
    </xf>
    <xf numFmtId="164" fontId="19" fillId="23" borderId="0" xfId="0" applyNumberFormat="1" applyFont="1" applyFill="1" applyBorder="1" applyAlignment="1">
      <alignment horizontal="center" vertical="center"/>
    </xf>
    <xf numFmtId="17" fontId="19" fillId="0" borderId="0" xfId="0" applyNumberFormat="1" applyFont="1" applyAlignment="1">
      <alignment horizontal="center"/>
    </xf>
    <xf numFmtId="164" fontId="46" fillId="0" borderId="31" xfId="0" applyNumberFormat="1" applyFont="1" applyBorder="1" applyAlignment="1">
      <alignment horizontal="center" vertical="center"/>
    </xf>
    <xf numFmtId="164" fontId="46" fillId="0" borderId="21" xfId="0" applyNumberFormat="1" applyFont="1" applyBorder="1" applyAlignment="1">
      <alignment horizontal="center" vertical="center"/>
    </xf>
    <xf numFmtId="164" fontId="46" fillId="0" borderId="29" xfId="0" applyNumberFormat="1" applyFont="1" applyBorder="1" applyAlignment="1">
      <alignment horizontal="center" vertical="center"/>
    </xf>
    <xf numFmtId="3" fontId="21" fillId="6" borderId="0" xfId="0" applyNumberFormat="1" applyFont="1" applyFill="1" applyBorder="1" applyAlignment="1">
      <alignment horizontal="center" vertical="center"/>
    </xf>
    <xf numFmtId="164" fontId="46" fillId="0" borderId="42" xfId="0" applyNumberFormat="1" applyFont="1" applyBorder="1" applyAlignment="1">
      <alignment horizontal="center" vertical="center"/>
    </xf>
    <xf numFmtId="3" fontId="21" fillId="6" borderId="0" xfId="0" applyNumberFormat="1" applyFont="1" applyFill="1" applyAlignment="1">
      <alignment horizontal="center" vertical="center"/>
    </xf>
    <xf numFmtId="3" fontId="46" fillId="6" borderId="0" xfId="0" applyNumberFormat="1" applyFont="1" applyFill="1" applyAlignment="1">
      <alignment horizontal="center" vertical="center"/>
    </xf>
    <xf numFmtId="1" fontId="24" fillId="0" borderId="0" xfId="0" applyNumberFormat="1" applyFont="1"/>
    <xf numFmtId="3" fontId="19" fillId="6" borderId="0" xfId="0" applyNumberFormat="1" applyFont="1" applyFill="1" applyBorder="1" applyAlignment="1">
      <alignment horizontal="center"/>
    </xf>
    <xf numFmtId="164" fontId="19" fillId="0" borderId="31" xfId="0" applyNumberFormat="1" applyFont="1" applyBorder="1" applyAlignment="1">
      <alignment horizontal="center"/>
    </xf>
    <xf numFmtId="164" fontId="19" fillId="0" borderId="21" xfId="0" applyNumberFormat="1" applyFont="1" applyBorder="1" applyAlignment="1">
      <alignment horizontal="center"/>
    </xf>
    <xf numFmtId="164" fontId="19" fillId="0" borderId="29" xfId="0" applyNumberFormat="1" applyFont="1" applyBorder="1" applyAlignment="1">
      <alignment horizontal="center"/>
    </xf>
    <xf numFmtId="3" fontId="19" fillId="6" borderId="0" xfId="0" applyNumberFormat="1" applyFont="1" applyFill="1" applyAlignment="1">
      <alignment horizontal="center"/>
    </xf>
    <xf numFmtId="164" fontId="19" fillId="23" borderId="0" xfId="0" applyNumberFormat="1" applyFont="1" applyFill="1" applyBorder="1" applyAlignment="1">
      <alignment horizontal="center"/>
    </xf>
    <xf numFmtId="0" fontId="19" fillId="23" borderId="0" xfId="0" applyFont="1" applyFill="1" applyBorder="1" applyAlignment="1">
      <alignment horizontal="center"/>
    </xf>
    <xf numFmtId="164" fontId="19" fillId="23" borderId="19" xfId="0" applyNumberFormat="1" applyFont="1" applyFill="1" applyBorder="1" applyAlignment="1">
      <alignment horizontal="center" vertical="center"/>
    </xf>
    <xf numFmtId="0" fontId="0" fillId="0" borderId="0" xfId="0" applyFont="1" applyFill="1"/>
    <xf numFmtId="0" fontId="18" fillId="66" borderId="2" xfId="0" applyFont="1" applyFill="1" applyBorder="1"/>
    <xf numFmtId="0" fontId="19" fillId="66" borderId="2" xfId="0" applyFont="1" applyFill="1" applyBorder="1"/>
    <xf numFmtId="0" fontId="19" fillId="66" borderId="9" xfId="0" applyFont="1" applyFill="1" applyBorder="1"/>
    <xf numFmtId="0" fontId="16" fillId="66" borderId="2" xfId="0" applyFont="1" applyFill="1" applyBorder="1"/>
    <xf numFmtId="0" fontId="16" fillId="66" borderId="0" xfId="0" applyFont="1" applyFill="1"/>
    <xf numFmtId="0" fontId="18" fillId="68" borderId="2" xfId="0" applyFont="1" applyFill="1" applyBorder="1"/>
    <xf numFmtId="0" fontId="19" fillId="68" borderId="2" xfId="0" applyFont="1" applyFill="1" applyBorder="1"/>
    <xf numFmtId="0" fontId="19" fillId="68" borderId="0" xfId="0" applyFont="1" applyFill="1"/>
    <xf numFmtId="0" fontId="16" fillId="68" borderId="2" xfId="0" applyFont="1" applyFill="1" applyBorder="1"/>
    <xf numFmtId="0" fontId="16" fillId="68" borderId="0" xfId="0" applyFont="1" applyFill="1"/>
    <xf numFmtId="0" fontId="18" fillId="69" borderId="2" xfId="0" applyFont="1" applyFill="1" applyBorder="1"/>
    <xf numFmtId="0" fontId="19" fillId="69" borderId="2" xfId="0" applyFont="1" applyFill="1" applyBorder="1"/>
    <xf numFmtId="0" fontId="19" fillId="69" borderId="0" xfId="0" applyFont="1" applyFill="1"/>
    <xf numFmtId="0" fontId="16" fillId="69" borderId="2" xfId="0" applyFont="1" applyFill="1" applyBorder="1"/>
    <xf numFmtId="0" fontId="16" fillId="69" borderId="0" xfId="0" applyFont="1" applyFill="1"/>
    <xf numFmtId="0" fontId="18" fillId="70" borderId="2" xfId="0" applyFont="1" applyFill="1" applyBorder="1"/>
    <xf numFmtId="0" fontId="19" fillId="70" borderId="2" xfId="0" applyFont="1" applyFill="1" applyBorder="1"/>
    <xf numFmtId="0" fontId="19" fillId="70" borderId="0" xfId="0" applyFont="1" applyFill="1"/>
    <xf numFmtId="0" fontId="19" fillId="70" borderId="9" xfId="0" applyFont="1" applyFill="1" applyBorder="1"/>
    <xf numFmtId="0" fontId="16" fillId="70" borderId="2" xfId="0" applyFont="1" applyFill="1" applyBorder="1"/>
    <xf numFmtId="0" fontId="16" fillId="70" borderId="0" xfId="0" applyFont="1" applyFill="1"/>
    <xf numFmtId="0" fontId="18" fillId="71" borderId="2" xfId="0" applyFont="1" applyFill="1" applyBorder="1"/>
    <xf numFmtId="0" fontId="19" fillId="71" borderId="2" xfId="0" applyFont="1" applyFill="1" applyBorder="1"/>
    <xf numFmtId="0" fontId="19" fillId="71" borderId="0" xfId="0" applyFont="1" applyFill="1"/>
    <xf numFmtId="0" fontId="16" fillId="71" borderId="2" xfId="0" applyFont="1" applyFill="1" applyBorder="1"/>
    <xf numFmtId="0" fontId="16" fillId="71" borderId="0" xfId="0" applyFont="1" applyFill="1"/>
    <xf numFmtId="0" fontId="18" fillId="72" borderId="2" xfId="0" applyFont="1" applyFill="1" applyBorder="1"/>
    <xf numFmtId="0" fontId="19" fillId="72" borderId="2" xfId="0" applyFont="1" applyFill="1" applyBorder="1"/>
    <xf numFmtId="0" fontId="19" fillId="72" borderId="0" xfId="0" applyFont="1" applyFill="1"/>
    <xf numFmtId="0" fontId="16" fillId="72" borderId="2" xfId="0" applyFont="1" applyFill="1" applyBorder="1"/>
    <xf numFmtId="0" fontId="16" fillId="72" borderId="0" xfId="0" applyFont="1" applyFill="1"/>
    <xf numFmtId="0" fontId="18" fillId="73" borderId="0" xfId="0" applyFont="1" applyFill="1"/>
    <xf numFmtId="0" fontId="16" fillId="73" borderId="0" xfId="0" applyFont="1" applyFill="1"/>
    <xf numFmtId="0" fontId="0" fillId="73" borderId="0" xfId="0" applyFill="1"/>
    <xf numFmtId="0" fontId="18" fillId="68" borderId="0" xfId="0" applyFont="1" applyFill="1"/>
    <xf numFmtId="0" fontId="18" fillId="72" borderId="0" xfId="0" applyFont="1" applyFill="1"/>
    <xf numFmtId="0" fontId="18" fillId="74" borderId="0" xfId="0" applyFont="1" applyFill="1"/>
    <xf numFmtId="0" fontId="16" fillId="74" borderId="0" xfId="0" applyFont="1" applyFill="1"/>
    <xf numFmtId="0" fontId="29" fillId="74" borderId="0" xfId="0" applyFont="1" applyFill="1"/>
    <xf numFmtId="0" fontId="0" fillId="74" borderId="0" xfId="0" applyFill="1"/>
    <xf numFmtId="0" fontId="18" fillId="71" borderId="0" xfId="0" applyFont="1" applyFill="1"/>
    <xf numFmtId="0" fontId="0" fillId="71" borderId="0" xfId="0" applyFill="1"/>
    <xf numFmtId="0" fontId="0" fillId="72" borderId="0" xfId="0" applyFill="1"/>
    <xf numFmtId="0" fontId="24" fillId="75" borderId="0" xfId="0" applyFont="1" applyFill="1"/>
    <xf numFmtId="0" fontId="16" fillId="75" borderId="0" xfId="0" applyFont="1" applyFill="1"/>
    <xf numFmtId="0" fontId="32" fillId="75" borderId="0" xfId="0" applyFont="1" applyFill="1"/>
    <xf numFmtId="0" fontId="24" fillId="18" borderId="0" xfId="0" applyFont="1" applyFill="1"/>
    <xf numFmtId="0" fontId="16" fillId="18" borderId="0" xfId="0" applyFont="1" applyFill="1"/>
    <xf numFmtId="0" fontId="32" fillId="18" borderId="0" xfId="0" applyFont="1" applyFill="1"/>
    <xf numFmtId="0" fontId="24" fillId="73" borderId="0" xfId="0" applyFont="1" applyFill="1"/>
    <xf numFmtId="0" fontId="12" fillId="73" borderId="0" xfId="4" applyFill="1"/>
    <xf numFmtId="0" fontId="12" fillId="68" borderId="0" xfId="4" applyFill="1"/>
    <xf numFmtId="0" fontId="12" fillId="68" borderId="0" xfId="4" applyFill="1" applyAlignment="1">
      <alignment horizontal="left"/>
    </xf>
    <xf numFmtId="0" fontId="0" fillId="68" borderId="0" xfId="0" applyFill="1"/>
    <xf numFmtId="0" fontId="12" fillId="72" borderId="0" xfId="4" applyFill="1"/>
    <xf numFmtId="0" fontId="12" fillId="72" borderId="0" xfId="4" applyFill="1" applyAlignment="1">
      <alignment horizontal="left"/>
    </xf>
    <xf numFmtId="0" fontId="12" fillId="74" borderId="0" xfId="4" applyFill="1"/>
    <xf numFmtId="0" fontId="12" fillId="74" borderId="0" xfId="4" applyFill="1" applyAlignment="1">
      <alignment horizontal="left"/>
    </xf>
    <xf numFmtId="0" fontId="12" fillId="71" borderId="0" xfId="4" applyFill="1"/>
    <xf numFmtId="0" fontId="12" fillId="71" borderId="0" xfId="4" applyFill="1" applyAlignment="1">
      <alignment horizontal="left"/>
    </xf>
    <xf numFmtId="0" fontId="12" fillId="76" borderId="0" xfId="4" applyFill="1"/>
    <xf numFmtId="0" fontId="12" fillId="76" borderId="0" xfId="4" applyFill="1" applyAlignment="1">
      <alignment horizontal="left"/>
    </xf>
    <xf numFmtId="0" fontId="0" fillId="76" borderId="0" xfId="0" applyFill="1"/>
    <xf numFmtId="49" fontId="33" fillId="77" borderId="68" xfId="0" applyNumberFormat="1" applyFont="1" applyFill="1" applyBorder="1" applyAlignment="1">
      <alignment horizontal="left" vertical="center"/>
    </xf>
    <xf numFmtId="0" fontId="12" fillId="78" borderId="0" xfId="4" applyFill="1" applyAlignment="1">
      <alignment horizontal="left"/>
    </xf>
    <xf numFmtId="0" fontId="0" fillId="78" borderId="0" xfId="0" applyFill="1"/>
    <xf numFmtId="0" fontId="18" fillId="76" borderId="0" xfId="0" applyFont="1" applyFill="1"/>
    <xf numFmtId="0" fontId="16" fillId="76" borderId="0" xfId="0" applyFont="1" applyFill="1"/>
    <xf numFmtId="0" fontId="18" fillId="76" borderId="2" xfId="0" applyFont="1" applyFill="1" applyBorder="1"/>
    <xf numFmtId="0" fontId="19" fillId="76" borderId="2" xfId="0" applyFont="1" applyFill="1" applyBorder="1"/>
    <xf numFmtId="0" fontId="19" fillId="76" borderId="0" xfId="0" applyFont="1" applyFill="1"/>
    <xf numFmtId="0" fontId="16" fillId="76" borderId="2" xfId="0" applyFont="1" applyFill="1" applyBorder="1"/>
    <xf numFmtId="3" fontId="17" fillId="80" borderId="28" xfId="0" applyNumberFormat="1" applyFont="1" applyFill="1" applyBorder="1" applyAlignment="1">
      <alignment horizontal="center" vertical="center"/>
    </xf>
    <xf numFmtId="0" fontId="21" fillId="79" borderId="0" xfId="0" applyFont="1" applyFill="1" applyBorder="1" applyAlignment="1">
      <alignment horizontal="center" vertical="center" wrapText="1"/>
    </xf>
    <xf numFmtId="0" fontId="19" fillId="66" borderId="73" xfId="0" applyFont="1" applyFill="1" applyBorder="1"/>
    <xf numFmtId="0" fontId="19" fillId="66" borderId="74" xfId="0" applyFont="1" applyFill="1" applyBorder="1"/>
    <xf numFmtId="0" fontId="19" fillId="66" borderId="28" xfId="0" applyFont="1" applyFill="1" applyBorder="1"/>
    <xf numFmtId="0" fontId="87" fillId="66" borderId="28" xfId="242" applyFont="1" applyFill="1" applyBorder="1" applyAlignment="1">
      <alignment vertical="center" wrapText="1"/>
    </xf>
    <xf numFmtId="1" fontId="58" fillId="0" borderId="75" xfId="2" applyNumberFormat="1" applyFont="1" applyFill="1" applyBorder="1" applyAlignment="1">
      <alignment horizontal="center" vertical="center"/>
    </xf>
    <xf numFmtId="0" fontId="19" fillId="72" borderId="73" xfId="0" applyFont="1" applyFill="1" applyBorder="1"/>
    <xf numFmtId="0" fontId="19" fillId="72" borderId="74" xfId="0" applyFont="1" applyFill="1" applyBorder="1"/>
    <xf numFmtId="0" fontId="19" fillId="72" borderId="28" xfId="0" applyFont="1" applyFill="1" applyBorder="1"/>
    <xf numFmtId="0" fontId="19" fillId="76" borderId="73" xfId="0" applyFont="1" applyFill="1" applyBorder="1"/>
    <xf numFmtId="0" fontId="19" fillId="76" borderId="74" xfId="0" applyFont="1" applyFill="1" applyBorder="1"/>
    <xf numFmtId="0" fontId="19" fillId="76" borderId="28" xfId="0" applyFont="1" applyFill="1" applyBorder="1"/>
    <xf numFmtId="0" fontId="19" fillId="71" borderId="73" xfId="0" applyFont="1" applyFill="1" applyBorder="1"/>
    <xf numFmtId="0" fontId="19" fillId="71" borderId="74" xfId="0" applyFont="1" applyFill="1" applyBorder="1"/>
    <xf numFmtId="0" fontId="19" fillId="71" borderId="28" xfId="0" applyFont="1" applyFill="1" applyBorder="1"/>
    <xf numFmtId="1" fontId="27" fillId="0" borderId="26" xfId="0" applyNumberFormat="1" applyFont="1" applyBorder="1" applyAlignment="1">
      <alignment horizontal="center" vertical="center"/>
    </xf>
    <xf numFmtId="9" fontId="29" fillId="23" borderId="0" xfId="0" applyNumberFormat="1" applyFont="1" applyFill="1" applyBorder="1" applyAlignment="1">
      <alignment horizontal="center" vertical="center"/>
    </xf>
    <xf numFmtId="1" fontId="27" fillId="23" borderId="0" xfId="0" applyNumberFormat="1" applyFont="1" applyFill="1" applyBorder="1" applyAlignment="1">
      <alignment horizontal="center" vertical="center"/>
    </xf>
    <xf numFmtId="0" fontId="17" fillId="80" borderId="28" xfId="0" applyFont="1" applyFill="1" applyBorder="1" applyAlignment="1">
      <alignment horizontal="center" vertical="center"/>
    </xf>
    <xf numFmtId="3" fontId="17" fillId="0" borderId="23" xfId="0" applyNumberFormat="1" applyFont="1" applyBorder="1" applyAlignment="1">
      <alignment horizontal="center" vertical="center"/>
    </xf>
    <xf numFmtId="164" fontId="19" fillId="0" borderId="76" xfId="0" applyNumberFormat="1" applyFont="1" applyBorder="1" applyAlignment="1">
      <alignment horizontal="center" vertical="center"/>
    </xf>
    <xf numFmtId="164" fontId="19" fillId="0" borderId="77" xfId="0" applyNumberFormat="1" applyFont="1" applyBorder="1" applyAlignment="1">
      <alignment horizontal="center" vertical="center"/>
    </xf>
    <xf numFmtId="0" fontId="21" fillId="4" borderId="32" xfId="0" applyFont="1" applyFill="1" applyBorder="1" applyAlignment="1">
      <alignment horizontal="left" vertical="center"/>
    </xf>
    <xf numFmtId="0" fontId="21" fillId="3" borderId="36" xfId="0" applyFont="1" applyFill="1" applyBorder="1" applyAlignment="1">
      <alignment vertical="center"/>
    </xf>
    <xf numFmtId="0" fontId="21" fillId="4" borderId="36" xfId="0" applyFont="1" applyFill="1" applyBorder="1" applyAlignment="1">
      <alignment horizontal="left" vertical="center"/>
    </xf>
    <xf numFmtId="3" fontId="27" fillId="0" borderId="71" xfId="0" applyNumberFormat="1" applyFont="1" applyBorder="1" applyAlignment="1">
      <alignment horizontal="center" vertical="center"/>
    </xf>
    <xf numFmtId="0" fontId="59" fillId="81" borderId="0" xfId="0" applyFont="1" applyFill="1" applyAlignment="1">
      <alignment horizontal="left"/>
    </xf>
    <xf numFmtId="1" fontId="57" fillId="0" borderId="0" xfId="0" applyNumberFormat="1" applyFont="1" applyFill="1" applyAlignment="1">
      <alignment horizontal="center"/>
    </xf>
    <xf numFmtId="1" fontId="57" fillId="0" borderId="12" xfId="0" applyNumberFormat="1" applyFont="1" applyFill="1" applyBorder="1" applyAlignment="1">
      <alignment horizontal="center"/>
    </xf>
    <xf numFmtId="1" fontId="57" fillId="0" borderId="4" xfId="0" applyNumberFormat="1" applyFont="1" applyFill="1" applyBorder="1" applyAlignment="1">
      <alignment horizontal="center"/>
    </xf>
    <xf numFmtId="1" fontId="30" fillId="0" borderId="0" xfId="0" applyNumberFormat="1" applyFont="1" applyFill="1"/>
    <xf numFmtId="0" fontId="81" fillId="81" borderId="0" xfId="4" applyFont="1" applyFill="1"/>
    <xf numFmtId="0" fontId="57" fillId="0" borderId="0" xfId="0" applyFont="1" applyFill="1"/>
    <xf numFmtId="0" fontId="89" fillId="81" borderId="0" xfId="0" applyFont="1" applyFill="1" applyAlignment="1">
      <alignment horizontal="left"/>
    </xf>
    <xf numFmtId="17" fontId="57" fillId="0" borderId="0" xfId="0" applyNumberFormat="1" applyFont="1" applyFill="1" applyAlignment="1">
      <alignment horizontal="center"/>
    </xf>
    <xf numFmtId="0" fontId="57" fillId="0" borderId="0" xfId="4" applyFont="1" applyFill="1" applyAlignment="1">
      <alignment horizontal="center"/>
    </xf>
    <xf numFmtId="0" fontId="57" fillId="0" borderId="0" xfId="4" applyNumberFormat="1" applyFont="1" applyFill="1" applyAlignment="1">
      <alignment horizontal="center"/>
    </xf>
    <xf numFmtId="0" fontId="30" fillId="14" borderId="0" xfId="0" applyFont="1" applyFill="1"/>
    <xf numFmtId="1" fontId="91" fillId="0" borderId="0" xfId="0" applyNumberFormat="1" applyFont="1" applyFill="1" applyAlignment="1">
      <alignment horizontal="center"/>
    </xf>
    <xf numFmtId="17" fontId="46" fillId="0" borderId="2" xfId="0" applyNumberFormat="1" applyFont="1" applyFill="1" applyBorder="1" applyAlignment="1">
      <alignment horizontal="center"/>
    </xf>
    <xf numFmtId="17" fontId="46" fillId="0" borderId="0" xfId="0" applyNumberFormat="1" applyFont="1" applyFill="1" applyBorder="1" applyAlignment="1">
      <alignment horizontal="center"/>
    </xf>
    <xf numFmtId="17" fontId="46" fillId="0" borderId="4" xfId="0" applyNumberFormat="1" applyFont="1" applyFill="1" applyBorder="1" applyAlignment="1">
      <alignment horizontal="center"/>
    </xf>
    <xf numFmtId="0" fontId="92" fillId="0" borderId="0" xfId="0" applyFont="1" applyFill="1"/>
    <xf numFmtId="164" fontId="19" fillId="0" borderId="79" xfId="0" applyNumberFormat="1" applyFont="1" applyBorder="1" applyAlignment="1">
      <alignment horizontal="center" vertical="center"/>
    </xf>
    <xf numFmtId="3" fontId="27" fillId="0" borderId="28" xfId="0" applyNumberFormat="1" applyFont="1" applyBorder="1" applyAlignment="1">
      <alignment horizontal="center" vertical="center"/>
    </xf>
    <xf numFmtId="9" fontId="20" fillId="6" borderId="0" xfId="0" applyNumberFormat="1" applyFont="1" applyFill="1" applyBorder="1" applyAlignment="1">
      <alignment horizontal="center" vertical="center"/>
    </xf>
    <xf numFmtId="164" fontId="46" fillId="0" borderId="28" xfId="0" applyNumberFormat="1" applyFont="1" applyBorder="1" applyAlignment="1">
      <alignment horizontal="center" vertical="center"/>
    </xf>
    <xf numFmtId="0" fontId="95" fillId="82" borderId="81" xfId="0" applyFont="1" applyFill="1" applyBorder="1" applyAlignment="1">
      <alignment horizontal="center"/>
    </xf>
    <xf numFmtId="3" fontId="27" fillId="8" borderId="23" xfId="0" applyNumberFormat="1" applyFont="1" applyFill="1" applyBorder="1" applyAlignment="1">
      <alignment horizontal="center" vertical="center"/>
    </xf>
    <xf numFmtId="3" fontId="16" fillId="0" borderId="25" xfId="0" applyNumberFormat="1" applyFont="1" applyBorder="1" applyAlignment="1">
      <alignment horizontal="center" vertical="center"/>
    </xf>
    <xf numFmtId="3" fontId="29" fillId="0" borderId="30" xfId="0" applyNumberFormat="1" applyFont="1" applyBorder="1" applyAlignment="1">
      <alignment horizontal="center" vertical="center"/>
    </xf>
    <xf numFmtId="0" fontId="30" fillId="83" borderId="0" xfId="0" applyFont="1" applyFill="1" applyAlignment="1">
      <alignment horizontal="left"/>
    </xf>
    <xf numFmtId="0" fontId="24" fillId="84" borderId="0" xfId="4" applyFont="1" applyFill="1"/>
    <xf numFmtId="0" fontId="21" fillId="6" borderId="0" xfId="0" applyFont="1" applyFill="1" applyBorder="1" applyAlignment="1">
      <alignment horizontal="center" vertical="center" wrapText="1"/>
    </xf>
    <xf numFmtId="3" fontId="17" fillId="6" borderId="0" xfId="0" applyNumberFormat="1" applyFont="1" applyFill="1" applyBorder="1" applyAlignment="1">
      <alignment horizontal="center" vertical="center"/>
    </xf>
    <xf numFmtId="164" fontId="19" fillId="6" borderId="0" xfId="0" applyNumberFormat="1" applyFont="1" applyFill="1" applyBorder="1" applyAlignment="1">
      <alignment horizontal="center" vertical="center"/>
    </xf>
    <xf numFmtId="0" fontId="20" fillId="6" borderId="0" xfId="0" applyFont="1" applyFill="1" applyBorder="1" applyAlignment="1">
      <alignment horizontal="left" vertical="center"/>
    </xf>
    <xf numFmtId="3" fontId="27" fillId="6" borderId="0" xfId="0" applyNumberFormat="1" applyFont="1" applyFill="1" applyBorder="1" applyAlignment="1">
      <alignment horizontal="center" vertical="center"/>
    </xf>
    <xf numFmtId="0" fontId="20" fillId="6" borderId="0" xfId="0" applyFont="1" applyFill="1" applyBorder="1" applyAlignment="1">
      <alignment vertical="center"/>
    </xf>
    <xf numFmtId="0" fontId="23" fillId="4" borderId="3" xfId="0" applyFont="1" applyFill="1" applyBorder="1" applyAlignment="1">
      <alignment horizontal="right" vertical="center"/>
    </xf>
    <xf numFmtId="0" fontId="17" fillId="6" borderId="0" xfId="0" applyFont="1" applyFill="1" applyBorder="1" applyAlignment="1">
      <alignment horizontal="right"/>
    </xf>
    <xf numFmtId="0" fontId="21" fillId="4" borderId="6" xfId="0" applyFont="1" applyFill="1" applyBorder="1" applyAlignment="1">
      <alignment horizontal="left" vertical="center"/>
    </xf>
    <xf numFmtId="0" fontId="17" fillId="66" borderId="28" xfId="0" applyFont="1" applyFill="1" applyBorder="1" applyAlignment="1">
      <alignment horizontal="center" vertical="center"/>
    </xf>
    <xf numFmtId="0" fontId="24" fillId="66" borderId="0" xfId="4" applyFont="1" applyFill="1" applyAlignment="1">
      <alignment horizontal="left"/>
    </xf>
    <xf numFmtId="0" fontId="30" fillId="66" borderId="0" xfId="0" applyFont="1" applyFill="1" applyAlignment="1">
      <alignment horizontal="left"/>
    </xf>
    <xf numFmtId="0" fontId="92" fillId="66" borderId="0" xfId="0" applyFont="1" applyFill="1" applyAlignment="1">
      <alignment horizontal="left"/>
    </xf>
    <xf numFmtId="0" fontId="30" fillId="0" borderId="18" xfId="0" applyFont="1" applyFill="1" applyBorder="1"/>
    <xf numFmtId="17" fontId="46" fillId="0" borderId="84" xfId="0" applyNumberFormat="1" applyFont="1" applyFill="1" applyBorder="1" applyAlignment="1">
      <alignment horizontal="center"/>
    </xf>
    <xf numFmtId="0" fontId="29" fillId="0" borderId="84" xfId="0" applyFont="1" applyFill="1" applyBorder="1" applyAlignment="1">
      <alignment horizontal="center"/>
    </xf>
    <xf numFmtId="1" fontId="29" fillId="0" borderId="84" xfId="0" applyNumberFormat="1" applyFont="1" applyFill="1" applyBorder="1" applyAlignment="1">
      <alignment horizontal="center"/>
    </xf>
    <xf numFmtId="0" fontId="57" fillId="0" borderId="18" xfId="0" applyFont="1" applyFill="1" applyBorder="1"/>
    <xf numFmtId="0" fontId="29" fillId="0" borderId="18" xfId="4" applyFont="1" applyFill="1" applyBorder="1" applyAlignment="1">
      <alignment horizontal="center"/>
    </xf>
    <xf numFmtId="0" fontId="20" fillId="6" borderId="0" xfId="0" applyFont="1" applyFill="1"/>
    <xf numFmtId="0" fontId="30" fillId="85" borderId="0" xfId="0" applyFont="1" applyFill="1"/>
    <xf numFmtId="0" fontId="91" fillId="85" borderId="0" xfId="0" applyFont="1" applyFill="1" applyAlignment="1">
      <alignment horizontal="center"/>
    </xf>
    <xf numFmtId="0" fontId="57" fillId="85" borderId="0" xfId="0" applyFont="1" applyFill="1" applyAlignment="1">
      <alignment horizontal="center"/>
    </xf>
    <xf numFmtId="1" fontId="57" fillId="85" borderId="0" xfId="0" applyNumberFormat="1" applyFont="1" applyFill="1" applyAlignment="1">
      <alignment horizontal="center"/>
    </xf>
    <xf numFmtId="0" fontId="57" fillId="85" borderId="10" xfId="0" applyFont="1" applyFill="1" applyBorder="1" applyAlignment="1">
      <alignment horizontal="center"/>
    </xf>
    <xf numFmtId="1" fontId="23" fillId="23" borderId="0" xfId="0" applyNumberFormat="1" applyFont="1" applyFill="1" applyBorder="1" applyAlignment="1">
      <alignment horizontal="center" vertical="center"/>
    </xf>
    <xf numFmtId="3" fontId="20" fillId="6" borderId="0" xfId="0" applyNumberFormat="1" applyFont="1" applyFill="1" applyBorder="1" applyAlignment="1">
      <alignment horizontal="center" vertical="center"/>
    </xf>
    <xf numFmtId="0" fontId="27" fillId="0" borderId="21" xfId="0" applyFont="1" applyBorder="1" applyAlignment="1">
      <alignment horizontal="center" vertical="center"/>
    </xf>
    <xf numFmtId="0" fontId="27" fillId="0" borderId="29" xfId="0" applyFont="1" applyBorder="1" applyAlignment="1">
      <alignment horizontal="center" vertical="center"/>
    </xf>
    <xf numFmtId="3" fontId="29" fillId="0" borderId="83" xfId="0" applyNumberFormat="1" applyFont="1" applyBorder="1" applyAlignment="1">
      <alignment horizontal="center" vertical="center"/>
    </xf>
    <xf numFmtId="0" fontId="24" fillId="86" borderId="0" xfId="4" applyFont="1" applyFill="1" applyAlignment="1">
      <alignment horizontal="left"/>
    </xf>
    <xf numFmtId="0" fontId="17" fillId="86" borderId="5" xfId="0" applyFont="1" applyFill="1" applyBorder="1" applyAlignment="1">
      <alignment horizontal="left" vertical="center"/>
    </xf>
    <xf numFmtId="164" fontId="29" fillId="0" borderId="0" xfId="244" applyNumberFormat="1" applyFont="1" applyFill="1" applyAlignment="1">
      <alignment horizontal="center" vertical="center"/>
    </xf>
    <xf numFmtId="0" fontId="17" fillId="70" borderId="5" xfId="0" applyFont="1" applyFill="1" applyBorder="1" applyAlignment="1">
      <alignment horizontal="left" vertical="center"/>
    </xf>
    <xf numFmtId="0" fontId="29" fillId="12" borderId="16" xfId="0" applyFont="1" applyFill="1" applyBorder="1" applyAlignment="1">
      <alignment horizontal="center" vertical="center"/>
    </xf>
    <xf numFmtId="3" fontId="27" fillId="0" borderId="28" xfId="0" applyNumberFormat="1" applyFont="1" applyFill="1" applyBorder="1" applyAlignment="1">
      <alignment horizontal="center" vertical="center"/>
    </xf>
    <xf numFmtId="0" fontId="74" fillId="6" borderId="26" xfId="0" applyFont="1" applyFill="1" applyBorder="1" applyAlignment="1">
      <alignment vertical="center"/>
    </xf>
    <xf numFmtId="0" fontId="97" fillId="6" borderId="0" xfId="0" applyFont="1" applyFill="1"/>
    <xf numFmtId="1" fontId="91" fillId="0" borderId="0" xfId="0" applyNumberFormat="1" applyFont="1" applyAlignment="1">
      <alignment horizontal="center"/>
    </xf>
    <xf numFmtId="1" fontId="57" fillId="0" borderId="0" xfId="0" applyNumberFormat="1" applyFont="1" applyAlignment="1">
      <alignment horizontal="center"/>
    </xf>
    <xf numFmtId="1" fontId="57" fillId="0" borderId="12" xfId="0" applyNumberFormat="1" applyFont="1" applyBorder="1" applyAlignment="1">
      <alignment horizontal="center"/>
    </xf>
    <xf numFmtId="1" fontId="99" fillId="0" borderId="0" xfId="245" applyNumberFormat="1"/>
    <xf numFmtId="1" fontId="58" fillId="0" borderId="0" xfId="0" applyNumberFormat="1" applyFont="1" applyAlignment="1">
      <alignment horizontal="center" vertical="center"/>
    </xf>
    <xf numFmtId="1" fontId="29" fillId="0" borderId="2" xfId="0" applyNumberFormat="1" applyFont="1" applyBorder="1" applyAlignment="1">
      <alignment horizontal="center"/>
    </xf>
    <xf numFmtId="1" fontId="29" fillId="0" borderId="84" xfId="0" applyNumberFormat="1" applyFont="1" applyBorder="1" applyAlignment="1">
      <alignment horizontal="center"/>
    </xf>
    <xf numFmtId="1" fontId="57" fillId="85" borderId="10" xfId="0" applyNumberFormat="1" applyFont="1" applyFill="1" applyBorder="1" applyAlignment="1">
      <alignment horizontal="center"/>
    </xf>
    <xf numFmtId="1" fontId="29" fillId="0" borderId="12" xfId="0" applyNumberFormat="1" applyFont="1" applyBorder="1" applyAlignment="1">
      <alignment horizontal="center"/>
    </xf>
    <xf numFmtId="1" fontId="99" fillId="84" borderId="0" xfId="245" applyNumberFormat="1" applyFill="1"/>
    <xf numFmtId="1" fontId="13" fillId="0" borderId="0" xfId="112" applyNumberFormat="1" applyAlignment="1">
      <alignment horizontal="center"/>
    </xf>
    <xf numFmtId="1" fontId="101" fillId="0" borderId="28" xfId="245" applyNumberFormat="1" applyFont="1" applyBorder="1" applyAlignment="1">
      <alignment horizontal="center"/>
    </xf>
    <xf numFmtId="1" fontId="99" fillId="87" borderId="0" xfId="245" applyNumberFormat="1" applyFill="1"/>
    <xf numFmtId="1" fontId="58" fillId="84" borderId="2" xfId="2" applyNumberFormat="1" applyFont="1" applyFill="1" applyBorder="1" applyAlignment="1">
      <alignment horizontal="center" vertical="center"/>
    </xf>
    <xf numFmtId="1" fontId="101" fillId="0" borderId="28" xfId="112" applyNumberFormat="1" applyFont="1" applyBorder="1" applyAlignment="1">
      <alignment horizontal="center"/>
    </xf>
    <xf numFmtId="1" fontId="57" fillId="0" borderId="4" xfId="0" applyNumberFormat="1" applyFont="1" applyBorder="1" applyAlignment="1">
      <alignment horizontal="center"/>
    </xf>
    <xf numFmtId="1" fontId="84" fillId="8" borderId="0" xfId="112" applyNumberFormat="1" applyFont="1" applyFill="1"/>
    <xf numFmtId="1" fontId="46" fillId="0" borderId="2" xfId="0" applyNumberFormat="1" applyFont="1" applyBorder="1" applyAlignment="1">
      <alignment horizontal="center"/>
    </xf>
    <xf numFmtId="1" fontId="46" fillId="0" borderId="84" xfId="0" applyNumberFormat="1" applyFont="1" applyBorder="1" applyAlignment="1">
      <alignment horizontal="center"/>
    </xf>
    <xf numFmtId="1" fontId="57" fillId="0" borderId="0" xfId="0" applyNumberFormat="1" applyFont="1"/>
    <xf numFmtId="1" fontId="100" fillId="0" borderId="0" xfId="245" applyNumberFormat="1" applyFont="1"/>
    <xf numFmtId="1" fontId="30" fillId="0" borderId="18" xfId="0" applyNumberFormat="1" applyFont="1" applyBorder="1"/>
    <xf numFmtId="1" fontId="29" fillId="0" borderId="0" xfId="4" applyNumberFormat="1" applyFont="1" applyAlignment="1">
      <alignment horizontal="center"/>
    </xf>
    <xf numFmtId="1" fontId="29" fillId="0" borderId="0" xfId="244" applyNumberFormat="1" applyFont="1" applyFill="1" applyAlignment="1">
      <alignment horizontal="center" vertical="center"/>
    </xf>
    <xf numFmtId="0" fontId="21" fillId="7" borderId="85" xfId="0" applyFont="1" applyFill="1" applyBorder="1" applyAlignment="1">
      <alignment horizontal="center" vertical="center" wrapText="1"/>
    </xf>
    <xf numFmtId="1" fontId="46" fillId="0" borderId="2" xfId="0" applyNumberFormat="1" applyFont="1" applyFill="1" applyBorder="1" applyAlignment="1">
      <alignment horizontal="center"/>
    </xf>
    <xf numFmtId="0" fontId="0" fillId="6" borderId="0" xfId="0" applyFill="1" applyAlignment="1">
      <alignment horizontal="left"/>
    </xf>
    <xf numFmtId="0" fontId="97" fillId="6" borderId="0" xfId="0" applyFont="1" applyFill="1" applyAlignment="1">
      <alignment horizontal="left"/>
    </xf>
    <xf numFmtId="0" fontId="96" fillId="0" borderId="80" xfId="0" applyFont="1" applyBorder="1" applyAlignment="1">
      <alignment horizontal="center" vertical="center"/>
    </xf>
    <xf numFmtId="0" fontId="96" fillId="0" borderId="18" xfId="0" applyFont="1" applyBorder="1" applyAlignment="1">
      <alignment horizontal="center" vertical="center"/>
    </xf>
    <xf numFmtId="0" fontId="96" fillId="0" borderId="27" xfId="0" applyFont="1" applyBorder="1" applyAlignment="1">
      <alignment horizontal="center" vertical="center"/>
    </xf>
    <xf numFmtId="0" fontId="0" fillId="23" borderId="0" xfId="0" applyFill="1" applyAlignment="1">
      <alignment horizontal="left"/>
    </xf>
    <xf numFmtId="0" fontId="0" fillId="6" borderId="0" xfId="0" applyFill="1" applyBorder="1" applyAlignment="1">
      <alignment horizontal="left"/>
    </xf>
    <xf numFmtId="1" fontId="104" fillId="85" borderId="0" xfId="0" applyNumberFormat="1" applyFont="1" applyFill="1" applyAlignment="1">
      <alignment horizontal="center"/>
    </xf>
    <xf numFmtId="0" fontId="25" fillId="6" borderId="0" xfId="0" applyFont="1" applyFill="1" applyAlignment="1">
      <alignment horizontal="left"/>
    </xf>
    <xf numFmtId="1" fontId="24" fillId="14" borderId="0" xfId="0" applyNumberFormat="1" applyFont="1" applyFill="1"/>
    <xf numFmtId="1" fontId="30" fillId="67" borderId="0" xfId="0" applyNumberFormat="1" applyFont="1" applyFill="1"/>
    <xf numFmtId="1" fontId="49" fillId="85" borderId="0" xfId="0" applyNumberFormat="1" applyFont="1" applyFill="1"/>
    <xf numFmtId="1" fontId="30" fillId="85" borderId="0" xfId="0" applyNumberFormat="1" applyFont="1" applyFill="1"/>
    <xf numFmtId="1" fontId="92" fillId="0" borderId="0" xfId="0" applyNumberFormat="1" applyFont="1"/>
    <xf numFmtId="1" fontId="18" fillId="66" borderId="2" xfId="0" applyNumberFormat="1" applyFont="1" applyFill="1" applyBorder="1"/>
    <xf numFmtId="1" fontId="46" fillId="0" borderId="0" xfId="0" applyNumberFormat="1" applyFont="1" applyAlignment="1">
      <alignment horizontal="center"/>
    </xf>
    <xf numFmtId="1" fontId="103" fillId="85" borderId="0" xfId="0" applyNumberFormat="1" applyFont="1" applyFill="1" applyAlignment="1">
      <alignment horizontal="center"/>
    </xf>
    <xf numFmtId="1" fontId="91" fillId="85" borderId="0" xfId="0" applyNumberFormat="1" applyFont="1" applyFill="1" applyAlignment="1">
      <alignment horizontal="center"/>
    </xf>
    <xf numFmtId="1" fontId="46" fillId="0" borderId="4" xfId="0" applyNumberFormat="1" applyFont="1" applyBorder="1" applyAlignment="1">
      <alignment horizontal="center"/>
    </xf>
    <xf numFmtId="1" fontId="19" fillId="66" borderId="2" xfId="0" applyNumberFormat="1" applyFont="1" applyFill="1" applyBorder="1"/>
    <xf numFmtId="1" fontId="16" fillId="66" borderId="2" xfId="0" applyNumberFormat="1" applyFont="1" applyFill="1" applyBorder="1"/>
    <xf numFmtId="1" fontId="19" fillId="66" borderId="73" xfId="0" applyNumberFormat="1" applyFont="1" applyFill="1" applyBorder="1"/>
    <xf numFmtId="1" fontId="19" fillId="66" borderId="28" xfId="0" applyNumberFormat="1" applyFont="1" applyFill="1" applyBorder="1"/>
    <xf numFmtId="1" fontId="16" fillId="66" borderId="0" xfId="0" applyNumberFormat="1" applyFont="1" applyFill="1"/>
    <xf numFmtId="1" fontId="19" fillId="66" borderId="74" xfId="0" applyNumberFormat="1" applyFont="1" applyFill="1" applyBorder="1"/>
    <xf numFmtId="1" fontId="19" fillId="66" borderId="9" xfId="0" applyNumberFormat="1" applyFont="1" applyFill="1" applyBorder="1"/>
    <xf numFmtId="1" fontId="87" fillId="66" borderId="28" xfId="242" applyNumberFormat="1" applyFont="1" applyFill="1" applyBorder="1" applyAlignment="1">
      <alignment vertical="center" wrapText="1"/>
    </xf>
    <xf numFmtId="1" fontId="18" fillId="68" borderId="2" xfId="0" applyNumberFormat="1" applyFont="1" applyFill="1" applyBorder="1"/>
    <xf numFmtId="1" fontId="19" fillId="68" borderId="2" xfId="0" applyNumberFormat="1" applyFont="1" applyFill="1" applyBorder="1"/>
    <xf numFmtId="1" fontId="16" fillId="68" borderId="2" xfId="0" applyNumberFormat="1" applyFont="1" applyFill="1" applyBorder="1"/>
    <xf numFmtId="1" fontId="19" fillId="68" borderId="0" xfId="0" applyNumberFormat="1" applyFont="1" applyFill="1"/>
    <xf numFmtId="1" fontId="16" fillId="68" borderId="0" xfId="0" applyNumberFormat="1" applyFont="1" applyFill="1"/>
    <xf numFmtId="1" fontId="18" fillId="69" borderId="2" xfId="0" applyNumberFormat="1" applyFont="1" applyFill="1" applyBorder="1"/>
    <xf numFmtId="1" fontId="19" fillId="69" borderId="2" xfId="0" applyNumberFormat="1" applyFont="1" applyFill="1" applyBorder="1"/>
    <xf numFmtId="1" fontId="16" fillId="69" borderId="2" xfId="0" applyNumberFormat="1" applyFont="1" applyFill="1" applyBorder="1"/>
    <xf numFmtId="1" fontId="19" fillId="69" borderId="0" xfId="0" applyNumberFormat="1" applyFont="1" applyFill="1"/>
    <xf numFmtId="1" fontId="16" fillId="69" borderId="0" xfId="0" applyNumberFormat="1" applyFont="1" applyFill="1"/>
    <xf numFmtId="1" fontId="18" fillId="70" borderId="2" xfId="0" applyNumberFormat="1" applyFont="1" applyFill="1" applyBorder="1"/>
    <xf numFmtId="1" fontId="19" fillId="70" borderId="2" xfId="0" applyNumberFormat="1" applyFont="1" applyFill="1" applyBorder="1"/>
    <xf numFmtId="1" fontId="16" fillId="70" borderId="2" xfId="0" applyNumberFormat="1" applyFont="1" applyFill="1" applyBorder="1"/>
    <xf numFmtId="1" fontId="19" fillId="70" borderId="0" xfId="0" applyNumberFormat="1" applyFont="1" applyFill="1"/>
    <xf numFmtId="1" fontId="16" fillId="70" borderId="0" xfId="0" applyNumberFormat="1" applyFont="1" applyFill="1"/>
    <xf numFmtId="1" fontId="19" fillId="70" borderId="9" xfId="0" applyNumberFormat="1" applyFont="1" applyFill="1" applyBorder="1"/>
    <xf numFmtId="1" fontId="18" fillId="71" borderId="2" xfId="0" applyNumberFormat="1" applyFont="1" applyFill="1" applyBorder="1"/>
    <xf numFmtId="1" fontId="19" fillId="71" borderId="2" xfId="0" applyNumberFormat="1" applyFont="1" applyFill="1" applyBorder="1"/>
    <xf numFmtId="1" fontId="16" fillId="71" borderId="2" xfId="0" applyNumberFormat="1" applyFont="1" applyFill="1" applyBorder="1"/>
    <xf numFmtId="1" fontId="19" fillId="71" borderId="0" xfId="0" applyNumberFormat="1" applyFont="1" applyFill="1"/>
    <xf numFmtId="1" fontId="16" fillId="71" borderId="0" xfId="0" applyNumberFormat="1" applyFont="1" applyFill="1"/>
    <xf numFmtId="1" fontId="19" fillId="71" borderId="73" xfId="0" applyNumberFormat="1" applyFont="1" applyFill="1" applyBorder="1"/>
    <xf numFmtId="1" fontId="19" fillId="71" borderId="28" xfId="0" applyNumberFormat="1" applyFont="1" applyFill="1" applyBorder="1"/>
    <xf numFmtId="1" fontId="19" fillId="71" borderId="74" xfId="0" applyNumberFormat="1" applyFont="1" applyFill="1" applyBorder="1"/>
    <xf numFmtId="1" fontId="18" fillId="76" borderId="2" xfId="0" applyNumberFormat="1" applyFont="1" applyFill="1" applyBorder="1"/>
    <xf numFmtId="1" fontId="19" fillId="76" borderId="2" xfId="0" applyNumberFormat="1" applyFont="1" applyFill="1" applyBorder="1"/>
    <xf numFmtId="1" fontId="16" fillId="76" borderId="2" xfId="0" applyNumberFormat="1" applyFont="1" applyFill="1" applyBorder="1"/>
    <xf numFmtId="1" fontId="19" fillId="76" borderId="0" xfId="0" applyNumberFormat="1" applyFont="1" applyFill="1"/>
    <xf numFmtId="1" fontId="16" fillId="76" borderId="0" xfId="0" applyNumberFormat="1" applyFont="1" applyFill="1"/>
    <xf numFmtId="1" fontId="19" fillId="76" borderId="73" xfId="0" applyNumberFormat="1" applyFont="1" applyFill="1" applyBorder="1"/>
    <xf numFmtId="1" fontId="19" fillId="76" borderId="28" xfId="0" applyNumberFormat="1" applyFont="1" applyFill="1" applyBorder="1"/>
    <xf numFmtId="1" fontId="19" fillId="76" borderId="74" xfId="0" applyNumberFormat="1" applyFont="1" applyFill="1" applyBorder="1"/>
    <xf numFmtId="1" fontId="18" fillId="72" borderId="2" xfId="0" applyNumberFormat="1" applyFont="1" applyFill="1" applyBorder="1"/>
    <xf numFmtId="1" fontId="19" fillId="72" borderId="2" xfId="0" applyNumberFormat="1" applyFont="1" applyFill="1" applyBorder="1"/>
    <xf numFmtId="1" fontId="16" fillId="72" borderId="2" xfId="0" applyNumberFormat="1" applyFont="1" applyFill="1" applyBorder="1"/>
    <xf numFmtId="1" fontId="19" fillId="72" borderId="0" xfId="0" applyNumberFormat="1" applyFont="1" applyFill="1"/>
    <xf numFmtId="1" fontId="16" fillId="72" borderId="0" xfId="0" applyNumberFormat="1" applyFont="1" applyFill="1"/>
    <xf numFmtId="1" fontId="19" fillId="72" borderId="73" xfId="0" applyNumberFormat="1" applyFont="1" applyFill="1" applyBorder="1"/>
    <xf numFmtId="1" fontId="19" fillId="72" borderId="28" xfId="0" applyNumberFormat="1" applyFont="1" applyFill="1" applyBorder="1"/>
    <xf numFmtId="1" fontId="19" fillId="72" borderId="74" xfId="0" applyNumberFormat="1" applyFont="1" applyFill="1" applyBorder="1"/>
    <xf numFmtId="1" fontId="91" fillId="14" borderId="0" xfId="4" applyNumberFormat="1" applyFont="1" applyFill="1"/>
    <xf numFmtId="1" fontId="81" fillId="81" borderId="0" xfId="4" applyNumberFormat="1" applyFont="1" applyFill="1"/>
    <xf numFmtId="1" fontId="89" fillId="81" borderId="0" xfId="0" applyNumberFormat="1" applyFont="1" applyFill="1" applyAlignment="1">
      <alignment horizontal="left"/>
    </xf>
    <xf numFmtId="1" fontId="24" fillId="84" borderId="0" xfId="4" applyNumberFormat="1" applyFont="1" applyFill="1"/>
    <xf numFmtId="1" fontId="30" fillId="83" borderId="0" xfId="0" applyNumberFormat="1" applyFont="1" applyFill="1" applyAlignment="1">
      <alignment horizontal="left"/>
    </xf>
    <xf numFmtId="1" fontId="24" fillId="66" borderId="0" xfId="4" applyNumberFormat="1" applyFont="1" applyFill="1" applyAlignment="1">
      <alignment horizontal="left"/>
    </xf>
    <xf numFmtId="1" fontId="92" fillId="66" borderId="0" xfId="0" applyNumberFormat="1" applyFont="1" applyFill="1" applyAlignment="1">
      <alignment horizontal="left"/>
    </xf>
    <xf numFmtId="1" fontId="30" fillId="66" borderId="0" xfId="0" applyNumberFormat="1" applyFont="1" applyFill="1" applyAlignment="1">
      <alignment horizontal="left"/>
    </xf>
    <xf numFmtId="1" fontId="24" fillId="86" borderId="0" xfId="4" applyNumberFormat="1" applyFont="1" applyFill="1" applyAlignment="1">
      <alignment horizontal="left"/>
    </xf>
    <xf numFmtId="1" fontId="17" fillId="86" borderId="5" xfId="0" applyNumberFormat="1" applyFont="1" applyFill="1" applyBorder="1" applyAlignment="1">
      <alignment horizontal="left" vertical="center"/>
    </xf>
    <xf numFmtId="1" fontId="17" fillId="70" borderId="5" xfId="0" applyNumberFormat="1" applyFont="1" applyFill="1" applyBorder="1" applyAlignment="1">
      <alignment horizontal="left" vertical="center"/>
    </xf>
    <xf numFmtId="1" fontId="102" fillId="88" borderId="5" xfId="0" applyNumberFormat="1" applyFont="1" applyFill="1" applyBorder="1" applyAlignment="1">
      <alignment horizontal="left" vertical="center"/>
    </xf>
    <xf numFmtId="1" fontId="17" fillId="88" borderId="5" xfId="0" applyNumberFormat="1" applyFont="1" applyFill="1" applyBorder="1" applyAlignment="1">
      <alignment horizontal="left" vertical="center"/>
    </xf>
    <xf numFmtId="1" fontId="16" fillId="88" borderId="0" xfId="0" applyNumberFormat="1" applyFont="1" applyFill="1"/>
    <xf numFmtId="1" fontId="24" fillId="0" borderId="0" xfId="0" applyNumberFormat="1" applyFont="1" applyFill="1"/>
    <xf numFmtId="9" fontId="10" fillId="0" borderId="0" xfId="244" applyFont="1" applyFill="1"/>
    <xf numFmtId="9" fontId="9" fillId="0" borderId="0" xfId="244" applyFont="1" applyFill="1"/>
    <xf numFmtId="9" fontId="57" fillId="0" borderId="0" xfId="244" applyFont="1"/>
    <xf numFmtId="1" fontId="10" fillId="89" borderId="0" xfId="4" applyNumberFormat="1" applyFont="1" applyFill="1"/>
    <xf numFmtId="1" fontId="33" fillId="0" borderId="0" xfId="4" applyNumberFormat="1" applyFont="1"/>
    <xf numFmtId="0" fontId="46" fillId="0" borderId="2" xfId="0" applyFont="1" applyFill="1" applyBorder="1" applyAlignment="1">
      <alignment horizontal="center"/>
    </xf>
    <xf numFmtId="1" fontId="46" fillId="0" borderId="84" xfId="0" applyNumberFormat="1" applyFont="1" applyFill="1" applyBorder="1" applyAlignment="1">
      <alignment horizontal="center"/>
    </xf>
    <xf numFmtId="0" fontId="46" fillId="89" borderId="2" xfId="0" applyFont="1" applyFill="1" applyBorder="1" applyAlignment="1">
      <alignment horizontal="center"/>
    </xf>
    <xf numFmtId="1" fontId="46" fillId="89" borderId="84" xfId="0" applyNumberFormat="1" applyFont="1" applyFill="1" applyBorder="1" applyAlignment="1">
      <alignment horizontal="center"/>
    </xf>
    <xf numFmtId="0" fontId="29" fillId="89" borderId="2" xfId="0" applyFont="1" applyFill="1" applyBorder="1" applyAlignment="1">
      <alignment horizontal="center"/>
    </xf>
    <xf numFmtId="1" fontId="29" fillId="89" borderId="84" xfId="0" applyNumberFormat="1" applyFont="1" applyFill="1" applyBorder="1" applyAlignment="1">
      <alignment horizontal="center"/>
    </xf>
    <xf numFmtId="1" fontId="23" fillId="6" borderId="0" xfId="0" applyNumberFormat="1" applyFont="1" applyFill="1" applyBorder="1" applyAlignment="1">
      <alignment horizontal="center" vertical="center"/>
    </xf>
    <xf numFmtId="0" fontId="30" fillId="6" borderId="0" xfId="0" applyFont="1" applyFill="1" applyAlignment="1">
      <alignment horizontal="left"/>
    </xf>
    <xf numFmtId="9" fontId="29" fillId="0" borderId="0" xfId="244" applyNumberFormat="1" applyFont="1" applyFill="1" applyAlignment="1">
      <alignment horizontal="center" vertical="center"/>
    </xf>
    <xf numFmtId="164" fontId="19" fillId="0" borderId="17" xfId="0" applyNumberFormat="1" applyFont="1" applyBorder="1" applyAlignment="1">
      <alignment horizontal="center" vertical="center"/>
    </xf>
    <xf numFmtId="3" fontId="27" fillId="0" borderId="86" xfId="0" applyNumberFormat="1" applyFont="1" applyBorder="1" applyAlignment="1">
      <alignment horizontal="center" vertical="center"/>
    </xf>
    <xf numFmtId="0" fontId="13" fillId="0" borderId="0" xfId="0" applyFont="1" applyFill="1" applyAlignment="1">
      <alignment horizontal="center"/>
    </xf>
    <xf numFmtId="0" fontId="39" fillId="0" borderId="0" xfId="0" applyFont="1" applyAlignment="1">
      <alignment horizontal="center"/>
    </xf>
    <xf numFmtId="0" fontId="29" fillId="0" borderId="30" xfId="0" applyFont="1" applyBorder="1" applyAlignment="1">
      <alignment horizontal="center" vertical="center"/>
    </xf>
    <xf numFmtId="3" fontId="27" fillId="8" borderId="22" xfId="0" applyNumberFormat="1" applyFont="1" applyFill="1" applyBorder="1" applyAlignment="1">
      <alignment horizontal="center" vertical="center"/>
    </xf>
    <xf numFmtId="9" fontId="27" fillId="8" borderId="22" xfId="0" applyNumberFormat="1" applyFont="1" applyFill="1" applyBorder="1" applyAlignment="1">
      <alignment horizontal="center" vertical="center"/>
    </xf>
    <xf numFmtId="9" fontId="27" fillId="8" borderId="25" xfId="0" applyNumberFormat="1" applyFont="1" applyFill="1" applyBorder="1" applyAlignment="1">
      <alignment horizontal="center" vertical="center"/>
    </xf>
    <xf numFmtId="0" fontId="17" fillId="10" borderId="22" xfId="0" applyFont="1" applyFill="1" applyBorder="1" applyAlignment="1">
      <alignment horizontal="center" vertical="center"/>
    </xf>
    <xf numFmtId="3" fontId="29" fillId="10" borderId="23" xfId="0" applyNumberFormat="1" applyFont="1" applyFill="1" applyBorder="1" applyAlignment="1">
      <alignment horizontal="center" vertical="center"/>
    </xf>
    <xf numFmtId="3" fontId="29" fillId="10" borderId="22" xfId="0" applyNumberFormat="1" applyFont="1" applyFill="1" applyBorder="1" applyAlignment="1">
      <alignment horizontal="center" vertical="center"/>
    </xf>
    <xf numFmtId="0" fontId="29" fillId="10" borderId="25" xfId="0" applyFont="1" applyFill="1" applyBorder="1" applyAlignment="1">
      <alignment horizontal="center" vertical="center"/>
    </xf>
    <xf numFmtId="3" fontId="23" fillId="23" borderId="0" xfId="0" applyNumberFormat="1" applyFont="1" applyFill="1" applyBorder="1" applyAlignment="1">
      <alignment horizontal="center" vertical="center"/>
    </xf>
    <xf numFmtId="1" fontId="105" fillId="13" borderId="1" xfId="110" applyNumberFormat="1" applyFont="1" applyFill="1" applyBorder="1" applyAlignment="1">
      <alignment horizontal="center" vertical="center"/>
    </xf>
    <xf numFmtId="1" fontId="27" fillId="0" borderId="0" xfId="0" applyNumberFormat="1" applyFont="1" applyBorder="1" applyAlignment="1">
      <alignment horizontal="center" vertical="center"/>
    </xf>
    <xf numFmtId="0" fontId="13" fillId="0" borderId="0" xfId="0" applyFont="1" applyFill="1" applyAlignment="1">
      <alignment horizontal="center" vertical="center"/>
    </xf>
    <xf numFmtId="0" fontId="21" fillId="64" borderId="6" xfId="0" applyFont="1" applyFill="1" applyBorder="1" applyAlignment="1">
      <alignment horizontal="left" vertical="center"/>
    </xf>
    <xf numFmtId="0" fontId="55" fillId="64" borderId="5" xfId="0" applyFont="1" applyFill="1" applyBorder="1" applyAlignment="1">
      <alignment horizontal="right" vertical="center"/>
    </xf>
    <xf numFmtId="0" fontId="55" fillId="64" borderId="3" xfId="0" applyFont="1" applyFill="1" applyBorder="1" applyAlignment="1">
      <alignment horizontal="right" vertical="center"/>
    </xf>
    <xf numFmtId="1" fontId="27" fillId="0" borderId="19" xfId="0" applyNumberFormat="1" applyFont="1" applyBorder="1" applyAlignment="1">
      <alignment horizontal="center" vertical="center"/>
    </xf>
    <xf numFmtId="0" fontId="21" fillId="3" borderId="0" xfId="0" applyFont="1" applyFill="1" applyBorder="1" applyAlignment="1">
      <alignment horizontal="center" vertical="center" wrapText="1"/>
    </xf>
    <xf numFmtId="0" fontId="27" fillId="2" borderId="36" xfId="0" applyFont="1" applyFill="1" applyBorder="1" applyAlignment="1">
      <alignment horizontal="right" vertical="center"/>
    </xf>
    <xf numFmtId="0" fontId="27" fillId="2" borderId="49" xfId="0" applyFont="1" applyFill="1" applyBorder="1" applyAlignment="1">
      <alignment horizontal="right" vertical="center"/>
    </xf>
    <xf numFmtId="17" fontId="16" fillId="23" borderId="0" xfId="0" applyNumberFormat="1" applyFont="1" applyFill="1" applyAlignment="1">
      <alignment horizontal="center"/>
    </xf>
    <xf numFmtId="1" fontId="0" fillId="23" borderId="0" xfId="0" applyNumberFormat="1" applyFill="1"/>
    <xf numFmtId="0" fontId="30" fillId="23" borderId="0" xfId="0" applyFont="1" applyFill="1"/>
    <xf numFmtId="0" fontId="29" fillId="23" borderId="0" xfId="0" applyFont="1" applyFill="1" applyAlignment="1">
      <alignment horizontal="center"/>
    </xf>
    <xf numFmtId="1" fontId="16" fillId="23" borderId="0" xfId="0" applyNumberFormat="1" applyFont="1" applyFill="1" applyAlignment="1">
      <alignment horizontal="center"/>
    </xf>
    <xf numFmtId="0" fontId="0" fillId="23" borderId="0" xfId="0" applyFont="1" applyFill="1"/>
    <xf numFmtId="0" fontId="97" fillId="23" borderId="0" xfId="0" applyFont="1" applyFill="1"/>
    <xf numFmtId="3" fontId="16" fillId="23" borderId="0" xfId="0" applyNumberFormat="1" applyFont="1" applyFill="1" applyAlignment="1">
      <alignment horizontal="center"/>
    </xf>
    <xf numFmtId="0" fontId="16" fillId="23" borderId="0" xfId="0" applyFont="1" applyFill="1"/>
    <xf numFmtId="0" fontId="29" fillId="23" borderId="0" xfId="0" applyFont="1" applyFill="1"/>
    <xf numFmtId="0" fontId="19" fillId="23" borderId="0" xfId="0" applyFont="1" applyFill="1"/>
    <xf numFmtId="0" fontId="54" fillId="23" borderId="0" xfId="0" applyFont="1" applyFill="1"/>
    <xf numFmtId="0" fontId="24" fillId="23" borderId="0" xfId="0" applyFont="1" applyFill="1"/>
    <xf numFmtId="17" fontId="17" fillId="23" borderId="0" xfId="0" applyNumberFormat="1" applyFont="1" applyFill="1" applyAlignment="1">
      <alignment horizontal="center"/>
    </xf>
    <xf numFmtId="1" fontId="17" fillId="23" borderId="0" xfId="0" applyNumberFormat="1" applyFont="1" applyFill="1" applyAlignment="1">
      <alignment horizontal="center"/>
    </xf>
    <xf numFmtId="17" fontId="29" fillId="23" borderId="0" xfId="0" applyNumberFormat="1" applyFont="1" applyFill="1" applyAlignment="1">
      <alignment horizontal="center"/>
    </xf>
    <xf numFmtId="17" fontId="19" fillId="23" borderId="0" xfId="0" applyNumberFormat="1" applyFont="1" applyFill="1" applyAlignment="1">
      <alignment horizontal="center"/>
    </xf>
    <xf numFmtId="17" fontId="16" fillId="23" borderId="0" xfId="0" applyNumberFormat="1" applyFont="1" applyFill="1" applyAlignment="1">
      <alignment horizontal="left"/>
    </xf>
    <xf numFmtId="1" fontId="29" fillId="23" borderId="0" xfId="0" applyNumberFormat="1" applyFont="1" applyFill="1" applyAlignment="1">
      <alignment horizontal="center"/>
    </xf>
    <xf numFmtId="1" fontId="19" fillId="23" borderId="0" xfId="0" applyNumberFormat="1" applyFont="1" applyFill="1" applyAlignment="1">
      <alignment horizontal="center"/>
    </xf>
    <xf numFmtId="1" fontId="16" fillId="23" borderId="0" xfId="0" applyNumberFormat="1" applyFont="1" applyFill="1" applyAlignment="1">
      <alignment horizontal="left"/>
    </xf>
    <xf numFmtId="3" fontId="17" fillId="23" borderId="0" xfId="0" applyNumberFormat="1" applyFont="1" applyFill="1" applyAlignment="1">
      <alignment horizontal="center"/>
    </xf>
    <xf numFmtId="0" fontId="19" fillId="23" borderId="0" xfId="0" applyFont="1" applyFill="1" applyAlignment="1">
      <alignment horizontal="center"/>
    </xf>
    <xf numFmtId="0" fontId="16" fillId="23" borderId="0" xfId="0" applyFont="1" applyFill="1" applyAlignment="1">
      <alignment horizontal="left"/>
    </xf>
    <xf numFmtId="17" fontId="0" fillId="23" borderId="0" xfId="0" applyNumberFormat="1" applyFill="1"/>
    <xf numFmtId="3" fontId="16" fillId="23" borderId="0" xfId="4" applyNumberFormat="1" applyFont="1" applyFill="1" applyAlignment="1">
      <alignment horizontal="center"/>
    </xf>
    <xf numFmtId="3" fontId="29" fillId="23" borderId="0" xfId="4" applyNumberFormat="1" applyFont="1" applyFill="1" applyAlignment="1">
      <alignment horizontal="center"/>
    </xf>
    <xf numFmtId="1" fontId="30" fillId="23" borderId="0" xfId="0" applyNumberFormat="1" applyFont="1" applyFill="1"/>
    <xf numFmtId="1" fontId="24" fillId="23" borderId="0" xfId="0" applyNumberFormat="1" applyFont="1" applyFill="1"/>
    <xf numFmtId="1" fontId="0" fillId="23" borderId="0" xfId="0" applyNumberFormat="1" applyFill="1" applyAlignment="1">
      <alignment horizontal="left"/>
    </xf>
    <xf numFmtId="0" fontId="29" fillId="23" borderId="0" xfId="2" applyFont="1" applyFill="1" applyAlignment="1">
      <alignment horizontal="center"/>
    </xf>
    <xf numFmtId="0" fontId="106" fillId="64" borderId="5" xfId="0" applyFont="1" applyFill="1" applyBorder="1" applyAlignment="1">
      <alignment horizontal="left" vertical="center"/>
    </xf>
    <xf numFmtId="0" fontId="57" fillId="2" borderId="5" xfId="0" applyFont="1" applyFill="1" applyBorder="1" applyAlignment="1">
      <alignment horizontal="left" vertical="center"/>
    </xf>
    <xf numFmtId="0" fontId="89" fillId="20" borderId="5" xfId="0" applyFont="1" applyFill="1" applyBorder="1" applyAlignment="1">
      <alignment horizontal="left" vertical="center"/>
    </xf>
    <xf numFmtId="0" fontId="89" fillId="22" borderId="5" xfId="0" applyFont="1" applyFill="1" applyBorder="1" applyAlignment="1">
      <alignment horizontal="left" vertical="center"/>
    </xf>
    <xf numFmtId="0" fontId="107" fillId="22" borderId="5" xfId="0" applyFont="1" applyFill="1" applyBorder="1" applyAlignment="1">
      <alignment horizontal="left" vertical="center"/>
    </xf>
    <xf numFmtId="0" fontId="108" fillId="22" borderId="5" xfId="0" applyFont="1" applyFill="1" applyBorder="1" applyAlignment="1">
      <alignment horizontal="left" vertical="center" wrapText="1"/>
    </xf>
    <xf numFmtId="0" fontId="107" fillId="20" borderId="18" xfId="0" applyFont="1" applyFill="1" applyBorder="1" applyAlignment="1">
      <alignment horizontal="left" vertical="center"/>
    </xf>
    <xf numFmtId="0" fontId="107" fillId="20" borderId="18" xfId="0" applyFont="1" applyFill="1" applyBorder="1" applyAlignment="1">
      <alignment horizontal="left" vertical="center" wrapText="1"/>
    </xf>
    <xf numFmtId="0" fontId="109" fillId="2" borderId="5" xfId="0" applyFont="1" applyFill="1" applyBorder="1" applyAlignment="1">
      <alignment horizontal="left" vertical="center"/>
    </xf>
    <xf numFmtId="0" fontId="109" fillId="2" borderId="5" xfId="0" applyFont="1" applyFill="1" applyBorder="1" applyAlignment="1">
      <alignment horizontal="left" vertical="center" wrapText="1"/>
    </xf>
    <xf numFmtId="0" fontId="29" fillId="0" borderId="0" xfId="0" applyNumberFormat="1" applyFont="1" applyFill="1" applyBorder="1" applyAlignment="1">
      <alignment horizontal="center"/>
    </xf>
    <xf numFmtId="0" fontId="98" fillId="0" borderId="0" xfId="0" applyNumberFormat="1" applyFont="1" applyFill="1" applyAlignment="1">
      <alignment horizontal="center" vertical="center"/>
    </xf>
    <xf numFmtId="0" fontId="29" fillId="0" borderId="0" xfId="0" applyNumberFormat="1" applyFont="1" applyFill="1"/>
    <xf numFmtId="0" fontId="107" fillId="22" borderId="5" xfId="0" applyFont="1" applyFill="1" applyBorder="1" applyAlignment="1">
      <alignment horizontal="left" vertical="center" wrapText="1"/>
    </xf>
    <xf numFmtId="0" fontId="57" fillId="0" borderId="0" xfId="0" applyNumberFormat="1" applyFont="1" applyFill="1" applyAlignment="1">
      <alignment horizontal="center"/>
    </xf>
    <xf numFmtId="0" fontId="13" fillId="0" borderId="0" xfId="0" applyNumberFormat="1" applyFont="1" applyFill="1" applyAlignment="1">
      <alignment horizontal="center"/>
    </xf>
    <xf numFmtId="0" fontId="106" fillId="0" borderId="5" xfId="0" applyFont="1" applyFill="1" applyBorder="1" applyAlignment="1">
      <alignment horizontal="left" vertical="center"/>
    </xf>
    <xf numFmtId="0" fontId="57" fillId="0" borderId="5" xfId="0" applyFont="1" applyFill="1" applyBorder="1" applyAlignment="1">
      <alignment horizontal="left" vertical="center"/>
    </xf>
    <xf numFmtId="0" fontId="57" fillId="0" borderId="0" xfId="0" applyFont="1" applyFill="1" applyBorder="1" applyAlignment="1">
      <alignment horizontal="left" vertical="center"/>
    </xf>
    <xf numFmtId="0" fontId="89" fillId="0" borderId="0" xfId="0" applyFont="1" applyFill="1" applyBorder="1" applyAlignment="1">
      <alignment horizontal="left" vertical="center"/>
    </xf>
    <xf numFmtId="0" fontId="89" fillId="0" borderId="5" xfId="0" applyFont="1" applyFill="1" applyBorder="1" applyAlignment="1">
      <alignment horizontal="left" vertical="center"/>
    </xf>
    <xf numFmtId="0" fontId="29" fillId="0" borderId="23" xfId="0" applyNumberFormat="1" applyFont="1" applyFill="1" applyBorder="1" applyAlignment="1">
      <alignment horizontal="center" vertical="center"/>
    </xf>
    <xf numFmtId="0" fontId="29" fillId="0" borderId="25" xfId="0" applyNumberFormat="1" applyFont="1" applyFill="1" applyBorder="1" applyAlignment="1">
      <alignment horizontal="center" vertical="center"/>
    </xf>
    <xf numFmtId="0" fontId="17" fillId="8" borderId="23" xfId="0" applyNumberFormat="1" applyFont="1" applyFill="1" applyBorder="1" applyAlignment="1">
      <alignment horizontal="center" vertical="center"/>
    </xf>
    <xf numFmtId="0" fontId="17" fillId="8" borderId="25" xfId="0" applyNumberFormat="1" applyFont="1" applyFill="1" applyBorder="1" applyAlignment="1">
      <alignment horizontal="center" vertical="center"/>
    </xf>
    <xf numFmtId="3" fontId="16" fillId="0" borderId="29" xfId="0" applyNumberFormat="1" applyFont="1" applyFill="1" applyBorder="1" applyAlignment="1">
      <alignment horizontal="center" vertical="center"/>
    </xf>
    <xf numFmtId="0" fontId="29" fillId="6" borderId="0" xfId="0" applyFont="1" applyFill="1" applyBorder="1" applyAlignment="1">
      <alignment vertical="center"/>
    </xf>
    <xf numFmtId="3" fontId="27" fillId="0" borderId="22" xfId="0" applyNumberFormat="1" applyFont="1" applyFill="1" applyBorder="1" applyAlignment="1">
      <alignment horizontal="center" vertical="center"/>
    </xf>
    <xf numFmtId="3" fontId="27" fillId="0" borderId="25" xfId="0" applyNumberFormat="1" applyFont="1" applyFill="1" applyBorder="1" applyAlignment="1">
      <alignment horizontal="center" vertical="center"/>
    </xf>
    <xf numFmtId="3" fontId="29" fillId="0" borderId="23" xfId="0" applyNumberFormat="1" applyFont="1" applyFill="1" applyBorder="1" applyAlignment="1">
      <alignment horizontal="center" vertical="center"/>
    </xf>
    <xf numFmtId="3" fontId="29" fillId="0" borderId="22" xfId="0" applyNumberFormat="1" applyFont="1" applyFill="1" applyBorder="1" applyAlignment="1">
      <alignment horizontal="center" vertical="center"/>
    </xf>
    <xf numFmtId="3" fontId="29" fillId="0" borderId="31" xfId="0" applyNumberFormat="1" applyFont="1" applyFill="1" applyBorder="1" applyAlignment="1">
      <alignment horizontal="center" vertical="center"/>
    </xf>
    <xf numFmtId="3" fontId="29" fillId="0" borderId="21" xfId="0" applyNumberFormat="1" applyFont="1" applyFill="1" applyBorder="1" applyAlignment="1">
      <alignment horizontal="center" vertical="center"/>
    </xf>
    <xf numFmtId="3" fontId="29" fillId="0" borderId="29" xfId="0" applyNumberFormat="1" applyFont="1" applyFill="1" applyBorder="1" applyAlignment="1">
      <alignment horizontal="center" vertical="center"/>
    </xf>
    <xf numFmtId="164" fontId="46" fillId="0" borderId="31" xfId="0" applyNumberFormat="1" applyFont="1" applyFill="1" applyBorder="1" applyAlignment="1">
      <alignment horizontal="center" vertical="center"/>
    </xf>
    <xf numFmtId="164" fontId="46" fillId="0" borderId="21" xfId="0" applyNumberFormat="1" applyFont="1" applyFill="1" applyBorder="1" applyAlignment="1">
      <alignment horizontal="center" vertical="center"/>
    </xf>
    <xf numFmtId="164" fontId="19" fillId="0" borderId="31" xfId="0" applyNumberFormat="1" applyFont="1" applyFill="1" applyBorder="1" applyAlignment="1">
      <alignment horizontal="center" vertical="center"/>
    </xf>
    <xf numFmtId="164" fontId="19" fillId="0" borderId="21" xfId="0" applyNumberFormat="1" applyFont="1" applyFill="1" applyBorder="1" applyAlignment="1">
      <alignment horizontal="center" vertical="center"/>
    </xf>
    <xf numFmtId="164" fontId="19" fillId="0" borderId="29" xfId="0" applyNumberFormat="1" applyFont="1" applyFill="1" applyBorder="1" applyAlignment="1">
      <alignment horizontal="center" vertical="center"/>
    </xf>
    <xf numFmtId="3" fontId="16" fillId="0" borderId="30" xfId="0" applyNumberFormat="1" applyFont="1" applyBorder="1" applyAlignment="1">
      <alignment horizontal="center" vertical="center"/>
    </xf>
    <xf numFmtId="0" fontId="21" fillId="65" borderId="64" xfId="0" applyFont="1" applyFill="1" applyBorder="1" applyAlignment="1">
      <alignment horizontal="center" vertical="center" wrapText="1"/>
    </xf>
    <xf numFmtId="0" fontId="21" fillId="65" borderId="64" xfId="0" applyFont="1" applyFill="1" applyBorder="1" applyAlignment="1">
      <alignment horizontal="center" vertical="center"/>
    </xf>
    <xf numFmtId="3" fontId="29" fillId="0" borderId="30" xfId="0" applyNumberFormat="1" applyFont="1" applyFill="1" applyBorder="1" applyAlignment="1">
      <alignment horizontal="center" vertical="center"/>
    </xf>
    <xf numFmtId="3" fontId="16" fillId="0" borderId="28" xfId="0" applyNumberFormat="1" applyFont="1" applyFill="1" applyBorder="1" applyAlignment="1">
      <alignment horizontal="center" vertical="center"/>
    </xf>
    <xf numFmtId="164" fontId="19" fillId="0" borderId="28" xfId="0" applyNumberFormat="1" applyFont="1" applyFill="1" applyBorder="1" applyAlignment="1">
      <alignment horizontal="center" vertical="center"/>
    </xf>
    <xf numFmtId="3" fontId="29" fillId="0" borderId="28" xfId="0" applyNumberFormat="1" applyFont="1" applyFill="1" applyBorder="1" applyAlignment="1">
      <alignment horizontal="center" vertical="center"/>
    </xf>
    <xf numFmtId="3" fontId="0" fillId="6" borderId="0" xfId="0" applyNumberFormat="1" applyFill="1"/>
    <xf numFmtId="3" fontId="17" fillId="9" borderId="30" xfId="0" applyNumberFormat="1" applyFont="1" applyFill="1" applyBorder="1" applyAlignment="1">
      <alignment horizontal="center" vertical="center"/>
    </xf>
    <xf numFmtId="1" fontId="29" fillId="0" borderId="0" xfId="4" applyNumberFormat="1" applyFont="1" applyFill="1" applyAlignment="1">
      <alignment horizontal="center"/>
    </xf>
    <xf numFmtId="1" fontId="29" fillId="89" borderId="2" xfId="0" applyNumberFormat="1" applyFont="1" applyFill="1" applyBorder="1" applyAlignment="1">
      <alignment horizontal="center"/>
    </xf>
    <xf numFmtId="3" fontId="27" fillId="23" borderId="26" xfId="0" applyNumberFormat="1" applyFont="1" applyFill="1" applyBorder="1" applyAlignment="1">
      <alignment horizontal="center" vertical="center"/>
    </xf>
    <xf numFmtId="3" fontId="27" fillId="10" borderId="22" xfId="0" applyNumberFormat="1" applyFont="1" applyFill="1" applyBorder="1" applyAlignment="1">
      <alignment horizontal="center" vertical="center"/>
    </xf>
    <xf numFmtId="3" fontId="16" fillId="6" borderId="0" xfId="0" applyNumberFormat="1" applyFont="1" applyFill="1"/>
    <xf numFmtId="3" fontId="27" fillId="10" borderId="25" xfId="0" applyNumberFormat="1" applyFont="1" applyFill="1" applyBorder="1" applyAlignment="1">
      <alignment horizontal="center" vertical="center"/>
    </xf>
    <xf numFmtId="3" fontId="0" fillId="23" borderId="0" xfId="0" applyNumberFormat="1" applyFill="1"/>
    <xf numFmtId="1" fontId="29" fillId="14" borderId="0" xfId="4" applyNumberFormat="1" applyFont="1" applyFill="1" applyAlignment="1">
      <alignment horizontal="center"/>
    </xf>
    <xf numFmtId="0" fontId="39" fillId="6" borderId="0" xfId="0" applyFont="1" applyFill="1"/>
    <xf numFmtId="0" fontId="113" fillId="6" borderId="0" xfId="0" applyFont="1" applyFill="1"/>
    <xf numFmtId="0" fontId="114" fillId="6" borderId="0" xfId="0" applyFont="1" applyFill="1"/>
    <xf numFmtId="0" fontId="17" fillId="6" borderId="0" xfId="0" applyFont="1" applyFill="1" applyAlignment="1">
      <alignment horizontal="right" vertical="top"/>
    </xf>
    <xf numFmtId="0" fontId="0" fillId="23" borderId="0" xfId="0" applyFill="1" applyAlignment="1">
      <alignment horizontal="left" vertical="top"/>
    </xf>
    <xf numFmtId="0" fontId="0" fillId="12" borderId="88" xfId="0" applyFill="1" applyBorder="1"/>
    <xf numFmtId="0" fontId="0" fillId="12" borderId="89" xfId="0" applyFill="1" applyBorder="1"/>
    <xf numFmtId="0" fontId="0" fillId="12" borderId="90" xfId="0" applyFill="1" applyBorder="1"/>
    <xf numFmtId="0" fontId="0" fillId="12" borderId="91" xfId="0" applyFill="1" applyBorder="1"/>
    <xf numFmtId="0" fontId="38" fillId="12" borderId="0" xfId="9" applyFont="1" applyFill="1" applyBorder="1"/>
    <xf numFmtId="0" fontId="37" fillId="12" borderId="0" xfId="9" applyFont="1" applyFill="1" applyBorder="1"/>
    <xf numFmtId="0" fontId="37" fillId="12" borderId="92" xfId="9" applyFont="1" applyFill="1" applyBorder="1"/>
    <xf numFmtId="0" fontId="37" fillId="12" borderId="0" xfId="9" applyNumberFormat="1" applyFont="1" applyFill="1" applyBorder="1"/>
    <xf numFmtId="0" fontId="36" fillId="12" borderId="0" xfId="9" applyFont="1" applyFill="1" applyBorder="1"/>
    <xf numFmtId="0" fontId="94" fillId="12" borderId="0" xfId="9" applyFont="1" applyFill="1" applyBorder="1"/>
    <xf numFmtId="0" fontId="36" fillId="12" borderId="92" xfId="9" applyFont="1" applyFill="1" applyBorder="1"/>
    <xf numFmtId="0" fontId="0" fillId="12" borderId="93" xfId="0" applyFill="1" applyBorder="1"/>
    <xf numFmtId="0" fontId="112" fillId="12" borderId="94" xfId="9" applyFont="1" applyFill="1" applyBorder="1"/>
    <xf numFmtId="0" fontId="112" fillId="12" borderId="95" xfId="9" applyFont="1" applyFill="1" applyBorder="1"/>
    <xf numFmtId="0" fontId="101" fillId="12" borderId="97" xfId="0" applyFont="1" applyFill="1" applyBorder="1"/>
    <xf numFmtId="0" fontId="0" fillId="12" borderId="97" xfId="0" applyFill="1" applyBorder="1"/>
    <xf numFmtId="0" fontId="0" fillId="12" borderId="98" xfId="0" applyFill="1" applyBorder="1"/>
    <xf numFmtId="0" fontId="0" fillId="12" borderId="0" xfId="0" applyFill="1" applyBorder="1" applyAlignment="1">
      <alignment horizontal="left" vertical="top"/>
    </xf>
    <xf numFmtId="0" fontId="0" fillId="12" borderId="100" xfId="0" applyFill="1" applyBorder="1" applyAlignment="1">
      <alignment horizontal="left" vertical="top"/>
    </xf>
    <xf numFmtId="0" fontId="11" fillId="12" borderId="0" xfId="0" quotePrefix="1" applyFont="1" applyFill="1" applyBorder="1" applyAlignment="1">
      <alignment horizontal="left" vertical="top"/>
    </xf>
    <xf numFmtId="0" fontId="0" fillId="12" borderId="96" xfId="0" applyFill="1" applyBorder="1"/>
    <xf numFmtId="0" fontId="16" fillId="12" borderId="99" xfId="0" applyFont="1" applyFill="1" applyBorder="1" applyAlignment="1">
      <alignment horizontal="right" vertical="top"/>
    </xf>
    <xf numFmtId="0" fontId="16" fillId="12" borderId="101" xfId="0" applyFont="1" applyFill="1" applyBorder="1" applyAlignment="1">
      <alignment horizontal="right" vertical="top"/>
    </xf>
    <xf numFmtId="0" fontId="23" fillId="4" borderId="66" xfId="0" quotePrefix="1" applyFont="1" applyFill="1" applyBorder="1" applyAlignment="1">
      <alignment horizontal="right" vertical="center"/>
    </xf>
    <xf numFmtId="0" fontId="23" fillId="4" borderId="5" xfId="0" quotePrefix="1" applyFont="1" applyFill="1" applyBorder="1" applyAlignment="1">
      <alignment horizontal="right" vertical="center"/>
    </xf>
    <xf numFmtId="0" fontId="29" fillId="8" borderId="31" xfId="0" applyFont="1" applyFill="1" applyBorder="1" applyAlignment="1">
      <alignment horizontal="center" vertical="center"/>
    </xf>
    <xf numFmtId="9" fontId="29" fillId="8" borderId="21" xfId="0" applyNumberFormat="1" applyFont="1" applyFill="1" applyBorder="1" applyAlignment="1">
      <alignment horizontal="center" vertical="center"/>
    </xf>
    <xf numFmtId="9" fontId="29" fillId="8" borderId="29" xfId="0" applyNumberFormat="1" applyFont="1" applyFill="1" applyBorder="1" applyAlignment="1">
      <alignment horizontal="center" vertical="center"/>
    </xf>
    <xf numFmtId="1" fontId="17" fillId="8" borderId="31" xfId="0" applyNumberFormat="1" applyFont="1" applyFill="1" applyBorder="1" applyAlignment="1">
      <alignment horizontal="center" vertical="center"/>
    </xf>
    <xf numFmtId="9" fontId="17" fillId="8" borderId="29" xfId="0" applyNumberFormat="1" applyFont="1" applyFill="1" applyBorder="1" applyAlignment="1">
      <alignment horizontal="center" vertical="center"/>
    </xf>
    <xf numFmtId="9" fontId="27" fillId="8" borderId="21" xfId="0" applyNumberFormat="1" applyFont="1" applyFill="1" applyBorder="1" applyAlignment="1">
      <alignment horizontal="center" vertical="center"/>
    </xf>
    <xf numFmtId="0" fontId="17" fillId="2" borderId="37" xfId="0" applyFont="1" applyFill="1" applyBorder="1" applyAlignment="1">
      <alignment horizontal="right" vertical="center"/>
    </xf>
    <xf numFmtId="0" fontId="27" fillId="2" borderId="5" xfId="0" quotePrefix="1" applyFont="1" applyFill="1" applyBorder="1" applyAlignment="1">
      <alignment horizontal="right" vertical="center"/>
    </xf>
    <xf numFmtId="0" fontId="101" fillId="0" borderId="0" xfId="0" applyFont="1" applyAlignment="1">
      <alignment horizontal="center"/>
    </xf>
    <xf numFmtId="1" fontId="48" fillId="15" borderId="1" xfId="0" applyNumberFormat="1" applyFont="1" applyFill="1" applyBorder="1" applyAlignment="1">
      <alignment horizontal="center"/>
    </xf>
    <xf numFmtId="9" fontId="17" fillId="8" borderId="21" xfId="244" applyNumberFormat="1" applyFont="1" applyFill="1" applyBorder="1" applyAlignment="1">
      <alignment horizontal="center" vertical="center"/>
    </xf>
    <xf numFmtId="9" fontId="17" fillId="8" borderId="29" xfId="244" applyNumberFormat="1" applyFont="1" applyFill="1" applyBorder="1" applyAlignment="1">
      <alignment horizontal="center" vertical="center"/>
    </xf>
    <xf numFmtId="0" fontId="101" fillId="6" borderId="0" xfId="0" applyFont="1" applyFill="1"/>
    <xf numFmtId="0" fontId="20" fillId="65" borderId="82" xfId="0" applyFont="1" applyFill="1" applyBorder="1" applyAlignment="1">
      <alignment horizontal="right" vertical="center"/>
    </xf>
    <xf numFmtId="0" fontId="44" fillId="6" borderId="0" xfId="0" quotePrefix="1" applyFont="1" applyFill="1" applyAlignment="1">
      <alignment horizontal="left"/>
    </xf>
    <xf numFmtId="3" fontId="29" fillId="11" borderId="31" xfId="0" applyNumberFormat="1" applyFont="1" applyFill="1" applyBorder="1" applyAlignment="1">
      <alignment horizontal="center" vertical="center"/>
    </xf>
    <xf numFmtId="3" fontId="29" fillId="11" borderId="21" xfId="0" applyNumberFormat="1" applyFont="1" applyFill="1" applyBorder="1" applyAlignment="1">
      <alignment horizontal="center" vertical="center"/>
    </xf>
    <xf numFmtId="3" fontId="29" fillId="11" borderId="29" xfId="0" applyNumberFormat="1" applyFont="1" applyFill="1" applyBorder="1" applyAlignment="1">
      <alignment horizontal="center" vertical="center"/>
    </xf>
    <xf numFmtId="9" fontId="17" fillId="8" borderId="21" xfId="244" applyFont="1" applyFill="1" applyBorder="1" applyAlignment="1">
      <alignment horizontal="center" vertical="center"/>
    </xf>
    <xf numFmtId="9" fontId="17" fillId="8" borderId="29" xfId="244" applyFont="1" applyFill="1" applyBorder="1" applyAlignment="1">
      <alignment horizontal="center" vertical="center"/>
    </xf>
    <xf numFmtId="0" fontId="27" fillId="5" borderId="3" xfId="0" applyFont="1" applyFill="1" applyBorder="1" applyAlignment="1">
      <alignment horizontal="right" vertical="center"/>
    </xf>
    <xf numFmtId="0" fontId="29" fillId="11" borderId="31" xfId="0" applyFont="1" applyFill="1" applyBorder="1" applyAlignment="1">
      <alignment horizontal="center" vertical="center"/>
    </xf>
    <xf numFmtId="0" fontId="29" fillId="11" borderId="21" xfId="0" applyFont="1" applyFill="1" applyBorder="1" applyAlignment="1">
      <alignment horizontal="center" vertical="center"/>
    </xf>
    <xf numFmtId="0" fontId="29" fillId="11" borderId="29" xfId="0" applyFont="1" applyFill="1" applyBorder="1" applyAlignment="1">
      <alignment horizontal="center" vertical="center"/>
    </xf>
    <xf numFmtId="0" fontId="29" fillId="5" borderId="6" xfId="0" quotePrefix="1" applyFont="1" applyFill="1" applyBorder="1" applyAlignment="1">
      <alignment horizontal="left" vertical="center"/>
    </xf>
    <xf numFmtId="3" fontId="16" fillId="21" borderId="29" xfId="0" applyNumberFormat="1" applyFont="1" applyFill="1" applyBorder="1" applyAlignment="1">
      <alignment horizontal="center" vertical="center"/>
    </xf>
    <xf numFmtId="2" fontId="30" fillId="0" borderId="0" xfId="0" applyNumberFormat="1" applyFont="1" applyFill="1" applyAlignment="1">
      <alignment horizontal="center"/>
    </xf>
    <xf numFmtId="0" fontId="21" fillId="3" borderId="5" xfId="0" applyFont="1" applyFill="1" applyBorder="1" applyAlignment="1">
      <alignment vertical="center"/>
    </xf>
    <xf numFmtId="0" fontId="60" fillId="6" borderId="31" xfId="0" applyFont="1" applyFill="1" applyBorder="1"/>
    <xf numFmtId="3" fontId="27" fillId="9" borderId="31" xfId="0" applyNumberFormat="1" applyFont="1" applyFill="1" applyBorder="1" applyAlignment="1">
      <alignment horizontal="center" vertical="center"/>
    </xf>
    <xf numFmtId="3" fontId="27" fillId="9" borderId="21" xfId="0" applyNumberFormat="1" applyFont="1" applyFill="1" applyBorder="1" applyAlignment="1">
      <alignment horizontal="center" vertical="center"/>
    </xf>
    <xf numFmtId="3" fontId="27" fillId="9" borderId="29" xfId="0" applyNumberFormat="1" applyFont="1" applyFill="1" applyBorder="1" applyAlignment="1">
      <alignment horizontal="center" vertical="center"/>
    </xf>
    <xf numFmtId="3" fontId="21" fillId="6" borderId="31" xfId="0" applyNumberFormat="1" applyFont="1" applyFill="1" applyBorder="1" applyAlignment="1">
      <alignment horizontal="center" vertical="center"/>
    </xf>
    <xf numFmtId="3" fontId="16" fillId="0" borderId="23" xfId="0" applyNumberFormat="1" applyFont="1" applyFill="1" applyBorder="1" applyAlignment="1">
      <alignment horizontal="center" vertical="center"/>
    </xf>
    <xf numFmtId="3" fontId="16" fillId="0" borderId="22" xfId="0" applyNumberFormat="1" applyFont="1" applyFill="1" applyBorder="1" applyAlignment="1">
      <alignment horizontal="center" vertical="center"/>
    </xf>
    <xf numFmtId="0" fontId="27" fillId="2" borderId="35" xfId="0" quotePrefix="1" applyFont="1" applyFill="1" applyBorder="1" applyAlignment="1">
      <alignment horizontal="right" vertical="center"/>
    </xf>
    <xf numFmtId="0" fontId="16" fillId="2" borderId="36" xfId="0" applyFont="1" applyFill="1" applyBorder="1" applyAlignment="1">
      <alignment vertical="center"/>
    </xf>
    <xf numFmtId="0" fontId="27" fillId="2" borderId="0" xfId="0" applyFont="1" applyFill="1" applyBorder="1" applyAlignment="1">
      <alignment horizontal="right" vertical="center"/>
    </xf>
    <xf numFmtId="0" fontId="30" fillId="14" borderId="0" xfId="0" applyFont="1" applyFill="1" applyAlignment="1">
      <alignment horizontal="left" wrapText="1"/>
    </xf>
    <xf numFmtId="0" fontId="30" fillId="0" borderId="0" xfId="0" applyFont="1" applyAlignment="1">
      <alignment horizontal="left"/>
    </xf>
    <xf numFmtId="3" fontId="29" fillId="0" borderId="25" xfId="0" applyNumberFormat="1" applyFont="1" applyFill="1" applyBorder="1" applyAlignment="1">
      <alignment horizontal="center" vertical="center"/>
    </xf>
    <xf numFmtId="0" fontId="29" fillId="0" borderId="31" xfId="0" applyFont="1" applyFill="1" applyBorder="1" applyAlignment="1">
      <alignment horizontal="center" vertical="center"/>
    </xf>
    <xf numFmtId="0" fontId="29" fillId="0" borderId="21" xfId="0" applyFont="1" applyFill="1" applyBorder="1" applyAlignment="1">
      <alignment horizontal="center" vertical="center"/>
    </xf>
    <xf numFmtId="0" fontId="29" fillId="0" borderId="29" xfId="0" applyFont="1" applyFill="1" applyBorder="1" applyAlignment="1">
      <alignment horizontal="center" vertical="center"/>
    </xf>
    <xf numFmtId="0" fontId="0" fillId="0" borderId="13" xfId="0" applyBorder="1" applyAlignment="1">
      <alignment horizontal="center" vertical="center" wrapText="1"/>
    </xf>
    <xf numFmtId="0" fontId="22" fillId="7" borderId="0" xfId="0" applyFont="1" applyFill="1" applyAlignment="1">
      <alignment horizontal="center" wrapText="1"/>
    </xf>
    <xf numFmtId="0" fontId="33" fillId="81" borderId="5" xfId="0" applyFont="1" applyFill="1" applyBorder="1" applyAlignment="1">
      <alignment horizontal="left" vertical="center"/>
    </xf>
    <xf numFmtId="0" fontId="93" fillId="81" borderId="5" xfId="0" applyFont="1" applyFill="1" applyBorder="1" applyAlignment="1">
      <alignment horizontal="right" vertical="center"/>
    </xf>
    <xf numFmtId="0" fontId="116" fillId="81" borderId="6" xfId="0" applyFont="1" applyFill="1" applyBorder="1" applyAlignment="1">
      <alignment horizontal="right" vertical="center"/>
    </xf>
    <xf numFmtId="0" fontId="116" fillId="81" borderId="35" xfId="0" applyFont="1" applyFill="1" applyBorder="1" applyAlignment="1">
      <alignment horizontal="right" vertical="center"/>
    </xf>
    <xf numFmtId="0" fontId="116" fillId="81" borderId="5" xfId="0" applyFont="1" applyFill="1" applyBorder="1" applyAlignment="1">
      <alignment horizontal="right" vertical="center"/>
    </xf>
    <xf numFmtId="0" fontId="116" fillId="81" borderId="5" xfId="0" quotePrefix="1" applyFont="1" applyFill="1" applyBorder="1" applyAlignment="1">
      <alignment horizontal="right" vertical="center"/>
    </xf>
    <xf numFmtId="0" fontId="91" fillId="81" borderId="6" xfId="0" applyFont="1" applyFill="1" applyBorder="1" applyAlignment="1">
      <alignment horizontal="left"/>
    </xf>
    <xf numFmtId="0" fontId="91" fillId="81" borderId="3" xfId="0" applyFont="1" applyFill="1" applyBorder="1" applyAlignment="1">
      <alignment horizontal="left"/>
    </xf>
    <xf numFmtId="0" fontId="91" fillId="81" borderId="5" xfId="0" applyFont="1" applyFill="1" applyBorder="1" applyAlignment="1">
      <alignment horizontal="left" vertical="center"/>
    </xf>
    <xf numFmtId="0" fontId="91" fillId="81" borderId="3" xfId="0" applyFont="1" applyFill="1" applyBorder="1" applyAlignment="1">
      <alignment horizontal="left" vertical="center"/>
    </xf>
    <xf numFmtId="0" fontId="91" fillId="81" borderId="0" xfId="0" applyFont="1" applyFill="1" applyBorder="1" applyAlignment="1">
      <alignment horizontal="left" vertical="center"/>
    </xf>
    <xf numFmtId="0" fontId="33" fillId="81" borderId="6" xfId="0" applyFont="1" applyFill="1" applyBorder="1" applyAlignment="1">
      <alignment vertical="center"/>
    </xf>
    <xf numFmtId="0" fontId="93" fillId="81" borderId="5" xfId="0" quotePrefix="1" applyFont="1" applyFill="1" applyBorder="1" applyAlignment="1">
      <alignment horizontal="right" vertical="center"/>
    </xf>
    <xf numFmtId="0" fontId="93" fillId="81" borderId="0" xfId="0" applyFont="1" applyFill="1" applyBorder="1" applyAlignment="1">
      <alignment horizontal="right" vertical="center"/>
    </xf>
    <xf numFmtId="0" fontId="93" fillId="81" borderId="5" xfId="0" applyFont="1" applyFill="1" applyBorder="1" applyAlignment="1">
      <alignment horizontal="right" vertical="center" wrapText="1"/>
    </xf>
    <xf numFmtId="0" fontId="101" fillId="23" borderId="0" xfId="0" applyFont="1" applyFill="1"/>
    <xf numFmtId="0" fontId="119" fillId="6" borderId="0" xfId="0" applyFont="1" applyFill="1"/>
    <xf numFmtId="0" fontId="7" fillId="6" borderId="0" xfId="0" applyFont="1" applyFill="1"/>
    <xf numFmtId="0" fontId="7" fillId="6" borderId="0" xfId="0" applyFont="1" applyFill="1" applyBorder="1" applyAlignment="1">
      <alignment horizontal="right" vertical="center"/>
    </xf>
    <xf numFmtId="0" fontId="89" fillId="23" borderId="0" xfId="0" applyFont="1" applyFill="1" applyBorder="1" applyAlignment="1">
      <alignment vertical="center"/>
    </xf>
    <xf numFmtId="0" fontId="81" fillId="22" borderId="5" xfId="0" applyFont="1" applyFill="1" applyBorder="1" applyAlignment="1">
      <alignment horizontal="left" vertical="center"/>
    </xf>
    <xf numFmtId="0" fontId="93" fillId="6" borderId="0" xfId="0" quotePrefix="1" applyFont="1" applyFill="1" applyAlignment="1">
      <alignment horizontal="left" wrapText="1"/>
    </xf>
    <xf numFmtId="0" fontId="7" fillId="23" borderId="0" xfId="0" applyFont="1" applyFill="1"/>
    <xf numFmtId="0" fontId="119" fillId="23" borderId="0" xfId="0" applyFont="1" applyFill="1"/>
    <xf numFmtId="17" fontId="7" fillId="23" borderId="0" xfId="0" applyNumberFormat="1" applyFont="1" applyFill="1" applyAlignment="1">
      <alignment horizontal="center"/>
    </xf>
    <xf numFmtId="1" fontId="7" fillId="23" borderId="0" xfId="0" applyNumberFormat="1" applyFont="1" applyFill="1" applyAlignment="1">
      <alignment horizontal="center"/>
    </xf>
    <xf numFmtId="3" fontId="7" fillId="23" borderId="0" xfId="0" applyNumberFormat="1" applyFont="1" applyFill="1" applyAlignment="1">
      <alignment horizontal="center"/>
    </xf>
    <xf numFmtId="0" fontId="33" fillId="6" borderId="0" xfId="0" applyFont="1" applyFill="1"/>
    <xf numFmtId="0" fontId="111" fillId="6" borderId="0" xfId="0" applyFont="1" applyFill="1" applyAlignment="1">
      <alignment horizontal="center" vertical="center" wrapText="1"/>
    </xf>
    <xf numFmtId="0" fontId="0" fillId="0" borderId="13" xfId="0" applyFont="1" applyBorder="1" applyAlignment="1">
      <alignment horizontal="center" vertical="center" wrapText="1"/>
    </xf>
    <xf numFmtId="0" fontId="117" fillId="6" borderId="0" xfId="0" applyFont="1" applyFill="1" applyAlignment="1">
      <alignment horizontal="right" vertical="top"/>
    </xf>
    <xf numFmtId="0" fontId="106" fillId="22" borderId="5" xfId="0" applyFont="1" applyFill="1" applyBorder="1" applyAlignment="1">
      <alignment horizontal="right" vertical="center"/>
    </xf>
    <xf numFmtId="0" fontId="106" fillId="22" borderId="0" xfId="0" applyFont="1" applyFill="1" applyAlignment="1">
      <alignment horizontal="right" vertical="center"/>
    </xf>
    <xf numFmtId="0" fontId="81" fillId="22" borderId="6" xfId="0" applyFont="1" applyFill="1" applyBorder="1" applyAlignment="1">
      <alignment horizontal="left" vertical="center"/>
    </xf>
    <xf numFmtId="0" fontId="81" fillId="94" borderId="6" xfId="0" applyFont="1" applyFill="1" applyBorder="1" applyAlignment="1">
      <alignment vertical="center"/>
    </xf>
    <xf numFmtId="0" fontId="106" fillId="94" borderId="5" xfId="0" applyFont="1" applyFill="1" applyBorder="1" applyAlignment="1">
      <alignment horizontal="right" vertical="center"/>
    </xf>
    <xf numFmtId="0" fontId="81" fillId="94" borderId="36" xfId="0" applyFont="1" applyFill="1" applyBorder="1" applyAlignment="1">
      <alignment vertical="center"/>
    </xf>
    <xf numFmtId="0" fontId="106" fillId="94" borderId="0" xfId="0" applyFont="1" applyFill="1" applyBorder="1" applyAlignment="1">
      <alignment horizontal="right" vertical="center"/>
    </xf>
    <xf numFmtId="0" fontId="106" fillId="94" borderId="49" xfId="0" applyFont="1" applyFill="1" applyBorder="1" applyAlignment="1">
      <alignment horizontal="right" vertical="center"/>
    </xf>
    <xf numFmtId="0" fontId="89" fillId="94" borderId="36" xfId="0" applyFont="1" applyFill="1" applyBorder="1" applyAlignment="1">
      <alignment horizontal="left" vertical="center"/>
    </xf>
    <xf numFmtId="0" fontId="81" fillId="94" borderId="5" xfId="0" applyFont="1" applyFill="1" applyBorder="1" applyAlignment="1">
      <alignment horizontal="left" vertical="center"/>
    </xf>
    <xf numFmtId="0" fontId="81" fillId="94" borderId="0" xfId="0" applyFont="1" applyFill="1" applyBorder="1" applyAlignment="1">
      <alignment horizontal="left" vertical="center"/>
    </xf>
    <xf numFmtId="0" fontId="22" fillId="94" borderId="64" xfId="0" applyFont="1" applyFill="1" applyBorder="1" applyAlignment="1">
      <alignment horizontal="center" vertical="center"/>
    </xf>
    <xf numFmtId="0" fontId="81" fillId="94" borderId="82" xfId="0" applyFont="1" applyFill="1" applyBorder="1" applyAlignment="1">
      <alignment horizontal="left" vertical="center"/>
    </xf>
    <xf numFmtId="0" fontId="22" fillId="94" borderId="64" xfId="0" applyFont="1" applyFill="1" applyBorder="1" applyAlignment="1">
      <alignment horizontal="center" vertical="center" wrapText="1"/>
    </xf>
    <xf numFmtId="0" fontId="81" fillId="94" borderId="6" xfId="0" quotePrefix="1" applyFont="1" applyFill="1" applyBorder="1" applyAlignment="1">
      <alignment horizontal="left" vertical="center"/>
    </xf>
    <xf numFmtId="0" fontId="106" fillId="94" borderId="3" xfId="0" applyFont="1" applyFill="1" applyBorder="1" applyAlignment="1">
      <alignment horizontal="right" vertical="center"/>
    </xf>
    <xf numFmtId="0" fontId="81" fillId="94" borderId="6" xfId="0" applyFont="1" applyFill="1" applyBorder="1" applyAlignment="1">
      <alignment horizontal="left" vertical="center"/>
    </xf>
    <xf numFmtId="0" fontId="81" fillId="94" borderId="3" xfId="0" quotePrefix="1" applyFont="1" applyFill="1" applyBorder="1" applyAlignment="1">
      <alignment horizontal="left" vertical="center" wrapText="1"/>
    </xf>
    <xf numFmtId="0" fontId="81" fillId="22" borderId="6" xfId="0" quotePrefix="1" applyFont="1" applyFill="1" applyBorder="1" applyAlignment="1">
      <alignment horizontal="left" vertical="center" wrapText="1"/>
    </xf>
    <xf numFmtId="0" fontId="22" fillId="22" borderId="65" xfId="0" applyFont="1" applyFill="1" applyBorder="1" applyAlignment="1">
      <alignment horizontal="center" vertical="center" wrapText="1"/>
    </xf>
    <xf numFmtId="3" fontId="93" fillId="8" borderId="23" xfId="0" applyNumberFormat="1" applyFont="1" applyFill="1" applyBorder="1" applyAlignment="1">
      <alignment horizontal="center" vertical="center"/>
    </xf>
    <xf numFmtId="3" fontId="116" fillId="0" borderId="23" xfId="0" applyNumberFormat="1" applyFont="1" applyBorder="1" applyAlignment="1">
      <alignment horizontal="center" vertical="center"/>
    </xf>
    <xf numFmtId="164" fontId="33" fillId="0" borderId="24" xfId="0" applyNumberFormat="1" applyFont="1" applyBorder="1" applyAlignment="1">
      <alignment horizontal="center" vertical="center"/>
    </xf>
    <xf numFmtId="164" fontId="33" fillId="0" borderId="21" xfId="0" applyNumberFormat="1" applyFont="1" applyBorder="1" applyAlignment="1">
      <alignment horizontal="center" vertical="center"/>
    </xf>
    <xf numFmtId="3" fontId="93" fillId="8" borderId="22" xfId="0" applyNumberFormat="1" applyFont="1" applyFill="1" applyBorder="1" applyAlignment="1">
      <alignment horizontal="center" vertical="center"/>
    </xf>
    <xf numFmtId="3" fontId="116" fillId="0" borderId="22" xfId="0" applyNumberFormat="1" applyFont="1" applyBorder="1" applyAlignment="1">
      <alignment horizontal="center" vertical="center"/>
    </xf>
    <xf numFmtId="3" fontId="116" fillId="0" borderId="0" xfId="0" applyNumberFormat="1" applyFont="1" applyBorder="1" applyAlignment="1">
      <alignment horizontal="center" vertical="center"/>
    </xf>
    <xf numFmtId="164" fontId="33" fillId="0" borderId="18" xfId="0" applyNumberFormat="1" applyFont="1" applyBorder="1" applyAlignment="1">
      <alignment horizontal="center" vertical="center"/>
    </xf>
    <xf numFmtId="9" fontId="93" fillId="8" borderId="22" xfId="0" applyNumberFormat="1" applyFont="1" applyFill="1" applyBorder="1" applyAlignment="1">
      <alignment horizontal="center" vertical="center"/>
    </xf>
    <xf numFmtId="9" fontId="116" fillId="0" borderId="22" xfId="0" applyNumberFormat="1" applyFont="1" applyBorder="1" applyAlignment="1">
      <alignment horizontal="center" vertical="center"/>
    </xf>
    <xf numFmtId="3" fontId="7" fillId="8" borderId="23" xfId="0" applyNumberFormat="1" applyFont="1" applyFill="1" applyBorder="1" applyAlignment="1">
      <alignment horizontal="center" vertical="center"/>
    </xf>
    <xf numFmtId="3" fontId="57" fillId="0" borderId="31" xfId="0" applyNumberFormat="1" applyFont="1" applyBorder="1" applyAlignment="1">
      <alignment horizontal="center" vertical="center"/>
    </xf>
    <xf numFmtId="164" fontId="33" fillId="0" borderId="31" xfId="0" applyNumberFormat="1" applyFont="1" applyBorder="1" applyAlignment="1">
      <alignment horizontal="center" vertical="center"/>
    </xf>
    <xf numFmtId="3" fontId="7" fillId="8" borderId="22" xfId="0" applyNumberFormat="1" applyFont="1" applyFill="1" applyBorder="1" applyAlignment="1">
      <alignment horizontal="center" vertical="center"/>
    </xf>
    <xf numFmtId="0" fontId="116" fillId="0" borderId="26" xfId="0" applyNumberFormat="1" applyFont="1" applyBorder="1" applyAlignment="1">
      <alignment horizontal="center" vertical="center"/>
    </xf>
    <xf numFmtId="3" fontId="57" fillId="0" borderId="21" xfId="0" applyNumberFormat="1" applyFont="1" applyBorder="1" applyAlignment="1">
      <alignment horizontal="center" vertical="center"/>
    </xf>
    <xf numFmtId="164" fontId="33" fillId="91" borderId="27" xfId="0" applyNumberFormat="1" applyFont="1" applyFill="1" applyBorder="1" applyAlignment="1">
      <alignment horizontal="center" vertical="center"/>
    </xf>
    <xf numFmtId="164" fontId="33" fillId="0" borderId="29" xfId="0" applyNumberFormat="1" applyFont="1" applyBorder="1" applyAlignment="1">
      <alignment horizontal="center" vertical="center"/>
    </xf>
    <xf numFmtId="3" fontId="57" fillId="0" borderId="23" xfId="0" applyNumberFormat="1" applyFont="1" applyBorder="1" applyAlignment="1">
      <alignment horizontal="center" vertical="center"/>
    </xf>
    <xf numFmtId="3" fontId="93" fillId="8" borderId="25" xfId="0" applyNumberFormat="1" applyFont="1" applyFill="1" applyBorder="1" applyAlignment="1">
      <alignment horizontal="center" vertical="center"/>
    </xf>
    <xf numFmtId="0" fontId="57" fillId="0" borderId="25" xfId="0" applyNumberFormat="1" applyFont="1" applyFill="1" applyBorder="1" applyAlignment="1">
      <alignment horizontal="center" vertical="center"/>
    </xf>
    <xf numFmtId="3" fontId="116" fillId="0" borderId="25" xfId="0" applyNumberFormat="1" applyFont="1" applyBorder="1" applyAlignment="1">
      <alignment horizontal="center" vertical="center"/>
    </xf>
    <xf numFmtId="164" fontId="33" fillId="0" borderId="27" xfId="0" applyNumberFormat="1" applyFont="1" applyBorder="1" applyAlignment="1">
      <alignment horizontal="center" vertical="center"/>
    </xf>
    <xf numFmtId="3" fontId="7" fillId="8" borderId="21" xfId="0" applyNumberFormat="1" applyFont="1" applyFill="1" applyBorder="1" applyAlignment="1">
      <alignment horizontal="center" vertical="center"/>
    </xf>
    <xf numFmtId="3" fontId="57" fillId="0" borderId="0" xfId="0" applyNumberFormat="1" applyFont="1" applyBorder="1" applyAlignment="1">
      <alignment horizontal="center" vertical="center"/>
    </xf>
    <xf numFmtId="0" fontId="116" fillId="0" borderId="0" xfId="0" applyNumberFormat="1" applyFont="1" applyBorder="1" applyAlignment="1">
      <alignment horizontal="center" vertical="center"/>
    </xf>
    <xf numFmtId="3" fontId="93" fillId="8" borderId="31" xfId="0" applyNumberFormat="1" applyFont="1" applyFill="1" applyBorder="1" applyAlignment="1">
      <alignment horizontal="center" vertical="center"/>
    </xf>
    <xf numFmtId="0" fontId="57" fillId="0" borderId="31" xfId="0" applyFont="1" applyFill="1" applyBorder="1" applyAlignment="1">
      <alignment horizontal="center" vertical="center"/>
    </xf>
    <xf numFmtId="0" fontId="57" fillId="0" borderId="21" xfId="0" applyFont="1" applyFill="1" applyBorder="1" applyAlignment="1">
      <alignment horizontal="center" vertical="center"/>
    </xf>
    <xf numFmtId="9" fontId="93" fillId="8" borderId="21" xfId="0" applyNumberFormat="1" applyFont="1" applyFill="1" applyBorder="1" applyAlignment="1">
      <alignment horizontal="center" vertical="center"/>
    </xf>
    <xf numFmtId="9" fontId="93" fillId="8" borderId="29" xfId="0" applyNumberFormat="1" applyFont="1" applyFill="1" applyBorder="1" applyAlignment="1">
      <alignment horizontal="center" vertical="center"/>
    </xf>
    <xf numFmtId="0" fontId="57" fillId="0" borderId="29" xfId="0" applyFont="1" applyFill="1" applyBorder="1" applyAlignment="1">
      <alignment horizontal="center" vertical="center"/>
    </xf>
    <xf numFmtId="3" fontId="119" fillId="6" borderId="0" xfId="0" applyNumberFormat="1" applyFont="1" applyFill="1"/>
    <xf numFmtId="3" fontId="93" fillId="6" borderId="0" xfId="0" applyNumberFormat="1" applyFont="1" applyFill="1" applyBorder="1" applyAlignment="1">
      <alignment horizontal="center" vertical="center"/>
    </xf>
    <xf numFmtId="0" fontId="116" fillId="6" borderId="0" xfId="0" applyFont="1" applyFill="1" applyBorder="1" applyAlignment="1">
      <alignment horizontal="center" vertical="center"/>
    </xf>
    <xf numFmtId="3" fontId="57" fillId="6" borderId="0" xfId="0" applyNumberFormat="1" applyFont="1" applyFill="1" applyBorder="1" applyAlignment="1">
      <alignment horizontal="center" vertical="center"/>
    </xf>
    <xf numFmtId="3" fontId="33" fillId="6" borderId="0" xfId="0" applyNumberFormat="1" applyFont="1" applyFill="1" applyAlignment="1">
      <alignment horizontal="center" vertical="center"/>
    </xf>
    <xf numFmtId="3" fontId="7" fillId="93" borderId="31" xfId="0" applyNumberFormat="1" applyFont="1" applyFill="1" applyBorder="1" applyAlignment="1">
      <alignment horizontal="center" vertical="center"/>
    </xf>
    <xf numFmtId="3" fontId="57" fillId="0" borderId="83" xfId="0" applyNumberFormat="1" applyFont="1" applyBorder="1" applyAlignment="1">
      <alignment horizontal="center" vertical="center"/>
    </xf>
    <xf numFmtId="3" fontId="7" fillId="93" borderId="21" xfId="0" applyNumberFormat="1" applyFont="1" applyFill="1" applyBorder="1" applyAlignment="1">
      <alignment horizontal="center" vertical="center"/>
    </xf>
    <xf numFmtId="0" fontId="57" fillId="0" borderId="22" xfId="0" applyNumberFormat="1" applyFont="1" applyBorder="1" applyAlignment="1">
      <alignment horizontal="center" vertical="center"/>
    </xf>
    <xf numFmtId="3" fontId="7" fillId="93" borderId="29" xfId="0" applyNumberFormat="1" applyFont="1" applyFill="1" applyBorder="1" applyAlignment="1">
      <alignment horizontal="center" vertical="center"/>
    </xf>
    <xf numFmtId="0" fontId="57" fillId="0" borderId="25" xfId="0" applyNumberFormat="1" applyFont="1" applyBorder="1" applyAlignment="1">
      <alignment horizontal="center" vertical="center"/>
    </xf>
    <xf numFmtId="3" fontId="57" fillId="0" borderId="29" xfId="0" applyNumberFormat="1" applyFont="1" applyBorder="1" applyAlignment="1">
      <alignment horizontal="center" vertical="center"/>
    </xf>
    <xf numFmtId="0" fontId="57" fillId="0" borderId="16" xfId="0" applyNumberFormat="1" applyFont="1" applyBorder="1" applyAlignment="1">
      <alignment horizontal="center" vertical="center"/>
    </xf>
    <xf numFmtId="3" fontId="57" fillId="0" borderId="16" xfId="0" applyNumberFormat="1" applyFont="1" applyBorder="1" applyAlignment="1">
      <alignment horizontal="center" vertical="center"/>
    </xf>
    <xf numFmtId="3" fontId="57" fillId="0" borderId="28" xfId="0" applyNumberFormat="1" applyFont="1" applyBorder="1" applyAlignment="1">
      <alignment horizontal="center" vertical="center"/>
    </xf>
    <xf numFmtId="164" fontId="33" fillId="0" borderId="28" xfId="0" applyNumberFormat="1" applyFont="1" applyBorder="1" applyAlignment="1">
      <alignment horizontal="center" vertical="center"/>
    </xf>
    <xf numFmtId="3" fontId="93" fillId="23" borderId="0" xfId="0" applyNumberFormat="1" applyFont="1" applyFill="1" applyBorder="1" applyAlignment="1">
      <alignment horizontal="center" vertical="center"/>
    </xf>
    <xf numFmtId="0" fontId="7" fillId="23" borderId="0" xfId="0" applyFont="1" applyFill="1" applyBorder="1" applyAlignment="1">
      <alignment horizontal="center" vertical="center"/>
    </xf>
    <xf numFmtId="3" fontId="57" fillId="23" borderId="0" xfId="0" applyNumberFormat="1" applyFont="1" applyFill="1" applyBorder="1" applyAlignment="1">
      <alignment horizontal="center" vertical="center"/>
    </xf>
    <xf numFmtId="164" fontId="33" fillId="23" borderId="0" xfId="0" applyNumberFormat="1" applyFont="1" applyFill="1" applyAlignment="1">
      <alignment horizontal="center" vertical="center"/>
    </xf>
    <xf numFmtId="3" fontId="93" fillId="72" borderId="31" xfId="0" applyNumberFormat="1" applyFont="1" applyFill="1" applyBorder="1" applyAlignment="1">
      <alignment horizontal="center" vertical="center"/>
    </xf>
    <xf numFmtId="1" fontId="57" fillId="0" borderId="11" xfId="0" applyNumberFormat="1" applyFont="1" applyBorder="1" applyAlignment="1">
      <alignment horizontal="center" vertical="center"/>
    </xf>
    <xf numFmtId="3" fontId="93" fillId="72" borderId="21" xfId="0" applyNumberFormat="1" applyFont="1" applyFill="1" applyBorder="1" applyAlignment="1">
      <alignment horizontal="center" vertical="center"/>
    </xf>
    <xf numFmtId="3" fontId="57" fillId="0" borderId="4" xfId="0" applyNumberFormat="1" applyFont="1" applyBorder="1" applyAlignment="1">
      <alignment horizontal="center" vertical="center"/>
    </xf>
    <xf numFmtId="3" fontId="93" fillId="72" borderId="29" xfId="0" applyNumberFormat="1" applyFont="1" applyFill="1" applyBorder="1" applyAlignment="1">
      <alignment horizontal="center" vertical="center"/>
    </xf>
    <xf numFmtId="1" fontId="57" fillId="0" borderId="16" xfId="0" applyNumberFormat="1" applyFont="1" applyBorder="1" applyAlignment="1">
      <alignment horizontal="center" vertical="center"/>
    </xf>
    <xf numFmtId="3" fontId="116" fillId="0" borderId="16" xfId="0" applyNumberFormat="1" applyFont="1" applyBorder="1" applyAlignment="1">
      <alignment horizontal="center" vertical="center"/>
    </xf>
    <xf numFmtId="3" fontId="116" fillId="0" borderId="28" xfId="0" applyNumberFormat="1" applyFont="1" applyBorder="1" applyAlignment="1">
      <alignment horizontal="center" vertical="center"/>
    </xf>
    <xf numFmtId="3" fontId="93" fillId="72" borderId="28" xfId="0" applyNumberFormat="1" applyFont="1" applyFill="1" applyBorder="1" applyAlignment="1">
      <alignment horizontal="center" vertical="center"/>
    </xf>
    <xf numFmtId="3" fontId="7" fillId="72" borderId="21" xfId="0" applyNumberFormat="1" applyFont="1" applyFill="1" applyBorder="1" applyAlignment="1">
      <alignment horizontal="center" vertical="center"/>
    </xf>
    <xf numFmtId="3" fontId="7" fillId="72" borderId="29" xfId="0" applyNumberFormat="1" applyFont="1" applyFill="1" applyBorder="1" applyAlignment="1">
      <alignment horizontal="center" vertical="center"/>
    </xf>
    <xf numFmtId="0" fontId="120" fillId="0" borderId="24" xfId="0" applyFont="1" applyFill="1" applyBorder="1" applyAlignment="1">
      <alignment horizontal="center" vertical="center"/>
    </xf>
    <xf numFmtId="0" fontId="120" fillId="0" borderId="18" xfId="0" applyFont="1" applyFill="1" applyBorder="1" applyAlignment="1">
      <alignment horizontal="center" vertical="center"/>
    </xf>
    <xf numFmtId="0" fontId="120" fillId="0" borderId="27" xfId="0" applyFont="1" applyFill="1" applyBorder="1" applyAlignment="1">
      <alignment horizontal="center" vertical="center"/>
    </xf>
    <xf numFmtId="1" fontId="57" fillId="0" borderId="28" xfId="0" applyNumberFormat="1" applyFont="1" applyBorder="1" applyAlignment="1">
      <alignment horizontal="center"/>
    </xf>
    <xf numFmtId="1" fontId="116" fillId="0" borderId="16" xfId="0" applyNumberFormat="1" applyFont="1" applyBorder="1" applyAlignment="1">
      <alignment horizontal="center" vertical="center"/>
    </xf>
    <xf numFmtId="0" fontId="57" fillId="12" borderId="16" xfId="0" applyFont="1" applyFill="1" applyBorder="1" applyAlignment="1">
      <alignment horizontal="center" vertical="center"/>
    </xf>
    <xf numFmtId="0" fontId="116" fillId="0" borderId="23" xfId="0" applyNumberFormat="1" applyFont="1" applyBorder="1" applyAlignment="1">
      <alignment horizontal="center" vertical="center"/>
    </xf>
    <xf numFmtId="0" fontId="116" fillId="0" borderId="16" xfId="0" applyNumberFormat="1" applyFont="1" applyBorder="1" applyAlignment="1">
      <alignment horizontal="center" vertical="center"/>
    </xf>
    <xf numFmtId="0" fontId="121" fillId="0" borderId="0" xfId="0" quotePrefix="1" applyFont="1" applyAlignment="1">
      <alignment horizontal="left" vertical="center"/>
    </xf>
    <xf numFmtId="0" fontId="57" fillId="6" borderId="0" xfId="0" applyFont="1" applyFill="1"/>
    <xf numFmtId="0" fontId="122" fillId="6" borderId="0" xfId="0" quotePrefix="1" applyFont="1" applyFill="1" applyAlignment="1">
      <alignment horizontal="left"/>
    </xf>
    <xf numFmtId="0" fontId="93" fillId="6" borderId="0" xfId="0" applyFont="1" applyFill="1"/>
    <xf numFmtId="0" fontId="93" fillId="23" borderId="0" xfId="0" applyFont="1" applyFill="1"/>
    <xf numFmtId="0" fontId="33" fillId="23" borderId="0" xfId="0" applyFont="1" applyFill="1"/>
    <xf numFmtId="0" fontId="123" fillId="23" borderId="0" xfId="0" applyFont="1" applyFill="1"/>
    <xf numFmtId="0" fontId="124" fillId="23" borderId="0" xfId="0" applyFont="1" applyFill="1"/>
    <xf numFmtId="0" fontId="81" fillId="7" borderId="14" xfId="0" applyFont="1" applyFill="1" applyBorder="1" applyAlignment="1">
      <alignment horizontal="center" vertical="center"/>
    </xf>
    <xf numFmtId="0" fontId="81" fillId="7" borderId="69" xfId="0" applyFont="1" applyFill="1" applyBorder="1" applyAlignment="1">
      <alignment horizontal="center" vertical="center" wrapText="1"/>
    </xf>
    <xf numFmtId="0" fontId="81" fillId="7" borderId="85" xfId="0" applyFont="1" applyFill="1" applyBorder="1" applyAlignment="1">
      <alignment horizontal="center" vertical="center" wrapText="1"/>
    </xf>
    <xf numFmtId="0" fontId="25" fillId="6" borderId="0" xfId="0" quotePrefix="1" applyFont="1" applyFill="1" applyAlignment="1">
      <alignment horizontal="left"/>
    </xf>
    <xf numFmtId="0" fontId="59" fillId="94" borderId="0" xfId="0" applyFont="1" applyFill="1"/>
    <xf numFmtId="0" fontId="81" fillId="94" borderId="0" xfId="0" applyFont="1" applyFill="1" applyBorder="1" applyAlignment="1">
      <alignment horizontal="right" vertical="center"/>
    </xf>
    <xf numFmtId="0" fontId="74" fillId="92" borderId="0" xfId="0" applyFont="1" applyFill="1"/>
    <xf numFmtId="0" fontId="0" fillId="9" borderId="0" xfId="0" applyFill="1"/>
    <xf numFmtId="0" fontId="59" fillId="6" borderId="0" xfId="0" applyFont="1" applyFill="1"/>
    <xf numFmtId="0" fontId="89" fillId="6" borderId="0" xfId="0" applyFont="1" applyFill="1"/>
    <xf numFmtId="0" fontId="89" fillId="23" borderId="0" xfId="0" applyFont="1" applyFill="1"/>
    <xf numFmtId="0" fontId="126" fillId="23" borderId="0" xfId="0" applyFont="1" applyFill="1"/>
    <xf numFmtId="0" fontId="59" fillId="23" borderId="0" xfId="0" applyFont="1" applyFill="1"/>
    <xf numFmtId="17" fontId="20" fillId="23" borderId="0" xfId="0" applyNumberFormat="1" applyFont="1" applyFill="1" applyAlignment="1">
      <alignment horizontal="center"/>
    </xf>
    <xf numFmtId="1" fontId="20" fillId="23" borderId="0" xfId="0" applyNumberFormat="1" applyFont="1" applyFill="1" applyAlignment="1">
      <alignment horizontal="center"/>
    </xf>
    <xf numFmtId="0" fontId="20" fillId="23" borderId="0" xfId="0" applyFont="1" applyFill="1" applyAlignment="1">
      <alignment horizontal="center"/>
    </xf>
    <xf numFmtId="0" fontId="57" fillId="0" borderId="26" xfId="0" applyNumberFormat="1" applyFont="1" applyBorder="1" applyAlignment="1">
      <alignment horizontal="center" vertical="center"/>
    </xf>
    <xf numFmtId="0" fontId="0" fillId="2" borderId="0" xfId="0" applyFill="1"/>
    <xf numFmtId="1" fontId="57" fillId="0" borderId="23" xfId="0" applyNumberFormat="1" applyFont="1" applyBorder="1" applyAlignment="1">
      <alignment horizontal="center" vertical="center"/>
    </xf>
    <xf numFmtId="1" fontId="116" fillId="0" borderId="25" xfId="0" applyNumberFormat="1" applyFont="1" applyBorder="1" applyAlignment="1">
      <alignment horizontal="center" vertical="center"/>
    </xf>
    <xf numFmtId="1" fontId="57" fillId="0" borderId="0" xfId="0" applyNumberFormat="1" applyFont="1" applyBorder="1" applyAlignment="1">
      <alignment horizontal="center" vertical="center"/>
    </xf>
    <xf numFmtId="9" fontId="116" fillId="0" borderId="21" xfId="0" applyNumberFormat="1" applyFont="1" applyBorder="1" applyAlignment="1">
      <alignment horizontal="center" vertical="center"/>
    </xf>
    <xf numFmtId="3" fontId="127" fillId="72" borderId="28" xfId="0" applyNumberFormat="1" applyFont="1" applyFill="1" applyBorder="1" applyAlignment="1">
      <alignment horizontal="center" vertical="center"/>
    </xf>
    <xf numFmtId="3" fontId="16" fillId="21" borderId="31" xfId="0" applyNumberFormat="1" applyFont="1" applyFill="1" applyBorder="1" applyAlignment="1">
      <alignment horizontal="center" vertical="center"/>
    </xf>
    <xf numFmtId="3" fontId="16" fillId="21" borderId="21" xfId="0" applyNumberFormat="1" applyFont="1" applyFill="1" applyBorder="1" applyAlignment="1">
      <alignment horizontal="center" vertical="center"/>
    </xf>
    <xf numFmtId="0" fontId="27" fillId="0" borderId="31" xfId="0" applyFont="1" applyBorder="1" applyAlignment="1">
      <alignment horizontal="center" vertical="center"/>
    </xf>
    <xf numFmtId="3" fontId="29" fillId="0" borderId="104" xfId="0" applyNumberFormat="1" applyFont="1" applyBorder="1" applyAlignment="1">
      <alignment horizontal="center" vertical="center"/>
    </xf>
    <xf numFmtId="0" fontId="16" fillId="2" borderId="6" xfId="0" quotePrefix="1" applyFont="1" applyFill="1" applyBorder="1" applyAlignment="1">
      <alignment horizontal="left" vertical="center"/>
    </xf>
    <xf numFmtId="0" fontId="16" fillId="95" borderId="23" xfId="0" applyFont="1" applyFill="1" applyBorder="1" applyAlignment="1">
      <alignment horizontal="center" vertical="center"/>
    </xf>
    <xf numFmtId="0" fontId="16" fillId="95" borderId="22" xfId="0" applyFont="1" applyFill="1" applyBorder="1" applyAlignment="1">
      <alignment horizontal="center" vertical="center"/>
    </xf>
    <xf numFmtId="0" fontId="16" fillId="95" borderId="25" xfId="0" applyFont="1" applyFill="1" applyBorder="1" applyAlignment="1">
      <alignment horizontal="center" vertical="center"/>
    </xf>
    <xf numFmtId="0" fontId="21" fillId="92" borderId="87" xfId="0" applyFont="1" applyFill="1" applyBorder="1" applyAlignment="1">
      <alignment horizontal="center" vertical="center" wrapText="1"/>
    </xf>
    <xf numFmtId="0" fontId="16" fillId="93" borderId="30" xfId="0" applyFont="1" applyFill="1" applyBorder="1" applyAlignment="1">
      <alignment horizontal="center" vertical="center"/>
    </xf>
    <xf numFmtId="0" fontId="29" fillId="93" borderId="23" xfId="0" applyFont="1" applyFill="1" applyBorder="1" applyAlignment="1">
      <alignment horizontal="center" vertical="center"/>
    </xf>
    <xf numFmtId="3" fontId="29" fillId="93" borderId="22" xfId="0" applyNumberFormat="1" applyFont="1" applyFill="1" applyBorder="1" applyAlignment="1">
      <alignment horizontal="center" vertical="center"/>
    </xf>
    <xf numFmtId="0" fontId="29" fillId="93" borderId="22" xfId="0" applyFont="1" applyFill="1" applyBorder="1" applyAlignment="1">
      <alignment horizontal="center" vertical="center"/>
    </xf>
    <xf numFmtId="0" fontId="29" fillId="93" borderId="25" xfId="0" applyFont="1" applyFill="1" applyBorder="1" applyAlignment="1">
      <alignment horizontal="center" vertical="center"/>
    </xf>
    <xf numFmtId="0" fontId="21" fillId="79" borderId="64" xfId="0" applyFont="1" applyFill="1" applyBorder="1" applyAlignment="1">
      <alignment horizontal="center" vertical="center" wrapText="1"/>
    </xf>
    <xf numFmtId="3" fontId="16" fillId="96" borderId="28" xfId="0" applyNumberFormat="1" applyFont="1" applyFill="1" applyBorder="1" applyAlignment="1">
      <alignment horizontal="center" vertical="center"/>
    </xf>
    <xf numFmtId="164" fontId="19" fillId="0" borderId="24" xfId="0" applyNumberFormat="1" applyFont="1" applyBorder="1" applyAlignment="1">
      <alignment horizontal="center"/>
    </xf>
    <xf numFmtId="164" fontId="19" fillId="0" borderId="27" xfId="0" applyNumberFormat="1" applyFont="1" applyBorder="1" applyAlignment="1">
      <alignment horizontal="center"/>
    </xf>
    <xf numFmtId="164" fontId="19" fillId="0" borderId="18" xfId="0" applyNumberFormat="1" applyFont="1" applyBorder="1" applyAlignment="1">
      <alignment horizontal="center"/>
    </xf>
    <xf numFmtId="3" fontId="16" fillId="0" borderId="105" xfId="0" applyNumberFormat="1" applyFont="1" applyBorder="1" applyAlignment="1">
      <alignment horizontal="center" vertical="center"/>
    </xf>
    <xf numFmtId="0" fontId="21" fillId="92" borderId="64" xfId="0" applyFont="1" applyFill="1" applyBorder="1" applyAlignment="1">
      <alignment horizontal="center" vertical="center" wrapText="1"/>
    </xf>
    <xf numFmtId="0" fontId="23" fillId="64" borderId="6" xfId="0" applyFont="1" applyFill="1" applyBorder="1" applyAlignment="1">
      <alignment horizontal="right" vertical="center"/>
    </xf>
    <xf numFmtId="0" fontId="23" fillId="64" borderId="5" xfId="0" applyFont="1" applyFill="1" applyBorder="1" applyAlignment="1">
      <alignment horizontal="right" vertical="center"/>
    </xf>
    <xf numFmtId="0" fontId="16" fillId="67" borderId="23" xfId="0" applyFont="1" applyFill="1" applyBorder="1" applyAlignment="1">
      <alignment horizontal="center" vertical="center"/>
    </xf>
    <xf numFmtId="0" fontId="16" fillId="67" borderId="22" xfId="0" applyFont="1" applyFill="1" applyBorder="1" applyAlignment="1">
      <alignment horizontal="center" vertical="center"/>
    </xf>
    <xf numFmtId="0" fontId="16" fillId="67" borderId="29" xfId="0" applyFont="1" applyFill="1" applyBorder="1" applyAlignment="1">
      <alignment horizontal="center" vertical="center"/>
    </xf>
    <xf numFmtId="0" fontId="29" fillId="67" borderId="23" xfId="0" applyFont="1" applyFill="1" applyBorder="1" applyAlignment="1">
      <alignment horizontal="center" vertical="center"/>
    </xf>
    <xf numFmtId="0" fontId="29" fillId="67" borderId="22" xfId="0" applyFont="1" applyFill="1" applyBorder="1" applyAlignment="1">
      <alignment horizontal="center" vertical="center"/>
    </xf>
    <xf numFmtId="9" fontId="27" fillId="0" borderId="29" xfId="0" applyNumberFormat="1" applyFont="1" applyBorder="1" applyAlignment="1">
      <alignment horizontal="center" vertical="center"/>
    </xf>
    <xf numFmtId="3" fontId="27" fillId="0" borderId="105" xfId="0" applyNumberFormat="1" applyFont="1" applyBorder="1" applyAlignment="1">
      <alignment horizontal="center" vertical="center"/>
    </xf>
    <xf numFmtId="3" fontId="29" fillId="0" borderId="105" xfId="0" applyNumberFormat="1" applyFont="1" applyBorder="1" applyAlignment="1">
      <alignment horizontal="center" vertical="center"/>
    </xf>
    <xf numFmtId="0" fontId="7" fillId="6" borderId="0" xfId="0" quotePrefix="1" applyFont="1" applyFill="1" applyAlignment="1">
      <alignment horizontal="left"/>
    </xf>
    <xf numFmtId="0" fontId="7" fillId="6" borderId="0" xfId="0" applyFont="1" applyFill="1" applyAlignment="1">
      <alignment horizontal="left" vertical="top" wrapText="1"/>
    </xf>
    <xf numFmtId="0" fontId="93" fillId="6" borderId="0" xfId="0" quotePrefix="1" applyFont="1" applyFill="1" applyAlignment="1">
      <alignment horizontal="left"/>
    </xf>
    <xf numFmtId="0" fontId="20" fillId="92" borderId="63" xfId="0" applyFont="1" applyFill="1" applyBorder="1" applyAlignment="1">
      <alignment horizontal="right" vertical="center"/>
    </xf>
    <xf numFmtId="0" fontId="20" fillId="4" borderId="39" xfId="0" quotePrefix="1" applyFont="1" applyFill="1" applyBorder="1" applyAlignment="1">
      <alignment horizontal="right" vertical="center"/>
    </xf>
    <xf numFmtId="0" fontId="20" fillId="4" borderId="5" xfId="0" applyFont="1" applyFill="1" applyBorder="1" applyAlignment="1">
      <alignment horizontal="right" vertical="center"/>
    </xf>
    <xf numFmtId="0" fontId="20" fillId="4" borderId="3" xfId="0" applyFont="1" applyFill="1" applyBorder="1" applyAlignment="1">
      <alignment horizontal="right" vertical="center"/>
    </xf>
    <xf numFmtId="0" fontId="16" fillId="2" borderId="3" xfId="0" applyFont="1" applyFill="1" applyBorder="1" applyAlignment="1">
      <alignment horizontal="right" vertical="center"/>
    </xf>
    <xf numFmtId="0" fontId="20" fillId="64" borderId="5" xfId="0" applyFont="1" applyFill="1" applyBorder="1" applyAlignment="1">
      <alignment horizontal="right" vertical="center"/>
    </xf>
    <xf numFmtId="0" fontId="20" fillId="64" borderId="3" xfId="0" quotePrefix="1" applyFont="1" applyFill="1" applyBorder="1" applyAlignment="1">
      <alignment horizontal="right" vertical="center"/>
    </xf>
    <xf numFmtId="0" fontId="20" fillId="7" borderId="0" xfId="0" applyFont="1" applyFill="1" applyBorder="1" applyAlignment="1">
      <alignment horizontal="right" vertical="center"/>
    </xf>
    <xf numFmtId="0" fontId="20" fillId="92" borderId="0" xfId="0" applyFont="1" applyFill="1" applyBorder="1" applyAlignment="1">
      <alignment horizontal="right" vertical="center"/>
    </xf>
    <xf numFmtId="0" fontId="20" fillId="4" borderId="5" xfId="0" quotePrefix="1" applyFont="1" applyFill="1" applyBorder="1" applyAlignment="1">
      <alignment horizontal="right" vertical="center"/>
    </xf>
    <xf numFmtId="0" fontId="20" fillId="92" borderId="16" xfId="0" applyFont="1" applyFill="1" applyBorder="1" applyAlignment="1">
      <alignment horizontal="right" vertical="center"/>
    </xf>
    <xf numFmtId="0" fontId="20" fillId="7" borderId="6" xfId="0" applyFont="1" applyFill="1" applyBorder="1" applyAlignment="1">
      <alignment horizontal="right" vertical="center"/>
    </xf>
    <xf numFmtId="0" fontId="29" fillId="2" borderId="34" xfId="0" applyFont="1" applyFill="1" applyBorder="1" applyAlignment="1">
      <alignment horizontal="right" vertical="center"/>
    </xf>
    <xf numFmtId="0" fontId="29" fillId="2" borderId="35" xfId="0" applyFont="1" applyFill="1" applyBorder="1" applyAlignment="1">
      <alignment horizontal="right" vertical="center"/>
    </xf>
    <xf numFmtId="0" fontId="20" fillId="87" borderId="0" xfId="0" applyFont="1" applyFill="1" applyBorder="1" applyAlignment="1">
      <alignment horizontal="right" vertical="center"/>
    </xf>
    <xf numFmtId="0" fontId="16" fillId="2" borderId="0" xfId="0" applyFont="1" applyFill="1" applyBorder="1" applyAlignment="1">
      <alignment horizontal="right" vertical="center"/>
    </xf>
    <xf numFmtId="3" fontId="7" fillId="72" borderId="28" xfId="0" applyNumberFormat="1" applyFont="1" applyFill="1" applyBorder="1" applyAlignment="1">
      <alignment horizontal="center" vertical="center"/>
    </xf>
    <xf numFmtId="0" fontId="125" fillId="7" borderId="14" xfId="0" quotePrefix="1" applyFont="1" applyFill="1" applyBorder="1" applyAlignment="1">
      <alignment horizontal="center" vertical="center" wrapText="1"/>
    </xf>
    <xf numFmtId="0" fontId="81" fillId="7" borderId="85" xfId="0" quotePrefix="1" applyFont="1" applyFill="1" applyBorder="1" applyAlignment="1">
      <alignment horizontal="center" vertical="center" wrapText="1"/>
    </xf>
    <xf numFmtId="0" fontId="91" fillId="81" borderId="34" xfId="0" applyFont="1" applyFill="1" applyBorder="1" applyAlignment="1">
      <alignment horizontal="left" vertical="center"/>
    </xf>
    <xf numFmtId="3" fontId="7" fillId="8" borderId="31" xfId="0" applyNumberFormat="1" applyFont="1" applyFill="1" applyBorder="1" applyAlignment="1">
      <alignment horizontal="center" vertical="center"/>
    </xf>
    <xf numFmtId="0" fontId="21" fillId="7" borderId="65" xfId="0" applyFont="1" applyFill="1" applyBorder="1" applyAlignment="1">
      <alignment horizontal="center" vertical="center" wrapText="1"/>
    </xf>
    <xf numFmtId="49" fontId="51" fillId="16" borderId="33" xfId="2" applyNumberFormat="1" applyFont="1" applyFill="1" applyBorder="1" applyAlignment="1">
      <alignment horizontal="left" vertical="center"/>
    </xf>
    <xf numFmtId="0" fontId="20" fillId="97" borderId="6" xfId="0" applyFont="1" applyFill="1" applyBorder="1" applyAlignment="1">
      <alignment horizontal="right" vertical="center"/>
    </xf>
    <xf numFmtId="0" fontId="20" fillId="97" borderId="5" xfId="0" applyFont="1" applyFill="1" applyBorder="1" applyAlignment="1">
      <alignment horizontal="right" vertical="center"/>
    </xf>
    <xf numFmtId="0" fontId="20" fillId="97" borderId="3" xfId="0" quotePrefix="1" applyFont="1" applyFill="1" applyBorder="1" applyAlignment="1">
      <alignment horizontal="right" vertical="center"/>
    </xf>
    <xf numFmtId="0" fontId="20" fillId="97" borderId="3" xfId="0" applyFont="1" applyFill="1" applyBorder="1" applyAlignment="1">
      <alignment horizontal="right" vertical="center"/>
    </xf>
    <xf numFmtId="0" fontId="20" fillId="97" borderId="35" xfId="0" applyFont="1" applyFill="1" applyBorder="1" applyAlignment="1">
      <alignment horizontal="right" vertical="center"/>
    </xf>
    <xf numFmtId="0" fontId="20" fillId="97" borderId="5" xfId="0" quotePrefix="1" applyFont="1" applyFill="1" applyBorder="1" applyAlignment="1">
      <alignment horizontal="right" vertical="center"/>
    </xf>
    <xf numFmtId="0" fontId="20" fillId="97" borderId="36" xfId="0" applyFont="1" applyFill="1" applyBorder="1" applyAlignment="1">
      <alignment horizontal="right" vertical="center"/>
    </xf>
    <xf numFmtId="0" fontId="20" fillId="97" borderId="49" xfId="0" applyFont="1" applyFill="1" applyBorder="1" applyAlignment="1">
      <alignment horizontal="right" vertical="center"/>
    </xf>
    <xf numFmtId="3" fontId="27" fillId="98" borderId="23" xfId="0" applyNumberFormat="1" applyFont="1" applyFill="1" applyBorder="1" applyAlignment="1">
      <alignment horizontal="center" vertical="center"/>
    </xf>
    <xf numFmtId="3" fontId="27" fillId="98" borderId="22" xfId="0" applyNumberFormat="1" applyFont="1" applyFill="1" applyBorder="1" applyAlignment="1">
      <alignment horizontal="center" vertical="center"/>
    </xf>
    <xf numFmtId="0" fontId="27" fillId="98" borderId="23" xfId="0" applyNumberFormat="1" applyFont="1" applyFill="1" applyBorder="1" applyAlignment="1">
      <alignment horizontal="center" vertical="center"/>
    </xf>
    <xf numFmtId="0" fontId="27" fillId="98" borderId="25" xfId="0" applyNumberFormat="1" applyFont="1" applyFill="1" applyBorder="1" applyAlignment="1">
      <alignment horizontal="center" vertical="center"/>
    </xf>
    <xf numFmtId="0" fontId="29" fillId="98" borderId="23" xfId="0" applyFont="1" applyFill="1" applyBorder="1" applyAlignment="1">
      <alignment horizontal="center" vertical="center"/>
    </xf>
    <xf numFmtId="0" fontId="29" fillId="98" borderId="22" xfId="0" applyFont="1" applyFill="1" applyBorder="1" applyAlignment="1">
      <alignment horizontal="center" vertical="center"/>
    </xf>
    <xf numFmtId="0" fontId="29" fillId="98" borderId="29" xfId="0" applyFont="1" applyFill="1" applyBorder="1" applyAlignment="1">
      <alignment horizontal="center" vertical="center"/>
    </xf>
    <xf numFmtId="0" fontId="29" fillId="98" borderId="21" xfId="0" applyFont="1" applyFill="1" applyBorder="1" applyAlignment="1">
      <alignment horizontal="center" vertical="center"/>
    </xf>
    <xf numFmtId="0" fontId="20" fillId="97" borderId="0" xfId="0" applyFont="1" applyFill="1" applyBorder="1" applyAlignment="1">
      <alignment horizontal="right" vertical="center"/>
    </xf>
    <xf numFmtId="3" fontId="17" fillId="98" borderId="23" xfId="0" applyNumberFormat="1" applyFont="1" applyFill="1" applyBorder="1" applyAlignment="1">
      <alignment horizontal="center" vertical="center"/>
    </xf>
    <xf numFmtId="3" fontId="17" fillId="98" borderId="22" xfId="0" applyNumberFormat="1" applyFont="1" applyFill="1" applyBorder="1" applyAlignment="1">
      <alignment horizontal="center" vertical="center"/>
    </xf>
    <xf numFmtId="0" fontId="17" fillId="98" borderId="25" xfId="0" applyNumberFormat="1" applyFont="1" applyFill="1" applyBorder="1" applyAlignment="1">
      <alignment horizontal="center" vertical="center"/>
    </xf>
    <xf numFmtId="0" fontId="17" fillId="98" borderId="31" xfId="0" applyFont="1" applyFill="1" applyBorder="1" applyAlignment="1">
      <alignment horizontal="center" vertical="center"/>
    </xf>
    <xf numFmtId="0" fontId="17" fillId="98" borderId="21" xfId="0" applyFont="1" applyFill="1" applyBorder="1" applyAlignment="1">
      <alignment horizontal="center" vertical="center"/>
    </xf>
    <xf numFmtId="0" fontId="17" fillId="98" borderId="29" xfId="0" applyFont="1" applyFill="1" applyBorder="1" applyAlignment="1">
      <alignment horizontal="center" vertical="center"/>
    </xf>
    <xf numFmtId="0" fontId="17" fillId="98" borderId="22" xfId="0" applyFont="1" applyFill="1" applyBorder="1" applyAlignment="1">
      <alignment horizontal="center" vertical="center"/>
    </xf>
    <xf numFmtId="0" fontId="27" fillId="98" borderId="22" xfId="0" applyFont="1" applyFill="1" applyBorder="1" applyAlignment="1">
      <alignment horizontal="center" vertical="center"/>
    </xf>
    <xf numFmtId="0" fontId="27" fillId="98" borderId="25" xfId="0" applyFont="1" applyFill="1" applyBorder="1" applyAlignment="1">
      <alignment horizontal="center" vertical="center"/>
    </xf>
    <xf numFmtId="0" fontId="17" fillId="98" borderId="23" xfId="0" applyFont="1" applyFill="1" applyBorder="1" applyAlignment="1">
      <alignment horizontal="center" vertical="center"/>
    </xf>
    <xf numFmtId="0" fontId="27" fillId="98" borderId="29" xfId="0" applyFont="1" applyFill="1" applyBorder="1" applyAlignment="1">
      <alignment horizontal="center" vertical="center"/>
    </xf>
    <xf numFmtId="0" fontId="21" fillId="4" borderId="65" xfId="0" applyFont="1" applyFill="1" applyBorder="1" applyAlignment="1">
      <alignment horizontal="center" vertical="center" wrapText="1"/>
    </xf>
    <xf numFmtId="0" fontId="24" fillId="0" borderId="0" xfId="0" quotePrefix="1" applyFont="1" applyFill="1" applyAlignment="1">
      <alignment horizontal="left" wrapText="1"/>
    </xf>
    <xf numFmtId="9" fontId="30" fillId="0" borderId="0" xfId="0" applyNumberFormat="1" applyFont="1" applyFill="1"/>
    <xf numFmtId="9" fontId="7" fillId="93" borderId="29" xfId="0" applyNumberFormat="1" applyFont="1" applyFill="1" applyBorder="1" applyAlignment="1">
      <alignment horizontal="center" vertical="center"/>
    </xf>
    <xf numFmtId="3" fontId="29" fillId="0" borderId="18" xfId="0" applyNumberFormat="1" applyFont="1" applyBorder="1" applyAlignment="1">
      <alignment horizontal="center" vertical="center"/>
    </xf>
    <xf numFmtId="3" fontId="16" fillId="0" borderId="24" xfId="0" applyNumberFormat="1" applyFont="1" applyBorder="1" applyAlignment="1">
      <alignment horizontal="center" vertical="center"/>
    </xf>
    <xf numFmtId="3" fontId="16" fillId="0" borderId="18" xfId="0" applyNumberFormat="1" applyFont="1" applyBorder="1" applyAlignment="1">
      <alignment horizontal="center" vertical="center"/>
    </xf>
    <xf numFmtId="3" fontId="16" fillId="0" borderId="27" xfId="0" applyNumberFormat="1" applyFont="1" applyBorder="1" applyAlignment="1">
      <alignment horizontal="center" vertical="center"/>
    </xf>
    <xf numFmtId="3" fontId="29" fillId="0" borderId="24" xfId="0" applyNumberFormat="1" applyFont="1" applyBorder="1" applyAlignment="1">
      <alignment horizontal="center" vertical="center"/>
    </xf>
    <xf numFmtId="3" fontId="29" fillId="0" borderId="27" xfId="0" applyNumberFormat="1" applyFont="1" applyBorder="1" applyAlignment="1">
      <alignment horizontal="center" vertical="center"/>
    </xf>
    <xf numFmtId="3" fontId="29" fillId="10" borderId="31" xfId="0" applyNumberFormat="1" applyFont="1" applyFill="1" applyBorder="1" applyAlignment="1">
      <alignment horizontal="center" vertical="center"/>
    </xf>
    <xf numFmtId="1" fontId="27" fillId="0" borderId="23" xfId="0" applyNumberFormat="1" applyFont="1" applyBorder="1" applyAlignment="1">
      <alignment horizontal="center" vertical="center"/>
    </xf>
    <xf numFmtId="0" fontId="57" fillId="6" borderId="0" xfId="0" applyFont="1" applyFill="1" applyAlignment="1">
      <alignment horizontal="left" vertical="top" wrapText="1"/>
    </xf>
    <xf numFmtId="9" fontId="17" fillId="8" borderId="25" xfId="0" applyNumberFormat="1" applyFont="1" applyFill="1" applyBorder="1" applyAlignment="1">
      <alignment horizontal="center" vertical="center"/>
    </xf>
    <xf numFmtId="9" fontId="17" fillId="0" borderId="25" xfId="0" applyNumberFormat="1" applyFont="1" applyBorder="1" applyAlignment="1">
      <alignment horizontal="center" vertical="center"/>
    </xf>
    <xf numFmtId="0" fontId="17" fillId="2" borderId="41" xfId="0" applyFont="1" applyFill="1" applyBorder="1" applyAlignment="1">
      <alignment horizontal="right" vertical="center" wrapText="1"/>
    </xf>
    <xf numFmtId="3" fontId="16" fillId="90" borderId="28" xfId="0" applyNumberFormat="1" applyFont="1" applyFill="1" applyBorder="1" applyAlignment="1">
      <alignment horizontal="center" vertical="center"/>
    </xf>
    <xf numFmtId="9" fontId="17" fillId="0" borderId="29" xfId="0" applyNumberFormat="1" applyFont="1" applyBorder="1" applyAlignment="1">
      <alignment horizontal="center" vertical="center"/>
    </xf>
    <xf numFmtId="3" fontId="16" fillId="90" borderId="30" xfId="0" applyNumberFormat="1" applyFont="1" applyFill="1" applyBorder="1" applyAlignment="1">
      <alignment horizontal="center" vertical="center"/>
    </xf>
    <xf numFmtId="0" fontId="21" fillId="4" borderId="0" xfId="0" applyFont="1" applyFill="1" applyBorder="1" applyAlignment="1">
      <alignment horizontal="center" vertical="center" wrapText="1"/>
    </xf>
    <xf numFmtId="0" fontId="81" fillId="94" borderId="82" xfId="0" quotePrefix="1" applyFont="1" applyFill="1" applyBorder="1" applyAlignment="1">
      <alignment horizontal="left" vertical="center" wrapText="1"/>
    </xf>
    <xf numFmtId="0" fontId="91" fillId="81" borderId="0" xfId="0" quotePrefix="1" applyFont="1" applyFill="1" applyBorder="1" applyAlignment="1">
      <alignment horizontal="left" vertical="center" wrapText="1"/>
    </xf>
    <xf numFmtId="0" fontId="81" fillId="94" borderId="82" xfId="0" quotePrefix="1" applyFont="1" applyFill="1" applyBorder="1" applyAlignment="1">
      <alignment horizontal="left" vertical="center"/>
    </xf>
    <xf numFmtId="0" fontId="20" fillId="79" borderId="32" xfId="0" quotePrefix="1" applyFont="1" applyFill="1" applyBorder="1" applyAlignment="1">
      <alignment horizontal="right" vertical="center"/>
    </xf>
    <xf numFmtId="0" fontId="20" fillId="79" borderId="63" xfId="0" quotePrefix="1" applyFont="1" applyFill="1" applyBorder="1" applyAlignment="1">
      <alignment horizontal="right" vertical="center"/>
    </xf>
    <xf numFmtId="0" fontId="20" fillId="65" borderId="82" xfId="0" quotePrefix="1" applyFont="1" applyFill="1" applyBorder="1" applyAlignment="1">
      <alignment horizontal="right" vertical="center"/>
    </xf>
    <xf numFmtId="0" fontId="16" fillId="12" borderId="99" xfId="0" quotePrefix="1" applyFont="1" applyFill="1" applyBorder="1" applyAlignment="1">
      <alignment horizontal="right" vertical="top"/>
    </xf>
    <xf numFmtId="3" fontId="27" fillId="0" borderId="24" xfId="0" applyNumberFormat="1" applyFont="1" applyBorder="1" applyAlignment="1">
      <alignment horizontal="center" vertical="center"/>
    </xf>
    <xf numFmtId="0" fontId="17" fillId="81" borderId="5" xfId="0" quotePrefix="1" applyFont="1" applyFill="1" applyBorder="1" applyAlignment="1">
      <alignment horizontal="right" vertical="center"/>
    </xf>
    <xf numFmtId="0" fontId="23" fillId="64" borderId="31" xfId="0" applyFont="1" applyFill="1" applyBorder="1" applyAlignment="1">
      <alignment horizontal="center" vertical="center"/>
    </xf>
    <xf numFmtId="0" fontId="23" fillId="64" borderId="21" xfId="0" applyFont="1" applyFill="1" applyBorder="1" applyAlignment="1">
      <alignment horizontal="center" vertical="center"/>
    </xf>
    <xf numFmtId="0" fontId="23" fillId="64" borderId="29" xfId="0" applyFont="1" applyFill="1" applyBorder="1" applyAlignment="1">
      <alignment horizontal="center" vertical="center"/>
    </xf>
    <xf numFmtId="3" fontId="27" fillId="0" borderId="26" xfId="0" applyNumberFormat="1" applyFont="1" applyBorder="1" applyAlignment="1">
      <alignment horizontal="center" vertical="center"/>
    </xf>
    <xf numFmtId="9" fontId="0" fillId="0" borderId="0" xfId="0" applyNumberFormat="1"/>
    <xf numFmtId="9" fontId="29" fillId="0" borderId="0" xfId="4" applyNumberFormat="1" applyFont="1" applyFill="1" applyAlignment="1">
      <alignment horizontal="center"/>
    </xf>
    <xf numFmtId="9" fontId="57" fillId="0" borderId="0" xfId="0" applyNumberFormat="1" applyFont="1" applyFill="1" applyAlignment="1">
      <alignment horizontal="center"/>
    </xf>
    <xf numFmtId="0" fontId="22" fillId="7" borderId="0" xfId="0" quotePrefix="1" applyFont="1" applyFill="1" applyAlignment="1">
      <alignment horizontal="center" wrapText="1"/>
    </xf>
    <xf numFmtId="0" fontId="5" fillId="12" borderId="0" xfId="0" quotePrefix="1" applyFont="1" applyFill="1" applyBorder="1" applyAlignment="1">
      <alignment horizontal="left" vertical="top"/>
    </xf>
    <xf numFmtId="0" fontId="16" fillId="2" borderId="5" xfId="0" quotePrefix="1" applyFont="1" applyFill="1" applyBorder="1" applyAlignment="1">
      <alignment horizontal="right" vertical="center"/>
    </xf>
    <xf numFmtId="0" fontId="16" fillId="12" borderId="99" xfId="0" quotePrefix="1" applyFont="1" applyFill="1" applyBorder="1" applyAlignment="1">
      <alignment horizontal="left" vertical="top"/>
    </xf>
    <xf numFmtId="3" fontId="13" fillId="0" borderId="0" xfId="0" applyNumberFormat="1" applyFont="1" applyFill="1" applyAlignment="1">
      <alignment horizontal="center"/>
    </xf>
    <xf numFmtId="0" fontId="23" fillId="86" borderId="5" xfId="0" applyFont="1" applyFill="1" applyBorder="1" applyAlignment="1">
      <alignment horizontal="left" vertical="center"/>
    </xf>
    <xf numFmtId="0" fontId="23" fillId="70" borderId="5" xfId="0" applyFont="1" applyFill="1" applyBorder="1" applyAlignment="1">
      <alignment horizontal="left" vertical="center"/>
    </xf>
    <xf numFmtId="0" fontId="128" fillId="0" borderId="0" xfId="0" applyFont="1" applyFill="1" applyBorder="1" applyAlignment="1">
      <alignment horizontal="right" vertical="center"/>
    </xf>
    <xf numFmtId="0" fontId="129" fillId="0" borderId="0" xfId="0" applyFont="1" applyFill="1"/>
    <xf numFmtId="0" fontId="126" fillId="94" borderId="0" xfId="0" quotePrefix="1" applyFont="1" applyFill="1" applyAlignment="1">
      <alignment horizontal="left"/>
    </xf>
    <xf numFmtId="9" fontId="59" fillId="94" borderId="0" xfId="0" applyNumberFormat="1" applyFont="1" applyFill="1"/>
    <xf numFmtId="9" fontId="24" fillId="0" borderId="0" xfId="0" quotePrefix="1" applyNumberFormat="1" applyFont="1" applyFill="1" applyAlignment="1">
      <alignment horizontal="left" wrapText="1"/>
    </xf>
    <xf numFmtId="0" fontId="116" fillId="0" borderId="31" xfId="0" applyFont="1" applyFill="1" applyBorder="1" applyAlignment="1">
      <alignment horizontal="center" vertical="center"/>
    </xf>
    <xf numFmtId="0" fontId="116" fillId="0" borderId="21" xfId="0" applyFont="1" applyFill="1" applyBorder="1" applyAlignment="1">
      <alignment horizontal="center" vertical="center"/>
    </xf>
    <xf numFmtId="0" fontId="116" fillId="0" borderId="29" xfId="0" applyFont="1" applyFill="1" applyBorder="1" applyAlignment="1">
      <alignment horizontal="center" vertical="center"/>
    </xf>
    <xf numFmtId="0" fontId="27" fillId="0" borderId="70" xfId="0" applyFont="1" applyBorder="1" applyAlignment="1">
      <alignment horizontal="center" vertical="center"/>
    </xf>
    <xf numFmtId="164" fontId="57" fillId="0" borderId="25" xfId="0" quotePrefix="1" applyNumberFormat="1" applyFont="1" applyBorder="1" applyAlignment="1">
      <alignment horizontal="center" vertical="center"/>
    </xf>
    <xf numFmtId="0" fontId="30" fillId="14" borderId="0" xfId="0" quotePrefix="1" applyFont="1" applyFill="1" applyAlignment="1">
      <alignment horizontal="left" wrapText="1"/>
    </xf>
    <xf numFmtId="164" fontId="46" fillId="0" borderId="18" xfId="0" applyNumberFormat="1" applyFont="1" applyBorder="1" applyAlignment="1">
      <alignment horizontal="center" vertical="center"/>
    </xf>
    <xf numFmtId="0" fontId="57" fillId="0" borderId="22" xfId="0" applyNumberFormat="1" applyFont="1" applyFill="1" applyBorder="1" applyAlignment="1">
      <alignment horizontal="center" vertical="center"/>
    </xf>
    <xf numFmtId="0" fontId="27" fillId="2" borderId="3" xfId="0" quotePrefix="1" applyFont="1" applyFill="1" applyBorder="1" applyAlignment="1">
      <alignment horizontal="right" vertical="center"/>
    </xf>
    <xf numFmtId="1" fontId="17" fillId="8" borderId="21" xfId="0" applyNumberFormat="1" applyFont="1" applyFill="1" applyBorder="1" applyAlignment="1">
      <alignment horizontal="center" vertical="center"/>
    </xf>
    <xf numFmtId="164" fontId="46" fillId="0" borderId="27" xfId="0" applyNumberFormat="1" applyFont="1" applyBorder="1" applyAlignment="1">
      <alignment horizontal="center" vertical="center"/>
    </xf>
    <xf numFmtId="3" fontId="27" fillId="98" borderId="29" xfId="0" applyNumberFormat="1" applyFont="1" applyFill="1" applyBorder="1" applyAlignment="1">
      <alignment horizontal="center" vertical="center"/>
    </xf>
    <xf numFmtId="0" fontId="23" fillId="97" borderId="3" xfId="0" quotePrefix="1" applyFont="1" applyFill="1" applyBorder="1" applyAlignment="1">
      <alignment horizontal="right" vertical="center"/>
    </xf>
    <xf numFmtId="0" fontId="17" fillId="98" borderId="22" xfId="0" applyNumberFormat="1" applyFont="1" applyFill="1" applyBorder="1" applyAlignment="1">
      <alignment horizontal="center" vertical="center"/>
    </xf>
    <xf numFmtId="0" fontId="29" fillId="0" borderId="22" xfId="0" applyNumberFormat="1" applyFont="1" applyFill="1" applyBorder="1" applyAlignment="1">
      <alignment horizontal="center" vertical="center"/>
    </xf>
    <xf numFmtId="3" fontId="17" fillId="98" borderId="31" xfId="0" applyNumberFormat="1" applyFont="1" applyFill="1" applyBorder="1" applyAlignment="1">
      <alignment horizontal="center" vertical="center"/>
    </xf>
    <xf numFmtId="0" fontId="89" fillId="6" borderId="0" xfId="0" applyFont="1" applyFill="1" applyAlignment="1">
      <alignment horizontal="left" vertical="top" wrapText="1"/>
    </xf>
    <xf numFmtId="0" fontId="81" fillId="6" borderId="0" xfId="0" applyFont="1" applyFill="1"/>
    <xf numFmtId="3" fontId="20" fillId="23" borderId="0" xfId="0" applyNumberFormat="1" applyFont="1" applyFill="1" applyAlignment="1">
      <alignment horizontal="center"/>
    </xf>
    <xf numFmtId="3" fontId="20" fillId="23" borderId="0" xfId="4" applyNumberFormat="1" applyFont="1" applyFill="1" applyAlignment="1">
      <alignment horizontal="center"/>
    </xf>
    <xf numFmtId="1" fontId="59" fillId="23" borderId="0" xfId="0" applyNumberFormat="1" applyFont="1" applyFill="1"/>
    <xf numFmtId="0" fontId="20" fillId="6" borderId="0" xfId="0" applyFont="1" applyFill="1" applyAlignment="1">
      <alignment horizontal="center" vertical="center"/>
    </xf>
    <xf numFmtId="0" fontId="20" fillId="23" borderId="0" xfId="0" applyFont="1" applyFill="1"/>
    <xf numFmtId="0" fontId="20" fillId="23" borderId="0" xfId="2" applyFont="1" applyFill="1" applyAlignment="1">
      <alignment horizontal="center"/>
    </xf>
    <xf numFmtId="0" fontId="2" fillId="0" borderId="83" xfId="0" applyFont="1" applyFill="1" applyBorder="1" applyAlignment="1">
      <alignment horizontal="center" vertical="center"/>
    </xf>
    <xf numFmtId="9" fontId="2" fillId="0" borderId="0" xfId="0" applyNumberFormat="1" applyFont="1" applyFill="1" applyBorder="1" applyAlignment="1">
      <alignment horizontal="center" vertical="center"/>
    </xf>
    <xf numFmtId="9" fontId="2" fillId="0" borderId="26" xfId="0" applyNumberFormat="1" applyFont="1" applyFill="1" applyBorder="1" applyAlignment="1">
      <alignment horizontal="center" vertical="center"/>
    </xf>
    <xf numFmtId="3" fontId="116" fillId="0" borderId="83" xfId="0" applyNumberFormat="1" applyFont="1" applyBorder="1" applyAlignment="1">
      <alignment horizontal="center" vertical="center"/>
    </xf>
    <xf numFmtId="9" fontId="116" fillId="0" borderId="0" xfId="0" applyNumberFormat="1" applyFont="1" applyBorder="1" applyAlignment="1">
      <alignment horizontal="center" vertical="center"/>
    </xf>
    <xf numFmtId="1" fontId="57" fillId="0" borderId="83" xfId="0" applyNumberFormat="1" applyFont="1" applyBorder="1" applyAlignment="1">
      <alignment horizontal="center" vertical="center"/>
    </xf>
    <xf numFmtId="1" fontId="116" fillId="0" borderId="26" xfId="0" applyNumberFormat="1" applyFont="1" applyBorder="1" applyAlignment="1">
      <alignment horizontal="center" vertical="center"/>
    </xf>
    <xf numFmtId="3" fontId="116" fillId="0" borderId="19" xfId="0" applyNumberFormat="1" applyFont="1" applyBorder="1" applyAlignment="1">
      <alignment horizontal="center" vertical="center"/>
    </xf>
    <xf numFmtId="0" fontId="57" fillId="0" borderId="0" xfId="0" applyNumberFormat="1" applyFont="1" applyFill="1" applyBorder="1" applyAlignment="1">
      <alignment horizontal="center" vertical="center"/>
    </xf>
    <xf numFmtId="0" fontId="57" fillId="0" borderId="26" xfId="0" applyNumberFormat="1" applyFont="1" applyFill="1" applyBorder="1" applyAlignment="1">
      <alignment horizontal="center" vertical="center"/>
    </xf>
    <xf numFmtId="3" fontId="116" fillId="0" borderId="26" xfId="0" applyNumberFormat="1" applyFont="1" applyBorder="1" applyAlignment="1">
      <alignment horizontal="center" vertical="center"/>
    </xf>
    <xf numFmtId="164" fontId="57" fillId="0" borderId="26" xfId="0" quotePrefix="1" applyNumberFormat="1" applyFont="1" applyBorder="1" applyAlignment="1">
      <alignment horizontal="center" vertical="center"/>
    </xf>
    <xf numFmtId="0" fontId="84" fillId="6" borderId="0" xfId="0" applyFont="1" applyFill="1"/>
    <xf numFmtId="0" fontId="57" fillId="6" borderId="0" xfId="0" applyFont="1" applyFill="1" applyBorder="1" applyAlignment="1">
      <alignment vertical="center"/>
    </xf>
    <xf numFmtId="0" fontId="57" fillId="0" borderId="0" xfId="0" applyNumberFormat="1" applyFont="1" applyBorder="1" applyAlignment="1">
      <alignment horizontal="center" vertical="center"/>
    </xf>
    <xf numFmtId="0" fontId="57" fillId="23" borderId="0" xfId="0" applyFont="1" applyFill="1" applyBorder="1" applyAlignment="1">
      <alignment horizontal="center" vertical="center"/>
    </xf>
    <xf numFmtId="3" fontId="27" fillId="0" borderId="83" xfId="0" applyNumberFormat="1" applyFont="1" applyBorder="1" applyAlignment="1">
      <alignment horizontal="center" vertical="center"/>
    </xf>
    <xf numFmtId="0" fontId="29" fillId="0" borderId="19" xfId="0" applyNumberFormat="1" applyFont="1" applyFill="1" applyBorder="1" applyAlignment="1">
      <alignment horizontal="center" vertical="center"/>
    </xf>
    <xf numFmtId="0" fontId="29" fillId="0" borderId="26" xfId="0" applyNumberFormat="1" applyFont="1" applyFill="1" applyBorder="1" applyAlignment="1">
      <alignment horizontal="center" vertical="center"/>
    </xf>
    <xf numFmtId="0" fontId="27" fillId="0" borderId="83" xfId="0" applyFont="1" applyBorder="1" applyAlignment="1">
      <alignment horizontal="center" vertical="center"/>
    </xf>
    <xf numFmtId="0" fontId="27" fillId="0" borderId="0" xfId="0" applyFont="1" applyBorder="1" applyAlignment="1">
      <alignment horizontal="center" vertical="center"/>
    </xf>
    <xf numFmtId="0" fontId="27" fillId="0" borderId="26" xfId="0" applyFont="1" applyBorder="1" applyAlignment="1">
      <alignment horizontal="center" vertical="center"/>
    </xf>
    <xf numFmtId="1" fontId="29" fillId="0" borderId="83" xfId="0" applyNumberFormat="1" applyFont="1" applyBorder="1" applyAlignment="1">
      <alignment horizontal="center" vertical="center"/>
    </xf>
    <xf numFmtId="0" fontId="29" fillId="0" borderId="83" xfId="0" applyNumberFormat="1" applyFont="1" applyFill="1" applyBorder="1" applyAlignment="1">
      <alignment horizontal="center" vertical="center"/>
    </xf>
    <xf numFmtId="9" fontId="27" fillId="6"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3" fontId="27" fillId="0" borderId="26" xfId="0" applyNumberFormat="1" applyFont="1" applyFill="1" applyBorder="1" applyAlignment="1">
      <alignment horizontal="center" vertical="center"/>
    </xf>
    <xf numFmtId="9" fontId="27" fillId="0" borderId="26" xfId="0" applyNumberFormat="1" applyFont="1" applyBorder="1" applyAlignment="1">
      <alignment horizontal="center" vertical="center"/>
    </xf>
    <xf numFmtId="1" fontId="27" fillId="0" borderId="16" xfId="0" applyNumberFormat="1" applyFont="1" applyBorder="1" applyAlignment="1">
      <alignment horizontal="center" vertical="center"/>
    </xf>
    <xf numFmtId="3" fontId="29" fillId="0" borderId="83" xfId="0" applyNumberFormat="1" applyFont="1" applyFill="1" applyBorder="1" applyAlignment="1">
      <alignment horizontal="center" vertical="center"/>
    </xf>
    <xf numFmtId="3" fontId="29" fillId="0" borderId="0"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xf>
    <xf numFmtId="3" fontId="29" fillId="0" borderId="16" xfId="0" applyNumberFormat="1" applyFont="1" applyFill="1" applyBorder="1" applyAlignment="1">
      <alignment horizontal="center" vertical="center"/>
    </xf>
    <xf numFmtId="0" fontId="27" fillId="23" borderId="0" xfId="0" applyFont="1" applyFill="1" applyBorder="1" applyAlignment="1">
      <alignment horizontal="center" vertical="center"/>
    </xf>
    <xf numFmtId="0" fontId="29" fillId="23" borderId="0" xfId="0" applyFont="1" applyFill="1" applyBorder="1" applyAlignment="1">
      <alignment horizontal="center" vertical="center"/>
    </xf>
    <xf numFmtId="3" fontId="16" fillId="0" borderId="16" xfId="0" applyNumberFormat="1" applyFont="1" applyBorder="1" applyAlignment="1">
      <alignment horizontal="center" vertical="center"/>
    </xf>
    <xf numFmtId="0" fontId="29" fillId="0" borderId="26" xfId="0" applyFont="1" applyBorder="1" applyAlignment="1">
      <alignment horizontal="center" vertical="center"/>
    </xf>
    <xf numFmtId="9" fontId="29" fillId="0" borderId="21" xfId="0" applyNumberFormat="1" applyFont="1" applyFill="1" applyBorder="1" applyAlignment="1">
      <alignment horizontal="center" vertical="center"/>
    </xf>
    <xf numFmtId="9" fontId="29" fillId="0" borderId="29" xfId="0" applyNumberFormat="1" applyFont="1" applyFill="1" applyBorder="1" applyAlignment="1">
      <alignment horizontal="center" vertical="center"/>
    </xf>
    <xf numFmtId="0" fontId="57" fillId="0" borderId="83"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57" fillId="0" borderId="26" xfId="0" applyNumberFormat="1" applyFont="1" applyFill="1" applyBorder="1" applyAlignment="1">
      <alignment horizontal="center" vertical="center"/>
    </xf>
    <xf numFmtId="9" fontId="57" fillId="0" borderId="16" xfId="0" applyNumberFormat="1" applyFont="1" applyBorder="1" applyAlignment="1">
      <alignment horizontal="center" vertical="center"/>
    </xf>
    <xf numFmtId="3" fontId="57" fillId="0" borderId="19" xfId="0" applyNumberFormat="1" applyFont="1" applyBorder="1" applyAlignment="1">
      <alignment horizontal="center" vertical="center"/>
    </xf>
    <xf numFmtId="0" fontId="29" fillId="0" borderId="0" xfId="0" applyFont="1" applyFill="1" applyBorder="1" applyAlignment="1">
      <alignment horizontal="center" vertical="center"/>
    </xf>
    <xf numFmtId="9" fontId="29" fillId="0" borderId="0" xfId="0" applyNumberFormat="1" applyFont="1" applyFill="1" applyBorder="1" applyAlignment="1">
      <alignment horizontal="center" vertical="center"/>
    </xf>
    <xf numFmtId="9" fontId="29" fillId="0" borderId="26" xfId="0" applyNumberFormat="1" applyFont="1" applyFill="1" applyBorder="1" applyAlignment="1">
      <alignment horizontal="center" vertical="center"/>
    </xf>
    <xf numFmtId="0" fontId="29" fillId="0" borderId="83" xfId="0" applyFont="1" applyFill="1" applyBorder="1" applyAlignment="1">
      <alignment horizontal="center" vertical="center"/>
    </xf>
    <xf numFmtId="0" fontId="116" fillId="2" borderId="3" xfId="0" quotePrefix="1" applyFont="1" applyFill="1" applyBorder="1" applyAlignment="1">
      <alignment horizontal="right" vertical="center"/>
    </xf>
    <xf numFmtId="3" fontId="116" fillId="8" borderId="29" xfId="0" applyNumberFormat="1" applyFont="1" applyFill="1" applyBorder="1" applyAlignment="1">
      <alignment horizontal="center" vertical="center"/>
    </xf>
    <xf numFmtId="9" fontId="57" fillId="0" borderId="26" xfId="0" quotePrefix="1" applyNumberFormat="1" applyFont="1" applyBorder="1" applyAlignment="1">
      <alignment horizontal="center" vertical="center"/>
    </xf>
    <xf numFmtId="9" fontId="7" fillId="8" borderId="21" xfId="0" applyNumberFormat="1" applyFont="1" applyFill="1" applyBorder="1" applyAlignment="1">
      <alignment horizontal="center" vertical="center"/>
    </xf>
    <xf numFmtId="0" fontId="29" fillId="0" borderId="16" xfId="0" applyFont="1" applyBorder="1" applyAlignment="1">
      <alignment horizontal="center" vertical="center"/>
    </xf>
    <xf numFmtId="164" fontId="130" fillId="0" borderId="29" xfId="0" applyNumberFormat="1" applyFont="1" applyBorder="1" applyAlignment="1">
      <alignment horizontal="center" vertical="center"/>
    </xf>
    <xf numFmtId="0" fontId="116" fillId="0" borderId="83" xfId="0" applyFont="1" applyFill="1" applyBorder="1" applyAlignment="1">
      <alignment horizontal="center" vertical="center"/>
    </xf>
    <xf numFmtId="0" fontId="116" fillId="0" borderId="0" xfId="0" applyFont="1" applyFill="1" applyBorder="1" applyAlignment="1">
      <alignment horizontal="center" vertical="center"/>
    </xf>
    <xf numFmtId="0" fontId="116" fillId="0" borderId="26" xfId="0" applyFont="1" applyFill="1" applyBorder="1" applyAlignment="1">
      <alignment horizontal="center" vertical="center"/>
    </xf>
    <xf numFmtId="0" fontId="57" fillId="23" borderId="0" xfId="0" applyFont="1" applyFill="1"/>
    <xf numFmtId="0" fontId="84" fillId="23" borderId="0" xfId="0" applyFont="1" applyFill="1"/>
    <xf numFmtId="3" fontId="29" fillId="23" borderId="0" xfId="0" applyNumberFormat="1" applyFont="1" applyFill="1" applyAlignment="1">
      <alignment horizontal="center"/>
    </xf>
    <xf numFmtId="164" fontId="81" fillId="99" borderId="29" xfId="0" applyNumberFormat="1" applyFont="1" applyFill="1" applyBorder="1" applyAlignment="1">
      <alignment horizontal="center" vertical="center"/>
    </xf>
    <xf numFmtId="9" fontId="57" fillId="0" borderId="28" xfId="0" applyNumberFormat="1" applyFont="1" applyFill="1" applyBorder="1" applyAlignment="1">
      <alignment horizontal="center" vertical="center"/>
    </xf>
    <xf numFmtId="0" fontId="27" fillId="0" borderId="16" xfId="0" applyFont="1" applyBorder="1" applyAlignment="1">
      <alignment horizontal="center" vertical="center"/>
    </xf>
    <xf numFmtId="164" fontId="33" fillId="91" borderId="18" xfId="0" applyNumberFormat="1" applyFont="1" applyFill="1" applyBorder="1" applyAlignment="1">
      <alignment horizontal="center" vertical="center"/>
    </xf>
    <xf numFmtId="164" fontId="91" fillId="0" borderId="29" xfId="0" applyNumberFormat="1" applyFont="1" applyBorder="1" applyAlignment="1">
      <alignment horizontal="center" vertical="center"/>
    </xf>
    <xf numFmtId="0" fontId="131" fillId="6" borderId="0" xfId="0" applyFont="1" applyFill="1"/>
    <xf numFmtId="0" fontId="91" fillId="6" borderId="0" xfId="0" applyFont="1" applyFill="1"/>
    <xf numFmtId="9" fontId="29" fillId="0" borderId="25" xfId="0" applyNumberFormat="1" applyFont="1" applyFill="1" applyBorder="1" applyAlignment="1">
      <alignment horizontal="center" vertical="center"/>
    </xf>
    <xf numFmtId="9" fontId="33" fillId="100" borderId="28" xfId="0" applyNumberFormat="1" applyFont="1" applyFill="1" applyBorder="1" applyAlignment="1">
      <alignment horizontal="center" vertical="center"/>
    </xf>
    <xf numFmtId="9" fontId="116" fillId="0" borderId="29" xfId="0" applyNumberFormat="1" applyFont="1" applyFill="1" applyBorder="1" applyAlignment="1">
      <alignment horizontal="center" vertical="center"/>
    </xf>
    <xf numFmtId="9" fontId="91" fillId="83" borderId="21" xfId="0" applyNumberFormat="1" applyFont="1" applyFill="1" applyBorder="1" applyAlignment="1">
      <alignment horizontal="center" vertical="center"/>
    </xf>
    <xf numFmtId="3" fontId="116" fillId="0" borderId="24" xfId="0" applyNumberFormat="1" applyFont="1" applyBorder="1" applyAlignment="1">
      <alignment horizontal="center" vertical="center"/>
    </xf>
    <xf numFmtId="3" fontId="116" fillId="0" borderId="27" xfId="0" applyNumberFormat="1" applyFont="1" applyBorder="1" applyAlignment="1">
      <alignment horizontal="center" vertical="center"/>
    </xf>
    <xf numFmtId="164" fontId="57" fillId="0" borderId="27" xfId="0" quotePrefix="1" applyNumberFormat="1" applyFont="1" applyBorder="1" applyAlignment="1">
      <alignment horizontal="center" vertical="center"/>
    </xf>
    <xf numFmtId="1" fontId="27" fillId="0" borderId="24" xfId="0" applyNumberFormat="1" applyFont="1" applyBorder="1" applyAlignment="1">
      <alignment horizontal="center" vertical="center"/>
    </xf>
    <xf numFmtId="1" fontId="27" fillId="0" borderId="18" xfId="0" applyNumberFormat="1" applyFont="1" applyBorder="1" applyAlignment="1">
      <alignment horizontal="center" vertical="center"/>
    </xf>
    <xf numFmtId="1" fontId="27" fillId="0" borderId="27" xfId="0" applyNumberFormat="1" applyFont="1" applyBorder="1" applyAlignment="1">
      <alignment horizontal="center" vertical="center"/>
    </xf>
    <xf numFmtId="3" fontId="29" fillId="6" borderId="16" xfId="0" applyNumberFormat="1" applyFont="1" applyFill="1" applyBorder="1" applyAlignment="1">
      <alignment horizontal="center" vertical="center"/>
    </xf>
    <xf numFmtId="3" fontId="27" fillId="0" borderId="18" xfId="0" applyNumberFormat="1" applyFont="1" applyBorder="1" applyAlignment="1">
      <alignment horizontal="center" vertical="center"/>
    </xf>
    <xf numFmtId="3" fontId="27" fillId="0" borderId="27" xfId="0" applyNumberFormat="1" applyFont="1" applyBorder="1" applyAlignment="1">
      <alignment horizontal="center" vertical="center"/>
    </xf>
    <xf numFmtId="1" fontId="29" fillId="0" borderId="31" xfId="0" applyNumberFormat="1" applyFont="1" applyFill="1" applyBorder="1" applyAlignment="1">
      <alignment horizontal="center" vertical="center"/>
    </xf>
    <xf numFmtId="0" fontId="8" fillId="12" borderId="102" xfId="0" applyFont="1" applyFill="1" applyBorder="1" applyAlignment="1">
      <alignment horizontal="left" vertical="top" wrapText="1"/>
    </xf>
    <xf numFmtId="0" fontId="8" fillId="12" borderId="103" xfId="0" applyFont="1" applyFill="1" applyBorder="1" applyAlignment="1">
      <alignment horizontal="left" vertical="top" wrapText="1"/>
    </xf>
    <xf numFmtId="0" fontId="4" fillId="12" borderId="0" xfId="0" applyFont="1" applyFill="1" applyBorder="1" applyAlignment="1">
      <alignment horizontal="left" vertical="top" wrapText="1"/>
    </xf>
    <xf numFmtId="0" fontId="8" fillId="12" borderId="0" xfId="0" applyFont="1" applyFill="1" applyBorder="1" applyAlignment="1">
      <alignment horizontal="left" vertical="top" wrapText="1"/>
    </xf>
    <xf numFmtId="0" fontId="8" fillId="12" borderId="100" xfId="0" applyFont="1" applyFill="1" applyBorder="1" applyAlignment="1">
      <alignment horizontal="left" vertical="top" wrapText="1"/>
    </xf>
    <xf numFmtId="0" fontId="3" fillId="12" borderId="0" xfId="0" quotePrefix="1" applyFont="1" applyFill="1" applyBorder="1" applyAlignment="1">
      <alignment horizontal="left" vertical="top" wrapText="1"/>
    </xf>
    <xf numFmtId="0" fontId="6" fillId="12" borderId="0" xfId="0" applyFont="1" applyFill="1" applyBorder="1" applyAlignment="1">
      <alignment horizontal="left" vertical="top" wrapText="1"/>
    </xf>
    <xf numFmtId="0" fontId="6" fillId="12" borderId="100" xfId="0" applyFont="1" applyFill="1" applyBorder="1" applyAlignment="1">
      <alignment horizontal="left" vertical="top" wrapText="1"/>
    </xf>
    <xf numFmtId="0" fontId="115" fillId="4" borderId="13" xfId="0" applyFont="1" applyFill="1" applyBorder="1" applyAlignment="1">
      <alignment horizontal="center" vertical="center" wrapText="1"/>
    </xf>
    <xf numFmtId="0" fontId="22" fillId="22" borderId="66" xfId="0" applyFont="1" applyFill="1" applyBorder="1" applyAlignment="1">
      <alignment horizontal="center" vertical="center" wrapText="1"/>
    </xf>
    <xf numFmtId="0" fontId="22" fillId="94" borderId="65" xfId="0" applyFont="1" applyFill="1" applyBorder="1" applyAlignment="1">
      <alignment horizontal="center" vertical="center" wrapText="1"/>
    </xf>
    <xf numFmtId="0" fontId="22" fillId="94" borderId="67" xfId="0" applyFont="1" applyFill="1" applyBorder="1" applyAlignment="1">
      <alignment horizontal="center" vertical="center" wrapText="1"/>
    </xf>
    <xf numFmtId="0" fontId="118" fillId="81" borderId="66" xfId="0" applyFont="1" applyFill="1" applyBorder="1" applyAlignment="1">
      <alignment horizontal="center" vertical="center" wrapText="1"/>
    </xf>
    <xf numFmtId="0" fontId="115" fillId="22" borderId="13" xfId="0" quotePrefix="1" applyFont="1" applyFill="1" applyBorder="1" applyAlignment="1">
      <alignment horizontal="center" vertical="center" wrapText="1"/>
    </xf>
    <xf numFmtId="0" fontId="115" fillId="22" borderId="13" xfId="0" applyFont="1" applyFill="1" applyBorder="1" applyAlignment="1">
      <alignment horizontal="center" vertical="center" wrapText="1"/>
    </xf>
    <xf numFmtId="0" fontId="115" fillId="81" borderId="13" xfId="0" applyFont="1" applyFill="1" applyBorder="1" applyAlignment="1">
      <alignment horizontal="center" vertical="center" wrapText="1"/>
    </xf>
    <xf numFmtId="0" fontId="6" fillId="6" borderId="0" xfId="0" quotePrefix="1" applyFont="1" applyFill="1" applyAlignment="1">
      <alignment horizontal="left" vertical="top" wrapText="1"/>
    </xf>
    <xf numFmtId="0" fontId="6" fillId="6" borderId="0" xfId="0" applyFont="1" applyFill="1" applyAlignment="1">
      <alignment horizontal="left" vertical="top" wrapText="1"/>
    </xf>
    <xf numFmtId="0" fontId="22" fillId="94" borderId="66" xfId="0" applyFont="1" applyFill="1" applyBorder="1" applyAlignment="1">
      <alignment horizontal="center" vertical="center" wrapText="1"/>
    </xf>
    <xf numFmtId="0" fontId="0" fillId="94" borderId="66" xfId="0" applyFont="1" applyFill="1" applyBorder="1" applyAlignment="1">
      <alignment horizontal="center" vertical="center" wrapText="1"/>
    </xf>
    <xf numFmtId="0" fontId="0" fillId="94" borderId="67" xfId="0" applyFont="1" applyFill="1" applyBorder="1" applyAlignment="1">
      <alignment horizontal="center" vertical="center" wrapText="1"/>
    </xf>
    <xf numFmtId="0" fontId="19" fillId="2" borderId="0" xfId="0" quotePrefix="1" applyFont="1" applyFill="1" applyAlignment="1">
      <alignment horizontal="center" vertical="center" wrapText="1"/>
    </xf>
    <xf numFmtId="0" fontId="19" fillId="2" borderId="49" xfId="0" quotePrefix="1" applyFont="1" applyFill="1" applyBorder="1" applyAlignment="1">
      <alignment horizontal="center" vertical="center" wrapText="1"/>
    </xf>
    <xf numFmtId="0" fontId="46" fillId="5" borderId="6" xfId="0" applyFont="1" applyFill="1" applyBorder="1" applyAlignment="1">
      <alignment horizontal="center" vertical="center" wrapText="1"/>
    </xf>
    <xf numFmtId="0" fontId="46" fillId="5" borderId="66" xfId="0" applyFont="1" applyFill="1" applyBorder="1" applyAlignment="1">
      <alignment horizontal="center" vertical="center" wrapText="1"/>
    </xf>
    <xf numFmtId="0" fontId="46" fillId="5" borderId="67" xfId="0" applyFont="1" applyFill="1" applyBorder="1" applyAlignment="1">
      <alignment horizontal="center" vertical="center" wrapText="1"/>
    </xf>
    <xf numFmtId="0" fontId="21" fillId="92" borderId="13" xfId="0" quotePrefix="1" applyFont="1" applyFill="1" applyBorder="1" applyAlignment="1">
      <alignment horizontal="center" vertical="center" wrapText="1"/>
    </xf>
    <xf numFmtId="0" fontId="0" fillId="92" borderId="13" xfId="0"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4" borderId="65"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21" fillId="64" borderId="13" xfId="0" applyFont="1" applyFill="1" applyBorder="1" applyAlignment="1">
      <alignment horizontal="center" vertical="center" wrapText="1"/>
    </xf>
    <xf numFmtId="0" fontId="21" fillId="87" borderId="13"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19" fillId="2" borderId="78"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21" fillId="92" borderId="13" xfId="0" applyFont="1" applyFill="1" applyBorder="1" applyAlignment="1">
      <alignment horizontal="center" vertical="center" wrapText="1"/>
    </xf>
    <xf numFmtId="0" fontId="59" fillId="92" borderId="13" xfId="0" applyFont="1" applyFill="1" applyBorder="1" applyAlignment="1">
      <alignment horizontal="center" vertical="center" wrapText="1"/>
    </xf>
    <xf numFmtId="0" fontId="21" fillId="64" borderId="0" xfId="0" applyFont="1" applyFill="1" applyBorder="1" applyAlignment="1">
      <alignment horizontal="center" vertical="center" wrapText="1"/>
    </xf>
    <xf numFmtId="0" fontId="19" fillId="2" borderId="13" xfId="0" quotePrefix="1" applyFont="1" applyFill="1" applyBorder="1" applyAlignment="1">
      <alignment horizontal="center" vertical="center" wrapText="1"/>
    </xf>
    <xf numFmtId="0" fontId="46" fillId="2" borderId="78" xfId="0" quotePrefix="1" applyFont="1" applyFill="1" applyBorder="1" applyAlignment="1">
      <alignment horizontal="center" vertical="center" wrapText="1"/>
    </xf>
    <xf numFmtId="0" fontId="92" fillId="2" borderId="13"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97" borderId="78" xfId="0" quotePrefix="1" applyFont="1" applyFill="1" applyBorder="1" applyAlignment="1">
      <alignment horizontal="center" vertical="center" wrapText="1"/>
    </xf>
    <xf numFmtId="0" fontId="21" fillId="97" borderId="13" xfId="0" quotePrefix="1" applyFont="1" applyFill="1" applyBorder="1" applyAlignment="1">
      <alignment horizontal="center" vertical="center" wrapText="1"/>
    </xf>
    <xf numFmtId="0" fontId="21" fillId="97" borderId="106" xfId="0" quotePrefix="1" applyFont="1" applyFill="1" applyBorder="1" applyAlignment="1">
      <alignment horizontal="center" vertical="center" wrapText="1"/>
    </xf>
    <xf numFmtId="0" fontId="16" fillId="0" borderId="66" xfId="0" applyFont="1" applyBorder="1" applyAlignment="1">
      <alignment horizontal="center" vertical="center" wrapText="1"/>
    </xf>
    <xf numFmtId="0" fontId="16" fillId="0" borderId="67" xfId="0" applyFont="1" applyBorder="1" applyAlignment="1">
      <alignment horizontal="center" vertical="center" wrapText="1"/>
    </xf>
    <xf numFmtId="0" fontId="46" fillId="2" borderId="13" xfId="0" quotePrefix="1" applyFont="1" applyFill="1" applyBorder="1" applyAlignment="1">
      <alignment horizontal="center" vertical="center" wrapText="1"/>
    </xf>
    <xf numFmtId="0" fontId="21" fillId="22" borderId="40" xfId="0" applyFont="1" applyFill="1" applyBorder="1" applyAlignment="1">
      <alignment horizontal="center" vertical="center" wrapText="1"/>
    </xf>
    <xf numFmtId="0" fontId="21" fillId="22" borderId="47"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7" xfId="0" applyBorder="1" applyAlignment="1">
      <alignment horizontal="center" vertical="center" wrapText="1"/>
    </xf>
    <xf numFmtId="0" fontId="21" fillId="3" borderId="40"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21" fillId="3" borderId="47" xfId="0" applyFont="1" applyFill="1" applyBorder="1" applyAlignment="1">
      <alignment horizontal="center" vertical="center" wrapText="1"/>
    </xf>
    <xf numFmtId="0" fontId="21" fillId="4" borderId="40" xfId="0" applyFont="1" applyFill="1" applyBorder="1" applyAlignment="1">
      <alignment horizontal="center" vertical="center" wrapText="1"/>
    </xf>
    <xf numFmtId="0" fontId="20" fillId="20" borderId="13" xfId="0" applyFont="1" applyFill="1" applyBorder="1" applyAlignment="1">
      <alignment horizontal="center" vertical="center" wrapText="1"/>
    </xf>
    <xf numFmtId="0" fontId="59" fillId="0" borderId="13" xfId="0" applyFont="1" applyBorder="1" applyAlignment="1">
      <alignment horizontal="center" vertical="center" wrapText="1"/>
    </xf>
    <xf numFmtId="0" fontId="19" fillId="5" borderId="23"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16" fillId="0" borderId="16" xfId="0" applyFont="1" applyFill="1" applyBorder="1" applyAlignment="1">
      <alignment horizontal="center" vertical="center"/>
    </xf>
    <xf numFmtId="0" fontId="116" fillId="0" borderId="28" xfId="0" applyFont="1" applyFill="1" applyBorder="1" applyAlignment="1">
      <alignment horizontal="center" vertical="center"/>
    </xf>
    <xf numFmtId="0" fontId="120" fillId="0" borderId="17" xfId="0" applyFont="1" applyFill="1" applyBorder="1" applyAlignment="1">
      <alignment horizontal="center" vertical="center"/>
    </xf>
  </cellXfs>
  <cellStyles count="257">
    <cellStyle name="20% - Accent1" xfId="132" builtinId="30" customBuiltin="1"/>
    <cellStyle name="20% - Accent2" xfId="136" builtinId="34" customBuiltin="1"/>
    <cellStyle name="20% - Accent3" xfId="140" builtinId="38" customBuiltin="1"/>
    <cellStyle name="20% - Accent4" xfId="144" builtinId="42" customBuiltin="1"/>
    <cellStyle name="20% - Accent5" xfId="148" builtinId="46" customBuiltin="1"/>
    <cellStyle name="20% - Accent6" xfId="152" builtinId="50" customBuiltin="1"/>
    <cellStyle name="40% - Accent1" xfId="133" builtinId="31" customBuiltin="1"/>
    <cellStyle name="40% - Accent2" xfId="137" builtinId="35" customBuiltin="1"/>
    <cellStyle name="40% - Accent3" xfId="141" builtinId="39" customBuiltin="1"/>
    <cellStyle name="40% - Accent4" xfId="145" builtinId="43" customBuiltin="1"/>
    <cellStyle name="40% - Accent5" xfId="149" builtinId="47" customBuiltin="1"/>
    <cellStyle name="40% - Accent6" xfId="153" builtinId="51" customBuiltin="1"/>
    <cellStyle name="60% - Accent1" xfId="134" builtinId="32" customBuiltin="1"/>
    <cellStyle name="60% - Accent2" xfId="138" builtinId="36" customBuiltin="1"/>
    <cellStyle name="60% - Accent3" xfId="142" builtinId="40" customBuiltin="1"/>
    <cellStyle name="60% - Accent4" xfId="146" builtinId="44" customBuiltin="1"/>
    <cellStyle name="60% - Accent5" xfId="150" builtinId="48" customBuiltin="1"/>
    <cellStyle name="60% - Accent6" xfId="154" builtinId="52" customBuiltin="1"/>
    <cellStyle name="Accent1" xfId="131" builtinId="29" customBuiltin="1"/>
    <cellStyle name="Accent2" xfId="135" builtinId="33" customBuiltin="1"/>
    <cellStyle name="Accent3" xfId="139" builtinId="37" customBuiltin="1"/>
    <cellStyle name="Accent4" xfId="143" builtinId="41" customBuiltin="1"/>
    <cellStyle name="Accent5" xfId="147" builtinId="45" customBuiltin="1"/>
    <cellStyle name="Accent6" xfId="151" builtinId="49" customBuiltin="1"/>
    <cellStyle name="Bad" xfId="121" builtinId="27" customBuiltin="1"/>
    <cellStyle name="Calculation" xfId="125" builtinId="22" customBuiltin="1"/>
    <cellStyle name="Check Cell" xfId="127" builtinId="23" customBuiltin="1"/>
    <cellStyle name="Explanatory Text" xfId="129" builtinId="53" customBuiltin="1"/>
    <cellStyle name="Good" xfId="120" builtinId="26" customBuiltin="1"/>
    <cellStyle name="Heading 1" xfId="116" builtinId="16" customBuiltin="1"/>
    <cellStyle name="Heading 2" xfId="117" builtinId="17" customBuiltin="1"/>
    <cellStyle name="Heading 3" xfId="118" builtinId="18" customBuiltin="1"/>
    <cellStyle name="Heading 4" xfId="119" builtinId="19" customBuiltin="1"/>
    <cellStyle name="Input" xfId="123" builtinId="20" customBuiltin="1"/>
    <cellStyle name="Linked Cell" xfId="126" builtinId="24" customBuiltin="1"/>
    <cellStyle name="Neutral" xfId="122" builtinId="28" customBuiltin="1"/>
    <cellStyle name="Normal" xfId="0" builtinId="0"/>
    <cellStyle name="Normal 10" xfId="94" xr:uid="{00000000-0005-0000-0000-000025000000}"/>
    <cellStyle name="Normal 10 2" xfId="221" xr:uid="{00000000-0005-0000-0000-000026000000}"/>
    <cellStyle name="Normal 11" xfId="92" xr:uid="{00000000-0005-0000-0000-000027000000}"/>
    <cellStyle name="Normal 11 2" xfId="95" xr:uid="{00000000-0005-0000-0000-000028000000}"/>
    <cellStyle name="Normal 11 3" xfId="112" xr:uid="{00000000-0005-0000-0000-000029000000}"/>
    <cellStyle name="Normal 12" xfId="96" xr:uid="{00000000-0005-0000-0000-00002A000000}"/>
    <cellStyle name="Normal 12 2" xfId="222" xr:uid="{00000000-0005-0000-0000-00002B000000}"/>
    <cellStyle name="Normal 13" xfId="110" xr:uid="{00000000-0005-0000-0000-00002C000000}"/>
    <cellStyle name="Normal 13 2" xfId="113" xr:uid="{00000000-0005-0000-0000-00002D000000}"/>
    <cellStyle name="Normal 13 3" xfId="251" xr:uid="{693A27B9-DD80-4EC3-BD34-7FCA0A1636F0}"/>
    <cellStyle name="Normal 14" xfId="114" xr:uid="{00000000-0005-0000-0000-00002E000000}"/>
    <cellStyle name="Normal 14 2" xfId="237" xr:uid="{00000000-0005-0000-0000-00002F000000}"/>
    <cellStyle name="Normal 14 3" xfId="156" xr:uid="{00000000-0005-0000-0000-000030000000}"/>
    <cellStyle name="Normal 14 4" xfId="253" xr:uid="{18C8FAA8-A907-4A7C-9519-BC755AF0D8AA}"/>
    <cellStyle name="Normal 15" xfId="238" xr:uid="{00000000-0005-0000-0000-000031000000}"/>
    <cellStyle name="Normal 16" xfId="239" xr:uid="{00000000-0005-0000-0000-000032000000}"/>
    <cellStyle name="Normal 17" xfId="240" xr:uid="{00000000-0005-0000-0000-000033000000}"/>
    <cellStyle name="Normal 18" xfId="242" xr:uid="{00000000-0005-0000-0000-000034000000}"/>
    <cellStyle name="Normal 19" xfId="155" xr:uid="{00000000-0005-0000-0000-000035000000}"/>
    <cellStyle name="Normal 19 2" xfId="254" xr:uid="{81F19284-0E8B-431D-AA57-D8D7CEAD874C}"/>
    <cellStyle name="Normal 2" xfId="2" xr:uid="{00000000-0005-0000-0000-000036000000}"/>
    <cellStyle name="Normal 2 10" xfId="89" xr:uid="{00000000-0005-0000-0000-000037000000}"/>
    <cellStyle name="Normal 2 2" xfId="3" xr:uid="{00000000-0005-0000-0000-000038000000}"/>
    <cellStyle name="Normal 2 2 2" xfId="11" xr:uid="{00000000-0005-0000-0000-000039000000}"/>
    <cellStyle name="Normal 2 2 2 2" xfId="72" xr:uid="{00000000-0005-0000-0000-00003A000000}"/>
    <cellStyle name="Normal 2 2 3" xfId="74" xr:uid="{00000000-0005-0000-0000-00003B000000}"/>
    <cellStyle name="Normal 2 2 4" xfId="75" xr:uid="{00000000-0005-0000-0000-00003C000000}"/>
    <cellStyle name="Normal 2 3" xfId="6" xr:uid="{00000000-0005-0000-0000-00003D000000}"/>
    <cellStyle name="Normal 2 3 2" xfId="50" xr:uid="{00000000-0005-0000-0000-00003E000000}"/>
    <cellStyle name="Normal 2 3 2 2" xfId="158" xr:uid="{00000000-0005-0000-0000-00003F000000}"/>
    <cellStyle name="Normal 2 3 3" xfId="35" xr:uid="{00000000-0005-0000-0000-000040000000}"/>
    <cellStyle name="Normal 2 3 3 2" xfId="159" xr:uid="{00000000-0005-0000-0000-000041000000}"/>
    <cellStyle name="Normal 2 3 4" xfId="65" xr:uid="{00000000-0005-0000-0000-000042000000}"/>
    <cellStyle name="Normal 2 3 4 2" xfId="160" xr:uid="{00000000-0005-0000-0000-000043000000}"/>
    <cellStyle name="Normal 2 3 5" xfId="19" xr:uid="{00000000-0005-0000-0000-000044000000}"/>
    <cellStyle name="Normal 2 3 5 2" xfId="230" xr:uid="{00000000-0005-0000-0000-000045000000}"/>
    <cellStyle name="Normal 2 3 6" xfId="157" xr:uid="{00000000-0005-0000-0000-000046000000}"/>
    <cellStyle name="Normal 2 4" xfId="26" xr:uid="{00000000-0005-0000-0000-000047000000}"/>
    <cellStyle name="Normal 2 4 2" xfId="76" xr:uid="{00000000-0005-0000-0000-000048000000}"/>
    <cellStyle name="Normal 2 4 3" xfId="77" xr:uid="{00000000-0005-0000-0000-000049000000}"/>
    <cellStyle name="Normal 2 4 3 2" xfId="161" xr:uid="{00000000-0005-0000-0000-00004A000000}"/>
    <cellStyle name="Normal 2 4 4" xfId="97" xr:uid="{00000000-0005-0000-0000-00004B000000}"/>
    <cellStyle name="Normal 2 4 4 2" xfId="223" xr:uid="{00000000-0005-0000-0000-00004C000000}"/>
    <cellStyle name="Normal 2 5" xfId="42" xr:uid="{00000000-0005-0000-0000-00004D000000}"/>
    <cellStyle name="Normal 2 5 2" xfId="78" xr:uid="{00000000-0005-0000-0000-00004E000000}"/>
    <cellStyle name="Normal 2 5 2 2" xfId="163" xr:uid="{00000000-0005-0000-0000-00004F000000}"/>
    <cellStyle name="Normal 2 5 3" xfId="79" xr:uid="{00000000-0005-0000-0000-000050000000}"/>
    <cellStyle name="Normal 2 5 4" xfId="162" xr:uid="{00000000-0005-0000-0000-000051000000}"/>
    <cellStyle name="Normal 2 6" xfId="27" xr:uid="{00000000-0005-0000-0000-000052000000}"/>
    <cellStyle name="Normal 2 6 2" xfId="164" xr:uid="{00000000-0005-0000-0000-000053000000}"/>
    <cellStyle name="Normal 2 7" xfId="57" xr:uid="{00000000-0005-0000-0000-000054000000}"/>
    <cellStyle name="Normal 2 7 2" xfId="165" xr:uid="{00000000-0005-0000-0000-000055000000}"/>
    <cellStyle name="Normal 2 8" xfId="10" xr:uid="{00000000-0005-0000-0000-000056000000}"/>
    <cellStyle name="Normal 2 8 2" xfId="166" xr:uid="{00000000-0005-0000-0000-000057000000}"/>
    <cellStyle name="Normal 2 9" xfId="80" xr:uid="{00000000-0005-0000-0000-000058000000}"/>
    <cellStyle name="Normal 20" xfId="243" xr:uid="{9B490649-FF34-49CF-A38E-DA5693284313}"/>
    <cellStyle name="Normal 21" xfId="245" xr:uid="{FECA9AE8-6C1D-49E0-91AE-2E3EAE71EDFE}"/>
    <cellStyle name="Normal 21 2" xfId="255" xr:uid="{61821A6A-E941-40F7-97A2-96D61661DF99}"/>
    <cellStyle name="Normal 22" xfId="247" xr:uid="{0E9BE434-81EB-4FCA-BE02-F7B9FEC774DA}"/>
    <cellStyle name="Normal 22 2" xfId="256" xr:uid="{45A362DD-4EA5-4C10-89FF-9A59AFA3DF23}"/>
    <cellStyle name="Normal 3" xfId="4" xr:uid="{00000000-0005-0000-0000-000059000000}"/>
    <cellStyle name="Normal 3 10" xfId="90" xr:uid="{00000000-0005-0000-0000-00005A000000}"/>
    <cellStyle name="Normal 3 11" xfId="167" xr:uid="{00000000-0005-0000-0000-00005B000000}"/>
    <cellStyle name="Normal 3 2" xfId="7" xr:uid="{00000000-0005-0000-0000-00005C000000}"/>
    <cellStyle name="Normal 3 2 2" xfId="21" xr:uid="{00000000-0005-0000-0000-00005D000000}"/>
    <cellStyle name="Normal 3 2 2 2" xfId="52" xr:uid="{00000000-0005-0000-0000-00005E000000}"/>
    <cellStyle name="Normal 3 2 2 2 2" xfId="170" xr:uid="{00000000-0005-0000-0000-00005F000000}"/>
    <cellStyle name="Normal 3 2 2 3" xfId="37" xr:uid="{00000000-0005-0000-0000-000060000000}"/>
    <cellStyle name="Normal 3 2 2 3 2" xfId="171" xr:uid="{00000000-0005-0000-0000-000061000000}"/>
    <cellStyle name="Normal 3 2 2 4" xfId="67" xr:uid="{00000000-0005-0000-0000-000062000000}"/>
    <cellStyle name="Normal 3 2 2 4 2" xfId="172" xr:uid="{00000000-0005-0000-0000-000063000000}"/>
    <cellStyle name="Normal 3 2 2 5" xfId="105" xr:uid="{00000000-0005-0000-0000-000064000000}"/>
    <cellStyle name="Normal 3 2 2 5 2" xfId="232" xr:uid="{00000000-0005-0000-0000-000065000000}"/>
    <cellStyle name="Normal 3 2 2 6" xfId="169" xr:uid="{00000000-0005-0000-0000-000066000000}"/>
    <cellStyle name="Normal 3 2 3" xfId="44" xr:uid="{00000000-0005-0000-0000-000067000000}"/>
    <cellStyle name="Normal 3 2 3 2" xfId="173" xr:uid="{00000000-0005-0000-0000-000068000000}"/>
    <cellStyle name="Normal 3 2 4" xfId="29" xr:uid="{00000000-0005-0000-0000-000069000000}"/>
    <cellStyle name="Normal 3 2 4 2" xfId="174" xr:uid="{00000000-0005-0000-0000-00006A000000}"/>
    <cellStyle name="Normal 3 2 5" xfId="59" xr:uid="{00000000-0005-0000-0000-00006B000000}"/>
    <cellStyle name="Normal 3 2 5 2" xfId="175" xr:uid="{00000000-0005-0000-0000-00006C000000}"/>
    <cellStyle name="Normal 3 2 6" xfId="12" xr:uid="{00000000-0005-0000-0000-00006D000000}"/>
    <cellStyle name="Normal 3 2 6 2" xfId="225" xr:uid="{00000000-0005-0000-0000-00006E000000}"/>
    <cellStyle name="Normal 3 2 7" xfId="168" xr:uid="{00000000-0005-0000-0000-00006F000000}"/>
    <cellStyle name="Normal 3 3" xfId="16" xr:uid="{00000000-0005-0000-0000-000070000000}"/>
    <cellStyle name="Normal 3 3 2" xfId="24" xr:uid="{00000000-0005-0000-0000-000071000000}"/>
    <cellStyle name="Normal 3 3 2 2" xfId="55" xr:uid="{00000000-0005-0000-0000-000072000000}"/>
    <cellStyle name="Normal 3 3 2 2 2" xfId="178" xr:uid="{00000000-0005-0000-0000-000073000000}"/>
    <cellStyle name="Normal 3 3 2 3" xfId="40" xr:uid="{00000000-0005-0000-0000-000074000000}"/>
    <cellStyle name="Normal 3 3 2 3 2" xfId="179" xr:uid="{00000000-0005-0000-0000-000075000000}"/>
    <cellStyle name="Normal 3 3 2 4" xfId="70" xr:uid="{00000000-0005-0000-0000-000076000000}"/>
    <cellStyle name="Normal 3 3 2 4 2" xfId="180" xr:uid="{00000000-0005-0000-0000-000077000000}"/>
    <cellStyle name="Normal 3 3 2 5" xfId="107" xr:uid="{00000000-0005-0000-0000-000078000000}"/>
    <cellStyle name="Normal 3 3 2 5 2" xfId="235" xr:uid="{00000000-0005-0000-0000-000079000000}"/>
    <cellStyle name="Normal 3 3 2 6" xfId="177" xr:uid="{00000000-0005-0000-0000-00007A000000}"/>
    <cellStyle name="Normal 3 3 3" xfId="47" xr:uid="{00000000-0005-0000-0000-00007B000000}"/>
    <cellStyle name="Normal 3 3 3 2" xfId="181" xr:uid="{00000000-0005-0000-0000-00007C000000}"/>
    <cellStyle name="Normal 3 3 4" xfId="32" xr:uid="{00000000-0005-0000-0000-00007D000000}"/>
    <cellStyle name="Normal 3 3 4 2" xfId="182" xr:uid="{00000000-0005-0000-0000-00007E000000}"/>
    <cellStyle name="Normal 3 3 5" xfId="62" xr:uid="{00000000-0005-0000-0000-00007F000000}"/>
    <cellStyle name="Normal 3 3 5 2" xfId="183" xr:uid="{00000000-0005-0000-0000-000080000000}"/>
    <cellStyle name="Normal 3 3 6" xfId="101" xr:uid="{00000000-0005-0000-0000-000081000000}"/>
    <cellStyle name="Normal 3 3 6 2" xfId="227" xr:uid="{00000000-0005-0000-0000-000082000000}"/>
    <cellStyle name="Normal 3 3 7" xfId="176" xr:uid="{00000000-0005-0000-0000-000083000000}"/>
    <cellStyle name="Normal 3 4" xfId="20" xr:uid="{00000000-0005-0000-0000-000084000000}"/>
    <cellStyle name="Normal 3 4 2" xfId="51" xr:uid="{00000000-0005-0000-0000-000085000000}"/>
    <cellStyle name="Normal 3 4 2 2" xfId="185" xr:uid="{00000000-0005-0000-0000-000086000000}"/>
    <cellStyle name="Normal 3 4 3" xfId="36" xr:uid="{00000000-0005-0000-0000-000087000000}"/>
    <cellStyle name="Normal 3 4 3 2" xfId="186" xr:uid="{00000000-0005-0000-0000-000088000000}"/>
    <cellStyle name="Normal 3 4 4" xfId="66" xr:uid="{00000000-0005-0000-0000-000089000000}"/>
    <cellStyle name="Normal 3 4 4 2" xfId="187" xr:uid="{00000000-0005-0000-0000-00008A000000}"/>
    <cellStyle name="Normal 3 4 5" xfId="104" xr:uid="{00000000-0005-0000-0000-00008B000000}"/>
    <cellStyle name="Normal 3 4 5 2" xfId="231" xr:uid="{00000000-0005-0000-0000-00008C000000}"/>
    <cellStyle name="Normal 3 4 6" xfId="184" xr:uid="{00000000-0005-0000-0000-00008D000000}"/>
    <cellStyle name="Normal 3 5" xfId="43" xr:uid="{00000000-0005-0000-0000-00008E000000}"/>
    <cellStyle name="Normal 3 5 2" xfId="98" xr:uid="{00000000-0005-0000-0000-00008F000000}"/>
    <cellStyle name="Normal 3 5 2 2" xfId="224" xr:uid="{00000000-0005-0000-0000-000090000000}"/>
    <cellStyle name="Normal 3 5 3" xfId="188" xr:uid="{00000000-0005-0000-0000-000091000000}"/>
    <cellStyle name="Normal 3 6" xfId="28" xr:uid="{00000000-0005-0000-0000-000092000000}"/>
    <cellStyle name="Normal 3 6 2" xfId="109" xr:uid="{00000000-0005-0000-0000-000093000000}"/>
    <cellStyle name="Normal 3 6 3" xfId="189" xr:uid="{00000000-0005-0000-0000-000094000000}"/>
    <cellStyle name="Normal 3 7" xfId="58" xr:uid="{00000000-0005-0000-0000-000095000000}"/>
    <cellStyle name="Normal 3 7 2" xfId="190" xr:uid="{00000000-0005-0000-0000-000096000000}"/>
    <cellStyle name="Normal 3 8" xfId="81" xr:uid="{00000000-0005-0000-0000-000097000000}"/>
    <cellStyle name="Normal 3 8 2" xfId="191" xr:uid="{00000000-0005-0000-0000-000098000000}"/>
    <cellStyle name="Normal 3 9" xfId="82" xr:uid="{00000000-0005-0000-0000-000099000000}"/>
    <cellStyle name="Normal 4" xfId="1" xr:uid="{00000000-0005-0000-0000-00009A000000}"/>
    <cellStyle name="Normal 4 10" xfId="111" xr:uid="{00000000-0005-0000-0000-00009B000000}"/>
    <cellStyle name="Normal 4 10 2" xfId="252" xr:uid="{36ECE49E-B536-4813-8716-38B828465693}"/>
    <cellStyle name="Normal 4 2" xfId="17" xr:uid="{00000000-0005-0000-0000-00009C000000}"/>
    <cellStyle name="Normal 4 2 2" xfId="25" xr:uid="{00000000-0005-0000-0000-00009D000000}"/>
    <cellStyle name="Normal 4 2 2 2" xfId="56" xr:uid="{00000000-0005-0000-0000-00009E000000}"/>
    <cellStyle name="Normal 4 2 2 2 2" xfId="194" xr:uid="{00000000-0005-0000-0000-00009F000000}"/>
    <cellStyle name="Normal 4 2 2 3" xfId="41" xr:uid="{00000000-0005-0000-0000-0000A0000000}"/>
    <cellStyle name="Normal 4 2 2 3 2" xfId="195" xr:uid="{00000000-0005-0000-0000-0000A1000000}"/>
    <cellStyle name="Normal 4 2 2 4" xfId="71" xr:uid="{00000000-0005-0000-0000-0000A2000000}"/>
    <cellStyle name="Normal 4 2 2 4 2" xfId="196" xr:uid="{00000000-0005-0000-0000-0000A3000000}"/>
    <cellStyle name="Normal 4 2 2 5" xfId="108" xr:uid="{00000000-0005-0000-0000-0000A4000000}"/>
    <cellStyle name="Normal 4 2 2 5 2" xfId="236" xr:uid="{00000000-0005-0000-0000-0000A5000000}"/>
    <cellStyle name="Normal 4 2 2 6" xfId="193" xr:uid="{00000000-0005-0000-0000-0000A6000000}"/>
    <cellStyle name="Normal 4 2 3" xfId="48" xr:uid="{00000000-0005-0000-0000-0000A7000000}"/>
    <cellStyle name="Normal 4 2 3 2" xfId="197" xr:uid="{00000000-0005-0000-0000-0000A8000000}"/>
    <cellStyle name="Normal 4 2 4" xfId="33" xr:uid="{00000000-0005-0000-0000-0000A9000000}"/>
    <cellStyle name="Normal 4 2 4 2" xfId="198" xr:uid="{00000000-0005-0000-0000-0000AA000000}"/>
    <cellStyle name="Normal 4 2 5" xfId="63" xr:uid="{00000000-0005-0000-0000-0000AB000000}"/>
    <cellStyle name="Normal 4 2 5 2" xfId="199" xr:uid="{00000000-0005-0000-0000-0000AC000000}"/>
    <cellStyle name="Normal 4 2 6" xfId="83" xr:uid="{00000000-0005-0000-0000-0000AD000000}"/>
    <cellStyle name="Normal 4 2 7" xfId="102" xr:uid="{00000000-0005-0000-0000-0000AE000000}"/>
    <cellStyle name="Normal 4 2 7 2" xfId="228" xr:uid="{00000000-0005-0000-0000-0000AF000000}"/>
    <cellStyle name="Normal 4 2 8" xfId="192" xr:uid="{00000000-0005-0000-0000-0000B0000000}"/>
    <cellStyle name="Normal 4 3" xfId="22" xr:uid="{00000000-0005-0000-0000-0000B1000000}"/>
    <cellStyle name="Normal 4 3 2" xfId="53" xr:uid="{00000000-0005-0000-0000-0000B2000000}"/>
    <cellStyle name="Normal 4 3 2 2" xfId="201" xr:uid="{00000000-0005-0000-0000-0000B3000000}"/>
    <cellStyle name="Normal 4 3 3" xfId="38" xr:uid="{00000000-0005-0000-0000-0000B4000000}"/>
    <cellStyle name="Normal 4 3 3 2" xfId="202" xr:uid="{00000000-0005-0000-0000-0000B5000000}"/>
    <cellStyle name="Normal 4 3 4" xfId="68" xr:uid="{00000000-0005-0000-0000-0000B6000000}"/>
    <cellStyle name="Normal 4 3 4 2" xfId="203" xr:uid="{00000000-0005-0000-0000-0000B7000000}"/>
    <cellStyle name="Normal 4 3 5" xfId="106" xr:uid="{00000000-0005-0000-0000-0000B8000000}"/>
    <cellStyle name="Normal 4 3 5 2" xfId="233" xr:uid="{00000000-0005-0000-0000-0000B9000000}"/>
    <cellStyle name="Normal 4 3 6" xfId="200" xr:uid="{00000000-0005-0000-0000-0000BA000000}"/>
    <cellStyle name="Normal 4 4" xfId="45" xr:uid="{00000000-0005-0000-0000-0000BB000000}"/>
    <cellStyle name="Normal 4 4 2" xfId="204" xr:uid="{00000000-0005-0000-0000-0000BC000000}"/>
    <cellStyle name="Normal 4 5" xfId="30" xr:uid="{00000000-0005-0000-0000-0000BD000000}"/>
    <cellStyle name="Normal 4 5 2" xfId="205" xr:uid="{00000000-0005-0000-0000-0000BE000000}"/>
    <cellStyle name="Normal 4 6" xfId="60" xr:uid="{00000000-0005-0000-0000-0000BF000000}"/>
    <cellStyle name="Normal 4 6 2" xfId="206" xr:uid="{00000000-0005-0000-0000-0000C0000000}"/>
    <cellStyle name="Normal 4 7" xfId="13" xr:uid="{00000000-0005-0000-0000-0000C1000000}"/>
    <cellStyle name="Normal 4 7 2" xfId="84" xr:uid="{00000000-0005-0000-0000-0000C2000000}"/>
    <cellStyle name="Normal 4 8" xfId="73" xr:uid="{00000000-0005-0000-0000-0000C3000000}"/>
    <cellStyle name="Normal 4 8 2" xfId="85" xr:uid="{00000000-0005-0000-0000-0000C4000000}"/>
    <cellStyle name="Normal 4 8 3" xfId="249" xr:uid="{10D847CB-CB36-4D56-802A-C16135BE6FA6}"/>
    <cellStyle name="Normal 4 9" xfId="93" xr:uid="{00000000-0005-0000-0000-0000C5000000}"/>
    <cellStyle name="Normal 4 9 2" xfId="99" xr:uid="{00000000-0005-0000-0000-0000C6000000}"/>
    <cellStyle name="Normal 4 9 3" xfId="250" xr:uid="{65A9E876-5FEA-4584-8C67-2C1861984C47}"/>
    <cellStyle name="Normal 5" xfId="5" xr:uid="{00000000-0005-0000-0000-0000C7000000}"/>
    <cellStyle name="Normal 5 2" xfId="8" xr:uid="{00000000-0005-0000-0000-0000C8000000}"/>
    <cellStyle name="Normal 5 2 2" xfId="54" xr:uid="{00000000-0005-0000-0000-0000C9000000}"/>
    <cellStyle name="Normal 5 2 2 2" xfId="209" xr:uid="{00000000-0005-0000-0000-0000CA000000}"/>
    <cellStyle name="Normal 5 2 3" xfId="39" xr:uid="{00000000-0005-0000-0000-0000CB000000}"/>
    <cellStyle name="Normal 5 2 3 2" xfId="210" xr:uid="{00000000-0005-0000-0000-0000CC000000}"/>
    <cellStyle name="Normal 5 2 4" xfId="69" xr:uid="{00000000-0005-0000-0000-0000CD000000}"/>
    <cellStyle name="Normal 5 2 4 2" xfId="211" xr:uid="{00000000-0005-0000-0000-0000CE000000}"/>
    <cellStyle name="Normal 5 2 5" xfId="23" xr:uid="{00000000-0005-0000-0000-0000CF000000}"/>
    <cellStyle name="Normal 5 2 5 2" xfId="234" xr:uid="{00000000-0005-0000-0000-0000D0000000}"/>
    <cellStyle name="Normal 5 2 6" xfId="208" xr:uid="{00000000-0005-0000-0000-0000D1000000}"/>
    <cellStyle name="Normal 5 3" xfId="46" xr:uid="{00000000-0005-0000-0000-0000D2000000}"/>
    <cellStyle name="Normal 5 3 2" xfId="212" xr:uid="{00000000-0005-0000-0000-0000D3000000}"/>
    <cellStyle name="Normal 5 4" xfId="31" xr:uid="{00000000-0005-0000-0000-0000D4000000}"/>
    <cellStyle name="Normal 5 4 2" xfId="213" xr:uid="{00000000-0005-0000-0000-0000D5000000}"/>
    <cellStyle name="Normal 5 5" xfId="61" xr:uid="{00000000-0005-0000-0000-0000D6000000}"/>
    <cellStyle name="Normal 5 5 2" xfId="214" xr:uid="{00000000-0005-0000-0000-0000D7000000}"/>
    <cellStyle name="Normal 5 6" xfId="14" xr:uid="{00000000-0005-0000-0000-0000D8000000}"/>
    <cellStyle name="Normal 5 6 2" xfId="86" xr:uid="{00000000-0005-0000-0000-0000D9000000}"/>
    <cellStyle name="Normal 5 7" xfId="100" xr:uid="{00000000-0005-0000-0000-0000DA000000}"/>
    <cellStyle name="Normal 5 7 2" xfId="226" xr:uid="{00000000-0005-0000-0000-0000DB000000}"/>
    <cellStyle name="Normal 5 8" xfId="207" xr:uid="{00000000-0005-0000-0000-0000DC000000}"/>
    <cellStyle name="Normal 6" xfId="15" xr:uid="{00000000-0005-0000-0000-0000DD000000}"/>
    <cellStyle name="Normal 7" xfId="18" xr:uid="{00000000-0005-0000-0000-0000DE000000}"/>
    <cellStyle name="Normal 7 2" xfId="49" xr:uid="{00000000-0005-0000-0000-0000DF000000}"/>
    <cellStyle name="Normal 7 2 2" xfId="216" xr:uid="{00000000-0005-0000-0000-0000E0000000}"/>
    <cellStyle name="Normal 7 3" xfId="34" xr:uid="{00000000-0005-0000-0000-0000E1000000}"/>
    <cellStyle name="Normal 7 3 2" xfId="217" xr:uid="{00000000-0005-0000-0000-0000E2000000}"/>
    <cellStyle name="Normal 7 4" xfId="64" xr:uid="{00000000-0005-0000-0000-0000E3000000}"/>
    <cellStyle name="Normal 7 4 2" xfId="218" xr:uid="{00000000-0005-0000-0000-0000E4000000}"/>
    <cellStyle name="Normal 7 5" xfId="103" xr:uid="{00000000-0005-0000-0000-0000E5000000}"/>
    <cellStyle name="Normal 7 5 2" xfId="229" xr:uid="{00000000-0005-0000-0000-0000E6000000}"/>
    <cellStyle name="Normal 7 6" xfId="215" xr:uid="{00000000-0005-0000-0000-0000E7000000}"/>
    <cellStyle name="Normal 8" xfId="9" xr:uid="{00000000-0005-0000-0000-0000E8000000}"/>
    <cellStyle name="Normal 8 2" xfId="88" xr:uid="{00000000-0005-0000-0000-0000E9000000}"/>
    <cellStyle name="Normal 8 3" xfId="248" xr:uid="{028517C5-7761-449D-8908-E7F49DD6C4E8}"/>
    <cellStyle name="Normal 9" xfId="91" xr:uid="{00000000-0005-0000-0000-0000EA000000}"/>
    <cellStyle name="Normal 9 2" xfId="220" xr:uid="{00000000-0005-0000-0000-0000EB000000}"/>
    <cellStyle name="Note 2" xfId="241" xr:uid="{00000000-0005-0000-0000-0000EC000000}"/>
    <cellStyle name="Output" xfId="124" builtinId="21" customBuiltin="1"/>
    <cellStyle name="Percent" xfId="244" builtinId="5"/>
    <cellStyle name="Percent 2" xfId="87" xr:uid="{00000000-0005-0000-0000-0000EE000000}"/>
    <cellStyle name="Percent 2 2" xfId="219" xr:uid="{00000000-0005-0000-0000-0000EF000000}"/>
    <cellStyle name="Percent 3" xfId="246" xr:uid="{32DB3633-E02D-451C-8FDC-8538B5784091}"/>
    <cellStyle name="Title" xfId="115" builtinId="15" customBuiltin="1"/>
    <cellStyle name="Total" xfId="130" builtinId="25" customBuiltin="1"/>
    <cellStyle name="Warning Text" xfId="128" builtinId="11" customBuiltin="1"/>
  </cellStyles>
  <dxfs count="206">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92D050"/>
        </patternFill>
      </fill>
    </dxf>
    <dxf>
      <font>
        <b/>
        <i val="0"/>
      </font>
      <fill>
        <patternFill>
          <bgColor rgb="FFFFC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92D050"/>
        </patternFill>
      </fill>
    </dxf>
    <dxf>
      <font>
        <b/>
        <i val="0"/>
      </font>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theme="0"/>
      </font>
      <fill>
        <patternFill>
          <bgColor rgb="FFC00000"/>
        </patternFill>
      </fill>
    </dxf>
    <dxf>
      <font>
        <b/>
        <i val="0"/>
        <color theme="0"/>
      </font>
      <fill>
        <patternFill>
          <bgColor rgb="FFC00000"/>
        </patternFill>
      </fill>
    </dxf>
    <dxf>
      <font>
        <b/>
        <i val="0"/>
      </font>
      <fill>
        <patternFill>
          <bgColor rgb="FFFFC000"/>
        </patternFill>
      </fill>
    </dxf>
    <dxf>
      <font>
        <b/>
        <i val="0"/>
      </font>
      <fill>
        <patternFill>
          <bgColor rgb="FF92D050"/>
        </patternFill>
      </fill>
    </dxf>
  </dxfs>
  <tableStyles count="1" defaultTableStyle="TableStyleMedium2" defaultPivotStyle="PivotStyleLight16">
    <tableStyle name="Table Style 1" pivot="0" count="0" xr9:uid="{00000000-0011-0000-FFFF-FFFF00000000}"/>
  </tableStyles>
  <colors>
    <mruColors>
      <color rgb="FFCAE7EE"/>
      <color rgb="FF31869B"/>
      <color rgb="FF76933C"/>
      <color rgb="FF82C8D8"/>
      <color rgb="FF318790"/>
      <color rgb="FFDDD0E6"/>
      <color rgb="FF8559A6"/>
      <color rgb="FFC4D79D"/>
      <color rgb="FFFCB247"/>
      <color rgb="FFF5AD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Graph!$A$6</c:f>
              <c:strCache>
                <c:ptCount val="1"/>
                <c:pt idx="0">
                  <c:v>Violence With Injury</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Graph!$B$6:$G$6</c:f>
              <c:numCache>
                <c:formatCode>General</c:formatCode>
                <c:ptCount val="6"/>
                <c:pt idx="0">
                  <c:v>387</c:v>
                </c:pt>
                <c:pt idx="1">
                  <c:v>346</c:v>
                </c:pt>
                <c:pt idx="2">
                  <c:v>424</c:v>
                </c:pt>
                <c:pt idx="3">
                  <c:v>369</c:v>
                </c:pt>
                <c:pt idx="4">
                  <c:v>332</c:v>
                </c:pt>
                <c:pt idx="5">
                  <c:v>418</c:v>
                </c:pt>
              </c:numCache>
            </c:numRef>
          </c:val>
          <c:smooth val="0"/>
          <c:extLst>
            <c:ext xmlns:c16="http://schemas.microsoft.com/office/drawing/2014/chart" uri="{C3380CC4-5D6E-409C-BE32-E72D297353CC}">
              <c16:uniqueId val="{00000000-2AB5-4D45-9482-22502FEB9019}"/>
            </c:ext>
          </c:extLst>
        </c:ser>
        <c:ser>
          <c:idx val="1"/>
          <c:order val="1"/>
          <c:tx>
            <c:strRef>
              <c:f>Graph!$A$7</c:f>
              <c:strCache>
                <c:ptCount val="1"/>
                <c:pt idx="0">
                  <c:v>Violence Without Injury</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Graph!$B$7:$G$7</c:f>
              <c:numCache>
                <c:formatCode>General</c:formatCode>
                <c:ptCount val="6"/>
                <c:pt idx="0">
                  <c:v>773</c:v>
                </c:pt>
                <c:pt idx="1">
                  <c:v>742</c:v>
                </c:pt>
                <c:pt idx="2">
                  <c:v>803</c:v>
                </c:pt>
                <c:pt idx="3">
                  <c:v>785</c:v>
                </c:pt>
                <c:pt idx="4">
                  <c:v>764</c:v>
                </c:pt>
                <c:pt idx="5">
                  <c:v>792</c:v>
                </c:pt>
              </c:numCache>
            </c:numRef>
          </c:val>
          <c:smooth val="0"/>
          <c:extLst>
            <c:ext xmlns:c16="http://schemas.microsoft.com/office/drawing/2014/chart" uri="{C3380CC4-5D6E-409C-BE32-E72D297353CC}">
              <c16:uniqueId val="{00000001-2AB5-4D45-9482-22502FEB9019}"/>
            </c:ext>
          </c:extLst>
        </c:ser>
        <c:dLbls>
          <c:showLegendKey val="0"/>
          <c:showVal val="0"/>
          <c:showCatName val="0"/>
          <c:showSerName val="0"/>
          <c:showPercent val="0"/>
          <c:showBubbleSize val="0"/>
        </c:dLbls>
        <c:smooth val="0"/>
        <c:axId val="543588192"/>
        <c:axId val="543588584"/>
      </c:lineChart>
      <c:catAx>
        <c:axId val="543588192"/>
        <c:scaling>
          <c:orientation val="minMax"/>
        </c:scaling>
        <c:delete val="0"/>
        <c:axPos val="b"/>
        <c:numFmt formatCode="General" sourceLinked="0"/>
        <c:majorTickMark val="out"/>
        <c:minorTickMark val="none"/>
        <c:tickLblPos val="nextTo"/>
        <c:txPr>
          <a:bodyPr rot="0" vert="horz"/>
          <a:lstStyle/>
          <a:p>
            <a:pPr>
              <a:defRPr/>
            </a:pPr>
            <a:endParaRPr lang="en-US"/>
          </a:p>
        </c:txPr>
        <c:crossAx val="543588584"/>
        <c:crosses val="autoZero"/>
        <c:auto val="1"/>
        <c:lblAlgn val="ctr"/>
        <c:lblOffset val="100"/>
        <c:noMultiLvlLbl val="0"/>
      </c:catAx>
      <c:valAx>
        <c:axId val="543588584"/>
        <c:scaling>
          <c:orientation val="minMax"/>
        </c:scaling>
        <c:delete val="0"/>
        <c:axPos val="l"/>
        <c:majorGridlines/>
        <c:numFmt formatCode="General" sourceLinked="1"/>
        <c:majorTickMark val="out"/>
        <c:minorTickMark val="none"/>
        <c:tickLblPos val="nextTo"/>
        <c:crossAx val="543588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8353152284535866E-2"/>
          <c:y val="6.0919175226553469E-2"/>
          <c:w val="0.87443596336172269"/>
          <c:h val="0.73465452620891525"/>
        </c:manualLayout>
      </c:layout>
      <c:lineChart>
        <c:grouping val="standard"/>
        <c:varyColors val="0"/>
        <c:ser>
          <c:idx val="0"/>
          <c:order val="0"/>
          <c:tx>
            <c:strRef>
              <c:f>Graph!$A$40</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Graph!$B$40:$G$40</c:f>
              <c:numCache>
                <c:formatCode>General</c:formatCode>
                <c:ptCount val="6"/>
                <c:pt idx="0">
                  <c:v>5</c:v>
                </c:pt>
                <c:pt idx="1">
                  <c:v>10</c:v>
                </c:pt>
                <c:pt idx="2">
                  <c:v>8</c:v>
                </c:pt>
                <c:pt idx="3">
                  <c:v>1</c:v>
                </c:pt>
                <c:pt idx="4">
                  <c:v>8</c:v>
                </c:pt>
                <c:pt idx="5">
                  <c:v>11</c:v>
                </c:pt>
              </c:numCache>
            </c:numRef>
          </c:val>
          <c:smooth val="0"/>
          <c:extLst>
            <c:ext xmlns:c16="http://schemas.microsoft.com/office/drawing/2014/chart" uri="{C3380CC4-5D6E-409C-BE32-E72D297353CC}">
              <c16:uniqueId val="{00000000-073D-4A3B-99F9-6038ED817D1B}"/>
            </c:ext>
          </c:extLst>
        </c:ser>
        <c:dLbls>
          <c:showLegendKey val="0"/>
          <c:showVal val="0"/>
          <c:showCatName val="0"/>
          <c:showSerName val="0"/>
          <c:showPercent val="0"/>
          <c:showBubbleSize val="0"/>
        </c:dLbls>
        <c:smooth val="0"/>
        <c:axId val="545089632"/>
        <c:axId val="545094728"/>
      </c:lineChart>
      <c:catAx>
        <c:axId val="5450896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94728"/>
        <c:crosses val="autoZero"/>
        <c:auto val="1"/>
        <c:lblAlgn val="ctr"/>
        <c:lblOffset val="100"/>
        <c:noMultiLvlLbl val="0"/>
      </c:catAx>
      <c:valAx>
        <c:axId val="545094728"/>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9632"/>
        <c:crosses val="autoZero"/>
        <c:crossBetween val="between"/>
      </c:valAx>
      <c:spPr>
        <a:solidFill>
          <a:schemeClr val="bg1"/>
        </a:solidFill>
        <a:ln>
          <a:noFill/>
        </a:ln>
        <a:effectLst/>
      </c:spPr>
    </c:plotArea>
    <c:legend>
      <c:legendPos val="r"/>
      <c:layout>
        <c:manualLayout>
          <c:xMode val="edge"/>
          <c:yMode val="edge"/>
          <c:x val="0"/>
          <c:y val="0.49785096836246123"/>
          <c:w val="0.7251199850018748"/>
          <c:h val="0.32555091107438733"/>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9518810148729E-2"/>
          <c:y val="7.4548702245552628E-2"/>
          <c:w val="0.85578937007874012"/>
          <c:h val="0.69836030912802571"/>
        </c:manualLayout>
      </c:layout>
      <c:lineChart>
        <c:grouping val="standard"/>
        <c:varyColors val="0"/>
        <c:ser>
          <c:idx val="0"/>
          <c:order val="0"/>
          <c:tx>
            <c:strRef>
              <c:f>Graph!$A$38</c:f>
              <c:strCache>
                <c:ptCount val="1"/>
                <c:pt idx="0">
                  <c:v>Residential-Dwelling</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Graph!$B$38:$G$38</c:f>
              <c:numCache>
                <c:formatCode>General</c:formatCode>
                <c:ptCount val="6"/>
                <c:pt idx="0">
                  <c:v>47</c:v>
                </c:pt>
                <c:pt idx="1">
                  <c:v>30</c:v>
                </c:pt>
                <c:pt idx="2">
                  <c:v>38</c:v>
                </c:pt>
                <c:pt idx="3">
                  <c:v>30</c:v>
                </c:pt>
                <c:pt idx="4">
                  <c:v>25</c:v>
                </c:pt>
                <c:pt idx="5">
                  <c:v>29</c:v>
                </c:pt>
              </c:numCache>
            </c:numRef>
          </c:val>
          <c:smooth val="0"/>
          <c:extLst>
            <c:ext xmlns:c16="http://schemas.microsoft.com/office/drawing/2014/chart" uri="{C3380CC4-5D6E-409C-BE32-E72D297353CC}">
              <c16:uniqueId val="{00000000-5BAD-4F3F-BAA1-BF16FE30710E}"/>
            </c:ext>
          </c:extLst>
        </c:ser>
        <c:dLbls>
          <c:showLegendKey val="0"/>
          <c:showVal val="0"/>
          <c:showCatName val="0"/>
          <c:showSerName val="0"/>
          <c:showPercent val="0"/>
          <c:showBubbleSize val="0"/>
        </c:dLbls>
        <c:smooth val="0"/>
        <c:axId val="545425600"/>
        <c:axId val="545425992"/>
      </c:lineChart>
      <c:catAx>
        <c:axId val="545425600"/>
        <c:scaling>
          <c:orientation val="minMax"/>
        </c:scaling>
        <c:delete val="0"/>
        <c:axPos val="b"/>
        <c:numFmt formatCode="General" sourceLinked="0"/>
        <c:majorTickMark val="out"/>
        <c:minorTickMark val="none"/>
        <c:tickLblPos val="nextTo"/>
        <c:crossAx val="545425992"/>
        <c:crosses val="autoZero"/>
        <c:auto val="1"/>
        <c:lblAlgn val="ctr"/>
        <c:lblOffset val="100"/>
        <c:noMultiLvlLbl val="0"/>
      </c:catAx>
      <c:valAx>
        <c:axId val="545425992"/>
        <c:scaling>
          <c:orientation val="minMax"/>
        </c:scaling>
        <c:delete val="0"/>
        <c:axPos val="l"/>
        <c:numFmt formatCode="General" sourceLinked="1"/>
        <c:majorTickMark val="out"/>
        <c:minorTickMark val="none"/>
        <c:tickLblPos val="nextTo"/>
        <c:crossAx val="545425600"/>
        <c:crosses val="autoZero"/>
        <c:crossBetween val="between"/>
      </c:valAx>
    </c:plotArea>
    <c:legend>
      <c:legendPos val="r"/>
      <c:layout>
        <c:manualLayout>
          <c:xMode val="edge"/>
          <c:yMode val="edge"/>
          <c:x val="0.45554024496937889"/>
          <c:y val="0.54610418489355494"/>
          <c:w val="0.25144560319790532"/>
          <c:h val="0.16689254092201131"/>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Graph!$A$48</c:f>
              <c:strCache>
                <c:ptCount val="1"/>
                <c:pt idx="0">
                  <c:v>Violence With Injury</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Graph!$B$48:$G$48</c:f>
              <c:numCache>
                <c:formatCode>General</c:formatCode>
                <c:ptCount val="6"/>
                <c:pt idx="0">
                  <c:v>61</c:v>
                </c:pt>
                <c:pt idx="1">
                  <c:v>71</c:v>
                </c:pt>
                <c:pt idx="2">
                  <c:v>80</c:v>
                </c:pt>
                <c:pt idx="3">
                  <c:v>71</c:v>
                </c:pt>
                <c:pt idx="4">
                  <c:v>66</c:v>
                </c:pt>
                <c:pt idx="5">
                  <c:v>87</c:v>
                </c:pt>
              </c:numCache>
            </c:numRef>
          </c:val>
          <c:smooth val="0"/>
          <c:extLst>
            <c:ext xmlns:c16="http://schemas.microsoft.com/office/drawing/2014/chart" uri="{C3380CC4-5D6E-409C-BE32-E72D297353CC}">
              <c16:uniqueId val="{00000000-F2E1-4F35-A840-1D6604EEA3A2}"/>
            </c:ext>
          </c:extLst>
        </c:ser>
        <c:ser>
          <c:idx val="1"/>
          <c:order val="1"/>
          <c:tx>
            <c:strRef>
              <c:f>Graph!$A$49</c:f>
              <c:strCache>
                <c:ptCount val="1"/>
                <c:pt idx="0">
                  <c:v>Violence Without Injury</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Graph!$B$49:$G$49</c:f>
              <c:numCache>
                <c:formatCode>General</c:formatCode>
                <c:ptCount val="6"/>
                <c:pt idx="0">
                  <c:v>129</c:v>
                </c:pt>
                <c:pt idx="1">
                  <c:v>136</c:v>
                </c:pt>
                <c:pt idx="2">
                  <c:v>164</c:v>
                </c:pt>
                <c:pt idx="3">
                  <c:v>142</c:v>
                </c:pt>
                <c:pt idx="4">
                  <c:v>126</c:v>
                </c:pt>
                <c:pt idx="5">
                  <c:v>142</c:v>
                </c:pt>
              </c:numCache>
            </c:numRef>
          </c:val>
          <c:smooth val="0"/>
          <c:extLst>
            <c:ext xmlns:c16="http://schemas.microsoft.com/office/drawing/2014/chart" uri="{C3380CC4-5D6E-409C-BE32-E72D297353CC}">
              <c16:uniqueId val="{00000001-F2E1-4F35-A840-1D6604EEA3A2}"/>
            </c:ext>
          </c:extLst>
        </c:ser>
        <c:dLbls>
          <c:showLegendKey val="0"/>
          <c:showVal val="0"/>
          <c:showCatName val="0"/>
          <c:showSerName val="0"/>
          <c:showPercent val="0"/>
          <c:showBubbleSize val="0"/>
        </c:dLbls>
        <c:smooth val="0"/>
        <c:axId val="545426776"/>
        <c:axId val="545427168"/>
      </c:lineChart>
      <c:catAx>
        <c:axId val="545426776"/>
        <c:scaling>
          <c:orientation val="minMax"/>
        </c:scaling>
        <c:delete val="0"/>
        <c:axPos val="b"/>
        <c:numFmt formatCode="General" sourceLinked="0"/>
        <c:majorTickMark val="out"/>
        <c:minorTickMark val="none"/>
        <c:tickLblPos val="nextTo"/>
        <c:crossAx val="545427168"/>
        <c:crosses val="autoZero"/>
        <c:auto val="1"/>
        <c:lblAlgn val="ctr"/>
        <c:lblOffset val="100"/>
        <c:noMultiLvlLbl val="0"/>
      </c:catAx>
      <c:valAx>
        <c:axId val="545427168"/>
        <c:scaling>
          <c:orientation val="minMax"/>
        </c:scaling>
        <c:delete val="0"/>
        <c:axPos val="l"/>
        <c:numFmt formatCode="General" sourceLinked="1"/>
        <c:majorTickMark val="out"/>
        <c:minorTickMark val="none"/>
        <c:tickLblPos val="nextTo"/>
        <c:crossAx val="545426776"/>
        <c:crosses val="autoZero"/>
        <c:crossBetween val="between"/>
      </c:valAx>
      <c:spPr>
        <a:noFill/>
        <a:ln w="25400">
          <a:noFill/>
        </a:ln>
      </c:spPr>
    </c:plotArea>
    <c:legend>
      <c:legendPos val="r"/>
      <c:layout>
        <c:manualLayout>
          <c:xMode val="edge"/>
          <c:yMode val="edge"/>
          <c:x val="0.13808268310352609"/>
          <c:y val="0.51010563762174355"/>
          <c:w val="0.77745276184368362"/>
          <c:h val="0.26078046029370294"/>
        </c:manualLayout>
      </c:layout>
      <c:overlay val="1"/>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3701746811674647E-2"/>
          <c:y val="6.6681799910146361E-2"/>
          <c:w val="0.87148537242244195"/>
          <c:h val="0.70955427868813692"/>
        </c:manualLayout>
      </c:layout>
      <c:lineChart>
        <c:grouping val="standard"/>
        <c:varyColors val="0"/>
        <c:ser>
          <c:idx val="0"/>
          <c:order val="0"/>
          <c:tx>
            <c:strRef>
              <c:f>Graph!$A$50</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Graph!$B$50:$G$50</c:f>
              <c:numCache>
                <c:formatCode>General</c:formatCode>
                <c:ptCount val="6"/>
                <c:pt idx="0">
                  <c:v>2</c:v>
                </c:pt>
                <c:pt idx="1">
                  <c:v>0</c:v>
                </c:pt>
                <c:pt idx="2">
                  <c:v>2</c:v>
                </c:pt>
                <c:pt idx="3">
                  <c:v>4</c:v>
                </c:pt>
                <c:pt idx="4">
                  <c:v>1</c:v>
                </c:pt>
                <c:pt idx="5">
                  <c:v>8</c:v>
                </c:pt>
              </c:numCache>
            </c:numRef>
          </c:val>
          <c:smooth val="0"/>
          <c:extLst>
            <c:ext xmlns:c16="http://schemas.microsoft.com/office/drawing/2014/chart" uri="{C3380CC4-5D6E-409C-BE32-E72D297353CC}">
              <c16:uniqueId val="{00000000-8D8D-40FD-99E9-6F8C952E5591}"/>
            </c:ext>
          </c:extLst>
        </c:ser>
        <c:dLbls>
          <c:showLegendKey val="0"/>
          <c:showVal val="0"/>
          <c:showCatName val="0"/>
          <c:showSerName val="0"/>
          <c:showPercent val="0"/>
          <c:showBubbleSize val="0"/>
        </c:dLbls>
        <c:smooth val="0"/>
        <c:axId val="545427952"/>
        <c:axId val="545428344"/>
      </c:lineChart>
      <c:catAx>
        <c:axId val="545427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28344"/>
        <c:crosses val="autoZero"/>
        <c:auto val="1"/>
        <c:lblAlgn val="ctr"/>
        <c:lblOffset val="100"/>
        <c:noMultiLvlLbl val="0"/>
      </c:catAx>
      <c:valAx>
        <c:axId val="545428344"/>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27952"/>
        <c:crosses val="autoZero"/>
        <c:crossBetween val="between"/>
      </c:valAx>
      <c:spPr>
        <a:solidFill>
          <a:schemeClr val="bg1"/>
        </a:solidFill>
        <a:ln>
          <a:noFill/>
        </a:ln>
        <a:effectLst/>
      </c:spPr>
    </c:plotArea>
    <c:legend>
      <c:legendPos val="r"/>
      <c:layout>
        <c:manualLayout>
          <c:xMode val="edge"/>
          <c:yMode val="edge"/>
          <c:x val="1.4150476621231756E-2"/>
          <c:y val="0.48098612673415825"/>
          <c:w val="0.72127162955805457"/>
          <c:h val="0.3563462675273698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Graph!$A$52</c:f>
              <c:strCache>
                <c:ptCount val="1"/>
                <c:pt idx="0">
                  <c:v>005.01 Wounding (sec. 18)</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Graph!$B$52:$G$52</c:f>
              <c:numCache>
                <c:formatCode>General</c:formatCode>
                <c:ptCount val="6"/>
                <c:pt idx="0">
                  <c:v>4</c:v>
                </c:pt>
                <c:pt idx="1">
                  <c:v>7</c:v>
                </c:pt>
                <c:pt idx="2">
                  <c:v>6</c:v>
                </c:pt>
                <c:pt idx="3">
                  <c:v>6</c:v>
                </c:pt>
                <c:pt idx="4">
                  <c:v>2</c:v>
                </c:pt>
                <c:pt idx="5">
                  <c:v>4</c:v>
                </c:pt>
              </c:numCache>
            </c:numRef>
          </c:val>
          <c:smooth val="0"/>
          <c:extLst>
            <c:ext xmlns:c16="http://schemas.microsoft.com/office/drawing/2014/chart" uri="{C3380CC4-5D6E-409C-BE32-E72D297353CC}">
              <c16:uniqueId val="{00000000-07A9-42ED-AC52-56722D5F8C9D}"/>
            </c:ext>
          </c:extLst>
        </c:ser>
        <c:ser>
          <c:idx val="1"/>
          <c:order val="1"/>
          <c:tx>
            <c:strRef>
              <c:f>Graph!$A$53</c:f>
              <c:strCache>
                <c:ptCount val="1"/>
                <c:pt idx="0">
                  <c:v>008.01 Malicious wounding (sec. 20)</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Graph!$B$53:$G$53</c:f>
              <c:numCache>
                <c:formatCode>General</c:formatCode>
                <c:ptCount val="6"/>
                <c:pt idx="0">
                  <c:v>6</c:v>
                </c:pt>
                <c:pt idx="1">
                  <c:v>3</c:v>
                </c:pt>
                <c:pt idx="2">
                  <c:v>3</c:v>
                </c:pt>
                <c:pt idx="3">
                  <c:v>1</c:v>
                </c:pt>
                <c:pt idx="4">
                  <c:v>2</c:v>
                </c:pt>
                <c:pt idx="5">
                  <c:v>2</c:v>
                </c:pt>
              </c:numCache>
            </c:numRef>
          </c:val>
          <c:smooth val="0"/>
          <c:extLst>
            <c:ext xmlns:c16="http://schemas.microsoft.com/office/drawing/2014/chart" uri="{C3380CC4-5D6E-409C-BE32-E72D297353CC}">
              <c16:uniqueId val="{00000001-07A9-42ED-AC52-56722D5F8C9D}"/>
            </c:ext>
          </c:extLst>
        </c:ser>
        <c:dLbls>
          <c:showLegendKey val="0"/>
          <c:showVal val="0"/>
          <c:showCatName val="0"/>
          <c:showSerName val="0"/>
          <c:showPercent val="0"/>
          <c:showBubbleSize val="0"/>
        </c:dLbls>
        <c:smooth val="0"/>
        <c:axId val="545429128"/>
        <c:axId val="545429520"/>
      </c:lineChart>
      <c:catAx>
        <c:axId val="545429128"/>
        <c:scaling>
          <c:orientation val="minMax"/>
        </c:scaling>
        <c:delete val="0"/>
        <c:axPos val="b"/>
        <c:numFmt formatCode="General" sourceLinked="0"/>
        <c:majorTickMark val="out"/>
        <c:minorTickMark val="none"/>
        <c:tickLblPos val="nextTo"/>
        <c:crossAx val="545429520"/>
        <c:crosses val="autoZero"/>
        <c:auto val="1"/>
        <c:lblAlgn val="ctr"/>
        <c:lblOffset val="100"/>
        <c:noMultiLvlLbl val="0"/>
      </c:catAx>
      <c:valAx>
        <c:axId val="545429520"/>
        <c:scaling>
          <c:orientation val="minMax"/>
        </c:scaling>
        <c:delete val="0"/>
        <c:axPos val="l"/>
        <c:numFmt formatCode="General" sourceLinked="1"/>
        <c:majorTickMark val="out"/>
        <c:minorTickMark val="none"/>
        <c:tickLblPos val="nextTo"/>
        <c:crossAx val="545429128"/>
        <c:crosses val="autoZero"/>
        <c:crossBetween val="between"/>
      </c:valAx>
    </c:plotArea>
    <c:legend>
      <c:legendPos val="r"/>
      <c:layout>
        <c:manualLayout>
          <c:xMode val="edge"/>
          <c:yMode val="edge"/>
          <c:x val="7.4999999999999997E-2"/>
          <c:y val="0.10017259206235585"/>
          <c:w val="0.46388888888888891"/>
          <c:h val="0.22894774516821761"/>
        </c:manualLayout>
      </c:layout>
      <c:overlay val="1"/>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strRef>
              <c:f>Graph!$A$51</c:f>
              <c:strCache>
                <c:ptCount val="1"/>
                <c:pt idx="0">
                  <c:v>Business Crime</c:v>
                </c:pt>
              </c:strCache>
            </c:strRef>
          </c:tx>
          <c:spPr>
            <a:ln w="28575" cap="rnd" cmpd="sng" algn="ctr">
              <a:solidFill>
                <a:schemeClr val="accent6">
                  <a:shade val="95000"/>
                  <a:satMod val="105000"/>
                </a:schemeClr>
              </a:solidFill>
              <a:prstDash val="solid"/>
              <a:round/>
            </a:ln>
            <a:effectLst/>
          </c:spPr>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Graph!$B$51:$G$51</c:f>
              <c:numCache>
                <c:formatCode>General</c:formatCode>
                <c:ptCount val="6"/>
                <c:pt idx="0">
                  <c:v>111</c:v>
                </c:pt>
                <c:pt idx="1">
                  <c:v>88</c:v>
                </c:pt>
                <c:pt idx="2">
                  <c:v>83</c:v>
                </c:pt>
                <c:pt idx="3">
                  <c:v>78</c:v>
                </c:pt>
                <c:pt idx="4">
                  <c:v>85</c:v>
                </c:pt>
                <c:pt idx="5">
                  <c:v>66</c:v>
                </c:pt>
              </c:numCache>
            </c:numRef>
          </c:val>
          <c:smooth val="0"/>
          <c:extLst>
            <c:ext xmlns:c16="http://schemas.microsoft.com/office/drawing/2014/chart" uri="{C3380CC4-5D6E-409C-BE32-E72D297353CC}">
              <c16:uniqueId val="{00000000-B04F-4340-91D3-25D9FEBB0DC5}"/>
            </c:ext>
          </c:extLst>
        </c:ser>
        <c:dLbls>
          <c:showLegendKey val="0"/>
          <c:showVal val="0"/>
          <c:showCatName val="0"/>
          <c:showSerName val="0"/>
          <c:showPercent val="0"/>
          <c:showBubbleSize val="0"/>
        </c:dLbls>
        <c:smooth val="0"/>
        <c:axId val="545430304"/>
        <c:axId val="545430696"/>
      </c:lineChart>
      <c:catAx>
        <c:axId val="5454303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30696"/>
        <c:crosses val="autoZero"/>
        <c:auto val="1"/>
        <c:lblAlgn val="ctr"/>
        <c:lblOffset val="100"/>
        <c:noMultiLvlLbl val="0"/>
      </c:catAx>
      <c:valAx>
        <c:axId val="545430696"/>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30304"/>
        <c:crosses val="autoZero"/>
        <c:crossBetween val="between"/>
      </c:valAx>
      <c:spPr>
        <a:solidFill>
          <a:schemeClr val="bg1"/>
        </a:solidFill>
        <a:ln>
          <a:noFill/>
        </a:ln>
        <a:effectLst/>
      </c:spPr>
    </c:plotArea>
    <c:legend>
      <c:legendPos val="r"/>
      <c:layout>
        <c:manualLayout>
          <c:xMode val="edge"/>
          <c:yMode val="edge"/>
          <c:x val="0.16109580052493441"/>
          <c:y val="0.67573381452318471"/>
          <c:w val="0.25328544907496314"/>
          <c:h val="0.1441616572122033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405074365704292E-2"/>
          <c:y val="7.4548702245552642E-2"/>
          <c:w val="0.55357939632545927"/>
          <c:h val="0.67447142023913675"/>
        </c:manualLayout>
      </c:layout>
      <c:lineChart>
        <c:grouping val="standard"/>
        <c:varyColors val="0"/>
        <c:ser>
          <c:idx val="0"/>
          <c:order val="0"/>
          <c:tx>
            <c:strRef>
              <c:f>Graph!$A$62</c:f>
              <c:strCache>
                <c:ptCount val="1"/>
                <c:pt idx="0">
                  <c:v>Violence With Injury</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Graph!$B$62:$G$62</c:f>
              <c:numCache>
                <c:formatCode>General</c:formatCode>
                <c:ptCount val="6"/>
                <c:pt idx="0">
                  <c:v>165</c:v>
                </c:pt>
                <c:pt idx="1">
                  <c:v>140</c:v>
                </c:pt>
                <c:pt idx="2">
                  <c:v>165</c:v>
                </c:pt>
                <c:pt idx="3">
                  <c:v>163</c:v>
                </c:pt>
                <c:pt idx="4">
                  <c:v>116</c:v>
                </c:pt>
                <c:pt idx="5">
                  <c:v>163</c:v>
                </c:pt>
              </c:numCache>
            </c:numRef>
          </c:val>
          <c:smooth val="0"/>
          <c:extLst>
            <c:ext xmlns:c16="http://schemas.microsoft.com/office/drawing/2014/chart" uri="{C3380CC4-5D6E-409C-BE32-E72D297353CC}">
              <c16:uniqueId val="{00000000-60E1-4D4F-934B-7092376FE1F9}"/>
            </c:ext>
          </c:extLst>
        </c:ser>
        <c:ser>
          <c:idx val="1"/>
          <c:order val="1"/>
          <c:tx>
            <c:strRef>
              <c:f>Graph!$A$63</c:f>
              <c:strCache>
                <c:ptCount val="1"/>
                <c:pt idx="0">
                  <c:v>Violence Without Injury</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Graph!$B$63:$G$63</c:f>
              <c:numCache>
                <c:formatCode>General</c:formatCode>
                <c:ptCount val="6"/>
                <c:pt idx="0">
                  <c:v>353</c:v>
                </c:pt>
                <c:pt idx="1">
                  <c:v>314</c:v>
                </c:pt>
                <c:pt idx="2">
                  <c:v>298</c:v>
                </c:pt>
                <c:pt idx="3">
                  <c:v>312</c:v>
                </c:pt>
                <c:pt idx="4">
                  <c:v>343</c:v>
                </c:pt>
                <c:pt idx="5">
                  <c:v>338</c:v>
                </c:pt>
              </c:numCache>
            </c:numRef>
          </c:val>
          <c:smooth val="0"/>
          <c:extLst>
            <c:ext xmlns:c16="http://schemas.microsoft.com/office/drawing/2014/chart" uri="{C3380CC4-5D6E-409C-BE32-E72D297353CC}">
              <c16:uniqueId val="{00000001-60E1-4D4F-934B-7092376FE1F9}"/>
            </c:ext>
          </c:extLst>
        </c:ser>
        <c:dLbls>
          <c:showLegendKey val="0"/>
          <c:showVal val="0"/>
          <c:showCatName val="0"/>
          <c:showSerName val="0"/>
          <c:showPercent val="0"/>
          <c:showBubbleSize val="0"/>
        </c:dLbls>
        <c:smooth val="0"/>
        <c:axId val="545431480"/>
        <c:axId val="545431872"/>
      </c:lineChart>
      <c:catAx>
        <c:axId val="545431480"/>
        <c:scaling>
          <c:orientation val="minMax"/>
        </c:scaling>
        <c:delete val="0"/>
        <c:axPos val="b"/>
        <c:numFmt formatCode="General" sourceLinked="0"/>
        <c:majorTickMark val="out"/>
        <c:minorTickMark val="none"/>
        <c:tickLblPos val="nextTo"/>
        <c:crossAx val="545431872"/>
        <c:crosses val="autoZero"/>
        <c:auto val="1"/>
        <c:lblAlgn val="ctr"/>
        <c:lblOffset val="100"/>
        <c:noMultiLvlLbl val="0"/>
      </c:catAx>
      <c:valAx>
        <c:axId val="545431872"/>
        <c:scaling>
          <c:orientation val="minMax"/>
        </c:scaling>
        <c:delete val="0"/>
        <c:axPos val="l"/>
        <c:numFmt formatCode="General" sourceLinked="1"/>
        <c:majorTickMark val="out"/>
        <c:minorTickMark val="none"/>
        <c:tickLblPos val="nextTo"/>
        <c:crossAx val="545431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Graph!$A$64</c:f>
              <c:strCache>
                <c:ptCount val="1"/>
                <c:pt idx="0">
                  <c:v>Rape</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Graph!$B$64:$G$64</c:f>
              <c:numCache>
                <c:formatCode>General</c:formatCode>
                <c:ptCount val="6"/>
                <c:pt idx="0">
                  <c:v>33</c:v>
                </c:pt>
                <c:pt idx="1">
                  <c:v>21</c:v>
                </c:pt>
                <c:pt idx="2">
                  <c:v>26</c:v>
                </c:pt>
                <c:pt idx="3">
                  <c:v>27</c:v>
                </c:pt>
                <c:pt idx="4">
                  <c:v>14</c:v>
                </c:pt>
                <c:pt idx="5">
                  <c:v>11</c:v>
                </c:pt>
              </c:numCache>
            </c:numRef>
          </c:val>
          <c:smooth val="0"/>
          <c:extLst>
            <c:ext xmlns:c16="http://schemas.microsoft.com/office/drawing/2014/chart" uri="{C3380CC4-5D6E-409C-BE32-E72D297353CC}">
              <c16:uniqueId val="{00000000-5F96-4A8A-9AEB-1FFB18534FCE}"/>
            </c:ext>
          </c:extLst>
        </c:ser>
        <c:ser>
          <c:idx val="1"/>
          <c:order val="1"/>
          <c:tx>
            <c:strRef>
              <c:f>Graph!$A$65</c:f>
              <c:strCache>
                <c:ptCount val="1"/>
                <c:pt idx="0">
                  <c:v>Other Sexual Offences</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Graph!$B$65:$G$65</c:f>
              <c:numCache>
                <c:formatCode>General</c:formatCode>
                <c:ptCount val="6"/>
                <c:pt idx="0">
                  <c:v>43</c:v>
                </c:pt>
                <c:pt idx="1">
                  <c:v>44</c:v>
                </c:pt>
                <c:pt idx="2">
                  <c:v>40</c:v>
                </c:pt>
                <c:pt idx="3">
                  <c:v>44</c:v>
                </c:pt>
                <c:pt idx="4">
                  <c:v>41</c:v>
                </c:pt>
                <c:pt idx="5">
                  <c:v>56</c:v>
                </c:pt>
              </c:numCache>
            </c:numRef>
          </c:val>
          <c:smooth val="0"/>
          <c:extLst>
            <c:ext xmlns:c16="http://schemas.microsoft.com/office/drawing/2014/chart" uri="{C3380CC4-5D6E-409C-BE32-E72D297353CC}">
              <c16:uniqueId val="{00000001-5F96-4A8A-9AEB-1FFB18534FCE}"/>
            </c:ext>
          </c:extLst>
        </c:ser>
        <c:dLbls>
          <c:showLegendKey val="0"/>
          <c:showVal val="0"/>
          <c:showCatName val="0"/>
          <c:showSerName val="0"/>
          <c:showPercent val="0"/>
          <c:showBubbleSize val="0"/>
        </c:dLbls>
        <c:smooth val="0"/>
        <c:axId val="545432656"/>
        <c:axId val="546196072"/>
      </c:lineChart>
      <c:catAx>
        <c:axId val="545432656"/>
        <c:scaling>
          <c:orientation val="minMax"/>
        </c:scaling>
        <c:delete val="0"/>
        <c:axPos val="b"/>
        <c:numFmt formatCode="General" sourceLinked="0"/>
        <c:majorTickMark val="out"/>
        <c:minorTickMark val="none"/>
        <c:tickLblPos val="nextTo"/>
        <c:crossAx val="546196072"/>
        <c:crosses val="autoZero"/>
        <c:auto val="1"/>
        <c:lblAlgn val="ctr"/>
        <c:lblOffset val="100"/>
        <c:noMultiLvlLbl val="0"/>
      </c:catAx>
      <c:valAx>
        <c:axId val="546196072"/>
        <c:scaling>
          <c:orientation val="minMax"/>
        </c:scaling>
        <c:delete val="0"/>
        <c:axPos val="l"/>
        <c:numFmt formatCode="General" sourceLinked="1"/>
        <c:majorTickMark val="out"/>
        <c:minorTickMark val="none"/>
        <c:tickLblPos val="nextTo"/>
        <c:crossAx val="545432656"/>
        <c:crosses val="autoZero"/>
        <c:crossBetween val="between"/>
      </c:valAx>
    </c:plotArea>
    <c:legend>
      <c:legendPos val="r"/>
      <c:layout>
        <c:manualLayout>
          <c:xMode val="edge"/>
          <c:yMode val="edge"/>
          <c:x val="0.27358223972003498"/>
          <c:y val="0.6616531787693205"/>
          <c:w val="0.59030664916885389"/>
          <c:h val="0.17669364246135899"/>
        </c:manualLayout>
      </c:layout>
      <c:overlay val="1"/>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strRef>
              <c:f>Graph!$A$67</c:f>
              <c:strCache>
                <c:ptCount val="1"/>
                <c:pt idx="0">
                  <c:v>Theft From A Vehicle</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Graph!$B$67:$G$67</c:f>
              <c:numCache>
                <c:formatCode>General</c:formatCode>
                <c:ptCount val="6"/>
                <c:pt idx="0">
                  <c:v>96</c:v>
                </c:pt>
                <c:pt idx="1">
                  <c:v>73</c:v>
                </c:pt>
                <c:pt idx="2">
                  <c:v>57</c:v>
                </c:pt>
                <c:pt idx="3">
                  <c:v>73</c:v>
                </c:pt>
                <c:pt idx="4">
                  <c:v>48</c:v>
                </c:pt>
                <c:pt idx="5">
                  <c:v>60</c:v>
                </c:pt>
              </c:numCache>
            </c:numRef>
          </c:val>
          <c:smooth val="0"/>
          <c:extLst>
            <c:ext xmlns:c16="http://schemas.microsoft.com/office/drawing/2014/chart" uri="{C3380CC4-5D6E-409C-BE32-E72D297353CC}">
              <c16:uniqueId val="{00000000-9B82-4D47-B64E-364E05E9668E}"/>
            </c:ext>
          </c:extLst>
        </c:ser>
        <c:ser>
          <c:idx val="1"/>
          <c:order val="1"/>
          <c:tx>
            <c:strRef>
              <c:f>Graph!$A$70</c:f>
              <c:strCache>
                <c:ptCount val="1"/>
                <c:pt idx="0">
                  <c:v>Total Theft of MV</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Graph!$B$70:$G$70</c:f>
              <c:numCache>
                <c:formatCode>General</c:formatCode>
                <c:ptCount val="6"/>
                <c:pt idx="0">
                  <c:v>36</c:v>
                </c:pt>
                <c:pt idx="1">
                  <c:v>34</c:v>
                </c:pt>
                <c:pt idx="2">
                  <c:v>46</c:v>
                </c:pt>
                <c:pt idx="3">
                  <c:v>50</c:v>
                </c:pt>
                <c:pt idx="4">
                  <c:v>32</c:v>
                </c:pt>
                <c:pt idx="5">
                  <c:v>41</c:v>
                </c:pt>
              </c:numCache>
            </c:numRef>
          </c:val>
          <c:smooth val="0"/>
          <c:extLst>
            <c:ext xmlns:c16="http://schemas.microsoft.com/office/drawing/2014/chart" uri="{C3380CC4-5D6E-409C-BE32-E72D297353CC}">
              <c16:uniqueId val="{00000001-9B82-4D47-B64E-364E05E9668E}"/>
            </c:ext>
          </c:extLst>
        </c:ser>
        <c:dLbls>
          <c:showLegendKey val="0"/>
          <c:showVal val="0"/>
          <c:showCatName val="0"/>
          <c:showSerName val="0"/>
          <c:showPercent val="0"/>
          <c:showBubbleSize val="0"/>
        </c:dLbls>
        <c:smooth val="0"/>
        <c:axId val="546196856"/>
        <c:axId val="546197248"/>
      </c:lineChart>
      <c:catAx>
        <c:axId val="546196856"/>
        <c:scaling>
          <c:orientation val="minMax"/>
        </c:scaling>
        <c:delete val="0"/>
        <c:axPos val="b"/>
        <c:numFmt formatCode="General" sourceLinked="0"/>
        <c:majorTickMark val="out"/>
        <c:minorTickMark val="none"/>
        <c:tickLblPos val="nextTo"/>
        <c:crossAx val="546197248"/>
        <c:crosses val="autoZero"/>
        <c:auto val="1"/>
        <c:lblAlgn val="ctr"/>
        <c:lblOffset val="100"/>
        <c:noMultiLvlLbl val="0"/>
      </c:catAx>
      <c:valAx>
        <c:axId val="546197248"/>
        <c:scaling>
          <c:orientation val="minMax"/>
        </c:scaling>
        <c:delete val="0"/>
        <c:axPos val="l"/>
        <c:numFmt formatCode="General" sourceLinked="1"/>
        <c:majorTickMark val="out"/>
        <c:minorTickMark val="none"/>
        <c:tickLblPos val="nextTo"/>
        <c:crossAx val="546196856"/>
        <c:crosses val="autoZero"/>
        <c:crossBetween val="between"/>
      </c:valAx>
    </c:plotArea>
    <c:legend>
      <c:legendPos val="r"/>
      <c:layout>
        <c:manualLayout>
          <c:xMode val="edge"/>
          <c:yMode val="edge"/>
          <c:x val="0.10801246719160106"/>
          <c:y val="0.68480132691746864"/>
          <c:w val="0.59476531058617677"/>
          <c:h val="0.13039734616506271"/>
        </c:manualLayout>
      </c:layout>
      <c:overlay val="1"/>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lineChart>
        <c:grouping val="standard"/>
        <c:varyColors val="0"/>
        <c:ser>
          <c:idx val="0"/>
          <c:order val="0"/>
          <c:tx>
            <c:strRef>
              <c:f>Graph!$A$71</c:f>
              <c:strCache>
                <c:ptCount val="1"/>
                <c:pt idx="0">
                  <c:v>Personal ASB</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Graph!$B$71:$G$71</c:f>
              <c:numCache>
                <c:formatCode>General</c:formatCode>
                <c:ptCount val="6"/>
                <c:pt idx="0">
                  <c:v>87</c:v>
                </c:pt>
                <c:pt idx="1">
                  <c:v>91</c:v>
                </c:pt>
                <c:pt idx="2">
                  <c:v>57</c:v>
                </c:pt>
                <c:pt idx="3">
                  <c:v>75</c:v>
                </c:pt>
                <c:pt idx="4">
                  <c:v>61</c:v>
                </c:pt>
                <c:pt idx="5">
                  <c:v>0</c:v>
                </c:pt>
              </c:numCache>
            </c:numRef>
          </c:val>
          <c:smooth val="0"/>
          <c:extLst>
            <c:ext xmlns:c16="http://schemas.microsoft.com/office/drawing/2014/chart" uri="{C3380CC4-5D6E-409C-BE32-E72D297353CC}">
              <c16:uniqueId val="{00000000-3B5F-4355-AA4C-0EB610B3D611}"/>
            </c:ext>
          </c:extLst>
        </c:ser>
        <c:dLbls>
          <c:showLegendKey val="0"/>
          <c:showVal val="0"/>
          <c:showCatName val="0"/>
          <c:showSerName val="0"/>
          <c:showPercent val="0"/>
          <c:showBubbleSize val="0"/>
        </c:dLbls>
        <c:smooth val="0"/>
        <c:axId val="546198032"/>
        <c:axId val="546198424"/>
      </c:lineChart>
      <c:catAx>
        <c:axId val="546198032"/>
        <c:scaling>
          <c:orientation val="minMax"/>
        </c:scaling>
        <c:delete val="0"/>
        <c:axPos val="b"/>
        <c:numFmt formatCode="General" sourceLinked="0"/>
        <c:majorTickMark val="out"/>
        <c:minorTickMark val="none"/>
        <c:tickLblPos val="nextTo"/>
        <c:crossAx val="546198424"/>
        <c:crosses val="autoZero"/>
        <c:auto val="1"/>
        <c:lblAlgn val="ctr"/>
        <c:lblOffset val="100"/>
        <c:noMultiLvlLbl val="0"/>
      </c:catAx>
      <c:valAx>
        <c:axId val="546198424"/>
        <c:scaling>
          <c:orientation val="minMax"/>
        </c:scaling>
        <c:delete val="0"/>
        <c:axPos val="l"/>
        <c:numFmt formatCode="General" sourceLinked="1"/>
        <c:majorTickMark val="out"/>
        <c:minorTickMark val="none"/>
        <c:tickLblPos val="nextTo"/>
        <c:crossAx val="546198032"/>
        <c:crosses val="autoZero"/>
        <c:crossBetween val="between"/>
      </c:valAx>
    </c:plotArea>
    <c:legend>
      <c:legendPos val="r"/>
      <c:layout>
        <c:manualLayout>
          <c:xMode val="edge"/>
          <c:yMode val="edge"/>
          <c:x val="0.38291601049868768"/>
          <c:y val="0.59240048118985122"/>
          <c:w val="0.39763954505686788"/>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Graph!$A$10</c:f>
              <c:strCache>
                <c:ptCount val="1"/>
                <c:pt idx="0">
                  <c:v>Domestic Abuse Offences and Crimed Investigations</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Graph!$B$10:$G$10</c:f>
              <c:numCache>
                <c:formatCode>General</c:formatCode>
                <c:ptCount val="6"/>
                <c:pt idx="0">
                  <c:v>830</c:v>
                </c:pt>
                <c:pt idx="1">
                  <c:v>774</c:v>
                </c:pt>
                <c:pt idx="2">
                  <c:v>910</c:v>
                </c:pt>
                <c:pt idx="3">
                  <c:v>823</c:v>
                </c:pt>
                <c:pt idx="4">
                  <c:v>821</c:v>
                </c:pt>
                <c:pt idx="5">
                  <c:v>901</c:v>
                </c:pt>
              </c:numCache>
            </c:numRef>
          </c:val>
          <c:smooth val="0"/>
          <c:extLst>
            <c:ext xmlns:c16="http://schemas.microsoft.com/office/drawing/2014/chart" uri="{C3380CC4-5D6E-409C-BE32-E72D297353CC}">
              <c16:uniqueId val="{00000000-F780-4C21-8071-C9FCDCA29BE2}"/>
            </c:ext>
          </c:extLst>
        </c:ser>
        <c:dLbls>
          <c:showLegendKey val="0"/>
          <c:showVal val="0"/>
          <c:showCatName val="0"/>
          <c:showSerName val="0"/>
          <c:showPercent val="0"/>
          <c:showBubbleSize val="0"/>
        </c:dLbls>
        <c:smooth val="0"/>
        <c:axId val="543589368"/>
        <c:axId val="543589760"/>
      </c:lineChart>
      <c:catAx>
        <c:axId val="543589368"/>
        <c:scaling>
          <c:orientation val="minMax"/>
        </c:scaling>
        <c:delete val="0"/>
        <c:axPos val="b"/>
        <c:numFmt formatCode="General" sourceLinked="0"/>
        <c:majorTickMark val="out"/>
        <c:minorTickMark val="none"/>
        <c:tickLblPos val="nextTo"/>
        <c:txPr>
          <a:bodyPr rot="0" vert="horz" anchor="ctr" anchorCtr="1"/>
          <a:lstStyle/>
          <a:p>
            <a:pPr>
              <a:defRPr/>
            </a:pPr>
            <a:endParaRPr lang="en-US"/>
          </a:p>
        </c:txPr>
        <c:crossAx val="543589760"/>
        <c:crosses val="autoZero"/>
        <c:auto val="1"/>
        <c:lblAlgn val="ctr"/>
        <c:lblOffset val="100"/>
        <c:noMultiLvlLbl val="0"/>
      </c:catAx>
      <c:valAx>
        <c:axId val="543589760"/>
        <c:scaling>
          <c:orientation val="minMax"/>
        </c:scaling>
        <c:delete val="0"/>
        <c:axPos val="l"/>
        <c:majorGridlines/>
        <c:numFmt formatCode="General" sourceLinked="1"/>
        <c:majorTickMark val="out"/>
        <c:minorTickMark val="none"/>
        <c:tickLblPos val="nextTo"/>
        <c:crossAx val="543589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Graph!$A$78</c:f>
              <c:strCache>
                <c:ptCount val="1"/>
                <c:pt idx="0">
                  <c:v>Violence With Injury</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Graph!$B$78:$G$78</c:f>
              <c:numCache>
                <c:formatCode>General</c:formatCode>
                <c:ptCount val="6"/>
                <c:pt idx="0">
                  <c:v>83</c:v>
                </c:pt>
                <c:pt idx="1">
                  <c:v>69</c:v>
                </c:pt>
                <c:pt idx="2">
                  <c:v>65</c:v>
                </c:pt>
                <c:pt idx="3">
                  <c:v>82</c:v>
                </c:pt>
                <c:pt idx="4">
                  <c:v>55</c:v>
                </c:pt>
                <c:pt idx="5">
                  <c:v>55</c:v>
                </c:pt>
              </c:numCache>
            </c:numRef>
          </c:val>
          <c:smooth val="0"/>
          <c:extLst>
            <c:ext xmlns:c16="http://schemas.microsoft.com/office/drawing/2014/chart" uri="{C3380CC4-5D6E-409C-BE32-E72D297353CC}">
              <c16:uniqueId val="{00000000-81FD-4BFE-8BE1-6DA428F7DCF9}"/>
            </c:ext>
          </c:extLst>
        </c:ser>
        <c:ser>
          <c:idx val="1"/>
          <c:order val="1"/>
          <c:tx>
            <c:strRef>
              <c:f>Graph!$A$79</c:f>
              <c:strCache>
                <c:ptCount val="1"/>
                <c:pt idx="0">
                  <c:v>Violence Without Injury</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Graph!$B$79:$G$79</c:f>
              <c:numCache>
                <c:formatCode>General</c:formatCode>
                <c:ptCount val="6"/>
                <c:pt idx="0">
                  <c:v>156</c:v>
                </c:pt>
                <c:pt idx="1">
                  <c:v>152</c:v>
                </c:pt>
                <c:pt idx="2">
                  <c:v>138</c:v>
                </c:pt>
                <c:pt idx="3">
                  <c:v>127</c:v>
                </c:pt>
                <c:pt idx="4">
                  <c:v>170</c:v>
                </c:pt>
                <c:pt idx="5">
                  <c:v>158</c:v>
                </c:pt>
              </c:numCache>
            </c:numRef>
          </c:val>
          <c:smooth val="0"/>
          <c:extLst>
            <c:ext xmlns:c16="http://schemas.microsoft.com/office/drawing/2014/chart" uri="{C3380CC4-5D6E-409C-BE32-E72D297353CC}">
              <c16:uniqueId val="{00000001-81FD-4BFE-8BE1-6DA428F7DCF9}"/>
            </c:ext>
          </c:extLst>
        </c:ser>
        <c:dLbls>
          <c:showLegendKey val="0"/>
          <c:showVal val="0"/>
          <c:showCatName val="0"/>
          <c:showSerName val="0"/>
          <c:showPercent val="0"/>
          <c:showBubbleSize val="0"/>
        </c:dLbls>
        <c:smooth val="0"/>
        <c:axId val="546199600"/>
        <c:axId val="546199992"/>
      </c:lineChart>
      <c:catAx>
        <c:axId val="546199600"/>
        <c:scaling>
          <c:orientation val="minMax"/>
        </c:scaling>
        <c:delete val="0"/>
        <c:axPos val="b"/>
        <c:numFmt formatCode="General" sourceLinked="0"/>
        <c:majorTickMark val="out"/>
        <c:minorTickMark val="none"/>
        <c:tickLblPos val="nextTo"/>
        <c:crossAx val="546199992"/>
        <c:crosses val="autoZero"/>
        <c:auto val="1"/>
        <c:lblAlgn val="ctr"/>
        <c:lblOffset val="100"/>
        <c:noMultiLvlLbl val="0"/>
      </c:catAx>
      <c:valAx>
        <c:axId val="546199992"/>
        <c:scaling>
          <c:orientation val="minMax"/>
        </c:scaling>
        <c:delete val="0"/>
        <c:axPos val="l"/>
        <c:numFmt formatCode="General" sourceLinked="1"/>
        <c:majorTickMark val="out"/>
        <c:minorTickMark val="none"/>
        <c:tickLblPos val="nextTo"/>
        <c:crossAx val="546199600"/>
        <c:crosses val="autoZero"/>
        <c:crossBetween val="between"/>
      </c:valAx>
    </c:plotArea>
    <c:legend>
      <c:legendPos val="r"/>
      <c:layout>
        <c:manualLayout>
          <c:xMode val="edge"/>
          <c:yMode val="edge"/>
          <c:x val="0.12811609292640072"/>
          <c:y val="0.56960570494725893"/>
          <c:w val="0.86821081249141374"/>
          <c:h val="0.29852404298519286"/>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lineChart>
        <c:grouping val="standard"/>
        <c:varyColors val="0"/>
        <c:ser>
          <c:idx val="0"/>
          <c:order val="0"/>
          <c:tx>
            <c:strRef>
              <c:f>Graph!$A$80</c:f>
              <c:strCache>
                <c:ptCount val="1"/>
                <c:pt idx="0">
                  <c:v>Rape</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Graph!$B$80:$G$80</c:f>
              <c:numCache>
                <c:formatCode>General</c:formatCode>
                <c:ptCount val="6"/>
                <c:pt idx="0">
                  <c:v>15</c:v>
                </c:pt>
                <c:pt idx="1">
                  <c:v>9</c:v>
                </c:pt>
                <c:pt idx="2">
                  <c:v>9</c:v>
                </c:pt>
                <c:pt idx="3">
                  <c:v>11</c:v>
                </c:pt>
                <c:pt idx="4">
                  <c:v>5</c:v>
                </c:pt>
                <c:pt idx="5">
                  <c:v>5</c:v>
                </c:pt>
              </c:numCache>
            </c:numRef>
          </c:val>
          <c:smooth val="0"/>
          <c:extLst>
            <c:ext xmlns:c16="http://schemas.microsoft.com/office/drawing/2014/chart" uri="{C3380CC4-5D6E-409C-BE32-E72D297353CC}">
              <c16:uniqueId val="{00000000-6155-4DCC-860E-94AC344B6499}"/>
            </c:ext>
          </c:extLst>
        </c:ser>
        <c:ser>
          <c:idx val="1"/>
          <c:order val="1"/>
          <c:tx>
            <c:strRef>
              <c:f>Graph!$A$81</c:f>
              <c:strCache>
                <c:ptCount val="1"/>
                <c:pt idx="0">
                  <c:v>Other Sexual Offences</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Graph!$B$81:$G$81</c:f>
              <c:numCache>
                <c:formatCode>General</c:formatCode>
                <c:ptCount val="6"/>
                <c:pt idx="0">
                  <c:v>21</c:v>
                </c:pt>
                <c:pt idx="1">
                  <c:v>17</c:v>
                </c:pt>
                <c:pt idx="2">
                  <c:v>25</c:v>
                </c:pt>
                <c:pt idx="3">
                  <c:v>21</c:v>
                </c:pt>
                <c:pt idx="4">
                  <c:v>15</c:v>
                </c:pt>
                <c:pt idx="5">
                  <c:v>29</c:v>
                </c:pt>
              </c:numCache>
            </c:numRef>
          </c:val>
          <c:smooth val="0"/>
          <c:extLst>
            <c:ext xmlns:c16="http://schemas.microsoft.com/office/drawing/2014/chart" uri="{C3380CC4-5D6E-409C-BE32-E72D297353CC}">
              <c16:uniqueId val="{00000001-6155-4DCC-860E-94AC344B6499}"/>
            </c:ext>
          </c:extLst>
        </c:ser>
        <c:dLbls>
          <c:showLegendKey val="0"/>
          <c:showVal val="0"/>
          <c:showCatName val="0"/>
          <c:showSerName val="0"/>
          <c:showPercent val="0"/>
          <c:showBubbleSize val="0"/>
        </c:dLbls>
        <c:smooth val="0"/>
        <c:axId val="546200384"/>
        <c:axId val="546200776"/>
      </c:lineChart>
      <c:catAx>
        <c:axId val="546200384"/>
        <c:scaling>
          <c:orientation val="minMax"/>
        </c:scaling>
        <c:delete val="0"/>
        <c:axPos val="b"/>
        <c:numFmt formatCode="General" sourceLinked="0"/>
        <c:majorTickMark val="out"/>
        <c:minorTickMark val="none"/>
        <c:tickLblPos val="nextTo"/>
        <c:crossAx val="546200776"/>
        <c:crosses val="autoZero"/>
        <c:auto val="1"/>
        <c:lblAlgn val="ctr"/>
        <c:lblOffset val="100"/>
        <c:noMultiLvlLbl val="0"/>
      </c:catAx>
      <c:valAx>
        <c:axId val="546200776"/>
        <c:scaling>
          <c:orientation val="minMax"/>
        </c:scaling>
        <c:delete val="0"/>
        <c:axPos val="l"/>
        <c:numFmt formatCode="General" sourceLinked="1"/>
        <c:majorTickMark val="out"/>
        <c:minorTickMark val="none"/>
        <c:tickLblPos val="nextTo"/>
        <c:crossAx val="546200384"/>
        <c:crosses val="autoZero"/>
        <c:crossBetween val="between"/>
      </c:valAx>
    </c:plotArea>
    <c:legend>
      <c:legendPos val="r"/>
      <c:layout>
        <c:manualLayout>
          <c:xMode val="edge"/>
          <c:yMode val="edge"/>
          <c:x val="0.11063626221034295"/>
          <c:y val="4.5912459471977779E-2"/>
          <c:w val="0.75916524195943402"/>
          <c:h val="0.24182183109464259"/>
        </c:manualLayout>
      </c:layout>
      <c:overlay val="1"/>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Graph!$A$83</c:f>
              <c:strCache>
                <c:ptCount val="1"/>
                <c:pt idx="0">
                  <c:v>Theft From A Vehicle</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Graph!$B$83:$G$83</c:f>
              <c:numCache>
                <c:formatCode>General</c:formatCode>
                <c:ptCount val="6"/>
                <c:pt idx="0">
                  <c:v>56</c:v>
                </c:pt>
                <c:pt idx="1">
                  <c:v>54</c:v>
                </c:pt>
                <c:pt idx="2">
                  <c:v>32</c:v>
                </c:pt>
                <c:pt idx="3">
                  <c:v>30</c:v>
                </c:pt>
                <c:pt idx="4">
                  <c:v>22</c:v>
                </c:pt>
                <c:pt idx="5">
                  <c:v>33</c:v>
                </c:pt>
              </c:numCache>
            </c:numRef>
          </c:val>
          <c:smooth val="0"/>
          <c:extLst>
            <c:ext xmlns:c16="http://schemas.microsoft.com/office/drawing/2014/chart" uri="{C3380CC4-5D6E-409C-BE32-E72D297353CC}">
              <c16:uniqueId val="{00000000-0E16-467D-B1FA-AD7DE0FD90F1}"/>
            </c:ext>
          </c:extLst>
        </c:ser>
        <c:ser>
          <c:idx val="1"/>
          <c:order val="1"/>
          <c:tx>
            <c:strRef>
              <c:f>Graph!$A$86</c:f>
              <c:strCache>
                <c:ptCount val="1"/>
                <c:pt idx="0">
                  <c:v>Total Theft Of MV</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Graph!$B$86:$G$86</c:f>
              <c:numCache>
                <c:formatCode>General</c:formatCode>
                <c:ptCount val="6"/>
                <c:pt idx="0">
                  <c:v>20</c:v>
                </c:pt>
                <c:pt idx="1">
                  <c:v>21</c:v>
                </c:pt>
                <c:pt idx="2">
                  <c:v>26</c:v>
                </c:pt>
                <c:pt idx="3">
                  <c:v>31</c:v>
                </c:pt>
                <c:pt idx="4">
                  <c:v>17</c:v>
                </c:pt>
                <c:pt idx="5">
                  <c:v>25</c:v>
                </c:pt>
              </c:numCache>
            </c:numRef>
          </c:val>
          <c:smooth val="0"/>
          <c:extLst>
            <c:ext xmlns:c16="http://schemas.microsoft.com/office/drawing/2014/chart" uri="{C3380CC4-5D6E-409C-BE32-E72D297353CC}">
              <c16:uniqueId val="{00000001-0E16-467D-B1FA-AD7DE0FD90F1}"/>
            </c:ext>
          </c:extLst>
        </c:ser>
        <c:dLbls>
          <c:showLegendKey val="0"/>
          <c:showVal val="0"/>
          <c:showCatName val="0"/>
          <c:showSerName val="0"/>
          <c:showPercent val="0"/>
          <c:showBubbleSize val="0"/>
        </c:dLbls>
        <c:smooth val="0"/>
        <c:axId val="546201560"/>
        <c:axId val="546201952"/>
      </c:lineChart>
      <c:catAx>
        <c:axId val="546201560"/>
        <c:scaling>
          <c:orientation val="minMax"/>
        </c:scaling>
        <c:delete val="0"/>
        <c:axPos val="b"/>
        <c:numFmt formatCode="General" sourceLinked="0"/>
        <c:majorTickMark val="out"/>
        <c:minorTickMark val="none"/>
        <c:tickLblPos val="nextTo"/>
        <c:crossAx val="546201952"/>
        <c:crosses val="autoZero"/>
        <c:auto val="1"/>
        <c:lblAlgn val="ctr"/>
        <c:lblOffset val="100"/>
        <c:noMultiLvlLbl val="0"/>
      </c:catAx>
      <c:valAx>
        <c:axId val="546201952"/>
        <c:scaling>
          <c:orientation val="minMax"/>
        </c:scaling>
        <c:delete val="0"/>
        <c:axPos val="l"/>
        <c:numFmt formatCode="General" sourceLinked="1"/>
        <c:majorTickMark val="out"/>
        <c:minorTickMark val="none"/>
        <c:tickLblPos val="nextTo"/>
        <c:crossAx val="546201560"/>
        <c:crosses val="autoZero"/>
        <c:crossBetween val="between"/>
      </c:valAx>
    </c:plotArea>
    <c:legend>
      <c:legendPos val="r"/>
      <c:layout>
        <c:manualLayout>
          <c:xMode val="edge"/>
          <c:yMode val="edge"/>
          <c:x val="0.17369862590705573"/>
          <c:y val="1.5335408655313425E-2"/>
          <c:w val="0.69476531058617674"/>
          <c:h val="0.19058253135024789"/>
        </c:manualLayout>
      </c:layout>
      <c:overlay val="1"/>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9518810148729E-2"/>
          <c:y val="3.75116652085156E-2"/>
          <c:w val="0.89745603674540686"/>
          <c:h val="0.8326195683872849"/>
        </c:manualLayout>
      </c:layout>
      <c:lineChart>
        <c:grouping val="standard"/>
        <c:varyColors val="0"/>
        <c:ser>
          <c:idx val="0"/>
          <c:order val="0"/>
          <c:tx>
            <c:strRef>
              <c:f>Graph!$A$87</c:f>
              <c:strCache>
                <c:ptCount val="1"/>
                <c:pt idx="0">
                  <c:v>Personal ASB</c:v>
                </c:pt>
              </c:strCache>
            </c:strRef>
          </c:tx>
          <c:spPr>
            <a:ln>
              <a:solidFill>
                <a:schemeClr val="accent3"/>
              </a:solidFill>
            </a:ln>
          </c:spPr>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Graph!$B$87:$G$87</c:f>
              <c:numCache>
                <c:formatCode>General</c:formatCode>
                <c:ptCount val="6"/>
                <c:pt idx="0">
                  <c:v>44</c:v>
                </c:pt>
                <c:pt idx="1">
                  <c:v>43</c:v>
                </c:pt>
                <c:pt idx="2">
                  <c:v>25</c:v>
                </c:pt>
                <c:pt idx="3">
                  <c:v>36</c:v>
                </c:pt>
                <c:pt idx="4">
                  <c:v>30</c:v>
                </c:pt>
                <c:pt idx="5">
                  <c:v>37</c:v>
                </c:pt>
              </c:numCache>
            </c:numRef>
          </c:val>
          <c:smooth val="0"/>
          <c:extLst>
            <c:ext xmlns:c16="http://schemas.microsoft.com/office/drawing/2014/chart" uri="{C3380CC4-5D6E-409C-BE32-E72D297353CC}">
              <c16:uniqueId val="{00000000-CED3-4D3D-8797-F537041CFB69}"/>
            </c:ext>
          </c:extLst>
        </c:ser>
        <c:dLbls>
          <c:showLegendKey val="0"/>
          <c:showVal val="0"/>
          <c:showCatName val="0"/>
          <c:showSerName val="0"/>
          <c:showPercent val="0"/>
          <c:showBubbleSize val="0"/>
        </c:dLbls>
        <c:smooth val="0"/>
        <c:axId val="546202736"/>
        <c:axId val="546203128"/>
      </c:lineChart>
      <c:catAx>
        <c:axId val="546202736"/>
        <c:scaling>
          <c:orientation val="minMax"/>
        </c:scaling>
        <c:delete val="0"/>
        <c:axPos val="b"/>
        <c:numFmt formatCode="General" sourceLinked="0"/>
        <c:majorTickMark val="out"/>
        <c:minorTickMark val="none"/>
        <c:tickLblPos val="nextTo"/>
        <c:crossAx val="546203128"/>
        <c:crosses val="autoZero"/>
        <c:auto val="1"/>
        <c:lblAlgn val="ctr"/>
        <c:lblOffset val="100"/>
        <c:noMultiLvlLbl val="0"/>
      </c:catAx>
      <c:valAx>
        <c:axId val="546203128"/>
        <c:scaling>
          <c:orientation val="minMax"/>
        </c:scaling>
        <c:delete val="0"/>
        <c:axPos val="l"/>
        <c:numFmt formatCode="General" sourceLinked="1"/>
        <c:majorTickMark val="out"/>
        <c:minorTickMark val="none"/>
        <c:tickLblPos val="nextTo"/>
        <c:crossAx val="546202736"/>
        <c:crosses val="autoZero"/>
        <c:crossBetween val="between"/>
      </c:valAx>
    </c:plotArea>
    <c:legend>
      <c:legendPos val="r"/>
      <c:layout>
        <c:manualLayout>
          <c:xMode val="edge"/>
          <c:yMode val="edge"/>
          <c:x val="0.29958267716535431"/>
          <c:y val="0.50906714785651797"/>
          <c:w val="0.41708398950131231"/>
          <c:h val="9.2976450860309132E-2"/>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Graph!$A$94</c:f>
              <c:strCache>
                <c:ptCount val="1"/>
                <c:pt idx="0">
                  <c:v>Violence With Injury</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Graph!$B$94:$G$94</c:f>
              <c:numCache>
                <c:formatCode>General</c:formatCode>
                <c:ptCount val="6"/>
                <c:pt idx="0">
                  <c:v>82</c:v>
                </c:pt>
                <c:pt idx="1">
                  <c:v>71</c:v>
                </c:pt>
                <c:pt idx="2">
                  <c:v>100</c:v>
                </c:pt>
                <c:pt idx="3">
                  <c:v>81</c:v>
                </c:pt>
                <c:pt idx="4">
                  <c:v>61</c:v>
                </c:pt>
                <c:pt idx="5">
                  <c:v>108</c:v>
                </c:pt>
              </c:numCache>
            </c:numRef>
          </c:val>
          <c:smooth val="0"/>
          <c:extLst>
            <c:ext xmlns:c16="http://schemas.microsoft.com/office/drawing/2014/chart" uri="{C3380CC4-5D6E-409C-BE32-E72D297353CC}">
              <c16:uniqueId val="{00000000-82DF-48FE-AD7B-2DD6D1C9D326}"/>
            </c:ext>
          </c:extLst>
        </c:ser>
        <c:ser>
          <c:idx val="1"/>
          <c:order val="1"/>
          <c:tx>
            <c:strRef>
              <c:f>Graph!$A$95</c:f>
              <c:strCache>
                <c:ptCount val="1"/>
                <c:pt idx="0">
                  <c:v>Violence Without Injury</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Graph!$B$95:$G$95</c:f>
              <c:numCache>
                <c:formatCode>General</c:formatCode>
                <c:ptCount val="6"/>
                <c:pt idx="0">
                  <c:v>197</c:v>
                </c:pt>
                <c:pt idx="1">
                  <c:v>162</c:v>
                </c:pt>
                <c:pt idx="2">
                  <c:v>160</c:v>
                </c:pt>
                <c:pt idx="3">
                  <c:v>185</c:v>
                </c:pt>
                <c:pt idx="4">
                  <c:v>173</c:v>
                </c:pt>
                <c:pt idx="5">
                  <c:v>180</c:v>
                </c:pt>
              </c:numCache>
            </c:numRef>
          </c:val>
          <c:smooth val="0"/>
          <c:extLst>
            <c:ext xmlns:c16="http://schemas.microsoft.com/office/drawing/2014/chart" uri="{C3380CC4-5D6E-409C-BE32-E72D297353CC}">
              <c16:uniqueId val="{00000001-82DF-48FE-AD7B-2DD6D1C9D326}"/>
            </c:ext>
          </c:extLst>
        </c:ser>
        <c:dLbls>
          <c:showLegendKey val="0"/>
          <c:showVal val="0"/>
          <c:showCatName val="0"/>
          <c:showSerName val="0"/>
          <c:showPercent val="0"/>
          <c:showBubbleSize val="0"/>
        </c:dLbls>
        <c:smooth val="0"/>
        <c:axId val="545996464"/>
        <c:axId val="545996856"/>
      </c:lineChart>
      <c:catAx>
        <c:axId val="545996464"/>
        <c:scaling>
          <c:orientation val="minMax"/>
        </c:scaling>
        <c:delete val="0"/>
        <c:axPos val="b"/>
        <c:numFmt formatCode="General" sourceLinked="0"/>
        <c:majorTickMark val="out"/>
        <c:minorTickMark val="none"/>
        <c:tickLblPos val="nextTo"/>
        <c:crossAx val="545996856"/>
        <c:crosses val="autoZero"/>
        <c:auto val="1"/>
        <c:lblAlgn val="ctr"/>
        <c:lblOffset val="100"/>
        <c:noMultiLvlLbl val="0"/>
      </c:catAx>
      <c:valAx>
        <c:axId val="545996856"/>
        <c:scaling>
          <c:orientation val="minMax"/>
        </c:scaling>
        <c:delete val="0"/>
        <c:axPos val="l"/>
        <c:numFmt formatCode="General" sourceLinked="1"/>
        <c:majorTickMark val="out"/>
        <c:minorTickMark val="none"/>
        <c:tickLblPos val="nextTo"/>
        <c:crossAx val="545996464"/>
        <c:crosses val="autoZero"/>
        <c:crossBetween val="between"/>
      </c:valAx>
    </c:plotArea>
    <c:legend>
      <c:legendPos val="r"/>
      <c:layout>
        <c:manualLayout>
          <c:xMode val="edge"/>
          <c:yMode val="edge"/>
          <c:x val="0.12298447069116361"/>
          <c:y val="0.56404709827938171"/>
          <c:w val="0.72979330708661416"/>
          <c:h val="0.16357247010790316"/>
        </c:manualLayout>
      </c:layout>
      <c:overlay val="1"/>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lineChart>
        <c:grouping val="standard"/>
        <c:varyColors val="0"/>
        <c:ser>
          <c:idx val="0"/>
          <c:order val="0"/>
          <c:tx>
            <c:strRef>
              <c:f>Graph!$A$96</c:f>
              <c:strCache>
                <c:ptCount val="1"/>
                <c:pt idx="0">
                  <c:v>Rape</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Graph!$B$96:$G$96</c:f>
              <c:numCache>
                <c:formatCode>General</c:formatCode>
                <c:ptCount val="6"/>
                <c:pt idx="0">
                  <c:v>18</c:v>
                </c:pt>
                <c:pt idx="1">
                  <c:v>12</c:v>
                </c:pt>
                <c:pt idx="2">
                  <c:v>17</c:v>
                </c:pt>
                <c:pt idx="3">
                  <c:v>16</c:v>
                </c:pt>
                <c:pt idx="4">
                  <c:v>9</c:v>
                </c:pt>
                <c:pt idx="5">
                  <c:v>6</c:v>
                </c:pt>
              </c:numCache>
            </c:numRef>
          </c:val>
          <c:smooth val="0"/>
          <c:extLst>
            <c:ext xmlns:c16="http://schemas.microsoft.com/office/drawing/2014/chart" uri="{C3380CC4-5D6E-409C-BE32-E72D297353CC}">
              <c16:uniqueId val="{00000000-EE02-4FC0-BF7A-AF1A1DAE0F62}"/>
            </c:ext>
          </c:extLst>
        </c:ser>
        <c:ser>
          <c:idx val="1"/>
          <c:order val="1"/>
          <c:tx>
            <c:strRef>
              <c:f>Graph!$A$97</c:f>
              <c:strCache>
                <c:ptCount val="1"/>
                <c:pt idx="0">
                  <c:v>Other Sexual Offences</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Graph!$B$97:$G$97</c:f>
              <c:numCache>
                <c:formatCode>General</c:formatCode>
                <c:ptCount val="6"/>
                <c:pt idx="0">
                  <c:v>22</c:v>
                </c:pt>
                <c:pt idx="1">
                  <c:v>27</c:v>
                </c:pt>
                <c:pt idx="2">
                  <c:v>15</c:v>
                </c:pt>
                <c:pt idx="3">
                  <c:v>23</c:v>
                </c:pt>
                <c:pt idx="4">
                  <c:v>26</c:v>
                </c:pt>
                <c:pt idx="5">
                  <c:v>27</c:v>
                </c:pt>
              </c:numCache>
            </c:numRef>
          </c:val>
          <c:smooth val="0"/>
          <c:extLst>
            <c:ext xmlns:c16="http://schemas.microsoft.com/office/drawing/2014/chart" uri="{C3380CC4-5D6E-409C-BE32-E72D297353CC}">
              <c16:uniqueId val="{00000001-EE02-4FC0-BF7A-AF1A1DAE0F62}"/>
            </c:ext>
          </c:extLst>
        </c:ser>
        <c:dLbls>
          <c:showLegendKey val="0"/>
          <c:showVal val="0"/>
          <c:showCatName val="0"/>
          <c:showSerName val="0"/>
          <c:showPercent val="0"/>
          <c:showBubbleSize val="0"/>
        </c:dLbls>
        <c:smooth val="0"/>
        <c:axId val="545997640"/>
        <c:axId val="545998032"/>
      </c:lineChart>
      <c:catAx>
        <c:axId val="545997640"/>
        <c:scaling>
          <c:orientation val="minMax"/>
        </c:scaling>
        <c:delete val="0"/>
        <c:axPos val="b"/>
        <c:numFmt formatCode="General" sourceLinked="0"/>
        <c:majorTickMark val="out"/>
        <c:minorTickMark val="none"/>
        <c:tickLblPos val="nextTo"/>
        <c:crossAx val="545998032"/>
        <c:crosses val="autoZero"/>
        <c:auto val="1"/>
        <c:lblAlgn val="ctr"/>
        <c:lblOffset val="100"/>
        <c:noMultiLvlLbl val="0"/>
      </c:catAx>
      <c:valAx>
        <c:axId val="545998032"/>
        <c:scaling>
          <c:orientation val="minMax"/>
        </c:scaling>
        <c:delete val="0"/>
        <c:axPos val="l"/>
        <c:numFmt formatCode="General" sourceLinked="1"/>
        <c:majorTickMark val="out"/>
        <c:minorTickMark val="none"/>
        <c:tickLblPos val="nextTo"/>
        <c:crossAx val="545997640"/>
        <c:crosses val="autoZero"/>
        <c:crossBetween val="between"/>
      </c:valAx>
    </c:plotArea>
    <c:legend>
      <c:legendPos val="r"/>
      <c:layout>
        <c:manualLayout>
          <c:xMode val="edge"/>
          <c:yMode val="edge"/>
          <c:x val="0.14580446194225721"/>
          <c:y val="5.0542067658209393E-2"/>
          <c:w val="0.50096433749977054"/>
          <c:h val="0.18849106896657369"/>
        </c:manualLayout>
      </c:layout>
      <c:overlay val="1"/>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Graph!$A$99</c:f>
              <c:strCache>
                <c:ptCount val="1"/>
                <c:pt idx="0">
                  <c:v>Theft From A Vehicle</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Graph!$B$99:$G$99</c:f>
              <c:numCache>
                <c:formatCode>General</c:formatCode>
                <c:ptCount val="6"/>
                <c:pt idx="0">
                  <c:v>40</c:v>
                </c:pt>
                <c:pt idx="1">
                  <c:v>19</c:v>
                </c:pt>
                <c:pt idx="2">
                  <c:v>25</c:v>
                </c:pt>
                <c:pt idx="3">
                  <c:v>43</c:v>
                </c:pt>
                <c:pt idx="4">
                  <c:v>26</c:v>
                </c:pt>
                <c:pt idx="5">
                  <c:v>27</c:v>
                </c:pt>
              </c:numCache>
            </c:numRef>
          </c:val>
          <c:smooth val="0"/>
          <c:extLst>
            <c:ext xmlns:c16="http://schemas.microsoft.com/office/drawing/2014/chart" uri="{C3380CC4-5D6E-409C-BE32-E72D297353CC}">
              <c16:uniqueId val="{00000000-0605-4A0C-8355-5761DB92572F}"/>
            </c:ext>
          </c:extLst>
        </c:ser>
        <c:ser>
          <c:idx val="1"/>
          <c:order val="1"/>
          <c:tx>
            <c:strRef>
              <c:f>Graph!$A$102</c:f>
              <c:strCache>
                <c:ptCount val="1"/>
                <c:pt idx="0">
                  <c:v>Total Theft of MV</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Graph!$B$102:$G$102</c:f>
              <c:numCache>
                <c:formatCode>General</c:formatCode>
                <c:ptCount val="6"/>
                <c:pt idx="0">
                  <c:v>16</c:v>
                </c:pt>
                <c:pt idx="1">
                  <c:v>13</c:v>
                </c:pt>
                <c:pt idx="2">
                  <c:v>20</c:v>
                </c:pt>
                <c:pt idx="3">
                  <c:v>19</c:v>
                </c:pt>
                <c:pt idx="4">
                  <c:v>15</c:v>
                </c:pt>
                <c:pt idx="5">
                  <c:v>16</c:v>
                </c:pt>
              </c:numCache>
            </c:numRef>
          </c:val>
          <c:smooth val="0"/>
          <c:extLst>
            <c:ext xmlns:c16="http://schemas.microsoft.com/office/drawing/2014/chart" uri="{C3380CC4-5D6E-409C-BE32-E72D297353CC}">
              <c16:uniqueId val="{00000001-0605-4A0C-8355-5761DB92572F}"/>
            </c:ext>
          </c:extLst>
        </c:ser>
        <c:dLbls>
          <c:showLegendKey val="0"/>
          <c:showVal val="0"/>
          <c:showCatName val="0"/>
          <c:showSerName val="0"/>
          <c:showPercent val="0"/>
          <c:showBubbleSize val="0"/>
        </c:dLbls>
        <c:smooth val="0"/>
        <c:axId val="545998816"/>
        <c:axId val="545999208"/>
      </c:lineChart>
      <c:catAx>
        <c:axId val="545998816"/>
        <c:scaling>
          <c:orientation val="minMax"/>
        </c:scaling>
        <c:delete val="0"/>
        <c:axPos val="b"/>
        <c:numFmt formatCode="General" sourceLinked="0"/>
        <c:majorTickMark val="out"/>
        <c:minorTickMark val="none"/>
        <c:tickLblPos val="nextTo"/>
        <c:crossAx val="545999208"/>
        <c:crosses val="autoZero"/>
        <c:auto val="1"/>
        <c:lblAlgn val="ctr"/>
        <c:lblOffset val="100"/>
        <c:noMultiLvlLbl val="0"/>
      </c:catAx>
      <c:valAx>
        <c:axId val="545999208"/>
        <c:scaling>
          <c:orientation val="minMax"/>
        </c:scaling>
        <c:delete val="0"/>
        <c:axPos val="l"/>
        <c:numFmt formatCode="General" sourceLinked="1"/>
        <c:majorTickMark val="out"/>
        <c:minorTickMark val="none"/>
        <c:tickLblPos val="nextTo"/>
        <c:crossAx val="545998816"/>
        <c:crosses val="autoZero"/>
        <c:crossBetween val="between"/>
      </c:valAx>
    </c:plotArea>
    <c:legend>
      <c:legendPos val="r"/>
      <c:layout>
        <c:manualLayout>
          <c:xMode val="edge"/>
          <c:yMode val="edge"/>
          <c:x val="0.12190135608048994"/>
          <c:y val="8.2949475065616798E-2"/>
          <c:w val="0.45895936084912464"/>
          <c:h val="0.13208104668734591"/>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64805394900858E-2"/>
          <c:y val="7.3403471624870417E-2"/>
          <c:w val="0.85480500778110702"/>
          <c:h val="0.72908004146540506"/>
        </c:manualLayout>
      </c:layout>
      <c:lineChart>
        <c:grouping val="standard"/>
        <c:varyColors val="0"/>
        <c:ser>
          <c:idx val="0"/>
          <c:order val="0"/>
          <c:tx>
            <c:strRef>
              <c:f>Graph!$A$103</c:f>
              <c:strCache>
                <c:ptCount val="1"/>
                <c:pt idx="0">
                  <c:v>Personal ASB</c:v>
                </c:pt>
              </c:strCache>
            </c:strRef>
          </c:tx>
          <c:spPr>
            <a:ln>
              <a:solidFill>
                <a:schemeClr val="accent3"/>
              </a:solidFill>
            </a:ln>
          </c:spPr>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Graph!$B$103:$G$103</c:f>
              <c:numCache>
                <c:formatCode>General</c:formatCode>
                <c:ptCount val="6"/>
                <c:pt idx="0">
                  <c:v>43</c:v>
                </c:pt>
                <c:pt idx="1">
                  <c:v>48</c:v>
                </c:pt>
                <c:pt idx="2">
                  <c:v>32</c:v>
                </c:pt>
                <c:pt idx="3">
                  <c:v>39</c:v>
                </c:pt>
                <c:pt idx="4">
                  <c:v>31</c:v>
                </c:pt>
                <c:pt idx="5">
                  <c:v>50</c:v>
                </c:pt>
              </c:numCache>
            </c:numRef>
          </c:val>
          <c:smooth val="0"/>
          <c:extLst>
            <c:ext xmlns:c16="http://schemas.microsoft.com/office/drawing/2014/chart" uri="{C3380CC4-5D6E-409C-BE32-E72D297353CC}">
              <c16:uniqueId val="{00000000-D6E7-44A6-85F4-B3FE7EE44194}"/>
            </c:ext>
          </c:extLst>
        </c:ser>
        <c:dLbls>
          <c:showLegendKey val="0"/>
          <c:showVal val="0"/>
          <c:showCatName val="0"/>
          <c:showSerName val="0"/>
          <c:showPercent val="0"/>
          <c:showBubbleSize val="0"/>
        </c:dLbls>
        <c:smooth val="0"/>
        <c:axId val="545999992"/>
        <c:axId val="546000384"/>
      </c:lineChart>
      <c:catAx>
        <c:axId val="545999992"/>
        <c:scaling>
          <c:orientation val="minMax"/>
        </c:scaling>
        <c:delete val="0"/>
        <c:axPos val="b"/>
        <c:numFmt formatCode="General" sourceLinked="0"/>
        <c:majorTickMark val="out"/>
        <c:minorTickMark val="none"/>
        <c:tickLblPos val="nextTo"/>
        <c:crossAx val="546000384"/>
        <c:crosses val="autoZero"/>
        <c:auto val="1"/>
        <c:lblAlgn val="ctr"/>
        <c:lblOffset val="100"/>
        <c:noMultiLvlLbl val="0"/>
      </c:catAx>
      <c:valAx>
        <c:axId val="546000384"/>
        <c:scaling>
          <c:orientation val="minMax"/>
        </c:scaling>
        <c:delete val="0"/>
        <c:axPos val="l"/>
        <c:numFmt formatCode="General" sourceLinked="1"/>
        <c:majorTickMark val="out"/>
        <c:minorTickMark val="none"/>
        <c:tickLblPos val="nextTo"/>
        <c:crossAx val="545999992"/>
        <c:crosses val="autoZero"/>
        <c:crossBetween val="between"/>
      </c:valAx>
    </c:plotArea>
    <c:legend>
      <c:legendPos val="r"/>
      <c:layout>
        <c:manualLayout>
          <c:xMode val="edge"/>
          <c:yMode val="edge"/>
          <c:x val="0.38623464102385441"/>
          <c:y val="0.57372725468140007"/>
          <c:w val="0.25624478356134683"/>
          <c:h val="0.10130483689538808"/>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99518810148729E-2"/>
          <c:y val="2.8252405949256341E-2"/>
          <c:w val="0.89745603674540686"/>
          <c:h val="0.8326195683872849"/>
        </c:manualLayout>
      </c:layout>
      <c:lineChart>
        <c:grouping val="standard"/>
        <c:varyColors val="0"/>
        <c:ser>
          <c:idx val="0"/>
          <c:order val="0"/>
          <c:tx>
            <c:strRef>
              <c:f>Graph!$A$27</c:f>
              <c:strCache>
                <c:ptCount val="1"/>
                <c:pt idx="0">
                  <c:v>Theft From A Vehicle</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Graph!$B$27:$G$27</c:f>
              <c:numCache>
                <c:formatCode>General</c:formatCode>
                <c:ptCount val="6"/>
                <c:pt idx="0">
                  <c:v>25</c:v>
                </c:pt>
                <c:pt idx="1">
                  <c:v>23</c:v>
                </c:pt>
                <c:pt idx="2">
                  <c:v>28</c:v>
                </c:pt>
                <c:pt idx="3">
                  <c:v>27</c:v>
                </c:pt>
                <c:pt idx="4">
                  <c:v>25</c:v>
                </c:pt>
                <c:pt idx="5">
                  <c:v>21</c:v>
                </c:pt>
              </c:numCache>
            </c:numRef>
          </c:val>
          <c:smooth val="0"/>
          <c:extLst>
            <c:ext xmlns:c16="http://schemas.microsoft.com/office/drawing/2014/chart" uri="{C3380CC4-5D6E-409C-BE32-E72D297353CC}">
              <c16:uniqueId val="{00000000-CC64-4416-988E-34A4839D3060}"/>
            </c:ext>
          </c:extLst>
        </c:ser>
        <c:ser>
          <c:idx val="1"/>
          <c:order val="1"/>
          <c:tx>
            <c:strRef>
              <c:f>Graph!$A$28</c:f>
              <c:strCache>
                <c:ptCount val="1"/>
                <c:pt idx="0">
                  <c:v>Total Theft Of Motor Vehicle</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Graph!$B$28:$G$28</c:f>
              <c:numCache>
                <c:formatCode>General</c:formatCode>
                <c:ptCount val="6"/>
                <c:pt idx="0">
                  <c:v>29</c:v>
                </c:pt>
                <c:pt idx="1">
                  <c:v>13</c:v>
                </c:pt>
                <c:pt idx="2">
                  <c:v>30</c:v>
                </c:pt>
                <c:pt idx="3">
                  <c:v>15</c:v>
                </c:pt>
                <c:pt idx="4">
                  <c:v>15</c:v>
                </c:pt>
                <c:pt idx="5">
                  <c:v>30</c:v>
                </c:pt>
              </c:numCache>
            </c:numRef>
          </c:val>
          <c:smooth val="0"/>
          <c:extLst>
            <c:ext xmlns:c16="http://schemas.microsoft.com/office/drawing/2014/chart" uri="{C3380CC4-5D6E-409C-BE32-E72D297353CC}">
              <c16:uniqueId val="{00000001-CC64-4416-988E-34A4839D3060}"/>
            </c:ext>
          </c:extLst>
        </c:ser>
        <c:dLbls>
          <c:showLegendKey val="0"/>
          <c:showVal val="0"/>
          <c:showCatName val="0"/>
          <c:showSerName val="0"/>
          <c:showPercent val="0"/>
          <c:showBubbleSize val="0"/>
        </c:dLbls>
        <c:smooth val="0"/>
        <c:axId val="546001168"/>
        <c:axId val="546001560"/>
      </c:lineChart>
      <c:catAx>
        <c:axId val="546001168"/>
        <c:scaling>
          <c:orientation val="minMax"/>
        </c:scaling>
        <c:delete val="0"/>
        <c:axPos val="b"/>
        <c:numFmt formatCode="General" sourceLinked="0"/>
        <c:majorTickMark val="out"/>
        <c:minorTickMark val="none"/>
        <c:tickLblPos val="nextTo"/>
        <c:crossAx val="546001560"/>
        <c:crosses val="autoZero"/>
        <c:auto val="1"/>
        <c:lblAlgn val="ctr"/>
        <c:lblOffset val="100"/>
        <c:noMultiLvlLbl val="0"/>
      </c:catAx>
      <c:valAx>
        <c:axId val="546001560"/>
        <c:scaling>
          <c:orientation val="minMax"/>
        </c:scaling>
        <c:delete val="0"/>
        <c:axPos val="l"/>
        <c:numFmt formatCode="General" sourceLinked="1"/>
        <c:majorTickMark val="out"/>
        <c:minorTickMark val="none"/>
        <c:tickLblPos val="nextTo"/>
        <c:crossAx val="546001168"/>
        <c:crosses val="autoZero"/>
        <c:crossBetween val="between"/>
      </c:valAx>
    </c:plotArea>
    <c:legend>
      <c:legendPos val="r"/>
      <c:layout>
        <c:manualLayout>
          <c:xMode val="edge"/>
          <c:yMode val="edge"/>
          <c:x val="0.61912357830271214"/>
          <c:y val="0.54089895013123357"/>
          <c:w val="0.31976531058617674"/>
          <c:h val="0.27931321084864391"/>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Graph!$A$39</c:f>
              <c:strCache>
                <c:ptCount val="1"/>
                <c:pt idx="0">
                  <c:v>Theft Of Motor Vehicle</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Graph!$B$39:$G$39</c:f>
              <c:numCache>
                <c:formatCode>General</c:formatCode>
                <c:ptCount val="6"/>
                <c:pt idx="0">
                  <c:v>37</c:v>
                </c:pt>
                <c:pt idx="1">
                  <c:v>21</c:v>
                </c:pt>
                <c:pt idx="2">
                  <c:v>33</c:v>
                </c:pt>
                <c:pt idx="3">
                  <c:v>31</c:v>
                </c:pt>
                <c:pt idx="4">
                  <c:v>19</c:v>
                </c:pt>
                <c:pt idx="5">
                  <c:v>32</c:v>
                </c:pt>
              </c:numCache>
            </c:numRef>
          </c:val>
          <c:smooth val="0"/>
          <c:extLst>
            <c:ext xmlns:c16="http://schemas.microsoft.com/office/drawing/2014/chart" uri="{C3380CC4-5D6E-409C-BE32-E72D297353CC}">
              <c16:uniqueId val="{00000000-94ED-44E6-8EFC-AF127FBFD16E}"/>
            </c:ext>
          </c:extLst>
        </c:ser>
        <c:dLbls>
          <c:showLegendKey val="0"/>
          <c:showVal val="0"/>
          <c:showCatName val="0"/>
          <c:showSerName val="0"/>
          <c:showPercent val="0"/>
          <c:showBubbleSize val="0"/>
        </c:dLbls>
        <c:smooth val="0"/>
        <c:axId val="546002344"/>
        <c:axId val="546002736"/>
      </c:lineChart>
      <c:catAx>
        <c:axId val="546002344"/>
        <c:scaling>
          <c:orientation val="minMax"/>
        </c:scaling>
        <c:delete val="0"/>
        <c:axPos val="b"/>
        <c:numFmt formatCode="General" sourceLinked="0"/>
        <c:majorTickMark val="out"/>
        <c:minorTickMark val="none"/>
        <c:tickLblPos val="nextTo"/>
        <c:crossAx val="546002736"/>
        <c:crosses val="autoZero"/>
        <c:auto val="1"/>
        <c:lblAlgn val="ctr"/>
        <c:lblOffset val="100"/>
        <c:noMultiLvlLbl val="0"/>
      </c:catAx>
      <c:valAx>
        <c:axId val="546002736"/>
        <c:scaling>
          <c:orientation val="minMax"/>
        </c:scaling>
        <c:delete val="0"/>
        <c:axPos val="l"/>
        <c:numFmt formatCode="General" sourceLinked="1"/>
        <c:majorTickMark val="out"/>
        <c:minorTickMark val="none"/>
        <c:tickLblPos val="nextTo"/>
        <c:crossAx val="546002344"/>
        <c:crosses val="autoZero"/>
        <c:crossBetween val="between"/>
      </c:valAx>
    </c:plotArea>
    <c:legend>
      <c:legendPos val="r"/>
      <c:layout>
        <c:manualLayout>
          <c:xMode val="edge"/>
          <c:yMode val="edge"/>
          <c:x val="0.33333333333333331"/>
          <c:y val="0.44425233304170314"/>
          <c:w val="0.34166666666666667"/>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1572671063175927"/>
          <c:y val="7.3648555124639276E-2"/>
          <c:w val="0.84636391039355385"/>
          <c:h val="0.70046982933103508"/>
        </c:manualLayout>
      </c:layout>
      <c:lineChart>
        <c:grouping val="standard"/>
        <c:varyColors val="0"/>
        <c:ser>
          <c:idx val="0"/>
          <c:order val="0"/>
          <c:tx>
            <c:strRef>
              <c:f>Graph!$A$11</c:f>
              <c:strCache>
                <c:ptCount val="1"/>
                <c:pt idx="0">
                  <c:v>Personal ASB</c:v>
                </c:pt>
              </c:strCache>
            </c:strRef>
          </c:tx>
          <c:spPr>
            <a:ln>
              <a:solidFill>
                <a:schemeClr val="accent3"/>
              </a:solidFill>
            </a:ln>
          </c:spPr>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Graph!$B$11:$G$11</c:f>
              <c:numCache>
                <c:formatCode>General</c:formatCode>
                <c:ptCount val="6"/>
                <c:pt idx="0">
                  <c:v>212</c:v>
                </c:pt>
                <c:pt idx="1">
                  <c:v>196</c:v>
                </c:pt>
                <c:pt idx="2">
                  <c:v>148</c:v>
                </c:pt>
                <c:pt idx="3">
                  <c:v>161</c:v>
                </c:pt>
                <c:pt idx="4">
                  <c:v>151</c:v>
                </c:pt>
                <c:pt idx="5">
                  <c:v>118</c:v>
                </c:pt>
              </c:numCache>
            </c:numRef>
          </c:val>
          <c:smooth val="0"/>
          <c:extLst>
            <c:ext xmlns:c16="http://schemas.microsoft.com/office/drawing/2014/chart" uri="{C3380CC4-5D6E-409C-BE32-E72D297353CC}">
              <c16:uniqueId val="{00000000-C9D3-4E55-9BAE-B860E24FDFB6}"/>
            </c:ext>
          </c:extLst>
        </c:ser>
        <c:dLbls>
          <c:showLegendKey val="0"/>
          <c:showVal val="0"/>
          <c:showCatName val="0"/>
          <c:showSerName val="0"/>
          <c:showPercent val="0"/>
          <c:showBubbleSize val="0"/>
        </c:dLbls>
        <c:smooth val="0"/>
        <c:axId val="543590544"/>
        <c:axId val="543590936"/>
      </c:lineChart>
      <c:catAx>
        <c:axId val="543590544"/>
        <c:scaling>
          <c:orientation val="minMax"/>
        </c:scaling>
        <c:delete val="0"/>
        <c:axPos val="b"/>
        <c:numFmt formatCode="General" sourceLinked="0"/>
        <c:majorTickMark val="out"/>
        <c:minorTickMark val="none"/>
        <c:tickLblPos val="nextTo"/>
        <c:crossAx val="543590936"/>
        <c:crosses val="autoZero"/>
        <c:auto val="1"/>
        <c:lblAlgn val="ctr"/>
        <c:lblOffset val="100"/>
        <c:noMultiLvlLbl val="0"/>
      </c:catAx>
      <c:valAx>
        <c:axId val="543590936"/>
        <c:scaling>
          <c:orientation val="minMax"/>
        </c:scaling>
        <c:delete val="0"/>
        <c:axPos val="l"/>
        <c:numFmt formatCode="General" sourceLinked="1"/>
        <c:majorTickMark val="out"/>
        <c:minorTickMark val="none"/>
        <c:tickLblPos val="nextTo"/>
        <c:crossAx val="543590544"/>
        <c:crosses val="autoZero"/>
        <c:crossBetween val="between"/>
      </c:valAx>
    </c:plotArea>
    <c:legend>
      <c:legendPos val="r"/>
      <c:layout>
        <c:manualLayout>
          <c:xMode val="edge"/>
          <c:yMode val="edge"/>
          <c:x val="0.2335002242366763"/>
          <c:y val="0.87783444979825287"/>
          <c:w val="0.31085084952616215"/>
          <c:h val="0.1199529909507580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Graph!$A$41</c:f>
              <c:strCache>
                <c:ptCount val="1"/>
                <c:pt idx="0">
                  <c:v>Personal ASB</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Graph!$B$41:$G$41</c:f>
              <c:numCache>
                <c:formatCode>General</c:formatCode>
                <c:ptCount val="6"/>
                <c:pt idx="0">
                  <c:v>55</c:v>
                </c:pt>
                <c:pt idx="1">
                  <c:v>47</c:v>
                </c:pt>
                <c:pt idx="2">
                  <c:v>50</c:v>
                </c:pt>
                <c:pt idx="3">
                  <c:v>47</c:v>
                </c:pt>
                <c:pt idx="4">
                  <c:v>50</c:v>
                </c:pt>
                <c:pt idx="5">
                  <c:v>50</c:v>
                </c:pt>
              </c:numCache>
            </c:numRef>
          </c:val>
          <c:smooth val="0"/>
          <c:extLst>
            <c:ext xmlns:c16="http://schemas.microsoft.com/office/drawing/2014/chart" uri="{C3380CC4-5D6E-409C-BE32-E72D297353CC}">
              <c16:uniqueId val="{00000000-385F-41F6-BB66-B836877F831C}"/>
            </c:ext>
          </c:extLst>
        </c:ser>
        <c:ser>
          <c:idx val="1"/>
          <c:order val="1"/>
          <c:tx>
            <c:strRef>
              <c:f>Graph!$A$42</c:f>
              <c:strCache>
                <c:ptCount val="1"/>
                <c:pt idx="0">
                  <c:v>Total ASB</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Graph!$B$42:$G$42</c:f>
              <c:numCache>
                <c:formatCode>General</c:formatCode>
                <c:ptCount val="6"/>
                <c:pt idx="0">
                  <c:v>231</c:v>
                </c:pt>
                <c:pt idx="1">
                  <c:v>198</c:v>
                </c:pt>
                <c:pt idx="2">
                  <c:v>176</c:v>
                </c:pt>
                <c:pt idx="3">
                  <c:v>195</c:v>
                </c:pt>
                <c:pt idx="4">
                  <c:v>204</c:v>
                </c:pt>
                <c:pt idx="5">
                  <c:v>281</c:v>
                </c:pt>
              </c:numCache>
            </c:numRef>
          </c:val>
          <c:smooth val="0"/>
          <c:extLst>
            <c:ext xmlns:c16="http://schemas.microsoft.com/office/drawing/2014/chart" uri="{C3380CC4-5D6E-409C-BE32-E72D297353CC}">
              <c16:uniqueId val="{00000001-385F-41F6-BB66-B836877F831C}"/>
            </c:ext>
          </c:extLst>
        </c:ser>
        <c:dLbls>
          <c:showLegendKey val="0"/>
          <c:showVal val="0"/>
          <c:showCatName val="0"/>
          <c:showSerName val="0"/>
          <c:showPercent val="0"/>
          <c:showBubbleSize val="0"/>
        </c:dLbls>
        <c:smooth val="0"/>
        <c:axId val="546003520"/>
        <c:axId val="546003912"/>
      </c:lineChart>
      <c:catAx>
        <c:axId val="546003520"/>
        <c:scaling>
          <c:orientation val="minMax"/>
        </c:scaling>
        <c:delete val="0"/>
        <c:axPos val="b"/>
        <c:numFmt formatCode="General" sourceLinked="0"/>
        <c:majorTickMark val="out"/>
        <c:minorTickMark val="none"/>
        <c:tickLblPos val="nextTo"/>
        <c:crossAx val="546003912"/>
        <c:crosses val="autoZero"/>
        <c:auto val="1"/>
        <c:lblAlgn val="ctr"/>
        <c:lblOffset val="100"/>
        <c:noMultiLvlLbl val="0"/>
      </c:catAx>
      <c:valAx>
        <c:axId val="546003912"/>
        <c:scaling>
          <c:orientation val="minMax"/>
        </c:scaling>
        <c:delete val="0"/>
        <c:axPos val="l"/>
        <c:numFmt formatCode="General" sourceLinked="1"/>
        <c:majorTickMark val="out"/>
        <c:minorTickMark val="none"/>
        <c:tickLblPos val="nextTo"/>
        <c:crossAx val="546003520"/>
        <c:crosses val="autoZero"/>
        <c:crossBetween val="between"/>
      </c:valAx>
    </c:plotArea>
    <c:legend>
      <c:legendPos val="r"/>
      <c:layout>
        <c:manualLayout>
          <c:xMode val="edge"/>
          <c:yMode val="edge"/>
          <c:x val="0.36047134733158354"/>
          <c:y val="0.39313466025080196"/>
          <c:w val="0.24389835885898878"/>
          <c:h val="0.20519618026470096"/>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strRef>
              <c:f>Graph!$A$69</c:f>
              <c:strCache>
                <c:ptCount val="1"/>
                <c:pt idx="0">
                  <c:v>Residential-Dwelling</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Graph!$B$69:$G$69</c:f>
              <c:numCache>
                <c:formatCode>General</c:formatCode>
                <c:ptCount val="6"/>
                <c:pt idx="0">
                  <c:v>63</c:v>
                </c:pt>
                <c:pt idx="1">
                  <c:v>59</c:v>
                </c:pt>
                <c:pt idx="2">
                  <c:v>59</c:v>
                </c:pt>
                <c:pt idx="3">
                  <c:v>80</c:v>
                </c:pt>
                <c:pt idx="4">
                  <c:v>59</c:v>
                </c:pt>
                <c:pt idx="5">
                  <c:v>86</c:v>
                </c:pt>
              </c:numCache>
            </c:numRef>
          </c:val>
          <c:smooth val="0"/>
          <c:extLst>
            <c:ext xmlns:c16="http://schemas.microsoft.com/office/drawing/2014/chart" uri="{C3380CC4-5D6E-409C-BE32-E72D297353CC}">
              <c16:uniqueId val="{00000000-9BC4-4C69-845E-BB9F3965EB76}"/>
            </c:ext>
          </c:extLst>
        </c:ser>
        <c:dLbls>
          <c:showLegendKey val="0"/>
          <c:showVal val="0"/>
          <c:showCatName val="0"/>
          <c:showSerName val="0"/>
          <c:showPercent val="0"/>
          <c:showBubbleSize val="0"/>
        </c:dLbls>
        <c:smooth val="0"/>
        <c:axId val="546682848"/>
        <c:axId val="546683240"/>
      </c:lineChart>
      <c:catAx>
        <c:axId val="546682848"/>
        <c:scaling>
          <c:orientation val="minMax"/>
        </c:scaling>
        <c:delete val="0"/>
        <c:axPos val="b"/>
        <c:numFmt formatCode="General" sourceLinked="0"/>
        <c:majorTickMark val="out"/>
        <c:minorTickMark val="none"/>
        <c:tickLblPos val="nextTo"/>
        <c:crossAx val="546683240"/>
        <c:crosses val="autoZero"/>
        <c:auto val="1"/>
        <c:lblAlgn val="ctr"/>
        <c:lblOffset val="100"/>
        <c:noMultiLvlLbl val="0"/>
      </c:catAx>
      <c:valAx>
        <c:axId val="546683240"/>
        <c:scaling>
          <c:orientation val="minMax"/>
        </c:scaling>
        <c:delete val="0"/>
        <c:axPos val="l"/>
        <c:numFmt formatCode="General" sourceLinked="1"/>
        <c:majorTickMark val="out"/>
        <c:minorTickMark val="none"/>
        <c:tickLblPos val="nextTo"/>
        <c:crossAx val="546682848"/>
        <c:crosses val="autoZero"/>
        <c:crossBetween val="between"/>
      </c:valAx>
    </c:plotArea>
    <c:legend>
      <c:legendPos val="r"/>
      <c:layout>
        <c:manualLayout>
          <c:xMode val="edge"/>
          <c:yMode val="edge"/>
          <c:x val="0.28331802274715662"/>
          <c:y val="0.16647455526392535"/>
          <c:w val="0.31390419947506559"/>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strRef>
              <c:f>Graph!$A$85</c:f>
              <c:strCache>
                <c:ptCount val="1"/>
                <c:pt idx="0">
                  <c:v>Residential-Dwelling</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Graph!$B$85:$G$85</c:f>
              <c:numCache>
                <c:formatCode>General</c:formatCode>
                <c:ptCount val="6"/>
                <c:pt idx="0">
                  <c:v>32</c:v>
                </c:pt>
                <c:pt idx="1">
                  <c:v>31</c:v>
                </c:pt>
                <c:pt idx="2">
                  <c:v>35</c:v>
                </c:pt>
                <c:pt idx="3">
                  <c:v>46</c:v>
                </c:pt>
                <c:pt idx="4">
                  <c:v>41</c:v>
                </c:pt>
                <c:pt idx="5">
                  <c:v>50</c:v>
                </c:pt>
              </c:numCache>
            </c:numRef>
          </c:val>
          <c:smooth val="0"/>
          <c:extLst>
            <c:ext xmlns:c16="http://schemas.microsoft.com/office/drawing/2014/chart" uri="{C3380CC4-5D6E-409C-BE32-E72D297353CC}">
              <c16:uniqueId val="{00000000-4020-4739-B1E4-9B560A645157}"/>
            </c:ext>
          </c:extLst>
        </c:ser>
        <c:dLbls>
          <c:showLegendKey val="0"/>
          <c:showVal val="0"/>
          <c:showCatName val="0"/>
          <c:showSerName val="0"/>
          <c:showPercent val="0"/>
          <c:showBubbleSize val="0"/>
        </c:dLbls>
        <c:smooth val="0"/>
        <c:axId val="546684024"/>
        <c:axId val="546684416"/>
      </c:lineChart>
      <c:catAx>
        <c:axId val="546684024"/>
        <c:scaling>
          <c:orientation val="minMax"/>
        </c:scaling>
        <c:delete val="0"/>
        <c:axPos val="b"/>
        <c:numFmt formatCode="General" sourceLinked="0"/>
        <c:majorTickMark val="out"/>
        <c:minorTickMark val="none"/>
        <c:tickLblPos val="nextTo"/>
        <c:crossAx val="546684416"/>
        <c:crosses val="autoZero"/>
        <c:auto val="1"/>
        <c:lblAlgn val="ctr"/>
        <c:lblOffset val="100"/>
        <c:noMultiLvlLbl val="0"/>
      </c:catAx>
      <c:valAx>
        <c:axId val="546684416"/>
        <c:scaling>
          <c:orientation val="minMax"/>
        </c:scaling>
        <c:delete val="0"/>
        <c:axPos val="l"/>
        <c:numFmt formatCode="General" sourceLinked="1"/>
        <c:majorTickMark val="out"/>
        <c:minorTickMark val="none"/>
        <c:tickLblPos val="nextTo"/>
        <c:crossAx val="546684024"/>
        <c:crosses val="autoZero"/>
        <c:crossBetween val="between"/>
      </c:valAx>
    </c:plotArea>
    <c:legend>
      <c:legendPos val="r"/>
      <c:layout>
        <c:manualLayout>
          <c:xMode val="edge"/>
          <c:yMode val="edge"/>
          <c:x val="0.4944291338582677"/>
          <c:y val="0.17110418489355497"/>
          <c:w val="0.31390419947506559"/>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strRef>
              <c:f>Graph!$A$101</c:f>
              <c:strCache>
                <c:ptCount val="1"/>
                <c:pt idx="0">
                  <c:v>Residential-Dwelling</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Graph!$B$101:$G$101</c:f>
              <c:numCache>
                <c:formatCode>General</c:formatCode>
                <c:ptCount val="6"/>
                <c:pt idx="0">
                  <c:v>31</c:v>
                </c:pt>
                <c:pt idx="1">
                  <c:v>28</c:v>
                </c:pt>
                <c:pt idx="2">
                  <c:v>24</c:v>
                </c:pt>
                <c:pt idx="3">
                  <c:v>34</c:v>
                </c:pt>
                <c:pt idx="4">
                  <c:v>18</c:v>
                </c:pt>
                <c:pt idx="5">
                  <c:v>36</c:v>
                </c:pt>
              </c:numCache>
            </c:numRef>
          </c:val>
          <c:smooth val="0"/>
          <c:extLst>
            <c:ext xmlns:c16="http://schemas.microsoft.com/office/drawing/2014/chart" uri="{C3380CC4-5D6E-409C-BE32-E72D297353CC}">
              <c16:uniqueId val="{00000000-4B98-4F7C-A621-ABDF7010D2C6}"/>
            </c:ext>
          </c:extLst>
        </c:ser>
        <c:dLbls>
          <c:showLegendKey val="0"/>
          <c:showVal val="0"/>
          <c:showCatName val="0"/>
          <c:showSerName val="0"/>
          <c:showPercent val="0"/>
          <c:showBubbleSize val="0"/>
        </c:dLbls>
        <c:smooth val="0"/>
        <c:axId val="546685200"/>
        <c:axId val="546685592"/>
      </c:lineChart>
      <c:catAx>
        <c:axId val="546685200"/>
        <c:scaling>
          <c:orientation val="minMax"/>
        </c:scaling>
        <c:delete val="0"/>
        <c:axPos val="b"/>
        <c:numFmt formatCode="General" sourceLinked="0"/>
        <c:majorTickMark val="out"/>
        <c:minorTickMark val="none"/>
        <c:tickLblPos val="nextTo"/>
        <c:crossAx val="546685592"/>
        <c:crosses val="autoZero"/>
        <c:auto val="1"/>
        <c:lblAlgn val="ctr"/>
        <c:lblOffset val="100"/>
        <c:noMultiLvlLbl val="0"/>
      </c:catAx>
      <c:valAx>
        <c:axId val="546685592"/>
        <c:scaling>
          <c:orientation val="minMax"/>
        </c:scaling>
        <c:delete val="0"/>
        <c:axPos val="l"/>
        <c:numFmt formatCode="General" sourceLinked="1"/>
        <c:majorTickMark val="out"/>
        <c:minorTickMark val="none"/>
        <c:tickLblPos val="nextTo"/>
        <c:crossAx val="546685200"/>
        <c:crosses val="autoZero"/>
        <c:crossBetween val="between"/>
      </c:valAx>
    </c:plotArea>
    <c:legend>
      <c:legendPos val="r"/>
      <c:layout>
        <c:manualLayout>
          <c:xMode val="edge"/>
          <c:yMode val="edge"/>
          <c:x val="0.38331802274715665"/>
          <c:y val="0.31925233304170314"/>
          <c:w val="0.31390419947506559"/>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2925889881742316E-2"/>
          <c:y val="5.9213540745176492E-2"/>
          <c:w val="0.87577433719661446"/>
          <c:h val="0.76251127656602291"/>
        </c:manualLayout>
      </c:layout>
      <c:lineChart>
        <c:grouping val="standard"/>
        <c:varyColors val="0"/>
        <c:ser>
          <c:idx val="1"/>
          <c:order val="0"/>
          <c:tx>
            <c:strRef>
              <c:f>Graph!$A$10</c:f>
              <c:strCache>
                <c:ptCount val="1"/>
                <c:pt idx="0">
                  <c:v>Domestic Abuse Offences and Crimed Investigations</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Graph!$B$10:$G$10</c:f>
              <c:numCache>
                <c:formatCode>General</c:formatCode>
                <c:ptCount val="6"/>
                <c:pt idx="0">
                  <c:v>830</c:v>
                </c:pt>
                <c:pt idx="1">
                  <c:v>774</c:v>
                </c:pt>
                <c:pt idx="2">
                  <c:v>910</c:v>
                </c:pt>
                <c:pt idx="3">
                  <c:v>823</c:v>
                </c:pt>
                <c:pt idx="4">
                  <c:v>821</c:v>
                </c:pt>
                <c:pt idx="5">
                  <c:v>901</c:v>
                </c:pt>
              </c:numCache>
            </c:numRef>
          </c:val>
          <c:smooth val="0"/>
          <c:extLst>
            <c:ext xmlns:c16="http://schemas.microsoft.com/office/drawing/2014/chart" uri="{C3380CC4-5D6E-409C-BE32-E72D297353CC}">
              <c16:uniqueId val="{00000001-FD65-41E2-BA74-1E04554D2E81}"/>
            </c:ext>
          </c:extLst>
        </c:ser>
        <c:dLbls>
          <c:showLegendKey val="0"/>
          <c:showVal val="0"/>
          <c:showCatName val="0"/>
          <c:showSerName val="0"/>
          <c:showPercent val="0"/>
          <c:showBubbleSize val="0"/>
        </c:dLbls>
        <c:smooth val="0"/>
        <c:axId val="546686376"/>
        <c:axId val="546686768"/>
      </c:lineChart>
      <c:catAx>
        <c:axId val="546686376"/>
        <c:scaling>
          <c:orientation val="minMax"/>
        </c:scaling>
        <c:delete val="0"/>
        <c:axPos val="b"/>
        <c:numFmt formatCode="General" sourceLinked="0"/>
        <c:majorTickMark val="out"/>
        <c:minorTickMark val="none"/>
        <c:tickLblPos val="nextTo"/>
        <c:txPr>
          <a:bodyPr rot="0" vert="horz"/>
          <a:lstStyle/>
          <a:p>
            <a:pPr>
              <a:defRPr/>
            </a:pPr>
            <a:endParaRPr lang="en-US"/>
          </a:p>
        </c:txPr>
        <c:crossAx val="546686768"/>
        <c:crosses val="autoZero"/>
        <c:auto val="1"/>
        <c:lblAlgn val="ctr"/>
        <c:lblOffset val="100"/>
        <c:noMultiLvlLbl val="0"/>
      </c:catAx>
      <c:valAx>
        <c:axId val="546686768"/>
        <c:scaling>
          <c:orientation val="minMax"/>
          <c:min val="0"/>
        </c:scaling>
        <c:delete val="0"/>
        <c:axPos val="l"/>
        <c:numFmt formatCode="General" sourceLinked="1"/>
        <c:majorTickMark val="out"/>
        <c:minorTickMark val="none"/>
        <c:tickLblPos val="nextTo"/>
        <c:crossAx val="546686376"/>
        <c:crosses val="autoZero"/>
        <c:crossBetween val="between"/>
      </c:valAx>
    </c:plotArea>
    <c:legend>
      <c:legendPos val="r"/>
      <c:layout>
        <c:manualLayout>
          <c:xMode val="edge"/>
          <c:yMode val="edge"/>
          <c:x val="0.18326887699160921"/>
          <c:y val="0.52162452786580327"/>
          <c:w val="0.54299256375717175"/>
          <c:h val="0.1788683068580364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strRef>
              <c:f>Graph!$A$12</c:f>
              <c:strCache>
                <c:ptCount val="1"/>
                <c:pt idx="0">
                  <c:v>Theft From A Vehicle</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Graph!$B$12:$G$12</c:f>
              <c:numCache>
                <c:formatCode>General</c:formatCode>
                <c:ptCount val="6"/>
                <c:pt idx="0">
                  <c:v>5</c:v>
                </c:pt>
                <c:pt idx="1">
                  <c:v>6</c:v>
                </c:pt>
                <c:pt idx="2">
                  <c:v>3</c:v>
                </c:pt>
                <c:pt idx="3">
                  <c:v>3</c:v>
                </c:pt>
                <c:pt idx="4">
                  <c:v>5</c:v>
                </c:pt>
                <c:pt idx="5">
                  <c:v>6</c:v>
                </c:pt>
              </c:numCache>
            </c:numRef>
          </c:val>
          <c:smooth val="0"/>
          <c:extLst>
            <c:ext xmlns:c16="http://schemas.microsoft.com/office/drawing/2014/chart" uri="{C3380CC4-5D6E-409C-BE32-E72D297353CC}">
              <c16:uniqueId val="{00000000-3170-44A5-BA3B-34214EEF2CA6}"/>
            </c:ext>
          </c:extLst>
        </c:ser>
        <c:ser>
          <c:idx val="1"/>
          <c:order val="1"/>
          <c:tx>
            <c:strRef>
              <c:f>Graph!$A$13</c:f>
              <c:strCache>
                <c:ptCount val="1"/>
                <c:pt idx="0">
                  <c:v>Theft Of A Motor Vehicle</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Graph!$B$13:$G$13</c:f>
              <c:numCache>
                <c:formatCode>General</c:formatCode>
                <c:ptCount val="6"/>
                <c:pt idx="0">
                  <c:v>112</c:v>
                </c:pt>
                <c:pt idx="1">
                  <c:v>78</c:v>
                </c:pt>
                <c:pt idx="2">
                  <c:v>112</c:v>
                </c:pt>
                <c:pt idx="3">
                  <c:v>108</c:v>
                </c:pt>
                <c:pt idx="4">
                  <c:v>66</c:v>
                </c:pt>
                <c:pt idx="5">
                  <c:v>115</c:v>
                </c:pt>
              </c:numCache>
            </c:numRef>
          </c:val>
          <c:smooth val="0"/>
          <c:extLst>
            <c:ext xmlns:c16="http://schemas.microsoft.com/office/drawing/2014/chart" uri="{C3380CC4-5D6E-409C-BE32-E72D297353CC}">
              <c16:uniqueId val="{00000001-3170-44A5-BA3B-34214EEF2CA6}"/>
            </c:ext>
          </c:extLst>
        </c:ser>
        <c:dLbls>
          <c:showLegendKey val="0"/>
          <c:showVal val="0"/>
          <c:showCatName val="0"/>
          <c:showSerName val="0"/>
          <c:showPercent val="0"/>
          <c:showBubbleSize val="0"/>
        </c:dLbls>
        <c:smooth val="0"/>
        <c:axId val="546688728"/>
        <c:axId val="546689120"/>
      </c:lineChart>
      <c:catAx>
        <c:axId val="546688728"/>
        <c:scaling>
          <c:orientation val="minMax"/>
        </c:scaling>
        <c:delete val="0"/>
        <c:axPos val="b"/>
        <c:numFmt formatCode="General" sourceLinked="0"/>
        <c:majorTickMark val="out"/>
        <c:minorTickMark val="none"/>
        <c:tickLblPos val="nextTo"/>
        <c:crossAx val="546689120"/>
        <c:crosses val="autoZero"/>
        <c:auto val="1"/>
        <c:lblAlgn val="ctr"/>
        <c:lblOffset val="100"/>
        <c:noMultiLvlLbl val="0"/>
      </c:catAx>
      <c:valAx>
        <c:axId val="546689120"/>
        <c:scaling>
          <c:orientation val="minMax"/>
        </c:scaling>
        <c:delete val="0"/>
        <c:axPos val="l"/>
        <c:numFmt formatCode="General" sourceLinked="1"/>
        <c:majorTickMark val="out"/>
        <c:minorTickMark val="none"/>
        <c:tickLblPos val="nextTo"/>
        <c:crossAx val="546688728"/>
        <c:crosses val="autoZero"/>
        <c:crossBetween val="between"/>
      </c:valAx>
    </c:plotArea>
    <c:legend>
      <c:legendPos val="r"/>
      <c:layout>
        <c:manualLayout>
          <c:xMode val="edge"/>
          <c:yMode val="edge"/>
          <c:x val="0.1463492519972622"/>
          <c:y val="0.44427207889283427"/>
          <c:w val="0.83528096889497061"/>
          <c:h val="0.15512269509396084"/>
        </c:manualLayout>
      </c:layout>
      <c:overlay val="1"/>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24949163786147E-2"/>
          <c:y val="7.865992172054144E-2"/>
          <c:w val="0.89350558687743509"/>
          <c:h val="0.74385234012737145"/>
        </c:manualLayout>
      </c:layout>
      <c:lineChart>
        <c:grouping val="standard"/>
        <c:varyColors val="0"/>
        <c:ser>
          <c:idx val="0"/>
          <c:order val="0"/>
          <c:tx>
            <c:strRef>
              <c:f>Graph!$A$6</c:f>
              <c:strCache>
                <c:ptCount val="1"/>
                <c:pt idx="0">
                  <c:v>Violence With Injury</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Graph!$B$6:$G$6</c:f>
              <c:numCache>
                <c:formatCode>General</c:formatCode>
                <c:ptCount val="6"/>
                <c:pt idx="0">
                  <c:v>387</c:v>
                </c:pt>
                <c:pt idx="1">
                  <c:v>346</c:v>
                </c:pt>
                <c:pt idx="2">
                  <c:v>424</c:v>
                </c:pt>
                <c:pt idx="3">
                  <c:v>369</c:v>
                </c:pt>
                <c:pt idx="4">
                  <c:v>332</c:v>
                </c:pt>
                <c:pt idx="5">
                  <c:v>418</c:v>
                </c:pt>
              </c:numCache>
            </c:numRef>
          </c:val>
          <c:smooth val="0"/>
          <c:extLst>
            <c:ext xmlns:c16="http://schemas.microsoft.com/office/drawing/2014/chart" uri="{C3380CC4-5D6E-409C-BE32-E72D297353CC}">
              <c16:uniqueId val="{00000000-1E91-4AF8-9727-3EE9F103F817}"/>
            </c:ext>
          </c:extLst>
        </c:ser>
        <c:ser>
          <c:idx val="1"/>
          <c:order val="1"/>
          <c:tx>
            <c:strRef>
              <c:f>Graph!$A$7</c:f>
              <c:strCache>
                <c:ptCount val="1"/>
                <c:pt idx="0">
                  <c:v>Violence Without Injury</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Graph!$B$7:$G$7</c:f>
              <c:numCache>
                <c:formatCode>General</c:formatCode>
                <c:ptCount val="6"/>
                <c:pt idx="0">
                  <c:v>773</c:v>
                </c:pt>
                <c:pt idx="1">
                  <c:v>742</c:v>
                </c:pt>
                <c:pt idx="2">
                  <c:v>803</c:v>
                </c:pt>
                <c:pt idx="3">
                  <c:v>785</c:v>
                </c:pt>
                <c:pt idx="4">
                  <c:v>764</c:v>
                </c:pt>
                <c:pt idx="5">
                  <c:v>792</c:v>
                </c:pt>
              </c:numCache>
            </c:numRef>
          </c:val>
          <c:smooth val="0"/>
          <c:extLst>
            <c:ext xmlns:c16="http://schemas.microsoft.com/office/drawing/2014/chart" uri="{C3380CC4-5D6E-409C-BE32-E72D297353CC}">
              <c16:uniqueId val="{00000001-1E91-4AF8-9727-3EE9F103F817}"/>
            </c:ext>
          </c:extLst>
        </c:ser>
        <c:dLbls>
          <c:showLegendKey val="0"/>
          <c:showVal val="0"/>
          <c:showCatName val="0"/>
          <c:showSerName val="0"/>
          <c:showPercent val="0"/>
          <c:showBubbleSize val="0"/>
        </c:dLbls>
        <c:smooth val="0"/>
        <c:axId val="546689904"/>
        <c:axId val="546690296"/>
      </c:lineChart>
      <c:catAx>
        <c:axId val="546689904"/>
        <c:scaling>
          <c:orientation val="minMax"/>
        </c:scaling>
        <c:delete val="0"/>
        <c:axPos val="b"/>
        <c:numFmt formatCode="General" sourceLinked="0"/>
        <c:majorTickMark val="out"/>
        <c:minorTickMark val="none"/>
        <c:tickLblPos val="nextTo"/>
        <c:txPr>
          <a:bodyPr rot="0" vert="horz"/>
          <a:lstStyle/>
          <a:p>
            <a:pPr>
              <a:defRPr/>
            </a:pPr>
            <a:endParaRPr lang="en-US"/>
          </a:p>
        </c:txPr>
        <c:crossAx val="546690296"/>
        <c:crosses val="autoZero"/>
        <c:auto val="1"/>
        <c:lblAlgn val="ctr"/>
        <c:lblOffset val="100"/>
        <c:noMultiLvlLbl val="0"/>
      </c:catAx>
      <c:valAx>
        <c:axId val="546690296"/>
        <c:scaling>
          <c:orientation val="minMax"/>
        </c:scaling>
        <c:delete val="0"/>
        <c:axPos val="l"/>
        <c:numFmt formatCode="General" sourceLinked="1"/>
        <c:majorTickMark val="out"/>
        <c:minorTickMark val="none"/>
        <c:tickLblPos val="nextTo"/>
        <c:crossAx val="546689904"/>
        <c:crosses val="autoZero"/>
        <c:crossBetween val="between"/>
      </c:valAx>
    </c:plotArea>
    <c:legend>
      <c:legendPos val="r"/>
      <c:layout>
        <c:manualLayout>
          <c:xMode val="edge"/>
          <c:yMode val="edge"/>
          <c:x val="0.12718969459543381"/>
          <c:y val="0.64507528732824737"/>
          <c:w val="0.75572870309761941"/>
          <c:h val="0.23239103112875903"/>
        </c:manualLayout>
      </c:layout>
      <c:overlay val="1"/>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1572671063175927"/>
          <c:y val="7.3648555124639276E-2"/>
          <c:w val="0.84636391039355385"/>
          <c:h val="0.70046982933103508"/>
        </c:manualLayout>
      </c:layout>
      <c:lineChart>
        <c:grouping val="standard"/>
        <c:varyColors val="0"/>
        <c:ser>
          <c:idx val="0"/>
          <c:order val="0"/>
          <c:tx>
            <c:strRef>
              <c:f>Graph!$A$11</c:f>
              <c:strCache>
                <c:ptCount val="1"/>
                <c:pt idx="0">
                  <c:v>Personal ASB</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Graph!$B$11:$G$11</c:f>
              <c:numCache>
                <c:formatCode>General</c:formatCode>
                <c:ptCount val="6"/>
                <c:pt idx="0">
                  <c:v>212</c:v>
                </c:pt>
                <c:pt idx="1">
                  <c:v>196</c:v>
                </c:pt>
                <c:pt idx="2">
                  <c:v>148</c:v>
                </c:pt>
                <c:pt idx="3">
                  <c:v>161</c:v>
                </c:pt>
                <c:pt idx="4">
                  <c:v>151</c:v>
                </c:pt>
                <c:pt idx="5">
                  <c:v>118</c:v>
                </c:pt>
              </c:numCache>
            </c:numRef>
          </c:val>
          <c:smooth val="0"/>
          <c:extLst>
            <c:ext xmlns:c16="http://schemas.microsoft.com/office/drawing/2014/chart" uri="{C3380CC4-5D6E-409C-BE32-E72D297353CC}">
              <c16:uniqueId val="{00000000-E0CC-403A-9136-421ABB713C0B}"/>
            </c:ext>
          </c:extLst>
        </c:ser>
        <c:dLbls>
          <c:showLegendKey val="0"/>
          <c:showVal val="0"/>
          <c:showCatName val="0"/>
          <c:showSerName val="0"/>
          <c:showPercent val="0"/>
          <c:showBubbleSize val="0"/>
        </c:dLbls>
        <c:smooth val="0"/>
        <c:axId val="543590544"/>
        <c:axId val="543590936"/>
      </c:lineChart>
      <c:catAx>
        <c:axId val="543590544"/>
        <c:scaling>
          <c:orientation val="minMax"/>
        </c:scaling>
        <c:delete val="0"/>
        <c:axPos val="b"/>
        <c:numFmt formatCode="General" sourceLinked="0"/>
        <c:majorTickMark val="out"/>
        <c:minorTickMark val="none"/>
        <c:tickLblPos val="nextTo"/>
        <c:crossAx val="543590936"/>
        <c:crosses val="autoZero"/>
        <c:auto val="1"/>
        <c:lblAlgn val="ctr"/>
        <c:lblOffset val="100"/>
        <c:noMultiLvlLbl val="0"/>
      </c:catAx>
      <c:valAx>
        <c:axId val="543590936"/>
        <c:scaling>
          <c:orientation val="minMax"/>
        </c:scaling>
        <c:delete val="0"/>
        <c:axPos val="l"/>
        <c:numFmt formatCode="General" sourceLinked="1"/>
        <c:majorTickMark val="out"/>
        <c:minorTickMark val="none"/>
        <c:tickLblPos val="nextTo"/>
        <c:crossAx val="543590544"/>
        <c:crosses val="autoZero"/>
        <c:crossBetween val="between"/>
      </c:valAx>
    </c:plotArea>
    <c:legend>
      <c:legendPos val="r"/>
      <c:layout>
        <c:manualLayout>
          <c:xMode val="edge"/>
          <c:yMode val="edge"/>
          <c:x val="0.2335002242366763"/>
          <c:y val="0.87783444979825287"/>
          <c:w val="0.31085084952616215"/>
          <c:h val="0.11995299095075802"/>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725617902220018E-2"/>
          <c:y val="6.8329857163743998E-2"/>
          <c:w val="0.87994853082389091"/>
          <c:h val="0.72444893106310426"/>
        </c:manualLayout>
      </c:layout>
      <c:lineChart>
        <c:grouping val="standard"/>
        <c:varyColors val="0"/>
        <c:ser>
          <c:idx val="0"/>
          <c:order val="0"/>
          <c:tx>
            <c:strRef>
              <c:f>Graph!$A$21</c:f>
              <c:strCache>
                <c:ptCount val="1"/>
                <c:pt idx="0">
                  <c:v>Violence With Injury</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Graph!$B$21:$G$21</c:f>
              <c:numCache>
                <c:formatCode>General</c:formatCode>
                <c:ptCount val="6"/>
                <c:pt idx="0">
                  <c:v>41</c:v>
                </c:pt>
                <c:pt idx="1">
                  <c:v>40</c:v>
                </c:pt>
                <c:pt idx="2">
                  <c:v>44</c:v>
                </c:pt>
                <c:pt idx="3">
                  <c:v>39</c:v>
                </c:pt>
                <c:pt idx="4">
                  <c:v>41</c:v>
                </c:pt>
                <c:pt idx="5">
                  <c:v>52</c:v>
                </c:pt>
              </c:numCache>
            </c:numRef>
          </c:val>
          <c:smooth val="0"/>
          <c:extLst>
            <c:ext xmlns:c16="http://schemas.microsoft.com/office/drawing/2014/chart" uri="{C3380CC4-5D6E-409C-BE32-E72D297353CC}">
              <c16:uniqueId val="{00000000-111F-48B5-A1E3-ECCDBE63A898}"/>
            </c:ext>
          </c:extLst>
        </c:ser>
        <c:ser>
          <c:idx val="1"/>
          <c:order val="1"/>
          <c:tx>
            <c:strRef>
              <c:f>Graph!$A$22</c:f>
              <c:strCache>
                <c:ptCount val="1"/>
                <c:pt idx="0">
                  <c:v>Violence Without Injury</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Graph!$B$22:$G$22</c:f>
              <c:numCache>
                <c:formatCode>General</c:formatCode>
                <c:ptCount val="6"/>
                <c:pt idx="0">
                  <c:v>65</c:v>
                </c:pt>
                <c:pt idx="1">
                  <c:v>68</c:v>
                </c:pt>
                <c:pt idx="2">
                  <c:v>80</c:v>
                </c:pt>
                <c:pt idx="3">
                  <c:v>69</c:v>
                </c:pt>
                <c:pt idx="4">
                  <c:v>79</c:v>
                </c:pt>
                <c:pt idx="5">
                  <c:v>100</c:v>
                </c:pt>
              </c:numCache>
            </c:numRef>
          </c:val>
          <c:smooth val="0"/>
          <c:extLst>
            <c:ext xmlns:c16="http://schemas.microsoft.com/office/drawing/2014/chart" uri="{C3380CC4-5D6E-409C-BE32-E72D297353CC}">
              <c16:uniqueId val="{00000001-111F-48B5-A1E3-ECCDBE63A898}"/>
            </c:ext>
          </c:extLst>
        </c:ser>
        <c:dLbls>
          <c:showLegendKey val="0"/>
          <c:showVal val="0"/>
          <c:showCatName val="0"/>
          <c:showSerName val="0"/>
          <c:showPercent val="0"/>
          <c:showBubbleSize val="0"/>
        </c:dLbls>
        <c:smooth val="0"/>
        <c:axId val="546691080"/>
        <c:axId val="546691472"/>
      </c:lineChart>
      <c:catAx>
        <c:axId val="546691080"/>
        <c:scaling>
          <c:orientation val="minMax"/>
        </c:scaling>
        <c:delete val="0"/>
        <c:axPos val="b"/>
        <c:numFmt formatCode="General" sourceLinked="0"/>
        <c:majorTickMark val="out"/>
        <c:minorTickMark val="none"/>
        <c:tickLblPos val="nextTo"/>
        <c:crossAx val="546691472"/>
        <c:crosses val="autoZero"/>
        <c:auto val="1"/>
        <c:lblAlgn val="ctr"/>
        <c:lblOffset val="100"/>
        <c:noMultiLvlLbl val="0"/>
      </c:catAx>
      <c:valAx>
        <c:axId val="546691472"/>
        <c:scaling>
          <c:orientation val="minMax"/>
        </c:scaling>
        <c:delete val="0"/>
        <c:axPos val="l"/>
        <c:numFmt formatCode="General" sourceLinked="1"/>
        <c:majorTickMark val="out"/>
        <c:minorTickMark val="none"/>
        <c:tickLblPos val="nextTo"/>
        <c:crossAx val="546691080"/>
        <c:crosses val="autoZero"/>
        <c:crossBetween val="between"/>
      </c:valAx>
    </c:plotArea>
    <c:legend>
      <c:legendPos val="r"/>
      <c:layout>
        <c:manualLayout>
          <c:xMode val="edge"/>
          <c:yMode val="edge"/>
          <c:x val="9.3124434095096284E-2"/>
          <c:y val="5.5905838667082526E-3"/>
          <c:w val="0.81138493967440972"/>
          <c:h val="0.13316955375711001"/>
        </c:manualLayout>
      </c:layout>
      <c:overlay val="1"/>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4521841106303851E-2"/>
          <c:y val="3.2881893956695329E-2"/>
          <c:w val="0.89745603674540686"/>
          <c:h val="0.8326195683872849"/>
        </c:manualLayout>
      </c:layout>
      <c:lineChart>
        <c:grouping val="standard"/>
        <c:varyColors val="0"/>
        <c:ser>
          <c:idx val="0"/>
          <c:order val="0"/>
          <c:tx>
            <c:strRef>
              <c:f>Graph!$A$27</c:f>
              <c:strCache>
                <c:ptCount val="1"/>
                <c:pt idx="0">
                  <c:v>Theft From A Vehicle</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Graph!$B$27:$G$27</c:f>
              <c:numCache>
                <c:formatCode>General</c:formatCode>
                <c:ptCount val="6"/>
                <c:pt idx="0">
                  <c:v>25</c:v>
                </c:pt>
                <c:pt idx="1">
                  <c:v>23</c:v>
                </c:pt>
                <c:pt idx="2">
                  <c:v>28</c:v>
                </c:pt>
                <c:pt idx="3">
                  <c:v>27</c:v>
                </c:pt>
                <c:pt idx="4">
                  <c:v>25</c:v>
                </c:pt>
                <c:pt idx="5">
                  <c:v>21</c:v>
                </c:pt>
              </c:numCache>
            </c:numRef>
          </c:val>
          <c:smooth val="0"/>
          <c:extLst>
            <c:ext xmlns:c16="http://schemas.microsoft.com/office/drawing/2014/chart" uri="{C3380CC4-5D6E-409C-BE32-E72D297353CC}">
              <c16:uniqueId val="{00000000-F060-4715-A05B-5692099133E9}"/>
            </c:ext>
          </c:extLst>
        </c:ser>
        <c:ser>
          <c:idx val="1"/>
          <c:order val="1"/>
          <c:tx>
            <c:strRef>
              <c:f>Graph!$A$28</c:f>
              <c:strCache>
                <c:ptCount val="1"/>
                <c:pt idx="0">
                  <c:v>Total Theft Of Motor Vehicle</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Graph!$B$28:$G$28</c:f>
              <c:numCache>
                <c:formatCode>General</c:formatCode>
                <c:ptCount val="6"/>
                <c:pt idx="0">
                  <c:v>29</c:v>
                </c:pt>
                <c:pt idx="1">
                  <c:v>13</c:v>
                </c:pt>
                <c:pt idx="2">
                  <c:v>30</c:v>
                </c:pt>
                <c:pt idx="3">
                  <c:v>15</c:v>
                </c:pt>
                <c:pt idx="4">
                  <c:v>15</c:v>
                </c:pt>
                <c:pt idx="5">
                  <c:v>30</c:v>
                </c:pt>
              </c:numCache>
            </c:numRef>
          </c:val>
          <c:smooth val="0"/>
          <c:extLst>
            <c:ext xmlns:c16="http://schemas.microsoft.com/office/drawing/2014/chart" uri="{C3380CC4-5D6E-409C-BE32-E72D297353CC}">
              <c16:uniqueId val="{00000001-F060-4715-A05B-5692099133E9}"/>
            </c:ext>
          </c:extLst>
        </c:ser>
        <c:dLbls>
          <c:showLegendKey val="0"/>
          <c:showVal val="0"/>
          <c:showCatName val="0"/>
          <c:showSerName val="0"/>
          <c:showPercent val="0"/>
          <c:showBubbleSize val="0"/>
        </c:dLbls>
        <c:smooth val="0"/>
        <c:axId val="546694608"/>
        <c:axId val="546695000"/>
      </c:lineChart>
      <c:catAx>
        <c:axId val="546694608"/>
        <c:scaling>
          <c:orientation val="minMax"/>
        </c:scaling>
        <c:delete val="0"/>
        <c:axPos val="b"/>
        <c:numFmt formatCode="General" sourceLinked="0"/>
        <c:majorTickMark val="out"/>
        <c:minorTickMark val="none"/>
        <c:tickLblPos val="nextTo"/>
        <c:crossAx val="546695000"/>
        <c:crosses val="autoZero"/>
        <c:auto val="1"/>
        <c:lblAlgn val="ctr"/>
        <c:lblOffset val="100"/>
        <c:noMultiLvlLbl val="0"/>
      </c:catAx>
      <c:valAx>
        <c:axId val="546695000"/>
        <c:scaling>
          <c:orientation val="minMax"/>
        </c:scaling>
        <c:delete val="0"/>
        <c:axPos val="l"/>
        <c:numFmt formatCode="General" sourceLinked="1"/>
        <c:majorTickMark val="out"/>
        <c:minorTickMark val="none"/>
        <c:tickLblPos val="nextTo"/>
        <c:crossAx val="546694608"/>
        <c:crosses val="autoZero"/>
        <c:crossBetween val="between"/>
      </c:valAx>
    </c:plotArea>
    <c:legend>
      <c:legendPos val="r"/>
      <c:layout>
        <c:manualLayout>
          <c:xMode val="edge"/>
          <c:yMode val="edge"/>
          <c:x val="9.3450540156162054E-2"/>
          <c:y val="0.70184252881846854"/>
          <c:w val="0.83595223097112858"/>
          <c:h val="0.11397532923653104"/>
        </c:manualLayout>
      </c:layout>
      <c:overlay val="1"/>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Graph!$A$12</c:f>
              <c:strCache>
                <c:ptCount val="1"/>
                <c:pt idx="0">
                  <c:v>Theft From A Vehicle</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Graph!$B$12:$G$12</c:f>
              <c:numCache>
                <c:formatCode>General</c:formatCode>
                <c:ptCount val="6"/>
                <c:pt idx="0">
                  <c:v>5</c:v>
                </c:pt>
                <c:pt idx="1">
                  <c:v>6</c:v>
                </c:pt>
                <c:pt idx="2">
                  <c:v>3</c:v>
                </c:pt>
                <c:pt idx="3">
                  <c:v>3</c:v>
                </c:pt>
                <c:pt idx="4">
                  <c:v>5</c:v>
                </c:pt>
                <c:pt idx="5">
                  <c:v>6</c:v>
                </c:pt>
              </c:numCache>
            </c:numRef>
          </c:val>
          <c:smooth val="0"/>
          <c:extLst>
            <c:ext xmlns:c16="http://schemas.microsoft.com/office/drawing/2014/chart" uri="{C3380CC4-5D6E-409C-BE32-E72D297353CC}">
              <c16:uniqueId val="{00000000-CEA6-4F91-A098-EC00A6F40824}"/>
            </c:ext>
          </c:extLst>
        </c:ser>
        <c:ser>
          <c:idx val="1"/>
          <c:order val="1"/>
          <c:tx>
            <c:strRef>
              <c:f>Graph!$A$13</c:f>
              <c:strCache>
                <c:ptCount val="1"/>
                <c:pt idx="0">
                  <c:v>Theft Of A Motor Vehicle</c:v>
                </c:pt>
              </c:strCache>
            </c:strRef>
          </c:tx>
          <c:marker>
            <c:symbol val="none"/>
          </c:marker>
          <c:cat>
            <c:strRef>
              <c:f>Graph!$B$5:$G$5</c:f>
              <c:strCache>
                <c:ptCount val="6"/>
                <c:pt idx="0">
                  <c:v>October</c:v>
                </c:pt>
                <c:pt idx="1">
                  <c:v>November</c:v>
                </c:pt>
                <c:pt idx="2">
                  <c:v>December</c:v>
                </c:pt>
                <c:pt idx="3">
                  <c:v>January</c:v>
                </c:pt>
                <c:pt idx="4">
                  <c:v>February</c:v>
                </c:pt>
                <c:pt idx="5">
                  <c:v>March</c:v>
                </c:pt>
              </c:strCache>
            </c:strRef>
          </c:cat>
          <c:val>
            <c:numRef>
              <c:f>Graph!$B$13:$G$13</c:f>
              <c:numCache>
                <c:formatCode>General</c:formatCode>
                <c:ptCount val="6"/>
                <c:pt idx="0">
                  <c:v>112</c:v>
                </c:pt>
                <c:pt idx="1">
                  <c:v>78</c:v>
                </c:pt>
                <c:pt idx="2">
                  <c:v>112</c:v>
                </c:pt>
                <c:pt idx="3">
                  <c:v>108</c:v>
                </c:pt>
                <c:pt idx="4">
                  <c:v>66</c:v>
                </c:pt>
                <c:pt idx="5">
                  <c:v>115</c:v>
                </c:pt>
              </c:numCache>
            </c:numRef>
          </c:val>
          <c:smooth val="0"/>
          <c:extLst>
            <c:ext xmlns:c16="http://schemas.microsoft.com/office/drawing/2014/chart" uri="{C3380CC4-5D6E-409C-BE32-E72D297353CC}">
              <c16:uniqueId val="{00000001-CEA6-4F91-A098-EC00A6F40824}"/>
            </c:ext>
          </c:extLst>
        </c:ser>
        <c:dLbls>
          <c:showLegendKey val="0"/>
          <c:showVal val="0"/>
          <c:showCatName val="0"/>
          <c:showSerName val="0"/>
          <c:showPercent val="0"/>
          <c:showBubbleSize val="0"/>
        </c:dLbls>
        <c:smooth val="0"/>
        <c:axId val="545087280"/>
        <c:axId val="545087672"/>
      </c:lineChart>
      <c:catAx>
        <c:axId val="545087280"/>
        <c:scaling>
          <c:orientation val="minMax"/>
        </c:scaling>
        <c:delete val="0"/>
        <c:axPos val="b"/>
        <c:numFmt formatCode="General" sourceLinked="0"/>
        <c:majorTickMark val="out"/>
        <c:minorTickMark val="none"/>
        <c:tickLblPos val="nextTo"/>
        <c:crossAx val="545087672"/>
        <c:crosses val="autoZero"/>
        <c:auto val="1"/>
        <c:lblAlgn val="ctr"/>
        <c:lblOffset val="100"/>
        <c:noMultiLvlLbl val="0"/>
      </c:catAx>
      <c:valAx>
        <c:axId val="545087672"/>
        <c:scaling>
          <c:orientation val="minMax"/>
        </c:scaling>
        <c:delete val="0"/>
        <c:axPos val="l"/>
        <c:numFmt formatCode="General" sourceLinked="1"/>
        <c:majorTickMark val="out"/>
        <c:minorTickMark val="none"/>
        <c:tickLblPos val="nextTo"/>
        <c:crossAx val="545087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171205367026783E-2"/>
          <c:y val="5.5022075486272588E-2"/>
          <c:w val="0.8790202480271011"/>
          <c:h val="0.80242567048885183"/>
        </c:manualLayout>
      </c:layout>
      <c:lineChart>
        <c:grouping val="standard"/>
        <c:varyColors val="0"/>
        <c:ser>
          <c:idx val="0"/>
          <c:order val="0"/>
          <c:tx>
            <c:strRef>
              <c:f>Graph!$A$23</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Graph!$B$23:$G$23</c:f>
              <c:numCache>
                <c:formatCode>General</c:formatCode>
                <c:ptCount val="6"/>
                <c:pt idx="0">
                  <c:v>4</c:v>
                </c:pt>
                <c:pt idx="1">
                  <c:v>6</c:v>
                </c:pt>
                <c:pt idx="2">
                  <c:v>0</c:v>
                </c:pt>
                <c:pt idx="3">
                  <c:v>3</c:v>
                </c:pt>
                <c:pt idx="4">
                  <c:v>2</c:v>
                </c:pt>
                <c:pt idx="5">
                  <c:v>1</c:v>
                </c:pt>
              </c:numCache>
            </c:numRef>
          </c:val>
          <c:smooth val="0"/>
          <c:extLst>
            <c:ext xmlns:c16="http://schemas.microsoft.com/office/drawing/2014/chart" uri="{C3380CC4-5D6E-409C-BE32-E72D297353CC}">
              <c16:uniqueId val="{00000000-E352-445D-A1DB-B63EC5C7E6FF}"/>
            </c:ext>
          </c:extLst>
        </c:ser>
        <c:dLbls>
          <c:showLegendKey val="0"/>
          <c:showVal val="0"/>
          <c:showCatName val="0"/>
          <c:showSerName val="0"/>
          <c:showPercent val="0"/>
          <c:showBubbleSize val="0"/>
        </c:dLbls>
        <c:smooth val="0"/>
        <c:axId val="545089240"/>
        <c:axId val="545088848"/>
      </c:lineChart>
      <c:catAx>
        <c:axId val="54508924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8848"/>
        <c:crosses val="autoZero"/>
        <c:auto val="1"/>
        <c:lblAlgn val="ctr"/>
        <c:lblOffset val="100"/>
        <c:noMultiLvlLbl val="0"/>
      </c:catAx>
      <c:valAx>
        <c:axId val="545088848"/>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9240"/>
        <c:crosses val="autoZero"/>
        <c:crossBetween val="between"/>
      </c:valAx>
      <c:spPr>
        <a:solidFill>
          <a:schemeClr val="bg1"/>
        </a:solidFill>
        <a:ln>
          <a:noFill/>
        </a:ln>
        <a:effectLst/>
      </c:spPr>
    </c:plotArea>
    <c:legend>
      <c:legendPos val="r"/>
      <c:layout>
        <c:manualLayout>
          <c:xMode val="edge"/>
          <c:yMode val="edge"/>
          <c:x val="8.7607967821109037E-2"/>
          <c:y val="2.8216298275025215E-2"/>
          <c:w val="0.46226077672494326"/>
          <c:h val="6.1629325840026512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2777565425681"/>
          <c:y val="4.4458269876759229E-2"/>
          <c:w val="0.83133527866828094"/>
          <c:h val="0.78462119401966135"/>
        </c:manualLayout>
      </c:layout>
      <c:lineChart>
        <c:grouping val="standard"/>
        <c:varyColors val="0"/>
        <c:ser>
          <c:idx val="0"/>
          <c:order val="0"/>
          <c:tx>
            <c:strRef>
              <c:f>Graph!$A$34</c:f>
              <c:strCache>
                <c:ptCount val="1"/>
                <c:pt idx="0">
                  <c:v>Violence With Injury</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Graph!$B$34:$G$34</c:f>
              <c:numCache>
                <c:formatCode>General</c:formatCode>
                <c:ptCount val="6"/>
                <c:pt idx="0">
                  <c:v>120</c:v>
                </c:pt>
                <c:pt idx="1">
                  <c:v>95</c:v>
                </c:pt>
                <c:pt idx="2">
                  <c:v>135</c:v>
                </c:pt>
                <c:pt idx="3">
                  <c:v>96</c:v>
                </c:pt>
                <c:pt idx="4">
                  <c:v>109</c:v>
                </c:pt>
                <c:pt idx="5">
                  <c:v>116</c:v>
                </c:pt>
              </c:numCache>
            </c:numRef>
          </c:val>
          <c:smooth val="0"/>
          <c:extLst>
            <c:ext xmlns:c16="http://schemas.microsoft.com/office/drawing/2014/chart" uri="{C3380CC4-5D6E-409C-BE32-E72D297353CC}">
              <c16:uniqueId val="{00000000-4394-443D-8E22-AB70DB7A6554}"/>
            </c:ext>
          </c:extLst>
        </c:ser>
        <c:ser>
          <c:idx val="1"/>
          <c:order val="1"/>
          <c:tx>
            <c:strRef>
              <c:f>Graph!$A$35</c:f>
              <c:strCache>
                <c:ptCount val="1"/>
                <c:pt idx="0">
                  <c:v>Violence Without Injury</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Graph!$B$35:$G$35</c:f>
              <c:numCache>
                <c:formatCode>General</c:formatCode>
                <c:ptCount val="6"/>
                <c:pt idx="0">
                  <c:v>226</c:v>
                </c:pt>
                <c:pt idx="1">
                  <c:v>224</c:v>
                </c:pt>
                <c:pt idx="2">
                  <c:v>261</c:v>
                </c:pt>
                <c:pt idx="3">
                  <c:v>262</c:v>
                </c:pt>
                <c:pt idx="4">
                  <c:v>216</c:v>
                </c:pt>
                <c:pt idx="5">
                  <c:v>212</c:v>
                </c:pt>
              </c:numCache>
            </c:numRef>
          </c:val>
          <c:smooth val="0"/>
          <c:extLst>
            <c:ext xmlns:c16="http://schemas.microsoft.com/office/drawing/2014/chart" uri="{C3380CC4-5D6E-409C-BE32-E72D297353CC}">
              <c16:uniqueId val="{00000001-4394-443D-8E22-AB70DB7A6554}"/>
            </c:ext>
          </c:extLst>
        </c:ser>
        <c:dLbls>
          <c:showLegendKey val="0"/>
          <c:showVal val="0"/>
          <c:showCatName val="0"/>
          <c:showSerName val="0"/>
          <c:showPercent val="0"/>
          <c:showBubbleSize val="0"/>
        </c:dLbls>
        <c:smooth val="0"/>
        <c:axId val="546695784"/>
        <c:axId val="546696176"/>
      </c:lineChart>
      <c:catAx>
        <c:axId val="546695784"/>
        <c:scaling>
          <c:orientation val="minMax"/>
        </c:scaling>
        <c:delete val="0"/>
        <c:axPos val="b"/>
        <c:numFmt formatCode="General" sourceLinked="0"/>
        <c:majorTickMark val="out"/>
        <c:minorTickMark val="none"/>
        <c:tickLblPos val="nextTo"/>
        <c:crossAx val="546696176"/>
        <c:crosses val="autoZero"/>
        <c:auto val="1"/>
        <c:lblAlgn val="ctr"/>
        <c:lblOffset val="100"/>
        <c:noMultiLvlLbl val="0"/>
      </c:catAx>
      <c:valAx>
        <c:axId val="546696176"/>
        <c:scaling>
          <c:orientation val="minMax"/>
        </c:scaling>
        <c:delete val="0"/>
        <c:axPos val="l"/>
        <c:numFmt formatCode="General" sourceLinked="1"/>
        <c:majorTickMark val="out"/>
        <c:minorTickMark val="none"/>
        <c:tickLblPos val="nextTo"/>
        <c:crossAx val="546695784"/>
        <c:crosses val="autoZero"/>
        <c:crossBetween val="between"/>
      </c:valAx>
    </c:plotArea>
    <c:legend>
      <c:legendPos val="r"/>
      <c:layout>
        <c:manualLayout>
          <c:xMode val="edge"/>
          <c:yMode val="edge"/>
          <c:x val="0.10841567874179296"/>
          <c:y val="0.59694859920068399"/>
          <c:w val="0.82818923120046883"/>
          <c:h val="0.30360303727466165"/>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8353152284535866E-2"/>
          <c:y val="6.0919175226553469E-2"/>
          <c:w val="0.87443596336172269"/>
          <c:h val="0.73465452620891525"/>
        </c:manualLayout>
      </c:layout>
      <c:lineChart>
        <c:grouping val="standard"/>
        <c:varyColors val="0"/>
        <c:ser>
          <c:idx val="0"/>
          <c:order val="0"/>
          <c:tx>
            <c:strRef>
              <c:f>Graph!$A$40</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Graph!$B$40:$G$40</c:f>
              <c:numCache>
                <c:formatCode>General</c:formatCode>
                <c:ptCount val="6"/>
                <c:pt idx="0">
                  <c:v>5</c:v>
                </c:pt>
                <c:pt idx="1">
                  <c:v>10</c:v>
                </c:pt>
                <c:pt idx="2">
                  <c:v>8</c:v>
                </c:pt>
                <c:pt idx="3">
                  <c:v>1</c:v>
                </c:pt>
                <c:pt idx="4">
                  <c:v>8</c:v>
                </c:pt>
                <c:pt idx="5">
                  <c:v>11</c:v>
                </c:pt>
              </c:numCache>
            </c:numRef>
          </c:val>
          <c:smooth val="0"/>
          <c:extLst>
            <c:ext xmlns:c16="http://schemas.microsoft.com/office/drawing/2014/chart" uri="{C3380CC4-5D6E-409C-BE32-E72D297353CC}">
              <c16:uniqueId val="{00000000-9188-4C3A-9275-99A3C2F3DD7F}"/>
            </c:ext>
          </c:extLst>
        </c:ser>
        <c:dLbls>
          <c:showLegendKey val="0"/>
          <c:showVal val="0"/>
          <c:showCatName val="0"/>
          <c:showSerName val="0"/>
          <c:showPercent val="0"/>
          <c:showBubbleSize val="0"/>
        </c:dLbls>
        <c:smooth val="0"/>
        <c:axId val="545089632"/>
        <c:axId val="545094728"/>
      </c:lineChart>
      <c:catAx>
        <c:axId val="5450896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94728"/>
        <c:crosses val="autoZero"/>
        <c:auto val="1"/>
        <c:lblAlgn val="ctr"/>
        <c:lblOffset val="100"/>
        <c:noMultiLvlLbl val="0"/>
      </c:catAx>
      <c:valAx>
        <c:axId val="545094728"/>
        <c:scaling>
          <c:orientation val="minMax"/>
          <c:max val="20"/>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9632"/>
        <c:crosses val="autoZero"/>
        <c:crossBetween val="between"/>
        <c:majorUnit val="5"/>
      </c:valAx>
      <c:spPr>
        <a:solidFill>
          <a:schemeClr val="bg1"/>
        </a:solidFill>
        <a:ln>
          <a:noFill/>
        </a:ln>
        <a:effectLst/>
      </c:spPr>
    </c:plotArea>
    <c:legend>
      <c:legendPos val="r"/>
      <c:layout>
        <c:manualLayout>
          <c:xMode val="edge"/>
          <c:yMode val="edge"/>
          <c:x val="0.60192509113334358"/>
          <c:y val="3.8057759036282321E-2"/>
          <c:w val="0.35416612129490499"/>
          <c:h val="0.1259039140550418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Graph!$A$39</c:f>
              <c:strCache>
                <c:ptCount val="1"/>
                <c:pt idx="0">
                  <c:v>Theft Of Motor Vehicle</c:v>
                </c:pt>
              </c:strCache>
            </c:strRef>
          </c:tx>
          <c:spPr>
            <a:ln w="28575" cap="rnd" cmpd="sng" algn="ctr">
              <a:solidFill>
                <a:schemeClr val="accent5">
                  <a:shade val="95000"/>
                  <a:satMod val="105000"/>
                </a:schemeClr>
              </a:solidFill>
              <a:prstDash val="solid"/>
              <a:round/>
            </a:ln>
            <a:effectLst/>
          </c:spPr>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Graph!$B$39:$G$39</c:f>
              <c:numCache>
                <c:formatCode>General</c:formatCode>
                <c:ptCount val="6"/>
                <c:pt idx="0">
                  <c:v>37</c:v>
                </c:pt>
                <c:pt idx="1">
                  <c:v>21</c:v>
                </c:pt>
                <c:pt idx="2">
                  <c:v>33</c:v>
                </c:pt>
                <c:pt idx="3">
                  <c:v>31</c:v>
                </c:pt>
                <c:pt idx="4">
                  <c:v>19</c:v>
                </c:pt>
                <c:pt idx="5">
                  <c:v>32</c:v>
                </c:pt>
              </c:numCache>
            </c:numRef>
          </c:val>
          <c:smooth val="0"/>
          <c:extLst>
            <c:ext xmlns:c16="http://schemas.microsoft.com/office/drawing/2014/chart" uri="{C3380CC4-5D6E-409C-BE32-E72D297353CC}">
              <c16:uniqueId val="{00000000-7FDF-4553-8CEE-16B52D10ADCF}"/>
            </c:ext>
          </c:extLst>
        </c:ser>
        <c:dLbls>
          <c:showLegendKey val="0"/>
          <c:showVal val="0"/>
          <c:showCatName val="0"/>
          <c:showSerName val="0"/>
          <c:showPercent val="0"/>
          <c:showBubbleSize val="0"/>
        </c:dLbls>
        <c:smooth val="0"/>
        <c:axId val="546002344"/>
        <c:axId val="546002736"/>
      </c:lineChart>
      <c:catAx>
        <c:axId val="5460023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6002736"/>
        <c:crosses val="autoZero"/>
        <c:auto val="1"/>
        <c:lblAlgn val="ctr"/>
        <c:lblOffset val="100"/>
        <c:noMultiLvlLbl val="0"/>
      </c:catAx>
      <c:valAx>
        <c:axId val="546002736"/>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6002344"/>
        <c:crosses val="autoZero"/>
        <c:crossBetween val="between"/>
      </c:valAx>
      <c:spPr>
        <a:solidFill>
          <a:schemeClr val="bg1"/>
        </a:solidFill>
        <a:ln>
          <a:noFill/>
        </a:ln>
        <a:effectLst/>
      </c:spPr>
    </c:plotArea>
    <c:legend>
      <c:legendPos val="r"/>
      <c:layout>
        <c:manualLayout>
          <c:xMode val="edge"/>
          <c:yMode val="edge"/>
          <c:x val="9.2250177294510571E-2"/>
          <c:y val="0.58254040272171748"/>
          <c:w val="0.50583697516675408"/>
          <c:h val="0.166939453435122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Graph!$A$48</c:f>
              <c:strCache>
                <c:ptCount val="1"/>
                <c:pt idx="0">
                  <c:v>Violence With Injury</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Graph!$B$48:$G$48</c:f>
              <c:numCache>
                <c:formatCode>General</c:formatCode>
                <c:ptCount val="6"/>
                <c:pt idx="0">
                  <c:v>61</c:v>
                </c:pt>
                <c:pt idx="1">
                  <c:v>71</c:v>
                </c:pt>
                <c:pt idx="2">
                  <c:v>80</c:v>
                </c:pt>
                <c:pt idx="3">
                  <c:v>71</c:v>
                </c:pt>
                <c:pt idx="4">
                  <c:v>66</c:v>
                </c:pt>
                <c:pt idx="5">
                  <c:v>87</c:v>
                </c:pt>
              </c:numCache>
            </c:numRef>
          </c:val>
          <c:smooth val="0"/>
          <c:extLst>
            <c:ext xmlns:c16="http://schemas.microsoft.com/office/drawing/2014/chart" uri="{C3380CC4-5D6E-409C-BE32-E72D297353CC}">
              <c16:uniqueId val="{00000000-7F43-4A84-BB19-B68EF0AE48F1}"/>
            </c:ext>
          </c:extLst>
        </c:ser>
        <c:ser>
          <c:idx val="1"/>
          <c:order val="1"/>
          <c:tx>
            <c:strRef>
              <c:f>Graph!$A$49</c:f>
              <c:strCache>
                <c:ptCount val="1"/>
                <c:pt idx="0">
                  <c:v>Violence Without Injury</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Graph!$B$49:$G$49</c:f>
              <c:numCache>
                <c:formatCode>General</c:formatCode>
                <c:ptCount val="6"/>
                <c:pt idx="0">
                  <c:v>129</c:v>
                </c:pt>
                <c:pt idx="1">
                  <c:v>136</c:v>
                </c:pt>
                <c:pt idx="2">
                  <c:v>164</c:v>
                </c:pt>
                <c:pt idx="3">
                  <c:v>142</c:v>
                </c:pt>
                <c:pt idx="4">
                  <c:v>126</c:v>
                </c:pt>
                <c:pt idx="5">
                  <c:v>142</c:v>
                </c:pt>
              </c:numCache>
            </c:numRef>
          </c:val>
          <c:smooth val="0"/>
          <c:extLst>
            <c:ext xmlns:c16="http://schemas.microsoft.com/office/drawing/2014/chart" uri="{C3380CC4-5D6E-409C-BE32-E72D297353CC}">
              <c16:uniqueId val="{00000001-7F43-4A84-BB19-B68EF0AE48F1}"/>
            </c:ext>
          </c:extLst>
        </c:ser>
        <c:dLbls>
          <c:showLegendKey val="0"/>
          <c:showVal val="0"/>
          <c:showCatName val="0"/>
          <c:showSerName val="0"/>
          <c:showPercent val="0"/>
          <c:showBubbleSize val="0"/>
        </c:dLbls>
        <c:smooth val="0"/>
        <c:axId val="548606544"/>
        <c:axId val="548606936"/>
      </c:lineChart>
      <c:catAx>
        <c:axId val="548606544"/>
        <c:scaling>
          <c:orientation val="minMax"/>
        </c:scaling>
        <c:delete val="0"/>
        <c:axPos val="b"/>
        <c:numFmt formatCode="General" sourceLinked="0"/>
        <c:majorTickMark val="out"/>
        <c:minorTickMark val="none"/>
        <c:tickLblPos val="nextTo"/>
        <c:crossAx val="548606936"/>
        <c:crosses val="autoZero"/>
        <c:auto val="1"/>
        <c:lblAlgn val="ctr"/>
        <c:lblOffset val="100"/>
        <c:noMultiLvlLbl val="0"/>
      </c:catAx>
      <c:valAx>
        <c:axId val="548606936"/>
        <c:scaling>
          <c:orientation val="minMax"/>
        </c:scaling>
        <c:delete val="0"/>
        <c:axPos val="l"/>
        <c:numFmt formatCode="General" sourceLinked="1"/>
        <c:majorTickMark val="out"/>
        <c:minorTickMark val="none"/>
        <c:tickLblPos val="nextTo"/>
        <c:crossAx val="548606544"/>
        <c:crosses val="autoZero"/>
        <c:crossBetween val="between"/>
      </c:valAx>
      <c:spPr>
        <a:noFill/>
        <a:ln w="25400">
          <a:noFill/>
        </a:ln>
      </c:spPr>
    </c:plotArea>
    <c:legend>
      <c:legendPos val="r"/>
      <c:layout>
        <c:manualLayout>
          <c:xMode val="edge"/>
          <c:yMode val="edge"/>
          <c:x val="0.13457387334545473"/>
          <c:y val="0.65109420873649015"/>
          <c:w val="0.86191735375531253"/>
          <c:h val="0.26078046029370294"/>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Graph!$A$52</c:f>
              <c:strCache>
                <c:ptCount val="1"/>
                <c:pt idx="0">
                  <c:v>005.01 Wounding (sec. 18)</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Graph!$B$52:$G$52</c:f>
              <c:numCache>
                <c:formatCode>General</c:formatCode>
                <c:ptCount val="6"/>
                <c:pt idx="0">
                  <c:v>4</c:v>
                </c:pt>
                <c:pt idx="1">
                  <c:v>7</c:v>
                </c:pt>
                <c:pt idx="2">
                  <c:v>6</c:v>
                </c:pt>
                <c:pt idx="3">
                  <c:v>6</c:v>
                </c:pt>
                <c:pt idx="4">
                  <c:v>2</c:v>
                </c:pt>
                <c:pt idx="5">
                  <c:v>4</c:v>
                </c:pt>
              </c:numCache>
            </c:numRef>
          </c:val>
          <c:smooth val="0"/>
          <c:extLst>
            <c:ext xmlns:c16="http://schemas.microsoft.com/office/drawing/2014/chart" uri="{C3380CC4-5D6E-409C-BE32-E72D297353CC}">
              <c16:uniqueId val="{00000000-D775-420F-A337-35EEE493787E}"/>
            </c:ext>
          </c:extLst>
        </c:ser>
        <c:ser>
          <c:idx val="1"/>
          <c:order val="1"/>
          <c:tx>
            <c:strRef>
              <c:f>Graph!$A$53</c:f>
              <c:strCache>
                <c:ptCount val="1"/>
                <c:pt idx="0">
                  <c:v>008.01 Malicious wounding (sec. 20)</c:v>
                </c:pt>
              </c:strCache>
            </c:strRef>
          </c:tx>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Graph!$B$53:$G$53</c:f>
              <c:numCache>
                <c:formatCode>General</c:formatCode>
                <c:ptCount val="6"/>
                <c:pt idx="0">
                  <c:v>6</c:v>
                </c:pt>
                <c:pt idx="1">
                  <c:v>3</c:v>
                </c:pt>
                <c:pt idx="2">
                  <c:v>3</c:v>
                </c:pt>
                <c:pt idx="3">
                  <c:v>1</c:v>
                </c:pt>
                <c:pt idx="4">
                  <c:v>2</c:v>
                </c:pt>
                <c:pt idx="5">
                  <c:v>2</c:v>
                </c:pt>
              </c:numCache>
            </c:numRef>
          </c:val>
          <c:smooth val="0"/>
          <c:extLst>
            <c:ext xmlns:c16="http://schemas.microsoft.com/office/drawing/2014/chart" uri="{C3380CC4-5D6E-409C-BE32-E72D297353CC}">
              <c16:uniqueId val="{00000001-D775-420F-A337-35EEE493787E}"/>
            </c:ext>
          </c:extLst>
        </c:ser>
        <c:dLbls>
          <c:showLegendKey val="0"/>
          <c:showVal val="0"/>
          <c:showCatName val="0"/>
          <c:showSerName val="0"/>
          <c:showPercent val="0"/>
          <c:showBubbleSize val="0"/>
        </c:dLbls>
        <c:smooth val="0"/>
        <c:axId val="548607720"/>
        <c:axId val="548608112"/>
      </c:lineChart>
      <c:catAx>
        <c:axId val="548607720"/>
        <c:scaling>
          <c:orientation val="minMax"/>
        </c:scaling>
        <c:delete val="0"/>
        <c:axPos val="b"/>
        <c:numFmt formatCode="General" sourceLinked="0"/>
        <c:majorTickMark val="out"/>
        <c:minorTickMark val="none"/>
        <c:tickLblPos val="nextTo"/>
        <c:crossAx val="548608112"/>
        <c:crosses val="autoZero"/>
        <c:auto val="1"/>
        <c:lblAlgn val="ctr"/>
        <c:lblOffset val="100"/>
        <c:noMultiLvlLbl val="0"/>
      </c:catAx>
      <c:valAx>
        <c:axId val="548608112"/>
        <c:scaling>
          <c:orientation val="minMax"/>
        </c:scaling>
        <c:delete val="0"/>
        <c:axPos val="l"/>
        <c:numFmt formatCode="General" sourceLinked="1"/>
        <c:majorTickMark val="out"/>
        <c:minorTickMark val="none"/>
        <c:tickLblPos val="nextTo"/>
        <c:crossAx val="548607720"/>
        <c:crosses val="autoZero"/>
        <c:crossBetween val="between"/>
      </c:valAx>
    </c:plotArea>
    <c:legend>
      <c:legendPos val="r"/>
      <c:layout>
        <c:manualLayout>
          <c:xMode val="edge"/>
          <c:yMode val="edge"/>
          <c:x val="4.3418902072514635E-2"/>
          <c:y val="3.4360056864687892E-3"/>
          <c:w val="0.6420734955136006"/>
          <c:h val="0.14312885021324259"/>
        </c:manualLayout>
      </c:layout>
      <c:overlay val="1"/>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3701746811674647E-2"/>
          <c:y val="6.6681799910146361E-2"/>
          <c:w val="0.87148537242244195"/>
          <c:h val="0.70955427868813692"/>
        </c:manualLayout>
      </c:layout>
      <c:lineChart>
        <c:grouping val="standard"/>
        <c:varyColors val="0"/>
        <c:ser>
          <c:idx val="0"/>
          <c:order val="0"/>
          <c:tx>
            <c:strRef>
              <c:f>Graph!$A$50</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Graph!$B$50:$G$50</c:f>
              <c:numCache>
                <c:formatCode>General</c:formatCode>
                <c:ptCount val="6"/>
                <c:pt idx="0">
                  <c:v>2</c:v>
                </c:pt>
                <c:pt idx="1">
                  <c:v>0</c:v>
                </c:pt>
                <c:pt idx="2">
                  <c:v>2</c:v>
                </c:pt>
                <c:pt idx="3">
                  <c:v>4</c:v>
                </c:pt>
                <c:pt idx="4">
                  <c:v>1</c:v>
                </c:pt>
                <c:pt idx="5">
                  <c:v>8</c:v>
                </c:pt>
              </c:numCache>
            </c:numRef>
          </c:val>
          <c:smooth val="0"/>
          <c:extLst>
            <c:ext xmlns:c16="http://schemas.microsoft.com/office/drawing/2014/chart" uri="{C3380CC4-5D6E-409C-BE32-E72D297353CC}">
              <c16:uniqueId val="{00000000-77DB-4557-84D3-ACA931F2DDF0}"/>
            </c:ext>
          </c:extLst>
        </c:ser>
        <c:dLbls>
          <c:showLegendKey val="0"/>
          <c:showVal val="0"/>
          <c:showCatName val="0"/>
          <c:showSerName val="0"/>
          <c:showPercent val="0"/>
          <c:showBubbleSize val="0"/>
        </c:dLbls>
        <c:smooth val="0"/>
        <c:axId val="545427952"/>
        <c:axId val="545428344"/>
      </c:lineChart>
      <c:catAx>
        <c:axId val="545427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28344"/>
        <c:crosses val="autoZero"/>
        <c:auto val="1"/>
        <c:lblAlgn val="ctr"/>
        <c:lblOffset val="100"/>
        <c:noMultiLvlLbl val="0"/>
      </c:catAx>
      <c:valAx>
        <c:axId val="545428344"/>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27952"/>
        <c:crosses val="autoZero"/>
        <c:crossBetween val="between"/>
      </c:valAx>
      <c:spPr>
        <a:solidFill>
          <a:schemeClr val="bg1"/>
        </a:solidFill>
        <a:ln>
          <a:noFill/>
        </a:ln>
        <a:effectLst/>
      </c:spPr>
    </c:plotArea>
    <c:legend>
      <c:legendPos val="r"/>
      <c:layout>
        <c:manualLayout>
          <c:xMode val="edge"/>
          <c:yMode val="edge"/>
          <c:x val="0.52197644040357682"/>
          <c:y val="5.4545585781967431E-3"/>
          <c:w val="0.47431524154324095"/>
          <c:h val="0.16155030184808078"/>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strRef>
              <c:f>Graph!$A$51</c:f>
              <c:strCache>
                <c:ptCount val="1"/>
                <c:pt idx="0">
                  <c:v>Business Crime</c:v>
                </c:pt>
              </c:strCache>
            </c:strRef>
          </c:tx>
          <c:spPr>
            <a:ln w="28575" cap="rnd" cmpd="sng" algn="ctr">
              <a:solidFill>
                <a:schemeClr val="accent6">
                  <a:shade val="95000"/>
                  <a:satMod val="105000"/>
                </a:schemeClr>
              </a:solidFill>
              <a:prstDash val="solid"/>
              <a:round/>
            </a:ln>
            <a:effectLst/>
          </c:spPr>
          <c:marker>
            <c:symbol val="none"/>
          </c:marker>
          <c:cat>
            <c:strRef>
              <c:f>Graph!$B$47:$G$47</c:f>
              <c:strCache>
                <c:ptCount val="6"/>
                <c:pt idx="0">
                  <c:v>October</c:v>
                </c:pt>
                <c:pt idx="1">
                  <c:v>November</c:v>
                </c:pt>
                <c:pt idx="2">
                  <c:v>December</c:v>
                </c:pt>
                <c:pt idx="3">
                  <c:v>January</c:v>
                </c:pt>
                <c:pt idx="4">
                  <c:v>February</c:v>
                </c:pt>
                <c:pt idx="5">
                  <c:v>March</c:v>
                </c:pt>
              </c:strCache>
            </c:strRef>
          </c:cat>
          <c:val>
            <c:numRef>
              <c:f>Graph!$B$51:$G$51</c:f>
              <c:numCache>
                <c:formatCode>General</c:formatCode>
                <c:ptCount val="6"/>
                <c:pt idx="0">
                  <c:v>111</c:v>
                </c:pt>
                <c:pt idx="1">
                  <c:v>88</c:v>
                </c:pt>
                <c:pt idx="2">
                  <c:v>83</c:v>
                </c:pt>
                <c:pt idx="3">
                  <c:v>78</c:v>
                </c:pt>
                <c:pt idx="4">
                  <c:v>85</c:v>
                </c:pt>
                <c:pt idx="5">
                  <c:v>66</c:v>
                </c:pt>
              </c:numCache>
            </c:numRef>
          </c:val>
          <c:smooth val="0"/>
          <c:extLst>
            <c:ext xmlns:c16="http://schemas.microsoft.com/office/drawing/2014/chart" uri="{C3380CC4-5D6E-409C-BE32-E72D297353CC}">
              <c16:uniqueId val="{00000000-942D-4E0D-B993-6D58CCFD68A5}"/>
            </c:ext>
          </c:extLst>
        </c:ser>
        <c:dLbls>
          <c:showLegendKey val="0"/>
          <c:showVal val="0"/>
          <c:showCatName val="0"/>
          <c:showSerName val="0"/>
          <c:showPercent val="0"/>
          <c:showBubbleSize val="0"/>
        </c:dLbls>
        <c:smooth val="0"/>
        <c:axId val="545430304"/>
        <c:axId val="545430696"/>
      </c:lineChart>
      <c:catAx>
        <c:axId val="5454303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30696"/>
        <c:crosses val="autoZero"/>
        <c:auto val="1"/>
        <c:lblAlgn val="ctr"/>
        <c:lblOffset val="100"/>
        <c:noMultiLvlLbl val="0"/>
      </c:catAx>
      <c:valAx>
        <c:axId val="545430696"/>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430304"/>
        <c:crosses val="autoZero"/>
        <c:crossBetween val="between"/>
      </c:valAx>
      <c:spPr>
        <a:solidFill>
          <a:schemeClr val="bg1"/>
        </a:solidFill>
        <a:ln>
          <a:noFill/>
        </a:ln>
        <a:effectLst/>
      </c:spPr>
    </c:plotArea>
    <c:legend>
      <c:legendPos val="r"/>
      <c:layout>
        <c:manualLayout>
          <c:xMode val="edge"/>
          <c:yMode val="edge"/>
          <c:x val="8.7876698212525139E-2"/>
          <c:y val="0.6939155361715369"/>
          <c:w val="0.38290154168417084"/>
          <c:h val="0.1077981388690050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Graph!$A$78</c:f>
              <c:strCache>
                <c:ptCount val="1"/>
                <c:pt idx="0">
                  <c:v>Violence With Injury</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Graph!$B$78:$G$78</c:f>
              <c:numCache>
                <c:formatCode>General</c:formatCode>
                <c:ptCount val="6"/>
                <c:pt idx="0">
                  <c:v>83</c:v>
                </c:pt>
                <c:pt idx="1">
                  <c:v>69</c:v>
                </c:pt>
                <c:pt idx="2">
                  <c:v>65</c:v>
                </c:pt>
                <c:pt idx="3">
                  <c:v>82</c:v>
                </c:pt>
                <c:pt idx="4">
                  <c:v>55</c:v>
                </c:pt>
                <c:pt idx="5">
                  <c:v>55</c:v>
                </c:pt>
              </c:numCache>
            </c:numRef>
          </c:val>
          <c:smooth val="0"/>
          <c:extLst>
            <c:ext xmlns:c16="http://schemas.microsoft.com/office/drawing/2014/chart" uri="{C3380CC4-5D6E-409C-BE32-E72D297353CC}">
              <c16:uniqueId val="{00000000-3585-4DF2-9D17-172F59E06565}"/>
            </c:ext>
          </c:extLst>
        </c:ser>
        <c:ser>
          <c:idx val="1"/>
          <c:order val="1"/>
          <c:tx>
            <c:strRef>
              <c:f>Graph!$A$79</c:f>
              <c:strCache>
                <c:ptCount val="1"/>
                <c:pt idx="0">
                  <c:v>Violence Without Injury</c:v>
                </c:pt>
              </c:strCache>
            </c:strRef>
          </c:tx>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Graph!$B$79:$G$79</c:f>
              <c:numCache>
                <c:formatCode>General</c:formatCode>
                <c:ptCount val="6"/>
                <c:pt idx="0">
                  <c:v>156</c:v>
                </c:pt>
                <c:pt idx="1">
                  <c:v>152</c:v>
                </c:pt>
                <c:pt idx="2">
                  <c:v>138</c:v>
                </c:pt>
                <c:pt idx="3">
                  <c:v>127</c:v>
                </c:pt>
                <c:pt idx="4">
                  <c:v>170</c:v>
                </c:pt>
                <c:pt idx="5">
                  <c:v>158</c:v>
                </c:pt>
              </c:numCache>
            </c:numRef>
          </c:val>
          <c:smooth val="0"/>
          <c:extLst>
            <c:ext xmlns:c16="http://schemas.microsoft.com/office/drawing/2014/chart" uri="{C3380CC4-5D6E-409C-BE32-E72D297353CC}">
              <c16:uniqueId val="{00000001-3585-4DF2-9D17-172F59E06565}"/>
            </c:ext>
          </c:extLst>
        </c:ser>
        <c:dLbls>
          <c:showLegendKey val="0"/>
          <c:showVal val="0"/>
          <c:showCatName val="0"/>
          <c:showSerName val="0"/>
          <c:showPercent val="0"/>
          <c:showBubbleSize val="0"/>
        </c:dLbls>
        <c:smooth val="0"/>
        <c:axId val="548614776"/>
        <c:axId val="548615168"/>
      </c:lineChart>
      <c:catAx>
        <c:axId val="548614776"/>
        <c:scaling>
          <c:orientation val="minMax"/>
        </c:scaling>
        <c:delete val="0"/>
        <c:axPos val="b"/>
        <c:numFmt formatCode="General" sourceLinked="0"/>
        <c:majorTickMark val="out"/>
        <c:minorTickMark val="none"/>
        <c:tickLblPos val="nextTo"/>
        <c:crossAx val="548615168"/>
        <c:crosses val="autoZero"/>
        <c:auto val="1"/>
        <c:lblAlgn val="ctr"/>
        <c:lblOffset val="100"/>
        <c:noMultiLvlLbl val="0"/>
      </c:catAx>
      <c:valAx>
        <c:axId val="548615168"/>
        <c:scaling>
          <c:orientation val="minMax"/>
        </c:scaling>
        <c:delete val="0"/>
        <c:axPos val="l"/>
        <c:numFmt formatCode="General" sourceLinked="1"/>
        <c:majorTickMark val="out"/>
        <c:minorTickMark val="none"/>
        <c:tickLblPos val="nextTo"/>
        <c:crossAx val="548614776"/>
        <c:crosses val="autoZero"/>
        <c:crossBetween val="between"/>
      </c:valAx>
    </c:plotArea>
    <c:legend>
      <c:legendPos val="r"/>
      <c:layout>
        <c:manualLayout>
          <c:xMode val="edge"/>
          <c:yMode val="edge"/>
          <c:x val="8.3457668268303628E-2"/>
          <c:y val="0.50567131534953491"/>
          <c:w val="0.86821081249141374"/>
          <c:h val="0.24807377456196353"/>
        </c:manualLayout>
      </c:layout>
      <c:overlay val="1"/>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5094818245904993E-2"/>
          <c:y val="5.7538426758498323E-2"/>
          <c:w val="0.86251057819198396"/>
          <c:h val="0.81263223958824293"/>
        </c:manualLayout>
      </c:layout>
      <c:lineChart>
        <c:grouping val="standard"/>
        <c:varyColors val="0"/>
        <c:ser>
          <c:idx val="0"/>
          <c:order val="0"/>
          <c:tx>
            <c:strRef>
              <c:f>Graph!$A$83</c:f>
              <c:strCache>
                <c:ptCount val="1"/>
                <c:pt idx="0">
                  <c:v>Theft From A Vehicle</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Graph!$B$83:$G$83</c:f>
              <c:numCache>
                <c:formatCode>General</c:formatCode>
                <c:ptCount val="6"/>
                <c:pt idx="0">
                  <c:v>56</c:v>
                </c:pt>
                <c:pt idx="1">
                  <c:v>54</c:v>
                </c:pt>
                <c:pt idx="2">
                  <c:v>32</c:v>
                </c:pt>
                <c:pt idx="3">
                  <c:v>30</c:v>
                </c:pt>
                <c:pt idx="4">
                  <c:v>22</c:v>
                </c:pt>
                <c:pt idx="5">
                  <c:v>33</c:v>
                </c:pt>
              </c:numCache>
            </c:numRef>
          </c:val>
          <c:smooth val="0"/>
          <c:extLst>
            <c:ext xmlns:c16="http://schemas.microsoft.com/office/drawing/2014/chart" uri="{C3380CC4-5D6E-409C-BE32-E72D297353CC}">
              <c16:uniqueId val="{00000000-CEA7-4E07-B8B1-FA3D715F5745}"/>
            </c:ext>
          </c:extLst>
        </c:ser>
        <c:ser>
          <c:idx val="1"/>
          <c:order val="1"/>
          <c:tx>
            <c:strRef>
              <c:f>Graph!$A$86</c:f>
              <c:strCache>
                <c:ptCount val="1"/>
                <c:pt idx="0">
                  <c:v>Total Theft Of MV</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Graph!$B$86:$G$86</c:f>
              <c:numCache>
                <c:formatCode>General</c:formatCode>
                <c:ptCount val="6"/>
                <c:pt idx="0">
                  <c:v>20</c:v>
                </c:pt>
                <c:pt idx="1">
                  <c:v>21</c:v>
                </c:pt>
                <c:pt idx="2">
                  <c:v>26</c:v>
                </c:pt>
                <c:pt idx="3">
                  <c:v>31</c:v>
                </c:pt>
                <c:pt idx="4">
                  <c:v>17</c:v>
                </c:pt>
                <c:pt idx="5">
                  <c:v>25</c:v>
                </c:pt>
              </c:numCache>
            </c:numRef>
          </c:val>
          <c:smooth val="0"/>
          <c:extLst>
            <c:ext xmlns:c16="http://schemas.microsoft.com/office/drawing/2014/chart" uri="{C3380CC4-5D6E-409C-BE32-E72D297353CC}">
              <c16:uniqueId val="{00000001-CEA7-4E07-B8B1-FA3D715F5745}"/>
            </c:ext>
          </c:extLst>
        </c:ser>
        <c:dLbls>
          <c:showLegendKey val="0"/>
          <c:showVal val="0"/>
          <c:showCatName val="0"/>
          <c:showSerName val="0"/>
          <c:showPercent val="0"/>
          <c:showBubbleSize val="0"/>
        </c:dLbls>
        <c:smooth val="0"/>
        <c:axId val="548611248"/>
        <c:axId val="548611640"/>
      </c:lineChart>
      <c:catAx>
        <c:axId val="548611248"/>
        <c:scaling>
          <c:orientation val="minMax"/>
        </c:scaling>
        <c:delete val="0"/>
        <c:axPos val="b"/>
        <c:numFmt formatCode="General" sourceLinked="0"/>
        <c:majorTickMark val="out"/>
        <c:minorTickMark val="none"/>
        <c:tickLblPos val="nextTo"/>
        <c:crossAx val="548611640"/>
        <c:crosses val="autoZero"/>
        <c:auto val="1"/>
        <c:lblAlgn val="ctr"/>
        <c:lblOffset val="100"/>
        <c:noMultiLvlLbl val="0"/>
      </c:catAx>
      <c:valAx>
        <c:axId val="548611640"/>
        <c:scaling>
          <c:orientation val="minMax"/>
        </c:scaling>
        <c:delete val="0"/>
        <c:axPos val="l"/>
        <c:numFmt formatCode="General" sourceLinked="1"/>
        <c:majorTickMark val="out"/>
        <c:minorTickMark val="none"/>
        <c:tickLblPos val="nextTo"/>
        <c:crossAx val="548611248"/>
        <c:crosses val="autoZero"/>
        <c:crossBetween val="between"/>
      </c:valAx>
    </c:plotArea>
    <c:legend>
      <c:legendPos val="r"/>
      <c:layout>
        <c:manualLayout>
          <c:xMode val="edge"/>
          <c:yMode val="edge"/>
          <c:x val="0.17650958332047484"/>
          <c:y val="1.6981165677920781E-2"/>
          <c:w val="0.82349041667952516"/>
          <c:h val="0.14080970962928957"/>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27121609798775E-2"/>
          <c:y val="9.5348737145561704E-2"/>
          <c:w val="0.87994853082389091"/>
          <c:h val="0.72444893106310426"/>
        </c:manualLayout>
      </c:layout>
      <c:lineChart>
        <c:grouping val="standard"/>
        <c:varyColors val="0"/>
        <c:ser>
          <c:idx val="0"/>
          <c:order val="0"/>
          <c:tx>
            <c:strRef>
              <c:f>Graph!$A$21</c:f>
              <c:strCache>
                <c:ptCount val="1"/>
                <c:pt idx="0">
                  <c:v>Violence With Injury</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Graph!$B$21:$G$21</c:f>
              <c:numCache>
                <c:formatCode>General</c:formatCode>
                <c:ptCount val="6"/>
                <c:pt idx="0">
                  <c:v>41</c:v>
                </c:pt>
                <c:pt idx="1">
                  <c:v>40</c:v>
                </c:pt>
                <c:pt idx="2">
                  <c:v>44</c:v>
                </c:pt>
                <c:pt idx="3">
                  <c:v>39</c:v>
                </c:pt>
                <c:pt idx="4">
                  <c:v>41</c:v>
                </c:pt>
                <c:pt idx="5">
                  <c:v>52</c:v>
                </c:pt>
              </c:numCache>
            </c:numRef>
          </c:val>
          <c:smooth val="0"/>
          <c:extLst>
            <c:ext xmlns:c16="http://schemas.microsoft.com/office/drawing/2014/chart" uri="{C3380CC4-5D6E-409C-BE32-E72D297353CC}">
              <c16:uniqueId val="{00000000-0C3E-4F06-B76D-2569B7D30B56}"/>
            </c:ext>
          </c:extLst>
        </c:ser>
        <c:ser>
          <c:idx val="1"/>
          <c:order val="1"/>
          <c:tx>
            <c:strRef>
              <c:f>Graph!$A$22</c:f>
              <c:strCache>
                <c:ptCount val="1"/>
                <c:pt idx="0">
                  <c:v>Violence Without Injury</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Graph!$B$22:$G$22</c:f>
              <c:numCache>
                <c:formatCode>General</c:formatCode>
                <c:ptCount val="6"/>
                <c:pt idx="0">
                  <c:v>65</c:v>
                </c:pt>
                <c:pt idx="1">
                  <c:v>68</c:v>
                </c:pt>
                <c:pt idx="2">
                  <c:v>80</c:v>
                </c:pt>
                <c:pt idx="3">
                  <c:v>69</c:v>
                </c:pt>
                <c:pt idx="4">
                  <c:v>79</c:v>
                </c:pt>
                <c:pt idx="5">
                  <c:v>100</c:v>
                </c:pt>
              </c:numCache>
            </c:numRef>
          </c:val>
          <c:smooth val="0"/>
          <c:extLst>
            <c:ext xmlns:c16="http://schemas.microsoft.com/office/drawing/2014/chart" uri="{C3380CC4-5D6E-409C-BE32-E72D297353CC}">
              <c16:uniqueId val="{00000001-0C3E-4F06-B76D-2569B7D30B56}"/>
            </c:ext>
          </c:extLst>
        </c:ser>
        <c:dLbls>
          <c:showLegendKey val="0"/>
          <c:showVal val="0"/>
          <c:showCatName val="0"/>
          <c:showSerName val="0"/>
          <c:showPercent val="0"/>
          <c:showBubbleSize val="0"/>
        </c:dLbls>
        <c:smooth val="0"/>
        <c:axId val="545090024"/>
        <c:axId val="545090416"/>
      </c:lineChart>
      <c:catAx>
        <c:axId val="545090024"/>
        <c:scaling>
          <c:orientation val="minMax"/>
        </c:scaling>
        <c:delete val="0"/>
        <c:axPos val="b"/>
        <c:numFmt formatCode="General" sourceLinked="0"/>
        <c:majorTickMark val="out"/>
        <c:minorTickMark val="none"/>
        <c:tickLblPos val="nextTo"/>
        <c:crossAx val="545090416"/>
        <c:crosses val="autoZero"/>
        <c:auto val="1"/>
        <c:lblAlgn val="ctr"/>
        <c:lblOffset val="100"/>
        <c:noMultiLvlLbl val="0"/>
      </c:catAx>
      <c:valAx>
        <c:axId val="545090416"/>
        <c:scaling>
          <c:orientation val="minMax"/>
        </c:scaling>
        <c:delete val="0"/>
        <c:axPos val="l"/>
        <c:numFmt formatCode="General" sourceLinked="1"/>
        <c:majorTickMark val="out"/>
        <c:minorTickMark val="none"/>
        <c:tickLblPos val="nextTo"/>
        <c:crossAx val="545090024"/>
        <c:crosses val="autoZero"/>
        <c:crossBetween val="between"/>
      </c:valAx>
    </c:plotArea>
    <c:legend>
      <c:legendPos val="r"/>
      <c:layout>
        <c:manualLayout>
          <c:xMode val="edge"/>
          <c:yMode val="edge"/>
          <c:x val="9.6226105883106067E-2"/>
          <c:y val="0.5503371693922875"/>
          <c:w val="0.43548121119006467"/>
          <c:h val="0.16713192902169277"/>
        </c:manualLayout>
      </c:layout>
      <c:overlay val="1"/>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9518810148729E-2"/>
          <c:y val="3.75116652085156E-2"/>
          <c:w val="0.89745603674540686"/>
          <c:h val="0.8326195683872849"/>
        </c:manualLayout>
      </c:layout>
      <c:lineChart>
        <c:grouping val="standard"/>
        <c:varyColors val="0"/>
        <c:ser>
          <c:idx val="0"/>
          <c:order val="0"/>
          <c:tx>
            <c:strRef>
              <c:f>Graph!$A$87</c:f>
              <c:strCache>
                <c:ptCount val="1"/>
                <c:pt idx="0">
                  <c:v>Personal ASB</c:v>
                </c:pt>
              </c:strCache>
            </c:strRef>
          </c:tx>
          <c:spPr>
            <a:ln>
              <a:solidFill>
                <a:schemeClr val="accent3"/>
              </a:solidFill>
            </a:ln>
          </c:spPr>
          <c:marker>
            <c:symbol val="none"/>
          </c:marker>
          <c:cat>
            <c:strRef>
              <c:f>Graph!$B$77:$G$77</c:f>
              <c:strCache>
                <c:ptCount val="6"/>
                <c:pt idx="0">
                  <c:v>October</c:v>
                </c:pt>
                <c:pt idx="1">
                  <c:v>November</c:v>
                </c:pt>
                <c:pt idx="2">
                  <c:v>December</c:v>
                </c:pt>
                <c:pt idx="3">
                  <c:v>January</c:v>
                </c:pt>
                <c:pt idx="4">
                  <c:v>February</c:v>
                </c:pt>
                <c:pt idx="5">
                  <c:v>March</c:v>
                </c:pt>
              </c:strCache>
            </c:strRef>
          </c:cat>
          <c:val>
            <c:numRef>
              <c:f>Graph!$B$87:$G$87</c:f>
              <c:numCache>
                <c:formatCode>General</c:formatCode>
                <c:ptCount val="6"/>
                <c:pt idx="0">
                  <c:v>44</c:v>
                </c:pt>
                <c:pt idx="1">
                  <c:v>43</c:v>
                </c:pt>
                <c:pt idx="2">
                  <c:v>25</c:v>
                </c:pt>
                <c:pt idx="3">
                  <c:v>36</c:v>
                </c:pt>
                <c:pt idx="4">
                  <c:v>30</c:v>
                </c:pt>
                <c:pt idx="5">
                  <c:v>37</c:v>
                </c:pt>
              </c:numCache>
            </c:numRef>
          </c:val>
          <c:smooth val="0"/>
          <c:extLst>
            <c:ext xmlns:c16="http://schemas.microsoft.com/office/drawing/2014/chart" uri="{C3380CC4-5D6E-409C-BE32-E72D297353CC}">
              <c16:uniqueId val="{00000000-6258-402D-833F-F511357EDC28}"/>
            </c:ext>
          </c:extLst>
        </c:ser>
        <c:dLbls>
          <c:showLegendKey val="0"/>
          <c:showVal val="0"/>
          <c:showCatName val="0"/>
          <c:showSerName val="0"/>
          <c:showPercent val="0"/>
          <c:showBubbleSize val="0"/>
        </c:dLbls>
        <c:smooth val="0"/>
        <c:axId val="546202736"/>
        <c:axId val="546203128"/>
      </c:lineChart>
      <c:catAx>
        <c:axId val="546202736"/>
        <c:scaling>
          <c:orientation val="minMax"/>
        </c:scaling>
        <c:delete val="0"/>
        <c:axPos val="b"/>
        <c:numFmt formatCode="General" sourceLinked="0"/>
        <c:majorTickMark val="out"/>
        <c:minorTickMark val="none"/>
        <c:tickLblPos val="nextTo"/>
        <c:crossAx val="546203128"/>
        <c:crosses val="autoZero"/>
        <c:auto val="1"/>
        <c:lblAlgn val="ctr"/>
        <c:lblOffset val="100"/>
        <c:noMultiLvlLbl val="0"/>
      </c:catAx>
      <c:valAx>
        <c:axId val="546203128"/>
        <c:scaling>
          <c:orientation val="minMax"/>
        </c:scaling>
        <c:delete val="0"/>
        <c:axPos val="l"/>
        <c:numFmt formatCode="General" sourceLinked="1"/>
        <c:majorTickMark val="out"/>
        <c:minorTickMark val="none"/>
        <c:tickLblPos val="nextTo"/>
        <c:crossAx val="546202736"/>
        <c:crosses val="autoZero"/>
        <c:crossBetween val="between"/>
      </c:valAx>
    </c:plotArea>
    <c:legend>
      <c:legendPos val="r"/>
      <c:layout>
        <c:manualLayout>
          <c:xMode val="edge"/>
          <c:yMode val="edge"/>
          <c:x val="0.29958267716535431"/>
          <c:y val="0.50906714785651797"/>
          <c:w val="0.41708398950131231"/>
          <c:h val="9.2976450860309132E-2"/>
        </c:manualLayout>
      </c:layout>
      <c:overlay val="1"/>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Graph!$A$94</c:f>
              <c:strCache>
                <c:ptCount val="1"/>
                <c:pt idx="0">
                  <c:v>Violence With Injury</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Graph!$B$94:$G$94</c:f>
              <c:numCache>
                <c:formatCode>General</c:formatCode>
                <c:ptCount val="6"/>
                <c:pt idx="0">
                  <c:v>82</c:v>
                </c:pt>
                <c:pt idx="1">
                  <c:v>71</c:v>
                </c:pt>
                <c:pt idx="2">
                  <c:v>100</c:v>
                </c:pt>
                <c:pt idx="3">
                  <c:v>81</c:v>
                </c:pt>
                <c:pt idx="4">
                  <c:v>61</c:v>
                </c:pt>
                <c:pt idx="5">
                  <c:v>108</c:v>
                </c:pt>
              </c:numCache>
            </c:numRef>
          </c:val>
          <c:smooth val="0"/>
          <c:extLst>
            <c:ext xmlns:c16="http://schemas.microsoft.com/office/drawing/2014/chart" uri="{C3380CC4-5D6E-409C-BE32-E72D297353CC}">
              <c16:uniqueId val="{00000000-4A64-43F9-B9BC-97906004951B}"/>
            </c:ext>
          </c:extLst>
        </c:ser>
        <c:ser>
          <c:idx val="1"/>
          <c:order val="1"/>
          <c:tx>
            <c:strRef>
              <c:f>Graph!$A$95</c:f>
              <c:strCache>
                <c:ptCount val="1"/>
                <c:pt idx="0">
                  <c:v>Violence Without Injury</c:v>
                </c:pt>
              </c:strCache>
            </c:strRef>
          </c:tx>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Graph!$B$95:$G$95</c:f>
              <c:numCache>
                <c:formatCode>General</c:formatCode>
                <c:ptCount val="6"/>
                <c:pt idx="0">
                  <c:v>197</c:v>
                </c:pt>
                <c:pt idx="1">
                  <c:v>162</c:v>
                </c:pt>
                <c:pt idx="2">
                  <c:v>160</c:v>
                </c:pt>
                <c:pt idx="3">
                  <c:v>185</c:v>
                </c:pt>
                <c:pt idx="4">
                  <c:v>173</c:v>
                </c:pt>
                <c:pt idx="5">
                  <c:v>180</c:v>
                </c:pt>
              </c:numCache>
            </c:numRef>
          </c:val>
          <c:smooth val="0"/>
          <c:extLst>
            <c:ext xmlns:c16="http://schemas.microsoft.com/office/drawing/2014/chart" uri="{C3380CC4-5D6E-409C-BE32-E72D297353CC}">
              <c16:uniqueId val="{00000001-4A64-43F9-B9BC-97906004951B}"/>
            </c:ext>
          </c:extLst>
        </c:ser>
        <c:dLbls>
          <c:showLegendKey val="0"/>
          <c:showVal val="0"/>
          <c:showCatName val="0"/>
          <c:showSerName val="0"/>
          <c:showPercent val="0"/>
          <c:showBubbleSize val="0"/>
        </c:dLbls>
        <c:smooth val="0"/>
        <c:axId val="548619480"/>
        <c:axId val="548619872"/>
      </c:lineChart>
      <c:catAx>
        <c:axId val="548619480"/>
        <c:scaling>
          <c:orientation val="minMax"/>
        </c:scaling>
        <c:delete val="0"/>
        <c:axPos val="b"/>
        <c:numFmt formatCode="General" sourceLinked="0"/>
        <c:majorTickMark val="out"/>
        <c:minorTickMark val="none"/>
        <c:tickLblPos val="nextTo"/>
        <c:crossAx val="548619872"/>
        <c:crosses val="autoZero"/>
        <c:auto val="1"/>
        <c:lblAlgn val="ctr"/>
        <c:lblOffset val="100"/>
        <c:noMultiLvlLbl val="0"/>
      </c:catAx>
      <c:valAx>
        <c:axId val="548619872"/>
        <c:scaling>
          <c:orientation val="minMax"/>
        </c:scaling>
        <c:delete val="0"/>
        <c:axPos val="l"/>
        <c:numFmt formatCode="General" sourceLinked="1"/>
        <c:majorTickMark val="out"/>
        <c:minorTickMark val="none"/>
        <c:tickLblPos val="nextTo"/>
        <c:crossAx val="548619480"/>
        <c:crosses val="autoZero"/>
        <c:crossBetween val="between"/>
      </c:valAx>
    </c:plotArea>
    <c:legend>
      <c:legendPos val="r"/>
      <c:layout>
        <c:manualLayout>
          <c:xMode val="edge"/>
          <c:yMode val="edge"/>
          <c:x val="4.5791486774772405E-2"/>
          <c:y val="0.69689881302150658"/>
          <c:w val="0.94703473989539499"/>
          <c:h val="0.16357247010790316"/>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8304862961553104E-2"/>
          <c:y val="9.0793697869055015E-2"/>
          <c:w val="0.88845855538637231"/>
          <c:h val="0.79614550113857296"/>
        </c:manualLayout>
      </c:layout>
      <c:lineChart>
        <c:grouping val="standard"/>
        <c:varyColors val="0"/>
        <c:ser>
          <c:idx val="0"/>
          <c:order val="0"/>
          <c:tx>
            <c:strRef>
              <c:f>Graph!$A$99</c:f>
              <c:strCache>
                <c:ptCount val="1"/>
                <c:pt idx="0">
                  <c:v>Theft From A Vehicle</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Graph!$B$99:$G$99</c:f>
              <c:numCache>
                <c:formatCode>General</c:formatCode>
                <c:ptCount val="6"/>
                <c:pt idx="0">
                  <c:v>40</c:v>
                </c:pt>
                <c:pt idx="1">
                  <c:v>19</c:v>
                </c:pt>
                <c:pt idx="2">
                  <c:v>25</c:v>
                </c:pt>
                <c:pt idx="3">
                  <c:v>43</c:v>
                </c:pt>
                <c:pt idx="4">
                  <c:v>26</c:v>
                </c:pt>
                <c:pt idx="5">
                  <c:v>27</c:v>
                </c:pt>
              </c:numCache>
            </c:numRef>
          </c:val>
          <c:smooth val="0"/>
          <c:extLst>
            <c:ext xmlns:c16="http://schemas.microsoft.com/office/drawing/2014/chart" uri="{C3380CC4-5D6E-409C-BE32-E72D297353CC}">
              <c16:uniqueId val="{00000000-202C-4F54-AD58-4B516E10C525}"/>
            </c:ext>
          </c:extLst>
        </c:ser>
        <c:ser>
          <c:idx val="1"/>
          <c:order val="1"/>
          <c:tx>
            <c:strRef>
              <c:f>Graph!$A$102</c:f>
              <c:strCache>
                <c:ptCount val="1"/>
                <c:pt idx="0">
                  <c:v>Total Theft of MV</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Graph!$B$102:$G$102</c:f>
              <c:numCache>
                <c:formatCode>General</c:formatCode>
                <c:ptCount val="6"/>
                <c:pt idx="0">
                  <c:v>16</c:v>
                </c:pt>
                <c:pt idx="1">
                  <c:v>13</c:v>
                </c:pt>
                <c:pt idx="2">
                  <c:v>20</c:v>
                </c:pt>
                <c:pt idx="3">
                  <c:v>19</c:v>
                </c:pt>
                <c:pt idx="4">
                  <c:v>15</c:v>
                </c:pt>
                <c:pt idx="5">
                  <c:v>16</c:v>
                </c:pt>
              </c:numCache>
            </c:numRef>
          </c:val>
          <c:smooth val="0"/>
          <c:extLst>
            <c:ext xmlns:c16="http://schemas.microsoft.com/office/drawing/2014/chart" uri="{C3380CC4-5D6E-409C-BE32-E72D297353CC}">
              <c16:uniqueId val="{00000001-202C-4F54-AD58-4B516E10C525}"/>
            </c:ext>
          </c:extLst>
        </c:ser>
        <c:dLbls>
          <c:showLegendKey val="0"/>
          <c:showVal val="0"/>
          <c:showCatName val="0"/>
          <c:showSerName val="0"/>
          <c:showPercent val="0"/>
          <c:showBubbleSize val="0"/>
        </c:dLbls>
        <c:smooth val="0"/>
        <c:axId val="548611248"/>
        <c:axId val="548611640"/>
      </c:lineChart>
      <c:catAx>
        <c:axId val="548611248"/>
        <c:scaling>
          <c:orientation val="minMax"/>
        </c:scaling>
        <c:delete val="0"/>
        <c:axPos val="b"/>
        <c:numFmt formatCode="General" sourceLinked="0"/>
        <c:majorTickMark val="out"/>
        <c:minorTickMark val="none"/>
        <c:tickLblPos val="nextTo"/>
        <c:crossAx val="548611640"/>
        <c:crosses val="autoZero"/>
        <c:auto val="1"/>
        <c:lblAlgn val="ctr"/>
        <c:lblOffset val="100"/>
        <c:noMultiLvlLbl val="0"/>
      </c:catAx>
      <c:valAx>
        <c:axId val="548611640"/>
        <c:scaling>
          <c:orientation val="minMax"/>
        </c:scaling>
        <c:delete val="0"/>
        <c:axPos val="l"/>
        <c:numFmt formatCode="General" sourceLinked="1"/>
        <c:majorTickMark val="out"/>
        <c:minorTickMark val="none"/>
        <c:tickLblPos val="nextTo"/>
        <c:crossAx val="548611248"/>
        <c:crosses val="autoZero"/>
        <c:crossBetween val="between"/>
      </c:valAx>
    </c:plotArea>
    <c:legend>
      <c:legendPos val="r"/>
      <c:layout>
        <c:manualLayout>
          <c:xMode val="edge"/>
          <c:yMode val="edge"/>
          <c:x val="0.20366472369786534"/>
          <c:y val="2.9577513759769507E-3"/>
          <c:w val="0.79633527630213463"/>
          <c:h val="0.11412879538938481"/>
        </c:manualLayout>
      </c:layout>
      <c:overlay val="1"/>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1564295681425"/>
          <c:y val="7.3403471624870417E-2"/>
          <c:w val="0.82735396861323718"/>
          <c:h val="0.72908004146540506"/>
        </c:manualLayout>
      </c:layout>
      <c:lineChart>
        <c:grouping val="standard"/>
        <c:varyColors val="0"/>
        <c:ser>
          <c:idx val="0"/>
          <c:order val="0"/>
          <c:tx>
            <c:strRef>
              <c:f>Graph!$A$103</c:f>
              <c:strCache>
                <c:ptCount val="1"/>
                <c:pt idx="0">
                  <c:v>Personal ASB</c:v>
                </c:pt>
              </c:strCache>
            </c:strRef>
          </c:tx>
          <c:spPr>
            <a:ln>
              <a:solidFill>
                <a:schemeClr val="accent3"/>
              </a:solidFill>
            </a:ln>
          </c:spPr>
          <c:marker>
            <c:symbol val="none"/>
          </c:marker>
          <c:cat>
            <c:strRef>
              <c:f>Graph!$B$93:$G$93</c:f>
              <c:strCache>
                <c:ptCount val="6"/>
                <c:pt idx="0">
                  <c:v>October</c:v>
                </c:pt>
                <c:pt idx="1">
                  <c:v>November</c:v>
                </c:pt>
                <c:pt idx="2">
                  <c:v>December</c:v>
                </c:pt>
                <c:pt idx="3">
                  <c:v>January</c:v>
                </c:pt>
                <c:pt idx="4">
                  <c:v>February</c:v>
                </c:pt>
                <c:pt idx="5">
                  <c:v>March</c:v>
                </c:pt>
              </c:strCache>
            </c:strRef>
          </c:cat>
          <c:val>
            <c:numRef>
              <c:f>Graph!$B$103:$G$103</c:f>
              <c:numCache>
                <c:formatCode>General</c:formatCode>
                <c:ptCount val="6"/>
                <c:pt idx="0">
                  <c:v>43</c:v>
                </c:pt>
                <c:pt idx="1">
                  <c:v>48</c:v>
                </c:pt>
                <c:pt idx="2">
                  <c:v>32</c:v>
                </c:pt>
                <c:pt idx="3">
                  <c:v>39</c:v>
                </c:pt>
                <c:pt idx="4">
                  <c:v>31</c:v>
                </c:pt>
                <c:pt idx="5">
                  <c:v>50</c:v>
                </c:pt>
              </c:numCache>
            </c:numRef>
          </c:val>
          <c:smooth val="0"/>
          <c:extLst>
            <c:ext xmlns:c16="http://schemas.microsoft.com/office/drawing/2014/chart" uri="{C3380CC4-5D6E-409C-BE32-E72D297353CC}">
              <c16:uniqueId val="{00000000-6056-4E70-9644-8E77763D32CF}"/>
            </c:ext>
          </c:extLst>
        </c:ser>
        <c:dLbls>
          <c:showLegendKey val="0"/>
          <c:showVal val="0"/>
          <c:showCatName val="0"/>
          <c:showSerName val="0"/>
          <c:showPercent val="0"/>
          <c:showBubbleSize val="0"/>
        </c:dLbls>
        <c:smooth val="0"/>
        <c:axId val="545999992"/>
        <c:axId val="546000384"/>
      </c:lineChart>
      <c:catAx>
        <c:axId val="545999992"/>
        <c:scaling>
          <c:orientation val="minMax"/>
        </c:scaling>
        <c:delete val="0"/>
        <c:axPos val="b"/>
        <c:numFmt formatCode="General" sourceLinked="0"/>
        <c:majorTickMark val="out"/>
        <c:minorTickMark val="none"/>
        <c:tickLblPos val="nextTo"/>
        <c:crossAx val="546000384"/>
        <c:crosses val="autoZero"/>
        <c:auto val="1"/>
        <c:lblAlgn val="ctr"/>
        <c:lblOffset val="100"/>
        <c:noMultiLvlLbl val="0"/>
      </c:catAx>
      <c:valAx>
        <c:axId val="546000384"/>
        <c:scaling>
          <c:orientation val="minMax"/>
        </c:scaling>
        <c:delete val="0"/>
        <c:axPos val="l"/>
        <c:numFmt formatCode="General" sourceLinked="1"/>
        <c:majorTickMark val="out"/>
        <c:minorTickMark val="none"/>
        <c:tickLblPos val="nextTo"/>
        <c:crossAx val="545999992"/>
        <c:crosses val="autoZero"/>
        <c:crossBetween val="between"/>
      </c:valAx>
    </c:plotArea>
    <c:legend>
      <c:legendPos val="r"/>
      <c:layout>
        <c:manualLayout>
          <c:xMode val="edge"/>
          <c:yMode val="edge"/>
          <c:x val="0.38623464102385441"/>
          <c:y val="0.57372725468140007"/>
          <c:w val="0.25624478356134683"/>
          <c:h val="0.10130483689538808"/>
        </c:manualLayout>
      </c:layout>
      <c:overlay val="1"/>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Graph!$A$62</c:f>
              <c:strCache>
                <c:ptCount val="1"/>
                <c:pt idx="0">
                  <c:v>Violence With Injury</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Graph!$B$62:$G$62</c:f>
              <c:numCache>
                <c:formatCode>General</c:formatCode>
                <c:ptCount val="6"/>
                <c:pt idx="0">
                  <c:v>165</c:v>
                </c:pt>
                <c:pt idx="1">
                  <c:v>140</c:v>
                </c:pt>
                <c:pt idx="2">
                  <c:v>165</c:v>
                </c:pt>
                <c:pt idx="3">
                  <c:v>163</c:v>
                </c:pt>
                <c:pt idx="4">
                  <c:v>116</c:v>
                </c:pt>
                <c:pt idx="5">
                  <c:v>163</c:v>
                </c:pt>
              </c:numCache>
            </c:numRef>
          </c:val>
          <c:smooth val="0"/>
          <c:extLst>
            <c:ext xmlns:c16="http://schemas.microsoft.com/office/drawing/2014/chart" uri="{C3380CC4-5D6E-409C-BE32-E72D297353CC}">
              <c16:uniqueId val="{00000000-F448-4C1D-868D-EFE0E7D41FD9}"/>
            </c:ext>
          </c:extLst>
        </c:ser>
        <c:ser>
          <c:idx val="1"/>
          <c:order val="1"/>
          <c:tx>
            <c:strRef>
              <c:f>Graph!$A$63</c:f>
              <c:strCache>
                <c:ptCount val="1"/>
                <c:pt idx="0">
                  <c:v>Violence Without Injury</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Graph!$B$63:$G$63</c:f>
              <c:numCache>
                <c:formatCode>General</c:formatCode>
                <c:ptCount val="6"/>
                <c:pt idx="0">
                  <c:v>353</c:v>
                </c:pt>
                <c:pt idx="1">
                  <c:v>314</c:v>
                </c:pt>
                <c:pt idx="2">
                  <c:v>298</c:v>
                </c:pt>
                <c:pt idx="3">
                  <c:v>312</c:v>
                </c:pt>
                <c:pt idx="4">
                  <c:v>343</c:v>
                </c:pt>
                <c:pt idx="5">
                  <c:v>338</c:v>
                </c:pt>
              </c:numCache>
            </c:numRef>
          </c:val>
          <c:smooth val="0"/>
          <c:extLst>
            <c:ext xmlns:c16="http://schemas.microsoft.com/office/drawing/2014/chart" uri="{C3380CC4-5D6E-409C-BE32-E72D297353CC}">
              <c16:uniqueId val="{00000001-F448-4C1D-868D-EFE0E7D41FD9}"/>
            </c:ext>
          </c:extLst>
        </c:ser>
        <c:dLbls>
          <c:showLegendKey val="0"/>
          <c:showVal val="0"/>
          <c:showCatName val="0"/>
          <c:showSerName val="0"/>
          <c:showPercent val="0"/>
          <c:showBubbleSize val="0"/>
        </c:dLbls>
        <c:smooth val="0"/>
        <c:axId val="548610072"/>
        <c:axId val="548610464"/>
      </c:lineChart>
      <c:catAx>
        <c:axId val="548610072"/>
        <c:scaling>
          <c:orientation val="minMax"/>
        </c:scaling>
        <c:delete val="0"/>
        <c:axPos val="b"/>
        <c:numFmt formatCode="General" sourceLinked="0"/>
        <c:majorTickMark val="out"/>
        <c:minorTickMark val="none"/>
        <c:tickLblPos val="nextTo"/>
        <c:crossAx val="548610464"/>
        <c:crosses val="autoZero"/>
        <c:auto val="1"/>
        <c:lblAlgn val="ctr"/>
        <c:lblOffset val="100"/>
        <c:noMultiLvlLbl val="0"/>
      </c:catAx>
      <c:valAx>
        <c:axId val="548610464"/>
        <c:scaling>
          <c:orientation val="minMax"/>
        </c:scaling>
        <c:delete val="0"/>
        <c:axPos val="l"/>
        <c:numFmt formatCode="General" sourceLinked="1"/>
        <c:majorTickMark val="out"/>
        <c:minorTickMark val="none"/>
        <c:tickLblPos val="nextTo"/>
        <c:crossAx val="548610072"/>
        <c:crosses val="autoZero"/>
        <c:crossBetween val="between"/>
      </c:valAx>
    </c:plotArea>
    <c:legend>
      <c:legendPos val="r"/>
      <c:layout>
        <c:manualLayout>
          <c:xMode val="edge"/>
          <c:yMode val="edge"/>
          <c:x val="0.10582226692777537"/>
          <c:y val="0.52013881662738026"/>
          <c:w val="0.84723895765907342"/>
          <c:h val="0.21172057663414204"/>
        </c:manualLayout>
      </c:layout>
      <c:overlay val="1"/>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strRef>
              <c:f>Graph!$A$67</c:f>
              <c:strCache>
                <c:ptCount val="1"/>
                <c:pt idx="0">
                  <c:v>Theft From A Vehicle</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Graph!$B$67:$G$67</c:f>
              <c:numCache>
                <c:formatCode>General</c:formatCode>
                <c:ptCount val="6"/>
                <c:pt idx="0">
                  <c:v>96</c:v>
                </c:pt>
                <c:pt idx="1">
                  <c:v>73</c:v>
                </c:pt>
                <c:pt idx="2">
                  <c:v>57</c:v>
                </c:pt>
                <c:pt idx="3">
                  <c:v>73</c:v>
                </c:pt>
                <c:pt idx="4">
                  <c:v>48</c:v>
                </c:pt>
                <c:pt idx="5">
                  <c:v>60</c:v>
                </c:pt>
              </c:numCache>
            </c:numRef>
          </c:val>
          <c:smooth val="0"/>
          <c:extLst>
            <c:ext xmlns:c16="http://schemas.microsoft.com/office/drawing/2014/chart" uri="{C3380CC4-5D6E-409C-BE32-E72D297353CC}">
              <c16:uniqueId val="{00000000-8047-4A11-8124-E63C4513B4C8}"/>
            </c:ext>
          </c:extLst>
        </c:ser>
        <c:ser>
          <c:idx val="1"/>
          <c:order val="1"/>
          <c:tx>
            <c:strRef>
              <c:f>Graph!$A$70</c:f>
              <c:strCache>
                <c:ptCount val="1"/>
                <c:pt idx="0">
                  <c:v>Total Theft of MV</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Graph!$B$70:$G$70</c:f>
              <c:numCache>
                <c:formatCode>General</c:formatCode>
                <c:ptCount val="6"/>
                <c:pt idx="0">
                  <c:v>36</c:v>
                </c:pt>
                <c:pt idx="1">
                  <c:v>34</c:v>
                </c:pt>
                <c:pt idx="2">
                  <c:v>46</c:v>
                </c:pt>
                <c:pt idx="3">
                  <c:v>50</c:v>
                </c:pt>
                <c:pt idx="4">
                  <c:v>32</c:v>
                </c:pt>
                <c:pt idx="5">
                  <c:v>41</c:v>
                </c:pt>
              </c:numCache>
            </c:numRef>
          </c:val>
          <c:smooth val="0"/>
          <c:extLst>
            <c:ext xmlns:c16="http://schemas.microsoft.com/office/drawing/2014/chart" uri="{C3380CC4-5D6E-409C-BE32-E72D297353CC}">
              <c16:uniqueId val="{00000001-8047-4A11-8124-E63C4513B4C8}"/>
            </c:ext>
          </c:extLst>
        </c:ser>
        <c:dLbls>
          <c:showLegendKey val="0"/>
          <c:showVal val="0"/>
          <c:showCatName val="0"/>
          <c:showSerName val="0"/>
          <c:showPercent val="0"/>
          <c:showBubbleSize val="0"/>
        </c:dLbls>
        <c:smooth val="0"/>
        <c:axId val="548611248"/>
        <c:axId val="548611640"/>
      </c:lineChart>
      <c:catAx>
        <c:axId val="548611248"/>
        <c:scaling>
          <c:orientation val="minMax"/>
        </c:scaling>
        <c:delete val="0"/>
        <c:axPos val="b"/>
        <c:numFmt formatCode="General" sourceLinked="0"/>
        <c:majorTickMark val="out"/>
        <c:minorTickMark val="none"/>
        <c:tickLblPos val="nextTo"/>
        <c:crossAx val="548611640"/>
        <c:crosses val="autoZero"/>
        <c:auto val="1"/>
        <c:lblAlgn val="ctr"/>
        <c:lblOffset val="100"/>
        <c:noMultiLvlLbl val="0"/>
      </c:catAx>
      <c:valAx>
        <c:axId val="548611640"/>
        <c:scaling>
          <c:orientation val="minMax"/>
        </c:scaling>
        <c:delete val="0"/>
        <c:axPos val="l"/>
        <c:numFmt formatCode="General" sourceLinked="1"/>
        <c:majorTickMark val="out"/>
        <c:minorTickMark val="none"/>
        <c:tickLblPos val="nextTo"/>
        <c:crossAx val="548611248"/>
        <c:crosses val="autoZero"/>
        <c:crossBetween val="between"/>
      </c:valAx>
    </c:plotArea>
    <c:legend>
      <c:legendPos val="r"/>
      <c:layout>
        <c:manualLayout>
          <c:xMode val="edge"/>
          <c:yMode val="edge"/>
          <c:x val="0.25455833018550911"/>
          <c:y val="2.4469505608227155E-4"/>
          <c:w val="0.740754820181042"/>
          <c:h val="0.13521175326477083"/>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lineChart>
        <c:grouping val="standard"/>
        <c:varyColors val="0"/>
        <c:ser>
          <c:idx val="0"/>
          <c:order val="0"/>
          <c:tx>
            <c:strRef>
              <c:f>Graph!$A$71</c:f>
              <c:strCache>
                <c:ptCount val="1"/>
                <c:pt idx="0">
                  <c:v>Personal ASB</c:v>
                </c:pt>
              </c:strCache>
            </c:strRef>
          </c:tx>
          <c:marker>
            <c:symbol val="none"/>
          </c:marker>
          <c:cat>
            <c:strRef>
              <c:f>Graph!$B$61:$G$61</c:f>
              <c:strCache>
                <c:ptCount val="6"/>
                <c:pt idx="0">
                  <c:v>October</c:v>
                </c:pt>
                <c:pt idx="1">
                  <c:v>November</c:v>
                </c:pt>
                <c:pt idx="2">
                  <c:v>December</c:v>
                </c:pt>
                <c:pt idx="3">
                  <c:v>January</c:v>
                </c:pt>
                <c:pt idx="4">
                  <c:v>February</c:v>
                </c:pt>
                <c:pt idx="5">
                  <c:v>March</c:v>
                </c:pt>
              </c:strCache>
            </c:strRef>
          </c:cat>
          <c:val>
            <c:numRef>
              <c:f>Graph!$B$71:$G$71</c:f>
              <c:numCache>
                <c:formatCode>General</c:formatCode>
                <c:ptCount val="6"/>
                <c:pt idx="0">
                  <c:v>87</c:v>
                </c:pt>
                <c:pt idx="1">
                  <c:v>91</c:v>
                </c:pt>
                <c:pt idx="2">
                  <c:v>57</c:v>
                </c:pt>
                <c:pt idx="3">
                  <c:v>75</c:v>
                </c:pt>
                <c:pt idx="4">
                  <c:v>61</c:v>
                </c:pt>
                <c:pt idx="5">
                  <c:v>0</c:v>
                </c:pt>
              </c:numCache>
            </c:numRef>
          </c:val>
          <c:smooth val="0"/>
          <c:extLst>
            <c:ext xmlns:c16="http://schemas.microsoft.com/office/drawing/2014/chart" uri="{C3380CC4-5D6E-409C-BE32-E72D297353CC}">
              <c16:uniqueId val="{00000000-BFB9-494A-8DEE-82D5694BF902}"/>
            </c:ext>
          </c:extLst>
        </c:ser>
        <c:dLbls>
          <c:showLegendKey val="0"/>
          <c:showVal val="0"/>
          <c:showCatName val="0"/>
          <c:showSerName val="0"/>
          <c:showPercent val="0"/>
          <c:showBubbleSize val="0"/>
        </c:dLbls>
        <c:smooth val="0"/>
        <c:axId val="546198032"/>
        <c:axId val="546198424"/>
      </c:lineChart>
      <c:catAx>
        <c:axId val="546198032"/>
        <c:scaling>
          <c:orientation val="minMax"/>
        </c:scaling>
        <c:delete val="0"/>
        <c:axPos val="b"/>
        <c:numFmt formatCode="General" sourceLinked="0"/>
        <c:majorTickMark val="out"/>
        <c:minorTickMark val="none"/>
        <c:tickLblPos val="nextTo"/>
        <c:crossAx val="546198424"/>
        <c:crosses val="autoZero"/>
        <c:auto val="1"/>
        <c:lblAlgn val="ctr"/>
        <c:lblOffset val="100"/>
        <c:noMultiLvlLbl val="0"/>
      </c:catAx>
      <c:valAx>
        <c:axId val="546198424"/>
        <c:scaling>
          <c:orientation val="minMax"/>
        </c:scaling>
        <c:delete val="0"/>
        <c:axPos val="l"/>
        <c:numFmt formatCode="General" sourceLinked="1"/>
        <c:majorTickMark val="out"/>
        <c:minorTickMark val="none"/>
        <c:tickLblPos val="nextTo"/>
        <c:crossAx val="546198032"/>
        <c:crosses val="autoZero"/>
        <c:crossBetween val="between"/>
      </c:valAx>
    </c:plotArea>
    <c:legend>
      <c:legendPos val="r"/>
      <c:layout>
        <c:manualLayout>
          <c:xMode val="edge"/>
          <c:yMode val="edge"/>
          <c:x val="0.38291601049868768"/>
          <c:y val="0.59240048118985122"/>
          <c:w val="0.39763954505686788"/>
          <c:h val="8.3717191601049873E-2"/>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lineChart>
        <c:grouping val="standard"/>
        <c:varyColors val="0"/>
        <c:ser>
          <c:idx val="0"/>
          <c:order val="0"/>
          <c:tx>
            <c:strRef>
              <c:f>Graph!$A$23</c:f>
              <c:strCache>
                <c:ptCount val="1"/>
                <c:pt idx="0">
                  <c:v>Personal Robbery</c:v>
                </c:pt>
              </c:strCache>
            </c:strRef>
          </c:tx>
          <c:spPr>
            <a:ln w="28575" cap="rnd" cmpd="sng" algn="ctr">
              <a:solidFill>
                <a:schemeClr val="accent4">
                  <a:shade val="95000"/>
                  <a:satMod val="105000"/>
                </a:schemeClr>
              </a:solidFill>
              <a:prstDash val="solid"/>
              <a:round/>
            </a:ln>
            <a:effectLst/>
          </c:spPr>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Graph!$B$23:$G$23</c:f>
              <c:numCache>
                <c:formatCode>General</c:formatCode>
                <c:ptCount val="6"/>
                <c:pt idx="0">
                  <c:v>4</c:v>
                </c:pt>
                <c:pt idx="1">
                  <c:v>6</c:v>
                </c:pt>
                <c:pt idx="2">
                  <c:v>0</c:v>
                </c:pt>
                <c:pt idx="3">
                  <c:v>3</c:v>
                </c:pt>
                <c:pt idx="4">
                  <c:v>2</c:v>
                </c:pt>
                <c:pt idx="5">
                  <c:v>1</c:v>
                </c:pt>
              </c:numCache>
            </c:numRef>
          </c:val>
          <c:smooth val="0"/>
          <c:extLst>
            <c:ext xmlns:c16="http://schemas.microsoft.com/office/drawing/2014/chart" uri="{C3380CC4-5D6E-409C-BE32-E72D297353CC}">
              <c16:uniqueId val="{00000000-A489-44A2-AB07-70531ED7E2CC}"/>
            </c:ext>
          </c:extLst>
        </c:ser>
        <c:dLbls>
          <c:showLegendKey val="0"/>
          <c:showVal val="0"/>
          <c:showCatName val="0"/>
          <c:showSerName val="0"/>
          <c:showPercent val="0"/>
          <c:showBubbleSize val="0"/>
        </c:dLbls>
        <c:smooth val="0"/>
        <c:axId val="545089240"/>
        <c:axId val="545088848"/>
      </c:lineChart>
      <c:catAx>
        <c:axId val="54508924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8848"/>
        <c:crosses val="autoZero"/>
        <c:auto val="1"/>
        <c:lblAlgn val="ctr"/>
        <c:lblOffset val="100"/>
        <c:noMultiLvlLbl val="0"/>
      </c:catAx>
      <c:valAx>
        <c:axId val="545088848"/>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45089240"/>
        <c:crosses val="autoZero"/>
        <c:crossBetween val="between"/>
      </c:valAx>
      <c:spPr>
        <a:solidFill>
          <a:schemeClr val="bg1"/>
        </a:solidFill>
        <a:ln>
          <a:noFill/>
        </a:ln>
        <a:effectLst/>
      </c:spPr>
    </c:plotArea>
    <c:legend>
      <c:legendPos val="r"/>
      <c:layout>
        <c:manualLayout>
          <c:xMode val="edge"/>
          <c:yMode val="edge"/>
          <c:x val="6.6391362096687057E-2"/>
          <c:y val="0.21050156401682665"/>
          <c:w val="0.46226077672494326"/>
          <c:h val="0.1447338622902022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Graph!$A$25</c:f>
              <c:strCache>
                <c:ptCount val="1"/>
                <c:pt idx="0">
                  <c:v>Residential-Dwelling</c:v>
                </c:pt>
              </c:strCache>
            </c:strRef>
          </c:tx>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Graph!$B$25:$G$25</c:f>
              <c:numCache>
                <c:formatCode>General</c:formatCode>
                <c:ptCount val="6"/>
                <c:pt idx="0">
                  <c:v>16</c:v>
                </c:pt>
                <c:pt idx="1">
                  <c:v>11</c:v>
                </c:pt>
                <c:pt idx="2">
                  <c:v>21</c:v>
                </c:pt>
                <c:pt idx="3">
                  <c:v>15</c:v>
                </c:pt>
                <c:pt idx="4">
                  <c:v>15</c:v>
                </c:pt>
                <c:pt idx="5">
                  <c:v>7</c:v>
                </c:pt>
              </c:numCache>
            </c:numRef>
          </c:val>
          <c:smooth val="0"/>
          <c:extLst>
            <c:ext xmlns:c16="http://schemas.microsoft.com/office/drawing/2014/chart" uri="{C3380CC4-5D6E-409C-BE32-E72D297353CC}">
              <c16:uniqueId val="{00000000-D069-45F5-A666-F5F4EBF65080}"/>
            </c:ext>
          </c:extLst>
        </c:ser>
        <c:dLbls>
          <c:showLegendKey val="0"/>
          <c:showVal val="0"/>
          <c:showCatName val="0"/>
          <c:showSerName val="0"/>
          <c:showPercent val="0"/>
          <c:showBubbleSize val="0"/>
        </c:dLbls>
        <c:smooth val="0"/>
        <c:axId val="545091200"/>
        <c:axId val="545091592"/>
      </c:lineChart>
      <c:catAx>
        <c:axId val="545091200"/>
        <c:scaling>
          <c:orientation val="minMax"/>
        </c:scaling>
        <c:delete val="0"/>
        <c:axPos val="b"/>
        <c:numFmt formatCode="General" sourceLinked="0"/>
        <c:majorTickMark val="out"/>
        <c:minorTickMark val="none"/>
        <c:tickLblPos val="nextTo"/>
        <c:crossAx val="545091592"/>
        <c:crosses val="autoZero"/>
        <c:auto val="1"/>
        <c:lblAlgn val="ctr"/>
        <c:lblOffset val="100"/>
        <c:noMultiLvlLbl val="0"/>
      </c:catAx>
      <c:valAx>
        <c:axId val="545091592"/>
        <c:scaling>
          <c:orientation val="minMax"/>
        </c:scaling>
        <c:delete val="0"/>
        <c:axPos val="l"/>
        <c:numFmt formatCode="General" sourceLinked="1"/>
        <c:majorTickMark val="out"/>
        <c:minorTickMark val="none"/>
        <c:tickLblPos val="nextTo"/>
        <c:crossAx val="545091200"/>
        <c:crosses val="autoZero"/>
        <c:crossBetween val="between"/>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Graph!$A$26</c:f>
              <c:strCache>
                <c:ptCount val="1"/>
                <c:pt idx="0">
                  <c:v>Personal ASB</c:v>
                </c:pt>
              </c:strCache>
            </c:strRef>
          </c:tx>
          <c:spPr>
            <a:ln>
              <a:solidFill>
                <a:schemeClr val="accent3"/>
              </a:solidFill>
            </a:ln>
          </c:spPr>
          <c:marker>
            <c:symbol val="none"/>
          </c:marker>
          <c:cat>
            <c:strRef>
              <c:f>Graph!$B$20:$G$20</c:f>
              <c:strCache>
                <c:ptCount val="6"/>
                <c:pt idx="0">
                  <c:v>October</c:v>
                </c:pt>
                <c:pt idx="1">
                  <c:v>November</c:v>
                </c:pt>
                <c:pt idx="2">
                  <c:v>December</c:v>
                </c:pt>
                <c:pt idx="3">
                  <c:v>January</c:v>
                </c:pt>
                <c:pt idx="4">
                  <c:v>February</c:v>
                </c:pt>
                <c:pt idx="5">
                  <c:v>March</c:v>
                </c:pt>
              </c:strCache>
            </c:strRef>
          </c:cat>
          <c:val>
            <c:numRef>
              <c:f>Graph!$B$26:$G$26</c:f>
              <c:numCache>
                <c:formatCode>General</c:formatCode>
                <c:ptCount val="6"/>
                <c:pt idx="0">
                  <c:v>36</c:v>
                </c:pt>
                <c:pt idx="1">
                  <c:v>26</c:v>
                </c:pt>
                <c:pt idx="2">
                  <c:v>17</c:v>
                </c:pt>
                <c:pt idx="3">
                  <c:v>15</c:v>
                </c:pt>
                <c:pt idx="4">
                  <c:v>17</c:v>
                </c:pt>
                <c:pt idx="5">
                  <c:v>28</c:v>
                </c:pt>
              </c:numCache>
            </c:numRef>
          </c:val>
          <c:smooth val="0"/>
          <c:extLst>
            <c:ext xmlns:c16="http://schemas.microsoft.com/office/drawing/2014/chart" uri="{C3380CC4-5D6E-409C-BE32-E72D297353CC}">
              <c16:uniqueId val="{00000000-2930-4608-B11A-8971542D58FF}"/>
            </c:ext>
          </c:extLst>
        </c:ser>
        <c:dLbls>
          <c:showLegendKey val="0"/>
          <c:showVal val="0"/>
          <c:showCatName val="0"/>
          <c:showSerName val="0"/>
          <c:showPercent val="0"/>
          <c:showBubbleSize val="0"/>
        </c:dLbls>
        <c:smooth val="0"/>
        <c:axId val="545092376"/>
        <c:axId val="545092768"/>
      </c:lineChart>
      <c:catAx>
        <c:axId val="545092376"/>
        <c:scaling>
          <c:orientation val="minMax"/>
        </c:scaling>
        <c:delete val="0"/>
        <c:axPos val="b"/>
        <c:numFmt formatCode="General" sourceLinked="0"/>
        <c:majorTickMark val="out"/>
        <c:minorTickMark val="none"/>
        <c:tickLblPos val="nextTo"/>
        <c:crossAx val="545092768"/>
        <c:crosses val="autoZero"/>
        <c:auto val="1"/>
        <c:lblAlgn val="ctr"/>
        <c:lblOffset val="100"/>
        <c:noMultiLvlLbl val="0"/>
      </c:catAx>
      <c:valAx>
        <c:axId val="545092768"/>
        <c:scaling>
          <c:orientation val="minMax"/>
        </c:scaling>
        <c:delete val="0"/>
        <c:axPos val="l"/>
        <c:numFmt formatCode="General" sourceLinked="1"/>
        <c:majorTickMark val="out"/>
        <c:minorTickMark val="none"/>
        <c:tickLblPos val="nextTo"/>
        <c:crossAx val="545092376"/>
        <c:crosses val="autoZero"/>
        <c:crossBetween val="between"/>
      </c:valAx>
    </c:plotArea>
    <c:legend>
      <c:legendPos val="r"/>
      <c:layout>
        <c:manualLayout>
          <c:xMode val="edge"/>
          <c:yMode val="edge"/>
          <c:x val="0.32180489938757656"/>
          <c:y val="0.60628937007874029"/>
          <c:w val="0.36708398950131232"/>
          <c:h val="7.9087561971420237E-2"/>
        </c:manualLayout>
      </c:layout>
      <c:overlay val="1"/>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2777565425681"/>
          <c:y val="4.4458269876759229E-2"/>
          <c:w val="0.86412353795581376"/>
          <c:h val="0.73465452620891525"/>
        </c:manualLayout>
      </c:layout>
      <c:lineChart>
        <c:grouping val="standard"/>
        <c:varyColors val="0"/>
        <c:ser>
          <c:idx val="0"/>
          <c:order val="0"/>
          <c:tx>
            <c:strRef>
              <c:f>Graph!$A$34</c:f>
              <c:strCache>
                <c:ptCount val="1"/>
                <c:pt idx="0">
                  <c:v>Violence With Injury</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Graph!$B$34:$G$34</c:f>
              <c:numCache>
                <c:formatCode>General</c:formatCode>
                <c:ptCount val="6"/>
                <c:pt idx="0">
                  <c:v>120</c:v>
                </c:pt>
                <c:pt idx="1">
                  <c:v>95</c:v>
                </c:pt>
                <c:pt idx="2">
                  <c:v>135</c:v>
                </c:pt>
                <c:pt idx="3">
                  <c:v>96</c:v>
                </c:pt>
                <c:pt idx="4">
                  <c:v>109</c:v>
                </c:pt>
                <c:pt idx="5">
                  <c:v>116</c:v>
                </c:pt>
              </c:numCache>
            </c:numRef>
          </c:val>
          <c:smooth val="0"/>
          <c:extLst>
            <c:ext xmlns:c16="http://schemas.microsoft.com/office/drawing/2014/chart" uri="{C3380CC4-5D6E-409C-BE32-E72D297353CC}">
              <c16:uniqueId val="{00000000-1EC7-4FAB-BF7D-61DDDF853419}"/>
            </c:ext>
          </c:extLst>
        </c:ser>
        <c:ser>
          <c:idx val="1"/>
          <c:order val="1"/>
          <c:tx>
            <c:strRef>
              <c:f>Graph!$A$35</c:f>
              <c:strCache>
                <c:ptCount val="1"/>
                <c:pt idx="0">
                  <c:v>Violence Without Injury</c:v>
                </c:pt>
              </c:strCache>
            </c:strRef>
          </c:tx>
          <c:marker>
            <c:symbol val="none"/>
          </c:marker>
          <c:cat>
            <c:strRef>
              <c:f>Graph!$B$33:$G$33</c:f>
              <c:strCache>
                <c:ptCount val="6"/>
                <c:pt idx="0">
                  <c:v>October</c:v>
                </c:pt>
                <c:pt idx="1">
                  <c:v>November</c:v>
                </c:pt>
                <c:pt idx="2">
                  <c:v>December</c:v>
                </c:pt>
                <c:pt idx="3">
                  <c:v>January</c:v>
                </c:pt>
                <c:pt idx="4">
                  <c:v>February</c:v>
                </c:pt>
                <c:pt idx="5">
                  <c:v>March</c:v>
                </c:pt>
              </c:strCache>
            </c:strRef>
          </c:cat>
          <c:val>
            <c:numRef>
              <c:f>Graph!$B$35:$G$35</c:f>
              <c:numCache>
                <c:formatCode>General</c:formatCode>
                <c:ptCount val="6"/>
                <c:pt idx="0">
                  <c:v>226</c:v>
                </c:pt>
                <c:pt idx="1">
                  <c:v>224</c:v>
                </c:pt>
                <c:pt idx="2">
                  <c:v>261</c:v>
                </c:pt>
                <c:pt idx="3">
                  <c:v>262</c:v>
                </c:pt>
                <c:pt idx="4">
                  <c:v>216</c:v>
                </c:pt>
                <c:pt idx="5">
                  <c:v>212</c:v>
                </c:pt>
              </c:numCache>
            </c:numRef>
          </c:val>
          <c:smooth val="0"/>
          <c:extLst>
            <c:ext xmlns:c16="http://schemas.microsoft.com/office/drawing/2014/chart" uri="{C3380CC4-5D6E-409C-BE32-E72D297353CC}">
              <c16:uniqueId val="{00000001-1EC7-4FAB-BF7D-61DDDF853419}"/>
            </c:ext>
          </c:extLst>
        </c:ser>
        <c:dLbls>
          <c:showLegendKey val="0"/>
          <c:showVal val="0"/>
          <c:showCatName val="0"/>
          <c:showSerName val="0"/>
          <c:showPercent val="0"/>
          <c:showBubbleSize val="0"/>
        </c:dLbls>
        <c:smooth val="0"/>
        <c:axId val="545093552"/>
        <c:axId val="545093944"/>
      </c:lineChart>
      <c:catAx>
        <c:axId val="545093552"/>
        <c:scaling>
          <c:orientation val="minMax"/>
        </c:scaling>
        <c:delete val="0"/>
        <c:axPos val="b"/>
        <c:numFmt formatCode="General" sourceLinked="0"/>
        <c:majorTickMark val="out"/>
        <c:minorTickMark val="none"/>
        <c:tickLblPos val="nextTo"/>
        <c:crossAx val="545093944"/>
        <c:crosses val="autoZero"/>
        <c:auto val="1"/>
        <c:lblAlgn val="ctr"/>
        <c:lblOffset val="100"/>
        <c:noMultiLvlLbl val="0"/>
      </c:catAx>
      <c:valAx>
        <c:axId val="545093944"/>
        <c:scaling>
          <c:orientation val="minMax"/>
        </c:scaling>
        <c:delete val="0"/>
        <c:axPos val="l"/>
        <c:numFmt formatCode="General" sourceLinked="1"/>
        <c:majorTickMark val="out"/>
        <c:minorTickMark val="none"/>
        <c:tickLblPos val="nextTo"/>
        <c:crossAx val="545093552"/>
        <c:crosses val="autoZero"/>
        <c:crossBetween val="between"/>
      </c:valAx>
    </c:plotArea>
    <c:legend>
      <c:legendPos val="r"/>
      <c:layout>
        <c:manualLayout>
          <c:xMode val="edge"/>
          <c:yMode val="edge"/>
          <c:x val="0.1232670794791428"/>
          <c:y val="0.46616808701381462"/>
          <c:w val="0.82818923120046883"/>
          <c:h val="0.30360303727466165"/>
        </c:manualLayout>
      </c:layout>
      <c:overlay val="1"/>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7.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chart" Target="../charts/chart47.xml"/><Relationship Id="rId4" Type="http://schemas.openxmlformats.org/officeDocument/2006/relationships/chart" Target="../charts/chart4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chart" Target="../charts/chart5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chart" Target="../charts/chart5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editAs="oneCell">
    <xdr:from>
      <xdr:col>4</xdr:col>
      <xdr:colOff>4880462</xdr:colOff>
      <xdr:row>1</xdr:row>
      <xdr:rowOff>66675</xdr:rowOff>
    </xdr:from>
    <xdr:to>
      <xdr:col>4</xdr:col>
      <xdr:colOff>6105525</xdr:colOff>
      <xdr:row>4</xdr:row>
      <xdr:rowOff>0</xdr:rowOff>
    </xdr:to>
    <xdr:pic>
      <xdr:nvPicPr>
        <xdr:cNvPr id="4" name="Picture 3">
          <a:extLst>
            <a:ext uri="{FF2B5EF4-FFF2-40B4-BE49-F238E27FC236}">
              <a16:creationId xmlns:a16="http://schemas.microsoft.com/office/drawing/2014/main" id="{0BC2071F-4FDC-42FB-9DCC-52FEBB7D8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937" y="266700"/>
          <a:ext cx="1225063"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xdr:colOff>
      <xdr:row>1</xdr:row>
      <xdr:rowOff>142875</xdr:rowOff>
    </xdr:from>
    <xdr:to>
      <xdr:col>12</xdr:col>
      <xdr:colOff>600075</xdr:colOff>
      <xdr:row>11</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704849</xdr:colOff>
      <xdr:row>1</xdr:row>
      <xdr:rowOff>9525</xdr:rowOff>
    </xdr:from>
    <xdr:to>
      <xdr:col>17</xdr:col>
      <xdr:colOff>666750</xdr:colOff>
      <xdr:row>10</xdr:row>
      <xdr:rowOff>171450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142875</xdr:colOff>
      <xdr:row>1</xdr:row>
      <xdr:rowOff>28574</xdr:rowOff>
    </xdr:from>
    <xdr:to>
      <xdr:col>22</xdr:col>
      <xdr:colOff>495300</xdr:colOff>
      <xdr:row>12</xdr:row>
      <xdr:rowOff>38099</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590550</xdr:colOff>
      <xdr:row>1</xdr:row>
      <xdr:rowOff>95249</xdr:rowOff>
    </xdr:from>
    <xdr:to>
      <xdr:col>27</xdr:col>
      <xdr:colOff>9525</xdr:colOff>
      <xdr:row>13</xdr:row>
      <xdr:rowOff>28574</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352425</xdr:colOff>
      <xdr:row>14</xdr:row>
      <xdr:rowOff>95250</xdr:rowOff>
    </xdr:from>
    <xdr:to>
      <xdr:col>12</xdr:col>
      <xdr:colOff>542925</xdr:colOff>
      <xdr:row>27</xdr:row>
      <xdr:rowOff>133350</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676275</xdr:colOff>
      <xdr:row>14</xdr:row>
      <xdr:rowOff>47625</xdr:rowOff>
    </xdr:from>
    <xdr:to>
      <xdr:col>19</xdr:col>
      <xdr:colOff>38100</xdr:colOff>
      <xdr:row>28</xdr:row>
      <xdr:rowOff>57150</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581025</xdr:colOff>
      <xdr:row>14</xdr:row>
      <xdr:rowOff>180976</xdr:rowOff>
    </xdr:from>
    <xdr:to>
      <xdr:col>24</xdr:col>
      <xdr:colOff>200025</xdr:colOff>
      <xdr:row>28</xdr:row>
      <xdr:rowOff>9526</xdr:rowOff>
    </xdr:to>
    <xdr:graphicFrame macro="">
      <xdr:nvGraphicFramePr>
        <xdr:cNvPr id="10" name="Chart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485774</xdr:colOff>
      <xdr:row>14</xdr:row>
      <xdr:rowOff>161924</xdr:rowOff>
    </xdr:from>
    <xdr:to>
      <xdr:col>30</xdr:col>
      <xdr:colOff>76199</xdr:colOff>
      <xdr:row>27</xdr:row>
      <xdr:rowOff>76199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295275</xdr:colOff>
      <xdr:row>28</xdr:row>
      <xdr:rowOff>171450</xdr:rowOff>
    </xdr:from>
    <xdr:to>
      <xdr:col>12</xdr:col>
      <xdr:colOff>409575</xdr:colOff>
      <xdr:row>43</xdr:row>
      <xdr:rowOff>0</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609600</xdr:colOff>
      <xdr:row>29</xdr:row>
      <xdr:rowOff>9524</xdr:rowOff>
    </xdr:from>
    <xdr:to>
      <xdr:col>17</xdr:col>
      <xdr:colOff>533400</xdr:colOff>
      <xdr:row>43</xdr:row>
      <xdr:rowOff>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695325</xdr:colOff>
      <xdr:row>29</xdr:row>
      <xdr:rowOff>76200</xdr:rowOff>
    </xdr:from>
    <xdr:to>
      <xdr:col>23</xdr:col>
      <xdr:colOff>57150</xdr:colOff>
      <xdr:row>43</xdr:row>
      <xdr:rowOff>0</xdr:rowOff>
    </xdr:to>
    <xdr:graphicFrame macro="">
      <xdr:nvGraphicFramePr>
        <xdr:cNvPr id="12" name="Chart 11">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409575</xdr:colOff>
      <xdr:row>44</xdr:row>
      <xdr:rowOff>19050</xdr:rowOff>
    </xdr:from>
    <xdr:to>
      <xdr:col>13</xdr:col>
      <xdr:colOff>47625</xdr:colOff>
      <xdr:row>52</xdr:row>
      <xdr:rowOff>533400</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200025</xdr:colOff>
      <xdr:row>44</xdr:row>
      <xdr:rowOff>57150</xdr:rowOff>
    </xdr:from>
    <xdr:to>
      <xdr:col>18</xdr:col>
      <xdr:colOff>38100</xdr:colOff>
      <xdr:row>52</xdr:row>
      <xdr:rowOff>381000</xdr:rowOff>
    </xdr:to>
    <xdr:graphicFrame macro="">
      <xdr:nvGraphicFramePr>
        <xdr:cNvPr id="15" name="Chart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200025</xdr:colOff>
      <xdr:row>43</xdr:row>
      <xdr:rowOff>9524</xdr:rowOff>
    </xdr:from>
    <xdr:to>
      <xdr:col>23</xdr:col>
      <xdr:colOff>447675</xdr:colOff>
      <xdr:row>54</xdr:row>
      <xdr:rowOff>104774</xdr:rowOff>
    </xdr:to>
    <xdr:graphicFrame macro="">
      <xdr:nvGraphicFramePr>
        <xdr:cNvPr id="16" name="Chart 15">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133350</xdr:colOff>
      <xdr:row>43</xdr:row>
      <xdr:rowOff>123824</xdr:rowOff>
    </xdr:from>
    <xdr:to>
      <xdr:col>29</xdr:col>
      <xdr:colOff>228600</xdr:colOff>
      <xdr:row>56</xdr:row>
      <xdr:rowOff>66674</xdr:rowOff>
    </xdr:to>
    <xdr:graphicFrame macro="">
      <xdr:nvGraphicFramePr>
        <xdr:cNvPr id="17" name="Chart 16">
          <a:extLst>
            <a:ext uri="{FF2B5EF4-FFF2-40B4-BE49-F238E27FC236}">
              <a16:creationId xmlns:a16="http://schemas.microsoft.com/office/drawing/2014/main" id="{00000000-0008-0000-0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257175</xdr:colOff>
      <xdr:row>58</xdr:row>
      <xdr:rowOff>38100</xdr:rowOff>
    </xdr:from>
    <xdr:to>
      <xdr:col>13</xdr:col>
      <xdr:colOff>257175</xdr:colOff>
      <xdr:row>70</xdr:row>
      <xdr:rowOff>114300</xdr:rowOff>
    </xdr:to>
    <xdr:graphicFrame macro="">
      <xdr:nvGraphicFramePr>
        <xdr:cNvPr id="18" name="Chart 17">
          <a:extLst>
            <a:ext uri="{FF2B5EF4-FFF2-40B4-BE49-F238E27FC236}">
              <a16:creationId xmlns:a16="http://schemas.microsoft.com/office/drawing/2014/main" id="{00000000-0008-0000-0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457200</xdr:colOff>
      <xdr:row>57</xdr:row>
      <xdr:rowOff>133350</xdr:rowOff>
    </xdr:from>
    <xdr:to>
      <xdr:col>19</xdr:col>
      <xdr:colOff>457200</xdr:colOff>
      <xdr:row>70</xdr:row>
      <xdr:rowOff>9525</xdr:rowOff>
    </xdr:to>
    <xdr:graphicFrame macro="">
      <xdr:nvGraphicFramePr>
        <xdr:cNvPr id="19" name="Chart 18">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561975</xdr:colOff>
      <xdr:row>57</xdr:row>
      <xdr:rowOff>152400</xdr:rowOff>
    </xdr:from>
    <xdr:to>
      <xdr:col>25</xdr:col>
      <xdr:colOff>561975</xdr:colOff>
      <xdr:row>70</xdr:row>
      <xdr:rowOff>28575</xdr:rowOff>
    </xdr:to>
    <xdr:graphicFrame macro="">
      <xdr:nvGraphicFramePr>
        <xdr:cNvPr id="20" name="Chart 19">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295275</xdr:colOff>
      <xdr:row>58</xdr:row>
      <xdr:rowOff>171450</xdr:rowOff>
    </xdr:from>
    <xdr:to>
      <xdr:col>30</xdr:col>
      <xdr:colOff>428625</xdr:colOff>
      <xdr:row>67</xdr:row>
      <xdr:rowOff>323850</xdr:rowOff>
    </xdr:to>
    <xdr:graphicFrame macro="">
      <xdr:nvGraphicFramePr>
        <xdr:cNvPr id="21" name="Chart 20">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276225</xdr:colOff>
      <xdr:row>75</xdr:row>
      <xdr:rowOff>9525</xdr:rowOff>
    </xdr:from>
    <xdr:to>
      <xdr:col>11</xdr:col>
      <xdr:colOff>685800</xdr:colOff>
      <xdr:row>86</xdr:row>
      <xdr:rowOff>57150</xdr:rowOff>
    </xdr:to>
    <xdr:graphicFrame macro="">
      <xdr:nvGraphicFramePr>
        <xdr:cNvPr id="22" name="Chart 21">
          <a:extLst>
            <a:ext uri="{FF2B5EF4-FFF2-40B4-BE49-F238E27FC236}">
              <a16:creationId xmlns:a16="http://schemas.microsoft.com/office/drawing/2014/main" id="{00000000-0008-0000-03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314325</xdr:colOff>
      <xdr:row>74</xdr:row>
      <xdr:rowOff>171450</xdr:rowOff>
    </xdr:from>
    <xdr:to>
      <xdr:col>16</xdr:col>
      <xdr:colOff>381000</xdr:colOff>
      <xdr:row>86</xdr:row>
      <xdr:rowOff>95250</xdr:rowOff>
    </xdr:to>
    <xdr:graphicFrame macro="">
      <xdr:nvGraphicFramePr>
        <xdr:cNvPr id="23" name="Chart 22">
          <a:extLst>
            <a:ext uri="{FF2B5EF4-FFF2-40B4-BE49-F238E27FC236}">
              <a16:creationId xmlns:a16="http://schemas.microsoft.com/office/drawing/2014/main" id="{00000000-0008-0000-03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590550</xdr:colOff>
      <xdr:row>75</xdr:row>
      <xdr:rowOff>114300</xdr:rowOff>
    </xdr:from>
    <xdr:to>
      <xdr:col>21</xdr:col>
      <xdr:colOff>19050</xdr:colOff>
      <xdr:row>86</xdr:row>
      <xdr:rowOff>95250</xdr:rowOff>
    </xdr:to>
    <xdr:graphicFrame macro="">
      <xdr:nvGraphicFramePr>
        <xdr:cNvPr id="24" name="Chart 23">
          <a:extLst>
            <a:ext uri="{FF2B5EF4-FFF2-40B4-BE49-F238E27FC236}">
              <a16:creationId xmlns:a16="http://schemas.microsoft.com/office/drawing/2014/main" id="{00000000-0008-0000-03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466725</xdr:colOff>
      <xdr:row>75</xdr:row>
      <xdr:rowOff>180975</xdr:rowOff>
    </xdr:from>
    <xdr:to>
      <xdr:col>25</xdr:col>
      <xdr:colOff>247650</xdr:colOff>
      <xdr:row>85</xdr:row>
      <xdr:rowOff>180975</xdr:rowOff>
    </xdr:to>
    <xdr:graphicFrame macro="">
      <xdr:nvGraphicFramePr>
        <xdr:cNvPr id="25" name="Chart 24">
          <a:extLst>
            <a:ext uri="{FF2B5EF4-FFF2-40B4-BE49-F238E27FC236}">
              <a16:creationId xmlns:a16="http://schemas.microsoft.com/office/drawing/2014/main" id="{00000000-0008-0000-03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428625</xdr:colOff>
      <xdr:row>88</xdr:row>
      <xdr:rowOff>171450</xdr:rowOff>
    </xdr:from>
    <xdr:to>
      <xdr:col>12</xdr:col>
      <xdr:colOff>323850</xdr:colOff>
      <xdr:row>100</xdr:row>
      <xdr:rowOff>123825</xdr:rowOff>
    </xdr:to>
    <xdr:graphicFrame macro="">
      <xdr:nvGraphicFramePr>
        <xdr:cNvPr id="26" name="Chart 25">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495300</xdr:colOff>
      <xdr:row>90</xdr:row>
      <xdr:rowOff>66675</xdr:rowOff>
    </xdr:from>
    <xdr:to>
      <xdr:col>18</xdr:col>
      <xdr:colOff>9525</xdr:colOff>
      <xdr:row>101</xdr:row>
      <xdr:rowOff>38100</xdr:rowOff>
    </xdr:to>
    <xdr:graphicFrame macro="">
      <xdr:nvGraphicFramePr>
        <xdr:cNvPr id="27" name="Chart 26">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200025</xdr:colOff>
      <xdr:row>90</xdr:row>
      <xdr:rowOff>9525</xdr:rowOff>
    </xdr:from>
    <xdr:to>
      <xdr:col>22</xdr:col>
      <xdr:colOff>619125</xdr:colOff>
      <xdr:row>101</xdr:row>
      <xdr:rowOff>47625</xdr:rowOff>
    </xdr:to>
    <xdr:graphicFrame macro="">
      <xdr:nvGraphicFramePr>
        <xdr:cNvPr id="28" name="Chart 27">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114300</xdr:colOff>
      <xdr:row>90</xdr:row>
      <xdr:rowOff>19051</xdr:rowOff>
    </xdr:from>
    <xdr:to>
      <xdr:col>27</xdr:col>
      <xdr:colOff>295275</xdr:colOff>
      <xdr:row>100</xdr:row>
      <xdr:rowOff>1</xdr:rowOff>
    </xdr:to>
    <xdr:graphicFrame macro="">
      <xdr:nvGraphicFramePr>
        <xdr:cNvPr id="29" name="Chart 28">
          <a:extLst>
            <a:ext uri="{FF2B5EF4-FFF2-40B4-BE49-F238E27FC236}">
              <a16:creationId xmlns:a16="http://schemas.microsoft.com/office/drawing/2014/main" id="{00000000-0008-0000-03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30</xdr:col>
      <xdr:colOff>123825</xdr:colOff>
      <xdr:row>15</xdr:row>
      <xdr:rowOff>42862</xdr:rowOff>
    </xdr:from>
    <xdr:to>
      <xdr:col>36</xdr:col>
      <xdr:colOff>123825</xdr:colOff>
      <xdr:row>29</xdr:row>
      <xdr:rowOff>4762</xdr:rowOff>
    </xdr:to>
    <xdr:graphicFrame macro="">
      <xdr:nvGraphicFramePr>
        <xdr:cNvPr id="31" name="Chart 30">
          <a:extLst>
            <a:ext uri="{FF2B5EF4-FFF2-40B4-BE49-F238E27FC236}">
              <a16:creationId xmlns:a16="http://schemas.microsoft.com/office/drawing/2014/main" id="{00000000-0008-0000-03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29</xdr:col>
      <xdr:colOff>695325</xdr:colOff>
      <xdr:row>29</xdr:row>
      <xdr:rowOff>109537</xdr:rowOff>
    </xdr:from>
    <xdr:to>
      <xdr:col>35</xdr:col>
      <xdr:colOff>695325</xdr:colOff>
      <xdr:row>43</xdr:row>
      <xdr:rowOff>176212</xdr:rowOff>
    </xdr:to>
    <xdr:graphicFrame macro="">
      <xdr:nvGraphicFramePr>
        <xdr:cNvPr id="32" name="Chart 31">
          <a:extLst>
            <a:ext uri="{FF2B5EF4-FFF2-40B4-BE49-F238E27FC236}">
              <a16:creationId xmlns:a16="http://schemas.microsoft.com/office/drawing/2014/main" id="{00000000-0008-0000-03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23</xdr:col>
      <xdr:colOff>523874</xdr:colOff>
      <xdr:row>29</xdr:row>
      <xdr:rowOff>76200</xdr:rowOff>
    </xdr:from>
    <xdr:to>
      <xdr:col>29</xdr:col>
      <xdr:colOff>285749</xdr:colOff>
      <xdr:row>41</xdr:row>
      <xdr:rowOff>19050</xdr:rowOff>
    </xdr:to>
    <xdr:graphicFrame macro="">
      <xdr:nvGraphicFramePr>
        <xdr:cNvPr id="33" name="Chart 32">
          <a:extLst>
            <a:ext uri="{FF2B5EF4-FFF2-40B4-BE49-F238E27FC236}">
              <a16:creationId xmlns:a16="http://schemas.microsoft.com/office/drawing/2014/main" id="{00000000-0008-0000-03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30</xdr:col>
      <xdr:colOff>557212</xdr:colOff>
      <xdr:row>57</xdr:row>
      <xdr:rowOff>19050</xdr:rowOff>
    </xdr:from>
    <xdr:to>
      <xdr:col>36</xdr:col>
      <xdr:colOff>557212</xdr:colOff>
      <xdr:row>69</xdr:row>
      <xdr:rowOff>85725</xdr:rowOff>
    </xdr:to>
    <xdr:graphicFrame macro="">
      <xdr:nvGraphicFramePr>
        <xdr:cNvPr id="34" name="Chart 33">
          <a:extLst>
            <a:ext uri="{FF2B5EF4-FFF2-40B4-BE49-F238E27FC236}">
              <a16:creationId xmlns:a16="http://schemas.microsoft.com/office/drawing/2014/main" id="{00000000-0008-0000-0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25</xdr:col>
      <xdr:colOff>471487</xdr:colOff>
      <xdr:row>75</xdr:row>
      <xdr:rowOff>180975</xdr:rowOff>
    </xdr:from>
    <xdr:to>
      <xdr:col>31</xdr:col>
      <xdr:colOff>471487</xdr:colOff>
      <xdr:row>88</xdr:row>
      <xdr:rowOff>66675</xdr:rowOff>
    </xdr:to>
    <xdr:graphicFrame macro="">
      <xdr:nvGraphicFramePr>
        <xdr:cNvPr id="35" name="Chart 34">
          <a:extLst>
            <a:ext uri="{FF2B5EF4-FFF2-40B4-BE49-F238E27FC236}">
              <a16:creationId xmlns:a16="http://schemas.microsoft.com/office/drawing/2014/main" id="{00000000-0008-0000-03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27</xdr:col>
      <xdr:colOff>547687</xdr:colOff>
      <xdr:row>90</xdr:row>
      <xdr:rowOff>66675</xdr:rowOff>
    </xdr:from>
    <xdr:to>
      <xdr:col>33</xdr:col>
      <xdr:colOff>547687</xdr:colOff>
      <xdr:row>102</xdr:row>
      <xdr:rowOff>142875</xdr:rowOff>
    </xdr:to>
    <xdr:graphicFrame macro="">
      <xdr:nvGraphicFramePr>
        <xdr:cNvPr id="36" name="Chart 35">
          <a:extLst>
            <a:ext uri="{FF2B5EF4-FFF2-40B4-BE49-F238E27FC236}">
              <a16:creationId xmlns:a16="http://schemas.microsoft.com/office/drawing/2014/main" id="{00000000-0008-0000-03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391847</xdr:colOff>
      <xdr:row>13</xdr:row>
      <xdr:rowOff>59530</xdr:rowOff>
    </xdr:from>
    <xdr:to>
      <xdr:col>24</xdr:col>
      <xdr:colOff>36512</xdr:colOff>
      <xdr:row>31</xdr:row>
      <xdr:rowOff>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455441</xdr:colOff>
      <xdr:row>47</xdr:row>
      <xdr:rowOff>189309</xdr:rowOff>
    </xdr:from>
    <xdr:to>
      <xdr:col>23</xdr:col>
      <xdr:colOff>738188</xdr:colOff>
      <xdr:row>61</xdr:row>
      <xdr:rowOff>59530</xdr:rowOff>
    </xdr:to>
    <xdr:graphicFrame macro="">
      <xdr:nvGraphicFramePr>
        <xdr:cNvPr id="18" name="Chart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410897</xdr:colOff>
      <xdr:row>2</xdr:row>
      <xdr:rowOff>123029</xdr:rowOff>
    </xdr:from>
    <xdr:to>
      <xdr:col>24</xdr:col>
      <xdr:colOff>96836</xdr:colOff>
      <xdr:row>12</xdr:row>
      <xdr:rowOff>126206</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764117</xdr:colOff>
      <xdr:row>0</xdr:row>
      <xdr:rowOff>318559</xdr:rowOff>
    </xdr:from>
    <xdr:to>
      <xdr:col>20</xdr:col>
      <xdr:colOff>2120</xdr:colOff>
      <xdr:row>2</xdr:row>
      <xdr:rowOff>55425</xdr:rowOff>
    </xdr:to>
    <xdr:pic>
      <xdr:nvPicPr>
        <xdr:cNvPr id="10" name="Picture 9">
          <a:extLst>
            <a:ext uri="{FF2B5EF4-FFF2-40B4-BE49-F238E27FC236}">
              <a16:creationId xmlns:a16="http://schemas.microsoft.com/office/drawing/2014/main" id="{0E4E2B9E-6F2D-4E23-A09D-1088C8880D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61042" y="318559"/>
          <a:ext cx="952501" cy="397266"/>
        </a:xfrm>
        <a:prstGeom prst="rect">
          <a:avLst/>
        </a:prstGeom>
      </xdr:spPr>
    </xdr:pic>
    <xdr:clientData/>
  </xdr:twoCellAnchor>
  <xdr:twoCellAnchor>
    <xdr:from>
      <xdr:col>19</xdr:col>
      <xdr:colOff>390524</xdr:colOff>
      <xdr:row>31</xdr:row>
      <xdr:rowOff>189307</xdr:rowOff>
    </xdr:from>
    <xdr:to>
      <xdr:col>24</xdr:col>
      <xdr:colOff>28574</xdr:colOff>
      <xdr:row>46</xdr:row>
      <xdr:rowOff>130967</xdr:rowOff>
    </xdr:to>
    <xdr:graphicFrame macro="">
      <xdr:nvGraphicFramePr>
        <xdr:cNvPr id="9" name="Chart 8">
          <a:extLst>
            <a:ext uri="{FF2B5EF4-FFF2-40B4-BE49-F238E27FC236}">
              <a16:creationId xmlns:a16="http://schemas.microsoft.com/office/drawing/2014/main" id="{AC111D97-C988-4E5F-9FB0-2079663E7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402167</xdr:colOff>
      <xdr:row>4</xdr:row>
      <xdr:rowOff>0</xdr:rowOff>
    </xdr:from>
    <xdr:to>
      <xdr:col>23</xdr:col>
      <xdr:colOff>609072</xdr:colOff>
      <xdr:row>15</xdr:row>
      <xdr:rowOff>21165</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419600</xdr:colOff>
      <xdr:row>28</xdr:row>
      <xdr:rowOff>408174</xdr:rowOff>
    </xdr:from>
    <xdr:to>
      <xdr:col>23</xdr:col>
      <xdr:colOff>609601</xdr:colOff>
      <xdr:row>39</xdr:row>
      <xdr:rowOff>161925</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734483</xdr:colOff>
      <xdr:row>1</xdr:row>
      <xdr:rowOff>196850</xdr:rowOff>
    </xdr:from>
    <xdr:to>
      <xdr:col>19</xdr:col>
      <xdr:colOff>655904</xdr:colOff>
      <xdr:row>3</xdr:row>
      <xdr:rowOff>65477</xdr:rowOff>
    </xdr:to>
    <xdr:pic>
      <xdr:nvPicPr>
        <xdr:cNvPr id="12" name="Picture 11">
          <a:extLst>
            <a:ext uri="{FF2B5EF4-FFF2-40B4-BE49-F238E27FC236}">
              <a16:creationId xmlns:a16="http://schemas.microsoft.com/office/drawing/2014/main" id="{452A1D6F-4F56-44C3-AC2B-8A299A835A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12408" y="530225"/>
          <a:ext cx="952501" cy="402027"/>
        </a:xfrm>
        <a:prstGeom prst="rect">
          <a:avLst/>
        </a:prstGeom>
      </xdr:spPr>
    </xdr:pic>
    <xdr:clientData/>
  </xdr:twoCellAnchor>
  <xdr:twoCellAnchor>
    <xdr:from>
      <xdr:col>19</xdr:col>
      <xdr:colOff>424579</xdr:colOff>
      <xdr:row>16</xdr:row>
      <xdr:rowOff>168088</xdr:rowOff>
    </xdr:from>
    <xdr:to>
      <xdr:col>23</xdr:col>
      <xdr:colOff>609257</xdr:colOff>
      <xdr:row>28</xdr:row>
      <xdr:rowOff>138829</xdr:rowOff>
    </xdr:to>
    <xdr:graphicFrame macro="">
      <xdr:nvGraphicFramePr>
        <xdr:cNvPr id="8" name="Chart 7">
          <a:extLst>
            <a:ext uri="{FF2B5EF4-FFF2-40B4-BE49-F238E27FC236}">
              <a16:creationId xmlns:a16="http://schemas.microsoft.com/office/drawing/2014/main" id="{E1FCB5EC-8055-4DDF-842A-BE2A7C148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391584</xdr:colOff>
      <xdr:row>2</xdr:row>
      <xdr:rowOff>116416</xdr:rowOff>
    </xdr:from>
    <xdr:to>
      <xdr:col>23</xdr:col>
      <xdr:colOff>638734</xdr:colOff>
      <xdr:row>12</xdr:row>
      <xdr:rowOff>36512</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770466</xdr:colOff>
      <xdr:row>1</xdr:row>
      <xdr:rowOff>195793</xdr:rowOff>
    </xdr:from>
    <xdr:to>
      <xdr:col>20</xdr:col>
      <xdr:colOff>103716</xdr:colOff>
      <xdr:row>3</xdr:row>
      <xdr:rowOff>58600</xdr:rowOff>
    </xdr:to>
    <xdr:pic>
      <xdr:nvPicPr>
        <xdr:cNvPr id="7" name="Picture 6">
          <a:extLst>
            <a:ext uri="{FF2B5EF4-FFF2-40B4-BE49-F238E27FC236}">
              <a16:creationId xmlns:a16="http://schemas.microsoft.com/office/drawing/2014/main" id="{27F0937F-CE42-40F9-8BBA-7D4C1C556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34066" y="529168"/>
          <a:ext cx="961496" cy="396207"/>
        </a:xfrm>
        <a:prstGeom prst="rect">
          <a:avLst/>
        </a:prstGeom>
      </xdr:spPr>
    </xdr:pic>
    <xdr:clientData/>
  </xdr:twoCellAnchor>
  <xdr:twoCellAnchor>
    <xdr:from>
      <xdr:col>19</xdr:col>
      <xdr:colOff>409419</xdr:colOff>
      <xdr:row>13</xdr:row>
      <xdr:rowOff>36511</xdr:rowOff>
    </xdr:from>
    <xdr:to>
      <xdr:col>23</xdr:col>
      <xdr:colOff>603250</xdr:colOff>
      <xdr:row>27</xdr:row>
      <xdr:rowOff>10582</xdr:rowOff>
    </xdr:to>
    <xdr:graphicFrame macro="">
      <xdr:nvGraphicFramePr>
        <xdr:cNvPr id="5" name="Chart 4">
          <a:extLst>
            <a:ext uri="{FF2B5EF4-FFF2-40B4-BE49-F238E27FC236}">
              <a16:creationId xmlns:a16="http://schemas.microsoft.com/office/drawing/2014/main" id="{AB754261-50C9-4E5B-9B3E-F3C0EC5C1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438679</xdr:colOff>
      <xdr:row>27</xdr:row>
      <xdr:rowOff>210607</xdr:rowOff>
    </xdr:from>
    <xdr:to>
      <xdr:col>23</xdr:col>
      <xdr:colOff>666750</xdr:colOff>
      <xdr:row>38</xdr:row>
      <xdr:rowOff>148167</xdr:rowOff>
    </xdr:to>
    <xdr:graphicFrame macro="">
      <xdr:nvGraphicFramePr>
        <xdr:cNvPr id="8" name="Chart 7">
          <a:extLst>
            <a:ext uri="{FF2B5EF4-FFF2-40B4-BE49-F238E27FC236}">
              <a16:creationId xmlns:a16="http://schemas.microsoft.com/office/drawing/2014/main" id="{8E075F0E-D062-43A7-B743-A84C12D69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396345</xdr:colOff>
      <xdr:row>3</xdr:row>
      <xdr:rowOff>131761</xdr:rowOff>
    </xdr:from>
    <xdr:to>
      <xdr:col>23</xdr:col>
      <xdr:colOff>717177</xdr:colOff>
      <xdr:row>13</xdr:row>
      <xdr:rowOff>57679</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401106</xdr:colOff>
      <xdr:row>13</xdr:row>
      <xdr:rowOff>200023</xdr:rowOff>
    </xdr:from>
    <xdr:to>
      <xdr:col>23</xdr:col>
      <xdr:colOff>717177</xdr:colOff>
      <xdr:row>25</xdr:row>
      <xdr:rowOff>11204</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21167</xdr:colOff>
      <xdr:row>1</xdr:row>
      <xdr:rowOff>196850</xdr:rowOff>
    </xdr:from>
    <xdr:to>
      <xdr:col>20</xdr:col>
      <xdr:colOff>202329</xdr:colOff>
      <xdr:row>3</xdr:row>
      <xdr:rowOff>67594</xdr:rowOff>
    </xdr:to>
    <xdr:pic>
      <xdr:nvPicPr>
        <xdr:cNvPr id="8" name="Picture 7">
          <a:extLst>
            <a:ext uri="{FF2B5EF4-FFF2-40B4-BE49-F238E27FC236}">
              <a16:creationId xmlns:a16="http://schemas.microsoft.com/office/drawing/2014/main" id="{CCE221B5-3E69-41CA-887B-37613FB85A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32492" y="530225"/>
          <a:ext cx="957792" cy="400969"/>
        </a:xfrm>
        <a:prstGeom prst="rect">
          <a:avLst/>
        </a:prstGeom>
      </xdr:spPr>
    </xdr:pic>
    <xdr:clientData/>
  </xdr:twoCellAnchor>
  <xdr:twoCellAnchor>
    <xdr:from>
      <xdr:col>19</xdr:col>
      <xdr:colOff>390523</xdr:colOff>
      <xdr:row>26</xdr:row>
      <xdr:rowOff>49585</xdr:rowOff>
    </xdr:from>
    <xdr:to>
      <xdr:col>23</xdr:col>
      <xdr:colOff>750794</xdr:colOff>
      <xdr:row>36</xdr:row>
      <xdr:rowOff>123264</xdr:rowOff>
    </xdr:to>
    <xdr:graphicFrame macro="">
      <xdr:nvGraphicFramePr>
        <xdr:cNvPr id="5" name="Chart 4">
          <a:extLst>
            <a:ext uri="{FF2B5EF4-FFF2-40B4-BE49-F238E27FC236}">
              <a16:creationId xmlns:a16="http://schemas.microsoft.com/office/drawing/2014/main" id="{9A3218FB-00B9-45AB-8A75-492E24431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414617</xdr:colOff>
      <xdr:row>36</xdr:row>
      <xdr:rowOff>312082</xdr:rowOff>
    </xdr:from>
    <xdr:to>
      <xdr:col>23</xdr:col>
      <xdr:colOff>750795</xdr:colOff>
      <xdr:row>50</xdr:row>
      <xdr:rowOff>11206</xdr:rowOff>
    </xdr:to>
    <xdr:graphicFrame macro="">
      <xdr:nvGraphicFramePr>
        <xdr:cNvPr id="6" name="Chart 5">
          <a:extLst>
            <a:ext uri="{FF2B5EF4-FFF2-40B4-BE49-F238E27FC236}">
              <a16:creationId xmlns:a16="http://schemas.microsoft.com/office/drawing/2014/main" id="{8CA01F6A-FDB3-4059-8637-C1CFB0821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440531</xdr:colOff>
      <xdr:row>3</xdr:row>
      <xdr:rowOff>1852</xdr:rowOff>
    </xdr:from>
    <xdr:to>
      <xdr:col>23</xdr:col>
      <xdr:colOff>428624</xdr:colOff>
      <xdr:row>11</xdr:row>
      <xdr:rowOff>88104</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853017</xdr:colOff>
      <xdr:row>1</xdr:row>
      <xdr:rowOff>2117</xdr:rowOff>
    </xdr:from>
    <xdr:to>
      <xdr:col>20</xdr:col>
      <xdr:colOff>133352</xdr:colOff>
      <xdr:row>2</xdr:row>
      <xdr:rowOff>201474</xdr:rowOff>
    </xdr:to>
    <xdr:pic>
      <xdr:nvPicPr>
        <xdr:cNvPr id="9" name="Picture 8">
          <a:extLst>
            <a:ext uri="{FF2B5EF4-FFF2-40B4-BE49-F238E27FC236}">
              <a16:creationId xmlns:a16="http://schemas.microsoft.com/office/drawing/2014/main" id="{4820A1E5-D5F4-43E5-8148-62834953BB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68992" y="335492"/>
          <a:ext cx="956735" cy="396207"/>
        </a:xfrm>
        <a:prstGeom prst="rect">
          <a:avLst/>
        </a:prstGeom>
      </xdr:spPr>
    </xdr:pic>
    <xdr:clientData/>
  </xdr:twoCellAnchor>
  <xdr:twoCellAnchor>
    <xdr:from>
      <xdr:col>19</xdr:col>
      <xdr:colOff>278605</xdr:colOff>
      <xdr:row>24</xdr:row>
      <xdr:rowOff>123029</xdr:rowOff>
    </xdr:from>
    <xdr:to>
      <xdr:col>23</xdr:col>
      <xdr:colOff>428624</xdr:colOff>
      <xdr:row>35</xdr:row>
      <xdr:rowOff>44450</xdr:rowOff>
    </xdr:to>
    <xdr:graphicFrame macro="">
      <xdr:nvGraphicFramePr>
        <xdr:cNvPr id="7" name="Chart 6">
          <a:extLst>
            <a:ext uri="{FF2B5EF4-FFF2-40B4-BE49-F238E27FC236}">
              <a16:creationId xmlns:a16="http://schemas.microsoft.com/office/drawing/2014/main" id="{38AA0714-F0BA-4995-807D-5B4620803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437028</xdr:colOff>
      <xdr:row>12</xdr:row>
      <xdr:rowOff>28575</xdr:rowOff>
    </xdr:from>
    <xdr:to>
      <xdr:col>23</xdr:col>
      <xdr:colOff>440531</xdr:colOff>
      <xdr:row>22</xdr:row>
      <xdr:rowOff>202405</xdr:rowOff>
    </xdr:to>
    <xdr:graphicFrame macro="">
      <xdr:nvGraphicFramePr>
        <xdr:cNvPr id="6" name="Chart 5">
          <a:extLst>
            <a:ext uri="{FF2B5EF4-FFF2-40B4-BE49-F238E27FC236}">
              <a16:creationId xmlns:a16="http://schemas.microsoft.com/office/drawing/2014/main" id="{437E6FE2-0A1B-431F-B662-669B4B5A8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429062</xdr:colOff>
      <xdr:row>3</xdr:row>
      <xdr:rowOff>93476</xdr:rowOff>
    </xdr:from>
    <xdr:to>
      <xdr:col>23</xdr:col>
      <xdr:colOff>645489</xdr:colOff>
      <xdr:row>11</xdr:row>
      <xdr:rowOff>112059</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822324</xdr:colOff>
      <xdr:row>1</xdr:row>
      <xdr:rowOff>11642</xdr:rowOff>
    </xdr:from>
    <xdr:to>
      <xdr:col>20</xdr:col>
      <xdr:colOff>133847</xdr:colOff>
      <xdr:row>2</xdr:row>
      <xdr:rowOff>207824</xdr:rowOff>
    </xdr:to>
    <xdr:pic>
      <xdr:nvPicPr>
        <xdr:cNvPr id="9" name="Picture 8">
          <a:extLst>
            <a:ext uri="{FF2B5EF4-FFF2-40B4-BE49-F238E27FC236}">
              <a16:creationId xmlns:a16="http://schemas.microsoft.com/office/drawing/2014/main" id="{9FA18B89-42D7-4D5B-B2C1-7BC3460C21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04974" y="345017"/>
          <a:ext cx="950384" cy="396207"/>
        </a:xfrm>
        <a:prstGeom prst="rect">
          <a:avLst/>
        </a:prstGeom>
      </xdr:spPr>
    </xdr:pic>
    <xdr:clientData/>
  </xdr:twoCellAnchor>
  <xdr:twoCellAnchor>
    <xdr:from>
      <xdr:col>19</xdr:col>
      <xdr:colOff>456767</xdr:colOff>
      <xdr:row>24</xdr:row>
      <xdr:rowOff>49585</xdr:rowOff>
    </xdr:from>
    <xdr:to>
      <xdr:col>23</xdr:col>
      <xdr:colOff>654703</xdr:colOff>
      <xdr:row>35</xdr:row>
      <xdr:rowOff>44824</xdr:rowOff>
    </xdr:to>
    <xdr:graphicFrame macro="">
      <xdr:nvGraphicFramePr>
        <xdr:cNvPr id="7" name="Chart 6">
          <a:extLst>
            <a:ext uri="{FF2B5EF4-FFF2-40B4-BE49-F238E27FC236}">
              <a16:creationId xmlns:a16="http://schemas.microsoft.com/office/drawing/2014/main" id="{6D8FDAE4-310C-4B09-83F2-7C0D1254F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425824</xdr:colOff>
      <xdr:row>12</xdr:row>
      <xdr:rowOff>145584</xdr:rowOff>
    </xdr:from>
    <xdr:to>
      <xdr:col>24</xdr:col>
      <xdr:colOff>47625</xdr:colOff>
      <xdr:row>23</xdr:row>
      <xdr:rowOff>11113</xdr:rowOff>
    </xdr:to>
    <xdr:graphicFrame macro="">
      <xdr:nvGraphicFramePr>
        <xdr:cNvPr id="6" name="Chart 5">
          <a:extLst>
            <a:ext uri="{FF2B5EF4-FFF2-40B4-BE49-F238E27FC236}">
              <a16:creationId xmlns:a16="http://schemas.microsoft.com/office/drawing/2014/main" id="{282546E2-9DF6-414D-B612-0E54203E2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19</xdr:col>
      <xdr:colOff>264892</xdr:colOff>
      <xdr:row>3</xdr:row>
      <xdr:rowOff>240489</xdr:rowOff>
    </xdr:from>
    <xdr:to>
      <xdr:col>23</xdr:col>
      <xdr:colOff>302559</xdr:colOff>
      <xdr:row>13</xdr:row>
      <xdr:rowOff>89647</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296207</xdr:colOff>
      <xdr:row>26</xdr:row>
      <xdr:rowOff>291353</xdr:rowOff>
    </xdr:from>
    <xdr:to>
      <xdr:col>23</xdr:col>
      <xdr:colOff>324971</xdr:colOff>
      <xdr:row>40</xdr:row>
      <xdr:rowOff>352144</xdr:rowOff>
    </xdr:to>
    <xdr:graphicFrame macro="">
      <xdr:nvGraphicFramePr>
        <xdr:cNvPr id="12" name="Chart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731308</xdr:colOff>
      <xdr:row>0</xdr:row>
      <xdr:rowOff>329141</xdr:rowOff>
    </xdr:from>
    <xdr:to>
      <xdr:col>20</xdr:col>
      <xdr:colOff>111126</xdr:colOff>
      <xdr:row>2</xdr:row>
      <xdr:rowOff>210997</xdr:rowOff>
    </xdr:to>
    <xdr:pic>
      <xdr:nvPicPr>
        <xdr:cNvPr id="11" name="Picture 10">
          <a:extLst>
            <a:ext uri="{FF2B5EF4-FFF2-40B4-BE49-F238E27FC236}">
              <a16:creationId xmlns:a16="http://schemas.microsoft.com/office/drawing/2014/main" id="{E04494CA-A57C-41F5-9E49-0E5F266467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18708" y="329141"/>
          <a:ext cx="964142" cy="415256"/>
        </a:xfrm>
        <a:prstGeom prst="rect">
          <a:avLst/>
        </a:prstGeom>
      </xdr:spPr>
    </xdr:pic>
    <xdr:clientData/>
  </xdr:twoCellAnchor>
  <xdr:twoCellAnchor>
    <xdr:from>
      <xdr:col>19</xdr:col>
      <xdr:colOff>308907</xdr:colOff>
      <xdr:row>14</xdr:row>
      <xdr:rowOff>59110</xdr:rowOff>
    </xdr:from>
    <xdr:to>
      <xdr:col>23</xdr:col>
      <xdr:colOff>350557</xdr:colOff>
      <xdr:row>26</xdr:row>
      <xdr:rowOff>112059</xdr:rowOff>
    </xdr:to>
    <xdr:graphicFrame macro="">
      <xdr:nvGraphicFramePr>
        <xdr:cNvPr id="6" name="Chart 5">
          <a:extLst>
            <a:ext uri="{FF2B5EF4-FFF2-40B4-BE49-F238E27FC236}">
              <a16:creationId xmlns:a16="http://schemas.microsoft.com/office/drawing/2014/main" id="{9021DB00-EDE3-4FB2-A50C-C7EE2B3AC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G-Confidential/Corporate%20Research/Community%20Safety/CSP%20Analysts%20Performance%20Reports/Monthly%20Report/June%202021/Monthly%20average%20test/TEST%20-%20Community%20Safety%20Performance%20June%20202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CG-Confidential\Corporate%20Research\Community%20Safety\CSP%20Analysts%20Performance%20Reports\Monthly%20data%20for%20Observatory-%20new%20format%202019%20rolling%20monthly%20figures.xlsx" TargetMode="External"/><Relationship Id="rId1" Type="http://schemas.openxmlformats.org/officeDocument/2006/relationships/externalLinkPath" Target="/CG-Confidential/Corporate%20Research/Community%20Safety/CSP%20Analysts%20Performance%20Reports/Monthly%20data%20for%20Observatory-%20new%20format%202019%20rolling%20monthly%20figur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CG-Confidential\Corporate%20Research\Community%20Safety\CSP%20Analysts%20Performance%20Reports\Monthly%20Report\MARAC%20formula%20sheet.xlsx" TargetMode="External"/><Relationship Id="rId1" Type="http://schemas.openxmlformats.org/officeDocument/2006/relationships/externalLinkPath" Target="/CG-Confidential/Corporate%20Research/Community%20Safety/CSP%20Analysts%20Performance%20Reports/Monthly%20Report/MARAC%20formula%20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list"/>
      <sheetName val="year end"/>
      <sheetName val="New Data Needed"/>
      <sheetName val="Monthly Averages"/>
      <sheetName val="Guidance"/>
      <sheetName val="Graph"/>
      <sheetName val="Graph Data"/>
      <sheetName val="Warwickshire"/>
      <sheetName val="North Warwickshire"/>
      <sheetName val="Nuneaton and Bedworth"/>
      <sheetName val="Rugby"/>
      <sheetName val="South Warwickshire"/>
      <sheetName val="Stratford"/>
      <sheetName val="Warwick"/>
      <sheetName val="Notes"/>
      <sheetName val="Data Sources"/>
    </sheetNames>
    <sheetDataSet>
      <sheetData sheetId="0"/>
      <sheetData sheetId="1"/>
      <sheetData sheetId="2"/>
      <sheetData sheetId="3"/>
      <sheetData sheetId="4"/>
      <sheetData sheetId="5"/>
      <sheetData sheetId="6"/>
      <sheetData sheetId="7">
        <row r="5">
          <cell r="E5">
            <v>350</v>
          </cell>
          <cell r="F5">
            <v>347</v>
          </cell>
          <cell r="G5">
            <v>0</v>
          </cell>
          <cell r="H5">
            <v>0</v>
          </cell>
          <cell r="I5">
            <v>0</v>
          </cell>
          <cell r="J5">
            <v>0</v>
          </cell>
          <cell r="K5">
            <v>0</v>
          </cell>
          <cell r="L5">
            <v>0</v>
          </cell>
          <cell r="M5">
            <v>0</v>
          </cell>
          <cell r="N5">
            <v>0</v>
          </cell>
          <cell r="O5">
            <v>0</v>
          </cell>
          <cell r="P5">
            <v>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ce YE 15_16"/>
      <sheetName val="Force YE 16_17"/>
      <sheetName val="NOTES TO THE DATA"/>
      <sheetName val="Districts_Boroughs"/>
      <sheetName val="South Warks Wards"/>
      <sheetName val="SWPB"/>
      <sheetName val="Rural Crime"/>
      <sheetName val="Force"/>
      <sheetName val="ASB"/>
      <sheetName val="Public Order"/>
      <sheetName val="Rural"/>
      <sheetName val="Theft from Person"/>
      <sheetName val="North Warks Quarterly"/>
      <sheetName val="North Warks Charts"/>
      <sheetName val="Nun &amp; Bed Quarterly"/>
      <sheetName val="Rugby Quarterly"/>
      <sheetName val="South Warks Quarterly"/>
      <sheetName val="NW Ward Table"/>
      <sheetName val="Nun Police Beat"/>
      <sheetName val="Nun &amp; Bed Charts"/>
      <sheetName val="Rugby Charts"/>
      <sheetName val="Rugby make off without payments"/>
      <sheetName val="Rugby Beat"/>
      <sheetName val="Cyber Crime"/>
      <sheetName val="Bike Theft"/>
      <sheetName val="Cyber Fraud"/>
      <sheetName val="StreetSafe"/>
      <sheetName val="Hate Crime Types"/>
      <sheetName val="Drug Offences"/>
      <sheetName val="KSI"/>
      <sheetName val="DSF"/>
      <sheetName val="Vulnerability"/>
      <sheetName val="Rug - MOWP"/>
      <sheetName val="Weapon Offences"/>
      <sheetName val="VAP Knife Crime"/>
      <sheetName val="KPIs"/>
      <sheetName val="Harmful Practices (for MORiLE)"/>
      <sheetName val="South Warks Charts"/>
      <sheetName val="Total Recorded Crime by Year"/>
      <sheetName val="DO NOT USE NW Police Beat Areas"/>
      <sheetName val="Rolling Crime Rate"/>
      <sheetName val="County Hate Crime Data"/>
    </sheetNames>
    <sheetDataSet>
      <sheetData sheetId="0"/>
      <sheetData sheetId="1"/>
      <sheetData sheetId="2"/>
      <sheetData sheetId="3">
        <row r="4">
          <cell r="CH4">
            <v>333</v>
          </cell>
          <cell r="CI4">
            <v>389</v>
          </cell>
          <cell r="CJ4">
            <v>371</v>
          </cell>
          <cell r="CK4">
            <v>379</v>
          </cell>
          <cell r="CL4">
            <v>323</v>
          </cell>
          <cell r="CM4">
            <v>357</v>
          </cell>
          <cell r="CN4">
            <v>341</v>
          </cell>
          <cell r="CO4">
            <v>380</v>
          </cell>
          <cell r="CP4">
            <v>357</v>
          </cell>
          <cell r="CQ4">
            <v>313</v>
          </cell>
          <cell r="CR4">
            <v>316</v>
          </cell>
          <cell r="CS4">
            <v>399</v>
          </cell>
          <cell r="CT4">
            <v>513</v>
          </cell>
          <cell r="CU4">
            <v>411</v>
          </cell>
          <cell r="CV4">
            <v>356</v>
          </cell>
          <cell r="CW4">
            <v>437</v>
          </cell>
          <cell r="CX4">
            <v>421</v>
          </cell>
          <cell r="CY4">
            <v>382</v>
          </cell>
          <cell r="CZ4">
            <v>401</v>
          </cell>
          <cell r="DA4">
            <v>403</v>
          </cell>
          <cell r="DB4">
            <v>382</v>
          </cell>
          <cell r="DC4">
            <v>359</v>
          </cell>
          <cell r="DD4">
            <v>333</v>
          </cell>
          <cell r="DE4">
            <v>408</v>
          </cell>
          <cell r="DF4">
            <v>339</v>
          </cell>
          <cell r="DG4">
            <v>358</v>
          </cell>
          <cell r="DH4">
            <v>381</v>
          </cell>
          <cell r="DI4">
            <v>430</v>
          </cell>
          <cell r="DJ4">
            <v>348</v>
          </cell>
          <cell r="DK4">
            <v>375</v>
          </cell>
          <cell r="DL4">
            <v>399</v>
          </cell>
          <cell r="DM4">
            <v>386</v>
          </cell>
          <cell r="DN4">
            <v>364</v>
          </cell>
          <cell r="DO4">
            <v>343</v>
          </cell>
          <cell r="DP4">
            <v>352</v>
          </cell>
          <cell r="DQ4">
            <v>387</v>
          </cell>
          <cell r="DR4">
            <v>401</v>
          </cell>
          <cell r="DS4">
            <v>301</v>
          </cell>
          <cell r="DT4">
            <v>335</v>
          </cell>
          <cell r="DU4">
            <v>373</v>
          </cell>
          <cell r="DV4">
            <v>351</v>
          </cell>
          <cell r="DW4">
            <v>377</v>
          </cell>
          <cell r="DX4">
            <v>391</v>
          </cell>
          <cell r="DY4">
            <v>331</v>
          </cell>
          <cell r="DZ4">
            <v>354</v>
          </cell>
          <cell r="EA4">
            <v>319</v>
          </cell>
          <cell r="EB4">
            <v>313</v>
          </cell>
          <cell r="EC4">
            <v>370</v>
          </cell>
        </row>
        <row r="6">
          <cell r="AL6">
            <v>41</v>
          </cell>
          <cell r="AM6">
            <v>37</v>
          </cell>
          <cell r="AN6">
            <v>36</v>
          </cell>
          <cell r="AO6">
            <v>50</v>
          </cell>
          <cell r="AP6">
            <v>25</v>
          </cell>
          <cell r="AQ6">
            <v>45</v>
          </cell>
          <cell r="AR6">
            <v>61</v>
          </cell>
          <cell r="AS6">
            <v>48</v>
          </cell>
          <cell r="AT6">
            <v>34</v>
          </cell>
          <cell r="AU6">
            <v>41</v>
          </cell>
          <cell r="AV6">
            <v>21</v>
          </cell>
          <cell r="AW6">
            <v>46</v>
          </cell>
          <cell r="AX6">
            <v>30</v>
          </cell>
          <cell r="AY6">
            <v>39</v>
          </cell>
          <cell r="AZ6">
            <v>65</v>
          </cell>
          <cell r="BA6">
            <v>58</v>
          </cell>
          <cell r="BB6">
            <v>39</v>
          </cell>
          <cell r="BC6">
            <v>38</v>
          </cell>
          <cell r="BD6">
            <v>52</v>
          </cell>
          <cell r="BE6">
            <v>44</v>
          </cell>
          <cell r="BF6">
            <v>42</v>
          </cell>
          <cell r="BG6">
            <v>37</v>
          </cell>
          <cell r="BH6">
            <v>36</v>
          </cell>
          <cell r="BI6">
            <v>33</v>
          </cell>
          <cell r="BJ6">
            <v>45</v>
          </cell>
          <cell r="BK6">
            <v>38</v>
          </cell>
          <cell r="BL6">
            <v>64</v>
          </cell>
          <cell r="BM6">
            <v>46</v>
          </cell>
          <cell r="BN6">
            <v>42</v>
          </cell>
          <cell r="BO6">
            <v>45</v>
          </cell>
          <cell r="BP6">
            <v>40</v>
          </cell>
          <cell r="BQ6">
            <v>39</v>
          </cell>
          <cell r="BR6">
            <v>53</v>
          </cell>
          <cell r="BS6">
            <v>46</v>
          </cell>
          <cell r="BT6">
            <v>40</v>
          </cell>
          <cell r="BU6">
            <v>43</v>
          </cell>
          <cell r="BV6">
            <v>29</v>
          </cell>
          <cell r="BW6">
            <v>35</v>
          </cell>
          <cell r="BX6">
            <v>55</v>
          </cell>
          <cell r="BY6">
            <v>41</v>
          </cell>
          <cell r="BZ6">
            <v>63</v>
          </cell>
          <cell r="CA6">
            <v>55</v>
          </cell>
          <cell r="CB6">
            <v>43</v>
          </cell>
          <cell r="CC6">
            <v>43</v>
          </cell>
          <cell r="CD6">
            <v>28</v>
          </cell>
          <cell r="CE6">
            <v>28</v>
          </cell>
          <cell r="CF6">
            <v>31</v>
          </cell>
          <cell r="CG6">
            <v>28</v>
          </cell>
          <cell r="CH6">
            <v>53</v>
          </cell>
          <cell r="CI6">
            <v>43</v>
          </cell>
          <cell r="CJ6">
            <v>50</v>
          </cell>
          <cell r="CK6">
            <v>53</v>
          </cell>
          <cell r="CL6">
            <v>43</v>
          </cell>
          <cell r="CM6">
            <v>56</v>
          </cell>
          <cell r="CN6">
            <v>39</v>
          </cell>
          <cell r="CO6">
            <v>43</v>
          </cell>
          <cell r="CP6">
            <v>37</v>
          </cell>
          <cell r="CQ6">
            <v>34</v>
          </cell>
          <cell r="CR6">
            <v>29</v>
          </cell>
          <cell r="CS6">
            <v>45</v>
          </cell>
          <cell r="CT6">
            <v>50</v>
          </cell>
          <cell r="CU6">
            <v>49</v>
          </cell>
          <cell r="CV6">
            <v>41</v>
          </cell>
          <cell r="CW6">
            <v>39</v>
          </cell>
          <cell r="CX6">
            <v>44</v>
          </cell>
          <cell r="CY6">
            <v>42</v>
          </cell>
          <cell r="CZ6">
            <v>48</v>
          </cell>
          <cell r="DA6">
            <v>48</v>
          </cell>
          <cell r="DB6">
            <v>46</v>
          </cell>
          <cell r="DC6">
            <v>39</v>
          </cell>
          <cell r="DD6">
            <v>38</v>
          </cell>
          <cell r="DE6">
            <v>47</v>
          </cell>
          <cell r="DF6">
            <v>38</v>
          </cell>
          <cell r="DG6">
            <v>44</v>
          </cell>
          <cell r="DH6">
            <v>55</v>
          </cell>
          <cell r="DI6">
            <v>54</v>
          </cell>
          <cell r="DJ6">
            <v>42</v>
          </cell>
          <cell r="DK6">
            <v>49</v>
          </cell>
          <cell r="DL6">
            <v>46</v>
          </cell>
          <cell r="DM6">
            <v>34</v>
          </cell>
          <cell r="DN6">
            <v>58</v>
          </cell>
          <cell r="DO6">
            <v>42</v>
          </cell>
          <cell r="DP6">
            <v>36</v>
          </cell>
          <cell r="DQ6">
            <v>49</v>
          </cell>
          <cell r="DR6">
            <v>41</v>
          </cell>
          <cell r="DS6">
            <v>29</v>
          </cell>
          <cell r="DT6">
            <v>48</v>
          </cell>
          <cell r="DU6">
            <v>51</v>
          </cell>
          <cell r="DV6">
            <v>50</v>
          </cell>
          <cell r="DW6">
            <v>38</v>
          </cell>
          <cell r="DX6">
            <v>41</v>
          </cell>
          <cell r="DY6">
            <v>40</v>
          </cell>
          <cell r="DZ6">
            <v>44</v>
          </cell>
          <cell r="EA6">
            <v>39</v>
          </cell>
          <cell r="EB6">
            <v>41</v>
          </cell>
          <cell r="EC6">
            <v>52</v>
          </cell>
        </row>
        <row r="7">
          <cell r="AL7">
            <v>51</v>
          </cell>
          <cell r="AM7">
            <v>52</v>
          </cell>
          <cell r="AN7">
            <v>66</v>
          </cell>
          <cell r="AO7">
            <v>72</v>
          </cell>
          <cell r="AP7">
            <v>75</v>
          </cell>
          <cell r="AQ7">
            <v>61</v>
          </cell>
          <cell r="AR7">
            <v>61</v>
          </cell>
          <cell r="AS7">
            <v>67</v>
          </cell>
          <cell r="AT7">
            <v>51</v>
          </cell>
          <cell r="AU7">
            <v>61</v>
          </cell>
          <cell r="AV7">
            <v>65</v>
          </cell>
          <cell r="AW7">
            <v>74</v>
          </cell>
          <cell r="AX7">
            <v>64</v>
          </cell>
          <cell r="AY7">
            <v>68</v>
          </cell>
          <cell r="AZ7">
            <v>78</v>
          </cell>
          <cell r="BA7">
            <v>91</v>
          </cell>
          <cell r="BB7">
            <v>71</v>
          </cell>
          <cell r="BC7">
            <v>65</v>
          </cell>
          <cell r="BD7">
            <v>80</v>
          </cell>
          <cell r="BE7">
            <v>66</v>
          </cell>
          <cell r="BF7">
            <v>98</v>
          </cell>
          <cell r="BG7">
            <v>61</v>
          </cell>
          <cell r="BH7">
            <v>58</v>
          </cell>
          <cell r="BI7">
            <v>79</v>
          </cell>
          <cell r="BJ7">
            <v>73</v>
          </cell>
          <cell r="BK7">
            <v>82</v>
          </cell>
          <cell r="BL7">
            <v>72</v>
          </cell>
          <cell r="BM7">
            <v>83</v>
          </cell>
          <cell r="BN7">
            <v>80</v>
          </cell>
          <cell r="BO7">
            <v>79</v>
          </cell>
          <cell r="BP7">
            <v>95</v>
          </cell>
          <cell r="BQ7">
            <v>83</v>
          </cell>
          <cell r="BR7">
            <v>91</v>
          </cell>
          <cell r="BS7">
            <v>69</v>
          </cell>
          <cell r="BT7">
            <v>71</v>
          </cell>
          <cell r="BU7">
            <v>92</v>
          </cell>
          <cell r="BV7">
            <v>83</v>
          </cell>
          <cell r="BW7">
            <v>105</v>
          </cell>
          <cell r="BX7">
            <v>85</v>
          </cell>
          <cell r="BY7">
            <v>91</v>
          </cell>
          <cell r="BZ7">
            <v>120</v>
          </cell>
          <cell r="CA7">
            <v>85</v>
          </cell>
          <cell r="CB7">
            <v>101</v>
          </cell>
          <cell r="CC7">
            <v>94</v>
          </cell>
          <cell r="CD7">
            <v>75</v>
          </cell>
          <cell r="CE7">
            <v>73</v>
          </cell>
          <cell r="CF7">
            <v>85</v>
          </cell>
          <cell r="CG7">
            <v>100</v>
          </cell>
          <cell r="CH7">
            <v>92</v>
          </cell>
          <cell r="CI7">
            <v>128</v>
          </cell>
          <cell r="CJ7">
            <v>113</v>
          </cell>
          <cell r="CK7">
            <v>108</v>
          </cell>
          <cell r="CL7">
            <v>92</v>
          </cell>
          <cell r="CM7">
            <v>92</v>
          </cell>
          <cell r="CN7">
            <v>90</v>
          </cell>
          <cell r="CO7">
            <v>96</v>
          </cell>
          <cell r="CP7">
            <v>97</v>
          </cell>
          <cell r="CQ7">
            <v>98</v>
          </cell>
          <cell r="CR7">
            <v>80</v>
          </cell>
          <cell r="CS7">
            <v>114</v>
          </cell>
          <cell r="CT7">
            <v>83</v>
          </cell>
          <cell r="CU7">
            <v>102</v>
          </cell>
          <cell r="CV7">
            <v>89</v>
          </cell>
          <cell r="CW7">
            <v>100</v>
          </cell>
          <cell r="CX7">
            <v>105</v>
          </cell>
          <cell r="CY7">
            <v>87</v>
          </cell>
          <cell r="CZ7">
            <v>78</v>
          </cell>
          <cell r="DA7">
            <v>115</v>
          </cell>
          <cell r="DB7">
            <v>81</v>
          </cell>
          <cell r="DC7">
            <v>70</v>
          </cell>
          <cell r="DD7">
            <v>83</v>
          </cell>
          <cell r="DE7">
            <v>108</v>
          </cell>
          <cell r="DF7">
            <v>86</v>
          </cell>
          <cell r="DG7">
            <v>85</v>
          </cell>
          <cell r="DH7">
            <v>87</v>
          </cell>
          <cell r="DI7">
            <v>83</v>
          </cell>
          <cell r="DJ7">
            <v>78</v>
          </cell>
          <cell r="DK7">
            <v>69</v>
          </cell>
          <cell r="DL7">
            <v>89</v>
          </cell>
          <cell r="DM7">
            <v>100</v>
          </cell>
          <cell r="DN7">
            <v>75</v>
          </cell>
          <cell r="DO7">
            <v>81</v>
          </cell>
          <cell r="DP7">
            <v>86</v>
          </cell>
          <cell r="DQ7">
            <v>88</v>
          </cell>
          <cell r="DR7">
            <v>82</v>
          </cell>
          <cell r="DS7">
            <v>78</v>
          </cell>
          <cell r="DT7">
            <v>82</v>
          </cell>
          <cell r="DU7">
            <v>94</v>
          </cell>
          <cell r="DV7">
            <v>70</v>
          </cell>
          <cell r="DW7">
            <v>74</v>
          </cell>
          <cell r="DX7">
            <v>65</v>
          </cell>
          <cell r="DY7">
            <v>68</v>
          </cell>
          <cell r="DZ7">
            <v>80</v>
          </cell>
          <cell r="EA7">
            <v>69</v>
          </cell>
          <cell r="EB7">
            <v>79</v>
          </cell>
          <cell r="EC7">
            <v>100</v>
          </cell>
        </row>
        <row r="8">
          <cell r="CH8">
            <v>5</v>
          </cell>
          <cell r="CI8">
            <v>4</v>
          </cell>
          <cell r="CJ8">
            <v>7</v>
          </cell>
          <cell r="CK8">
            <v>3</v>
          </cell>
          <cell r="CL8">
            <v>3</v>
          </cell>
          <cell r="CM8" t="str">
            <v>0</v>
          </cell>
          <cell r="CN8">
            <v>4</v>
          </cell>
          <cell r="CO8">
            <v>2</v>
          </cell>
          <cell r="CP8">
            <v>5</v>
          </cell>
          <cell r="CQ8">
            <v>7</v>
          </cell>
          <cell r="CR8">
            <v>4</v>
          </cell>
          <cell r="CS8">
            <v>4</v>
          </cell>
          <cell r="CT8">
            <v>3</v>
          </cell>
          <cell r="CU8">
            <v>2</v>
          </cell>
          <cell r="CV8">
            <v>4</v>
          </cell>
          <cell r="CW8">
            <v>5</v>
          </cell>
          <cell r="CX8">
            <v>2</v>
          </cell>
          <cell r="CY8">
            <v>0</v>
          </cell>
          <cell r="CZ8">
            <v>3</v>
          </cell>
          <cell r="DA8">
            <v>4</v>
          </cell>
          <cell r="DB8">
            <v>3</v>
          </cell>
          <cell r="DC8">
            <v>1</v>
          </cell>
          <cell r="DD8">
            <v>2</v>
          </cell>
          <cell r="DE8">
            <v>3</v>
          </cell>
          <cell r="DF8">
            <v>4</v>
          </cell>
          <cell r="DG8">
            <v>4</v>
          </cell>
          <cell r="DH8">
            <v>3</v>
          </cell>
          <cell r="DI8">
            <v>3</v>
          </cell>
          <cell r="DJ8">
            <v>1</v>
          </cell>
          <cell r="DK8">
            <v>1</v>
          </cell>
          <cell r="DL8">
            <v>5</v>
          </cell>
          <cell r="DM8">
            <v>3</v>
          </cell>
          <cell r="DN8">
            <v>7</v>
          </cell>
          <cell r="DO8">
            <v>4</v>
          </cell>
          <cell r="DP8">
            <v>4</v>
          </cell>
          <cell r="DQ8">
            <v>4</v>
          </cell>
          <cell r="DR8">
            <v>2</v>
          </cell>
          <cell r="DS8">
            <v>0</v>
          </cell>
          <cell r="DT8">
            <v>4</v>
          </cell>
          <cell r="DU8">
            <v>6</v>
          </cell>
          <cell r="DV8">
            <v>1</v>
          </cell>
          <cell r="DW8">
            <v>7</v>
          </cell>
          <cell r="DX8">
            <v>4</v>
          </cell>
          <cell r="DY8">
            <v>5</v>
          </cell>
          <cell r="DZ8">
            <v>4</v>
          </cell>
          <cell r="EA8">
            <v>6</v>
          </cell>
          <cell r="EB8">
            <v>3</v>
          </cell>
          <cell r="EC8">
            <v>1</v>
          </cell>
        </row>
        <row r="9">
          <cell r="AL9">
            <v>8</v>
          </cell>
          <cell r="AM9">
            <v>9</v>
          </cell>
          <cell r="AN9">
            <v>13</v>
          </cell>
          <cell r="AO9">
            <v>14</v>
          </cell>
          <cell r="AP9">
            <v>7</v>
          </cell>
          <cell r="AQ9">
            <v>7</v>
          </cell>
          <cell r="AR9">
            <v>13</v>
          </cell>
          <cell r="AS9">
            <v>7</v>
          </cell>
          <cell r="AT9">
            <v>7</v>
          </cell>
          <cell r="AU9">
            <v>7</v>
          </cell>
          <cell r="AV9">
            <v>14</v>
          </cell>
          <cell r="AW9">
            <v>5</v>
          </cell>
          <cell r="AX9">
            <v>9</v>
          </cell>
          <cell r="AY9">
            <v>6</v>
          </cell>
          <cell r="AZ9">
            <v>11</v>
          </cell>
          <cell r="BA9">
            <v>16</v>
          </cell>
          <cell r="BB9">
            <v>3</v>
          </cell>
          <cell r="BC9">
            <v>10</v>
          </cell>
          <cell r="BD9">
            <v>12</v>
          </cell>
          <cell r="BE9">
            <v>11</v>
          </cell>
          <cell r="BF9">
            <v>8</v>
          </cell>
          <cell r="BG9">
            <v>12</v>
          </cell>
          <cell r="BH9">
            <v>9</v>
          </cell>
          <cell r="BI9">
            <v>11</v>
          </cell>
          <cell r="BJ9">
            <v>5</v>
          </cell>
          <cell r="BK9">
            <v>5</v>
          </cell>
          <cell r="BL9">
            <v>3</v>
          </cell>
          <cell r="BM9">
            <v>12</v>
          </cell>
          <cell r="BN9">
            <v>6</v>
          </cell>
          <cell r="BO9">
            <v>6</v>
          </cell>
          <cell r="BP9">
            <v>6</v>
          </cell>
          <cell r="BQ9">
            <v>3</v>
          </cell>
          <cell r="BR9">
            <v>5</v>
          </cell>
          <cell r="BS9">
            <v>9</v>
          </cell>
          <cell r="BT9">
            <v>4</v>
          </cell>
          <cell r="BU9">
            <v>13</v>
          </cell>
          <cell r="BV9">
            <v>2</v>
          </cell>
          <cell r="BW9">
            <v>8</v>
          </cell>
          <cell r="BX9">
            <v>14</v>
          </cell>
          <cell r="BY9">
            <v>6</v>
          </cell>
          <cell r="BZ9">
            <v>7</v>
          </cell>
          <cell r="CA9">
            <v>9</v>
          </cell>
          <cell r="CB9">
            <v>8</v>
          </cell>
          <cell r="CC9">
            <v>3</v>
          </cell>
          <cell r="CD9">
            <v>6</v>
          </cell>
          <cell r="CE9">
            <v>4</v>
          </cell>
          <cell r="CF9">
            <v>6</v>
          </cell>
          <cell r="CG9">
            <v>8</v>
          </cell>
          <cell r="CH9">
            <v>4</v>
          </cell>
          <cell r="CI9">
            <v>9</v>
          </cell>
          <cell r="CJ9">
            <v>14</v>
          </cell>
          <cell r="CK9">
            <v>7</v>
          </cell>
          <cell r="CL9">
            <v>4</v>
          </cell>
          <cell r="CM9">
            <v>11</v>
          </cell>
          <cell r="CN9">
            <v>8</v>
          </cell>
          <cell r="CO9">
            <v>13</v>
          </cell>
          <cell r="CP9">
            <v>13</v>
          </cell>
          <cell r="CQ9">
            <v>8</v>
          </cell>
          <cell r="CR9">
            <v>4</v>
          </cell>
          <cell r="CS9">
            <v>8</v>
          </cell>
          <cell r="CT9">
            <v>5</v>
          </cell>
          <cell r="CU9">
            <v>3</v>
          </cell>
          <cell r="CV9">
            <v>9</v>
          </cell>
          <cell r="CW9">
            <v>12</v>
          </cell>
          <cell r="CX9">
            <v>8</v>
          </cell>
          <cell r="CY9">
            <v>9</v>
          </cell>
          <cell r="CZ9">
            <v>8</v>
          </cell>
          <cell r="DA9">
            <v>12</v>
          </cell>
          <cell r="DB9">
            <v>7</v>
          </cell>
          <cell r="DC9">
            <v>7</v>
          </cell>
          <cell r="DD9">
            <v>9</v>
          </cell>
          <cell r="DE9">
            <v>15</v>
          </cell>
          <cell r="DF9">
            <v>7</v>
          </cell>
          <cell r="DG9">
            <v>5</v>
          </cell>
          <cell r="DH9">
            <v>5</v>
          </cell>
          <cell r="DI9">
            <v>7</v>
          </cell>
          <cell r="DJ9">
            <v>7</v>
          </cell>
          <cell r="DK9">
            <v>8</v>
          </cell>
          <cell r="DL9">
            <v>18</v>
          </cell>
          <cell r="DM9">
            <v>12</v>
          </cell>
          <cell r="DN9">
            <v>9</v>
          </cell>
          <cell r="DO9">
            <v>15</v>
          </cell>
          <cell r="DP9">
            <v>10</v>
          </cell>
          <cell r="DQ9">
            <v>3</v>
          </cell>
          <cell r="DR9">
            <v>12</v>
          </cell>
          <cell r="DS9">
            <v>13</v>
          </cell>
          <cell r="DT9">
            <v>7</v>
          </cell>
          <cell r="DU9">
            <v>5</v>
          </cell>
          <cell r="DV9">
            <v>14</v>
          </cell>
          <cell r="DW9">
            <v>11</v>
          </cell>
          <cell r="DX9">
            <v>16</v>
          </cell>
          <cell r="DY9">
            <v>4</v>
          </cell>
          <cell r="DZ9">
            <v>9</v>
          </cell>
          <cell r="EA9">
            <v>8</v>
          </cell>
          <cell r="EB9">
            <v>9</v>
          </cell>
          <cell r="EC9">
            <v>14</v>
          </cell>
        </row>
        <row r="10">
          <cell r="CH10" t="str">
            <v>0</v>
          </cell>
          <cell r="CI10" t="str">
            <v>0</v>
          </cell>
          <cell r="CJ10" t="str">
            <v>0</v>
          </cell>
          <cell r="CK10" t="str">
            <v>0</v>
          </cell>
          <cell r="CL10" t="str">
            <v>0</v>
          </cell>
          <cell r="CM10" t="str">
            <v>0</v>
          </cell>
          <cell r="CN10" t="str">
            <v>0</v>
          </cell>
          <cell r="CO10">
            <v>1</v>
          </cell>
          <cell r="CP10" t="str">
            <v>0</v>
          </cell>
          <cell r="CQ10">
            <v>1</v>
          </cell>
          <cell r="CR10" t="str">
            <v>0</v>
          </cell>
          <cell r="CS10" t="str">
            <v>0</v>
          </cell>
          <cell r="CT10">
            <v>0</v>
          </cell>
          <cell r="CU10">
            <v>0</v>
          </cell>
          <cell r="CV10">
            <v>1</v>
          </cell>
          <cell r="CW10">
            <v>0</v>
          </cell>
          <cell r="CX10">
            <v>0</v>
          </cell>
          <cell r="CY10">
            <v>0</v>
          </cell>
          <cell r="CZ10">
            <v>0</v>
          </cell>
          <cell r="DA10">
            <v>0</v>
          </cell>
          <cell r="DB10">
            <v>0</v>
          </cell>
          <cell r="DC10">
            <v>1</v>
          </cell>
          <cell r="DD10">
            <v>0</v>
          </cell>
          <cell r="DE10">
            <v>1</v>
          </cell>
          <cell r="DF10">
            <v>0</v>
          </cell>
          <cell r="DG10">
            <v>1</v>
          </cell>
          <cell r="DH10">
            <v>1</v>
          </cell>
          <cell r="DI10">
            <v>0</v>
          </cell>
          <cell r="DJ10">
            <v>0</v>
          </cell>
          <cell r="DK10">
            <v>0</v>
          </cell>
          <cell r="DL10">
            <v>3</v>
          </cell>
          <cell r="DM10">
            <v>1</v>
          </cell>
          <cell r="DN10">
            <v>1</v>
          </cell>
          <cell r="DO10">
            <v>0</v>
          </cell>
          <cell r="DP10">
            <v>0</v>
          </cell>
          <cell r="DQ10">
            <v>0</v>
          </cell>
          <cell r="DR10">
            <v>2</v>
          </cell>
          <cell r="DS10">
            <v>1</v>
          </cell>
          <cell r="DT10">
            <v>0</v>
          </cell>
          <cell r="DU10">
            <v>0</v>
          </cell>
          <cell r="DV10">
            <v>0</v>
          </cell>
          <cell r="DW10">
            <v>0</v>
          </cell>
          <cell r="DX10">
            <v>0</v>
          </cell>
          <cell r="DY10">
            <v>0</v>
          </cell>
          <cell r="DZ10">
            <v>2</v>
          </cell>
          <cell r="EA10">
            <v>0</v>
          </cell>
          <cell r="EB10">
            <v>3</v>
          </cell>
          <cell r="EC10">
            <v>1</v>
          </cell>
        </row>
        <row r="11">
          <cell r="AL11">
            <v>1</v>
          </cell>
          <cell r="AM11">
            <v>1</v>
          </cell>
          <cell r="AN11">
            <v>1</v>
          </cell>
          <cell r="AO11">
            <v>4</v>
          </cell>
          <cell r="AP11">
            <v>3</v>
          </cell>
          <cell r="AQ11">
            <v>6</v>
          </cell>
          <cell r="AR11">
            <v>1</v>
          </cell>
          <cell r="AS11">
            <v>1</v>
          </cell>
          <cell r="AT11">
            <v>2</v>
          </cell>
          <cell r="AU11">
            <v>4</v>
          </cell>
          <cell r="AV11">
            <v>2</v>
          </cell>
          <cell r="AW11">
            <v>3</v>
          </cell>
          <cell r="AX11">
            <v>6</v>
          </cell>
          <cell r="AY11" t="str">
            <v>0</v>
          </cell>
          <cell r="AZ11">
            <v>4</v>
          </cell>
          <cell r="BA11">
            <v>4</v>
          </cell>
          <cell r="BB11">
            <v>1</v>
          </cell>
          <cell r="BC11">
            <v>4</v>
          </cell>
          <cell r="BD11">
            <v>8</v>
          </cell>
          <cell r="BE11">
            <v>8</v>
          </cell>
          <cell r="BF11">
            <v>5</v>
          </cell>
          <cell r="BG11">
            <v>5</v>
          </cell>
          <cell r="BH11">
            <v>4</v>
          </cell>
          <cell r="BI11">
            <v>2</v>
          </cell>
          <cell r="BJ11">
            <v>3</v>
          </cell>
          <cell r="BK11">
            <v>1</v>
          </cell>
          <cell r="BL11">
            <v>2</v>
          </cell>
          <cell r="BM11">
            <v>4</v>
          </cell>
          <cell r="BN11">
            <v>4</v>
          </cell>
          <cell r="BO11">
            <v>3</v>
          </cell>
          <cell r="BP11">
            <v>3</v>
          </cell>
          <cell r="BQ11">
            <v>2</v>
          </cell>
          <cell r="BR11">
            <v>1</v>
          </cell>
          <cell r="BS11">
            <v>1</v>
          </cell>
          <cell r="BT11">
            <v>5</v>
          </cell>
          <cell r="BU11">
            <v>2</v>
          </cell>
          <cell r="BV11" t="str">
            <v>0</v>
          </cell>
          <cell r="BW11">
            <v>3</v>
          </cell>
          <cell r="BX11">
            <v>5</v>
          </cell>
          <cell r="BY11">
            <v>1</v>
          </cell>
          <cell r="BZ11">
            <v>1</v>
          </cell>
          <cell r="CA11">
            <v>3</v>
          </cell>
          <cell r="CB11">
            <v>3</v>
          </cell>
          <cell r="CC11">
            <v>2</v>
          </cell>
          <cell r="CD11">
            <v>1</v>
          </cell>
          <cell r="CE11">
            <v>1</v>
          </cell>
          <cell r="CF11">
            <v>2</v>
          </cell>
          <cell r="CG11">
            <v>5</v>
          </cell>
          <cell r="CH11">
            <v>2</v>
          </cell>
          <cell r="CI11">
            <v>3</v>
          </cell>
          <cell r="CJ11">
            <v>2</v>
          </cell>
          <cell r="CK11">
            <v>2</v>
          </cell>
          <cell r="CL11">
            <v>2</v>
          </cell>
          <cell r="CM11" t="str">
            <v>0</v>
          </cell>
          <cell r="CN11" t="str">
            <v>0</v>
          </cell>
          <cell r="CO11" t="str">
            <v>0</v>
          </cell>
          <cell r="CP11">
            <v>2</v>
          </cell>
          <cell r="CQ11">
            <v>2</v>
          </cell>
          <cell r="CR11">
            <v>2</v>
          </cell>
          <cell r="CS11">
            <v>5</v>
          </cell>
          <cell r="CT11">
            <v>0</v>
          </cell>
          <cell r="CU11">
            <v>4</v>
          </cell>
          <cell r="CV11">
            <v>3</v>
          </cell>
          <cell r="CW11">
            <v>2</v>
          </cell>
          <cell r="CX11">
            <v>4</v>
          </cell>
          <cell r="CY11">
            <v>3</v>
          </cell>
          <cell r="CZ11">
            <v>2</v>
          </cell>
          <cell r="DA11">
            <v>0</v>
          </cell>
          <cell r="DB11">
            <v>5</v>
          </cell>
          <cell r="DC11">
            <v>4</v>
          </cell>
          <cell r="DD11">
            <v>1</v>
          </cell>
          <cell r="DE11">
            <v>3</v>
          </cell>
          <cell r="DF11">
            <v>5</v>
          </cell>
          <cell r="DG11">
            <v>1</v>
          </cell>
          <cell r="DH11">
            <v>2</v>
          </cell>
          <cell r="DI11">
            <v>3</v>
          </cell>
          <cell r="DJ11">
            <v>3</v>
          </cell>
          <cell r="DK11">
            <v>2</v>
          </cell>
          <cell r="DL11">
            <v>1</v>
          </cell>
          <cell r="DM11">
            <v>3</v>
          </cell>
          <cell r="DN11">
            <v>5</v>
          </cell>
          <cell r="DO11">
            <v>3</v>
          </cell>
          <cell r="DP11">
            <v>1</v>
          </cell>
          <cell r="DQ11">
            <v>8</v>
          </cell>
          <cell r="DR11">
            <v>4</v>
          </cell>
          <cell r="DS11">
            <v>1</v>
          </cell>
          <cell r="DT11">
            <v>4</v>
          </cell>
          <cell r="DU11">
            <v>1</v>
          </cell>
          <cell r="DV11">
            <v>3</v>
          </cell>
          <cell r="DW11">
            <v>4</v>
          </cell>
          <cell r="DX11">
            <v>4</v>
          </cell>
          <cell r="DY11">
            <v>6</v>
          </cell>
          <cell r="DZ11">
            <v>0</v>
          </cell>
          <cell r="EA11">
            <v>3</v>
          </cell>
          <cell r="EB11">
            <v>2</v>
          </cell>
          <cell r="EC11">
            <v>1</v>
          </cell>
        </row>
        <row r="12">
          <cell r="AL12">
            <v>36</v>
          </cell>
          <cell r="AM12">
            <v>30</v>
          </cell>
          <cell r="AN12">
            <v>25</v>
          </cell>
          <cell r="AO12">
            <v>30</v>
          </cell>
          <cell r="AP12">
            <v>24</v>
          </cell>
          <cell r="AQ12">
            <v>26</v>
          </cell>
          <cell r="AR12">
            <v>49</v>
          </cell>
          <cell r="AS12">
            <v>38</v>
          </cell>
          <cell r="AT12">
            <v>33</v>
          </cell>
          <cell r="AU12">
            <v>50</v>
          </cell>
          <cell r="AV12">
            <v>40</v>
          </cell>
          <cell r="AW12">
            <v>44</v>
          </cell>
          <cell r="AX12">
            <v>36</v>
          </cell>
          <cell r="AY12">
            <v>22</v>
          </cell>
          <cell r="AZ12">
            <v>34</v>
          </cell>
          <cell r="BA12">
            <v>25</v>
          </cell>
          <cell r="BB12">
            <v>23</v>
          </cell>
          <cell r="BC12">
            <v>42</v>
          </cell>
          <cell r="BD12">
            <v>38</v>
          </cell>
          <cell r="BE12">
            <v>51</v>
          </cell>
          <cell r="BF12">
            <v>52</v>
          </cell>
          <cell r="BG12">
            <v>38</v>
          </cell>
          <cell r="BH12">
            <v>46</v>
          </cell>
          <cell r="BI12">
            <v>35</v>
          </cell>
          <cell r="BJ12">
            <v>35</v>
          </cell>
          <cell r="BK12">
            <v>38</v>
          </cell>
          <cell r="BL12">
            <v>30</v>
          </cell>
          <cell r="BM12">
            <v>38</v>
          </cell>
          <cell r="BN12">
            <v>32</v>
          </cell>
          <cell r="BO12">
            <v>26</v>
          </cell>
          <cell r="BP12">
            <v>41</v>
          </cell>
          <cell r="BQ12">
            <v>25</v>
          </cell>
          <cell r="BR12">
            <v>38</v>
          </cell>
          <cell r="BS12">
            <v>22</v>
          </cell>
          <cell r="BT12">
            <v>19</v>
          </cell>
          <cell r="BU12">
            <v>15</v>
          </cell>
          <cell r="BV12">
            <v>12</v>
          </cell>
          <cell r="BW12">
            <v>23</v>
          </cell>
          <cell r="BX12">
            <v>20</v>
          </cell>
          <cell r="BY12">
            <v>17</v>
          </cell>
          <cell r="BZ12">
            <v>29</v>
          </cell>
          <cell r="CA12">
            <v>28</v>
          </cell>
          <cell r="CB12">
            <v>21</v>
          </cell>
          <cell r="CC12">
            <v>17</v>
          </cell>
          <cell r="CD12">
            <v>20</v>
          </cell>
          <cell r="CE12">
            <v>22</v>
          </cell>
          <cell r="CF12">
            <v>17</v>
          </cell>
          <cell r="CG12">
            <v>16</v>
          </cell>
          <cell r="CH12">
            <v>10</v>
          </cell>
          <cell r="CI12">
            <v>14</v>
          </cell>
          <cell r="CJ12">
            <v>15</v>
          </cell>
          <cell r="CK12">
            <v>15</v>
          </cell>
          <cell r="CL12">
            <v>13</v>
          </cell>
          <cell r="CM12">
            <v>17</v>
          </cell>
          <cell r="CN12">
            <v>16</v>
          </cell>
          <cell r="CO12">
            <v>14</v>
          </cell>
          <cell r="CP12">
            <v>18</v>
          </cell>
          <cell r="CQ12">
            <v>11</v>
          </cell>
          <cell r="CR12">
            <v>13</v>
          </cell>
          <cell r="CS12">
            <v>12</v>
          </cell>
          <cell r="CT12">
            <v>20</v>
          </cell>
          <cell r="CU12">
            <v>13</v>
          </cell>
          <cell r="CV12">
            <v>17</v>
          </cell>
          <cell r="CW12">
            <v>13</v>
          </cell>
          <cell r="CX12">
            <v>18</v>
          </cell>
          <cell r="CY12">
            <v>8</v>
          </cell>
          <cell r="CZ12">
            <v>21</v>
          </cell>
          <cell r="DA12">
            <v>6</v>
          </cell>
          <cell r="DB12">
            <v>21</v>
          </cell>
          <cell r="DC12">
            <v>20</v>
          </cell>
          <cell r="DD12">
            <v>9</v>
          </cell>
          <cell r="DE12">
            <v>11</v>
          </cell>
          <cell r="DF12">
            <v>13</v>
          </cell>
          <cell r="DG12">
            <v>18</v>
          </cell>
          <cell r="DH12">
            <v>11</v>
          </cell>
          <cell r="DI12">
            <v>25</v>
          </cell>
          <cell r="DJ12">
            <v>25</v>
          </cell>
          <cell r="DK12">
            <v>17</v>
          </cell>
          <cell r="DL12">
            <v>8</v>
          </cell>
          <cell r="DM12">
            <v>17</v>
          </cell>
          <cell r="DN12">
            <v>18</v>
          </cell>
          <cell r="DO12">
            <v>12</v>
          </cell>
          <cell r="DP12">
            <v>12</v>
          </cell>
          <cell r="DQ12">
            <v>19</v>
          </cell>
          <cell r="DR12">
            <v>24</v>
          </cell>
          <cell r="DS12">
            <v>6</v>
          </cell>
          <cell r="DT12">
            <v>11</v>
          </cell>
          <cell r="DU12">
            <v>15</v>
          </cell>
          <cell r="DV12">
            <v>26</v>
          </cell>
          <cell r="DW12">
            <v>25</v>
          </cell>
          <cell r="DX12">
            <v>16</v>
          </cell>
          <cell r="DY12">
            <v>11</v>
          </cell>
          <cell r="DZ12">
            <v>21</v>
          </cell>
          <cell r="EA12">
            <v>15</v>
          </cell>
          <cell r="EB12">
            <v>15</v>
          </cell>
          <cell r="EC12">
            <v>7</v>
          </cell>
        </row>
        <row r="13">
          <cell r="CH13">
            <v>13</v>
          </cell>
          <cell r="CI13">
            <v>5</v>
          </cell>
          <cell r="CJ13">
            <v>6</v>
          </cell>
          <cell r="CK13">
            <v>10</v>
          </cell>
          <cell r="CL13">
            <v>9</v>
          </cell>
          <cell r="CM13">
            <v>6</v>
          </cell>
          <cell r="CN13">
            <v>9</v>
          </cell>
          <cell r="CO13">
            <v>6</v>
          </cell>
          <cell r="CP13">
            <v>5</v>
          </cell>
          <cell r="CQ13">
            <v>12</v>
          </cell>
          <cell r="CR13">
            <v>8</v>
          </cell>
          <cell r="CS13">
            <v>16</v>
          </cell>
          <cell r="CT13">
            <v>10</v>
          </cell>
          <cell r="CU13">
            <v>10</v>
          </cell>
          <cell r="CV13">
            <v>7</v>
          </cell>
          <cell r="CW13">
            <v>5</v>
          </cell>
          <cell r="CX13">
            <v>10</v>
          </cell>
          <cell r="CY13">
            <v>14</v>
          </cell>
          <cell r="CZ13">
            <v>10</v>
          </cell>
          <cell r="DA13">
            <v>14</v>
          </cell>
          <cell r="DB13">
            <v>12</v>
          </cell>
          <cell r="DC13">
            <v>15</v>
          </cell>
          <cell r="DD13">
            <v>14</v>
          </cell>
          <cell r="DE13">
            <v>15</v>
          </cell>
          <cell r="DF13">
            <v>11</v>
          </cell>
          <cell r="DG13">
            <v>4</v>
          </cell>
          <cell r="DH13">
            <v>6</v>
          </cell>
          <cell r="DI13">
            <v>8</v>
          </cell>
          <cell r="DJ13">
            <v>10</v>
          </cell>
          <cell r="DK13">
            <v>15</v>
          </cell>
          <cell r="DL13">
            <v>14</v>
          </cell>
          <cell r="DM13">
            <v>17</v>
          </cell>
          <cell r="DN13">
            <v>10</v>
          </cell>
          <cell r="DO13">
            <v>9</v>
          </cell>
          <cell r="DP13">
            <v>7</v>
          </cell>
          <cell r="DQ13">
            <v>10</v>
          </cell>
          <cell r="DR13">
            <v>5</v>
          </cell>
          <cell r="DS13">
            <v>9</v>
          </cell>
          <cell r="DT13">
            <v>3</v>
          </cell>
          <cell r="DU13">
            <v>3</v>
          </cell>
          <cell r="DV13">
            <v>10</v>
          </cell>
          <cell r="DW13">
            <v>11</v>
          </cell>
          <cell r="DX13">
            <v>4</v>
          </cell>
          <cell r="DY13">
            <v>7</v>
          </cell>
          <cell r="DZ13">
            <v>6</v>
          </cell>
          <cell r="EA13">
            <v>7</v>
          </cell>
          <cell r="EB13">
            <v>5</v>
          </cell>
          <cell r="EC13">
            <v>4</v>
          </cell>
        </row>
        <row r="14">
          <cell r="CH14">
            <v>37</v>
          </cell>
          <cell r="CI14">
            <v>30</v>
          </cell>
          <cell r="CJ14">
            <v>24</v>
          </cell>
          <cell r="CK14">
            <v>27</v>
          </cell>
          <cell r="CL14">
            <v>23</v>
          </cell>
          <cell r="CM14">
            <v>34</v>
          </cell>
          <cell r="CN14">
            <v>41</v>
          </cell>
          <cell r="CO14">
            <v>61</v>
          </cell>
          <cell r="CP14">
            <v>45</v>
          </cell>
          <cell r="CQ14">
            <v>28</v>
          </cell>
          <cell r="CR14">
            <v>57</v>
          </cell>
          <cell r="CS14">
            <v>47</v>
          </cell>
          <cell r="CT14">
            <v>58</v>
          </cell>
          <cell r="CU14">
            <v>61</v>
          </cell>
          <cell r="CV14">
            <v>53</v>
          </cell>
          <cell r="CW14">
            <v>66</v>
          </cell>
          <cell r="CX14">
            <v>59</v>
          </cell>
          <cell r="CY14">
            <v>73</v>
          </cell>
          <cell r="CZ14">
            <v>88</v>
          </cell>
          <cell r="DA14">
            <v>75</v>
          </cell>
          <cell r="DB14">
            <v>60</v>
          </cell>
          <cell r="DC14">
            <v>60</v>
          </cell>
          <cell r="DD14">
            <v>43</v>
          </cell>
          <cell r="DE14">
            <v>55</v>
          </cell>
          <cell r="DF14">
            <v>40</v>
          </cell>
          <cell r="DG14">
            <v>45</v>
          </cell>
          <cell r="DH14">
            <v>52</v>
          </cell>
          <cell r="DI14">
            <v>74</v>
          </cell>
          <cell r="DJ14">
            <v>50</v>
          </cell>
          <cell r="DK14">
            <v>57</v>
          </cell>
          <cell r="DL14">
            <v>43</v>
          </cell>
          <cell r="DM14">
            <v>68</v>
          </cell>
          <cell r="DN14">
            <v>62</v>
          </cell>
          <cell r="DO14">
            <v>67</v>
          </cell>
          <cell r="DP14">
            <v>70</v>
          </cell>
          <cell r="DQ14">
            <v>81</v>
          </cell>
          <cell r="DR14">
            <v>94</v>
          </cell>
          <cell r="DS14">
            <v>52</v>
          </cell>
          <cell r="DT14">
            <v>44</v>
          </cell>
          <cell r="DU14">
            <v>48</v>
          </cell>
          <cell r="DV14">
            <v>54</v>
          </cell>
          <cell r="DW14">
            <v>79</v>
          </cell>
          <cell r="DX14">
            <v>95</v>
          </cell>
          <cell r="DY14">
            <v>45</v>
          </cell>
          <cell r="DZ14">
            <v>73</v>
          </cell>
          <cell r="EA14">
            <v>55</v>
          </cell>
          <cell r="EB14">
            <v>56</v>
          </cell>
          <cell r="EC14">
            <v>55</v>
          </cell>
        </row>
        <row r="15">
          <cell r="CH15">
            <v>6</v>
          </cell>
          <cell r="CI15">
            <v>7</v>
          </cell>
          <cell r="CJ15">
            <v>14</v>
          </cell>
          <cell r="CK15">
            <v>10</v>
          </cell>
          <cell r="CL15">
            <v>10</v>
          </cell>
          <cell r="CM15">
            <v>9</v>
          </cell>
          <cell r="CN15">
            <v>10</v>
          </cell>
          <cell r="CO15">
            <v>11</v>
          </cell>
          <cell r="CP15">
            <v>17</v>
          </cell>
          <cell r="CQ15">
            <v>8</v>
          </cell>
          <cell r="CR15">
            <v>16</v>
          </cell>
          <cell r="CS15">
            <v>24</v>
          </cell>
          <cell r="CT15">
            <v>9</v>
          </cell>
          <cell r="CU15">
            <v>10</v>
          </cell>
          <cell r="CV15">
            <v>12</v>
          </cell>
          <cell r="CW15">
            <v>12</v>
          </cell>
          <cell r="CX15">
            <v>21</v>
          </cell>
          <cell r="CY15">
            <v>13</v>
          </cell>
          <cell r="CZ15">
            <v>18</v>
          </cell>
          <cell r="DA15">
            <v>9</v>
          </cell>
          <cell r="DB15">
            <v>5</v>
          </cell>
          <cell r="DC15">
            <v>14</v>
          </cell>
          <cell r="DD15">
            <v>15</v>
          </cell>
          <cell r="DE15">
            <v>10</v>
          </cell>
          <cell r="DF15">
            <v>13</v>
          </cell>
          <cell r="DG15">
            <v>20</v>
          </cell>
          <cell r="DH15">
            <v>27</v>
          </cell>
          <cell r="DI15">
            <v>17</v>
          </cell>
          <cell r="DJ15">
            <v>11</v>
          </cell>
          <cell r="DK15">
            <v>25</v>
          </cell>
          <cell r="DL15">
            <v>36</v>
          </cell>
          <cell r="DM15">
            <v>30</v>
          </cell>
          <cell r="DN15">
            <v>20</v>
          </cell>
          <cell r="DO15">
            <v>10</v>
          </cell>
          <cell r="DP15">
            <v>10</v>
          </cell>
          <cell r="DQ15">
            <v>17</v>
          </cell>
          <cell r="DR15">
            <v>10</v>
          </cell>
          <cell r="DS15">
            <v>3</v>
          </cell>
          <cell r="DT15">
            <v>12</v>
          </cell>
          <cell r="DU15">
            <v>16</v>
          </cell>
          <cell r="DV15">
            <v>13</v>
          </cell>
          <cell r="DW15">
            <v>12</v>
          </cell>
          <cell r="DX15">
            <v>19</v>
          </cell>
          <cell r="DY15">
            <v>12</v>
          </cell>
          <cell r="DZ15">
            <v>9</v>
          </cell>
          <cell r="EA15">
            <v>5</v>
          </cell>
          <cell r="EB15">
            <v>17</v>
          </cell>
          <cell r="EC15">
            <v>13</v>
          </cell>
        </row>
        <row r="16">
          <cell r="CH16">
            <v>33</v>
          </cell>
          <cell r="CI16">
            <v>39</v>
          </cell>
          <cell r="CJ16">
            <v>36</v>
          </cell>
          <cell r="CK16">
            <v>41</v>
          </cell>
          <cell r="CL16">
            <v>38</v>
          </cell>
          <cell r="CM16">
            <v>44</v>
          </cell>
          <cell r="CN16">
            <v>37</v>
          </cell>
          <cell r="CO16">
            <v>40</v>
          </cell>
          <cell r="CP16">
            <v>36</v>
          </cell>
          <cell r="CQ16">
            <v>37</v>
          </cell>
          <cell r="CR16">
            <v>30</v>
          </cell>
          <cell r="CS16">
            <v>35</v>
          </cell>
          <cell r="CT16">
            <v>87</v>
          </cell>
          <cell r="CU16">
            <v>48</v>
          </cell>
          <cell r="CV16">
            <v>39</v>
          </cell>
          <cell r="CW16">
            <v>50</v>
          </cell>
          <cell r="CX16">
            <v>45</v>
          </cell>
          <cell r="CY16">
            <v>42</v>
          </cell>
          <cell r="CZ16">
            <v>39</v>
          </cell>
          <cell r="DA16">
            <v>32</v>
          </cell>
          <cell r="DB16">
            <v>59</v>
          </cell>
          <cell r="DC16">
            <v>28</v>
          </cell>
          <cell r="DD16">
            <v>26</v>
          </cell>
          <cell r="DE16">
            <v>41</v>
          </cell>
          <cell r="DF16">
            <v>36</v>
          </cell>
          <cell r="DG16">
            <v>34</v>
          </cell>
          <cell r="DH16">
            <v>34</v>
          </cell>
          <cell r="DI16">
            <v>58</v>
          </cell>
          <cell r="DJ16">
            <v>41</v>
          </cell>
          <cell r="DK16">
            <v>35</v>
          </cell>
          <cell r="DL16">
            <v>38</v>
          </cell>
          <cell r="DM16">
            <v>34</v>
          </cell>
          <cell r="DN16">
            <v>26</v>
          </cell>
          <cell r="DO16">
            <v>25</v>
          </cell>
          <cell r="DP16">
            <v>38</v>
          </cell>
          <cell r="DQ16">
            <v>30</v>
          </cell>
          <cell r="DR16">
            <v>33</v>
          </cell>
          <cell r="DS16">
            <v>31</v>
          </cell>
          <cell r="DT16">
            <v>35</v>
          </cell>
          <cell r="DU16">
            <v>40</v>
          </cell>
          <cell r="DV16">
            <v>36</v>
          </cell>
          <cell r="DW16">
            <v>23</v>
          </cell>
          <cell r="DX16">
            <v>50</v>
          </cell>
          <cell r="DY16">
            <v>40</v>
          </cell>
          <cell r="DZ16">
            <v>34</v>
          </cell>
          <cell r="EA16">
            <v>28</v>
          </cell>
          <cell r="EB16">
            <v>26</v>
          </cell>
          <cell r="EC16">
            <v>30</v>
          </cell>
        </row>
        <row r="17">
          <cell r="CH17">
            <v>2</v>
          </cell>
          <cell r="CI17">
            <v>3</v>
          </cell>
          <cell r="CJ17">
            <v>2</v>
          </cell>
          <cell r="CK17">
            <v>2</v>
          </cell>
          <cell r="CL17">
            <v>2</v>
          </cell>
          <cell r="CM17">
            <v>0</v>
          </cell>
          <cell r="CN17">
            <v>0</v>
          </cell>
          <cell r="CO17">
            <v>1</v>
          </cell>
          <cell r="CP17">
            <v>2</v>
          </cell>
          <cell r="CQ17">
            <v>3</v>
          </cell>
          <cell r="CR17">
            <v>2</v>
          </cell>
          <cell r="CS17">
            <v>5</v>
          </cell>
          <cell r="CT17">
            <v>0</v>
          </cell>
          <cell r="CU17">
            <v>4</v>
          </cell>
          <cell r="CV17">
            <v>4</v>
          </cell>
          <cell r="CW17">
            <v>2</v>
          </cell>
          <cell r="CX17">
            <v>4</v>
          </cell>
          <cell r="CY17">
            <v>3</v>
          </cell>
          <cell r="CZ17">
            <v>2</v>
          </cell>
          <cell r="DA17">
            <v>0</v>
          </cell>
          <cell r="DB17">
            <v>5</v>
          </cell>
          <cell r="DC17">
            <v>5</v>
          </cell>
          <cell r="DD17">
            <v>1</v>
          </cell>
          <cell r="DE17">
            <v>4</v>
          </cell>
          <cell r="DF17">
            <v>5</v>
          </cell>
          <cell r="DG17">
            <v>2</v>
          </cell>
          <cell r="DH17">
            <v>3</v>
          </cell>
          <cell r="DI17">
            <v>3</v>
          </cell>
          <cell r="DJ17">
            <v>3</v>
          </cell>
          <cell r="DK17">
            <v>2</v>
          </cell>
          <cell r="DL17">
            <v>4</v>
          </cell>
          <cell r="DM17">
            <v>4</v>
          </cell>
          <cell r="DN17">
            <v>6</v>
          </cell>
          <cell r="DO17">
            <v>3</v>
          </cell>
          <cell r="DP17">
            <v>1</v>
          </cell>
          <cell r="DQ17">
            <v>8</v>
          </cell>
          <cell r="DR17">
            <v>6</v>
          </cell>
          <cell r="DS17">
            <v>2</v>
          </cell>
          <cell r="DT17">
            <v>4</v>
          </cell>
          <cell r="DU17">
            <v>1</v>
          </cell>
          <cell r="DV17">
            <v>3</v>
          </cell>
          <cell r="DW17">
            <v>4</v>
          </cell>
          <cell r="DX17">
            <v>4</v>
          </cell>
          <cell r="DY17">
            <v>6</v>
          </cell>
          <cell r="DZ17">
            <v>2</v>
          </cell>
          <cell r="EA17">
            <v>3</v>
          </cell>
          <cell r="EB17">
            <v>5</v>
          </cell>
          <cell r="EC17">
            <v>2</v>
          </cell>
        </row>
        <row r="18">
          <cell r="CH18">
            <v>154</v>
          </cell>
          <cell r="CI18">
            <v>184</v>
          </cell>
          <cell r="CJ18">
            <v>184</v>
          </cell>
          <cell r="CK18">
            <v>172</v>
          </cell>
          <cell r="CL18">
            <v>142</v>
          </cell>
          <cell r="CM18">
            <v>160</v>
          </cell>
          <cell r="CN18">
            <v>141</v>
          </cell>
          <cell r="CO18">
            <v>154</v>
          </cell>
          <cell r="CP18">
            <v>152</v>
          </cell>
          <cell r="CQ18">
            <v>147</v>
          </cell>
          <cell r="CR18">
            <v>117</v>
          </cell>
          <cell r="CS18">
            <v>171</v>
          </cell>
          <cell r="CT18">
            <v>141</v>
          </cell>
          <cell r="CU18">
            <v>156</v>
          </cell>
          <cell r="CV18">
            <v>143</v>
          </cell>
          <cell r="CW18">
            <v>156</v>
          </cell>
          <cell r="CX18">
            <v>159</v>
          </cell>
          <cell r="CY18">
            <v>138</v>
          </cell>
          <cell r="CZ18">
            <v>137</v>
          </cell>
          <cell r="DA18">
            <v>179</v>
          </cell>
          <cell r="DB18">
            <v>137</v>
          </cell>
          <cell r="DC18">
            <v>117</v>
          </cell>
          <cell r="DD18">
            <v>132</v>
          </cell>
          <cell r="DE18">
            <v>173</v>
          </cell>
          <cell r="DF18">
            <v>135</v>
          </cell>
          <cell r="DG18">
            <v>138</v>
          </cell>
          <cell r="DH18">
            <v>150</v>
          </cell>
          <cell r="DI18">
            <v>147</v>
          </cell>
          <cell r="DJ18">
            <v>128</v>
          </cell>
          <cell r="DK18">
            <v>127</v>
          </cell>
          <cell r="DL18">
            <v>158</v>
          </cell>
          <cell r="DM18">
            <v>149</v>
          </cell>
          <cell r="DN18">
            <v>149</v>
          </cell>
          <cell r="DO18">
            <v>142</v>
          </cell>
          <cell r="DP18">
            <v>136</v>
          </cell>
          <cell r="DQ18">
            <v>144</v>
          </cell>
          <cell r="DR18">
            <v>137</v>
          </cell>
          <cell r="DS18">
            <v>120</v>
          </cell>
          <cell r="DT18">
            <v>141</v>
          </cell>
          <cell r="DU18">
            <v>156</v>
          </cell>
          <cell r="DV18">
            <v>135</v>
          </cell>
          <cell r="DW18">
            <v>130</v>
          </cell>
          <cell r="DX18">
            <v>126</v>
          </cell>
          <cell r="DY18">
            <v>117</v>
          </cell>
          <cell r="DZ18">
            <v>137</v>
          </cell>
          <cell r="EA18">
            <v>122</v>
          </cell>
          <cell r="EB18">
            <v>132</v>
          </cell>
          <cell r="EC18">
            <v>167</v>
          </cell>
        </row>
        <row r="20">
          <cell r="CH20">
            <v>6</v>
          </cell>
          <cell r="CI20">
            <v>1</v>
          </cell>
          <cell r="CJ20">
            <v>7</v>
          </cell>
          <cell r="CK20">
            <v>7</v>
          </cell>
          <cell r="CL20">
            <v>2</v>
          </cell>
          <cell r="CM20">
            <v>3</v>
          </cell>
          <cell r="CN20">
            <v>7</v>
          </cell>
          <cell r="CO20">
            <v>2</v>
          </cell>
          <cell r="CP20">
            <v>6</v>
          </cell>
          <cell r="CQ20">
            <v>5</v>
          </cell>
          <cell r="CR20">
            <v>6</v>
          </cell>
          <cell r="CS20">
            <v>4</v>
          </cell>
          <cell r="CT20">
            <v>4</v>
          </cell>
          <cell r="CU20">
            <v>4</v>
          </cell>
          <cell r="CV20">
            <v>5</v>
          </cell>
          <cell r="CW20">
            <v>4</v>
          </cell>
          <cell r="CX20">
            <v>2</v>
          </cell>
          <cell r="CY20">
            <v>5</v>
          </cell>
          <cell r="CZ20">
            <v>5</v>
          </cell>
          <cell r="DA20">
            <v>2</v>
          </cell>
          <cell r="DB20">
            <v>8</v>
          </cell>
          <cell r="DC20">
            <v>2</v>
          </cell>
          <cell r="DD20">
            <v>2</v>
          </cell>
          <cell r="DE20">
            <v>11</v>
          </cell>
          <cell r="DF20">
            <v>2</v>
          </cell>
          <cell r="DG20">
            <v>2</v>
          </cell>
          <cell r="DH20">
            <v>6</v>
          </cell>
          <cell r="DI20">
            <v>6</v>
          </cell>
          <cell r="DJ20">
            <v>6</v>
          </cell>
          <cell r="DK20">
            <v>6</v>
          </cell>
          <cell r="DL20">
            <v>5</v>
          </cell>
          <cell r="DM20">
            <v>3</v>
          </cell>
          <cell r="DN20">
            <v>5</v>
          </cell>
          <cell r="DO20">
            <v>5</v>
          </cell>
          <cell r="DP20">
            <v>0</v>
          </cell>
          <cell r="DQ20">
            <v>8</v>
          </cell>
          <cell r="DR20">
            <v>6</v>
          </cell>
          <cell r="DS20">
            <v>3</v>
          </cell>
          <cell r="DT20">
            <v>7</v>
          </cell>
          <cell r="DU20">
            <v>4</v>
          </cell>
          <cell r="DV20">
            <v>6</v>
          </cell>
          <cell r="DW20">
            <v>1</v>
          </cell>
          <cell r="DX20">
            <v>3</v>
          </cell>
          <cell r="DY20">
            <v>7</v>
          </cell>
          <cell r="DZ20">
            <v>3</v>
          </cell>
          <cell r="EA20">
            <v>4</v>
          </cell>
          <cell r="EB20">
            <v>1</v>
          </cell>
          <cell r="EC20">
            <v>1</v>
          </cell>
        </row>
        <row r="21">
          <cell r="CH21">
            <v>11</v>
          </cell>
          <cell r="CI21">
            <v>5</v>
          </cell>
          <cell r="CJ21">
            <v>10</v>
          </cell>
          <cell r="CK21">
            <v>3</v>
          </cell>
          <cell r="CL21">
            <v>5</v>
          </cell>
          <cell r="CM21">
            <v>5</v>
          </cell>
          <cell r="CN21">
            <v>8</v>
          </cell>
          <cell r="CO21">
            <v>8</v>
          </cell>
          <cell r="CP21">
            <v>5</v>
          </cell>
          <cell r="CQ21">
            <v>8</v>
          </cell>
          <cell r="CR21">
            <v>7</v>
          </cell>
          <cell r="CS21">
            <v>7</v>
          </cell>
          <cell r="CT21">
            <v>10</v>
          </cell>
          <cell r="CU21">
            <v>6</v>
          </cell>
          <cell r="CV21">
            <v>6</v>
          </cell>
          <cell r="CW21">
            <v>8</v>
          </cell>
          <cell r="CX21">
            <v>2</v>
          </cell>
          <cell r="CY21">
            <v>4</v>
          </cell>
          <cell r="CZ21">
            <v>10</v>
          </cell>
          <cell r="DA21">
            <v>4</v>
          </cell>
          <cell r="DB21">
            <v>6</v>
          </cell>
          <cell r="DC21">
            <v>6</v>
          </cell>
          <cell r="DD21">
            <v>4</v>
          </cell>
          <cell r="DE21">
            <v>7</v>
          </cell>
          <cell r="DF21">
            <v>7</v>
          </cell>
          <cell r="DG21">
            <v>4</v>
          </cell>
          <cell r="DH21">
            <v>9</v>
          </cell>
          <cell r="DI21">
            <v>6</v>
          </cell>
          <cell r="DJ21">
            <v>5</v>
          </cell>
          <cell r="DK21">
            <v>2</v>
          </cell>
          <cell r="DL21">
            <v>4</v>
          </cell>
          <cell r="DM21">
            <v>5</v>
          </cell>
          <cell r="DN21">
            <v>5</v>
          </cell>
          <cell r="DO21">
            <v>8</v>
          </cell>
          <cell r="DP21">
            <v>1</v>
          </cell>
          <cell r="DQ21">
            <v>3</v>
          </cell>
          <cell r="DR21">
            <v>3</v>
          </cell>
          <cell r="DS21">
            <v>1</v>
          </cell>
          <cell r="DT21">
            <v>5</v>
          </cell>
          <cell r="DU21">
            <v>6</v>
          </cell>
          <cell r="DV21">
            <v>5</v>
          </cell>
          <cell r="DW21">
            <v>5</v>
          </cell>
          <cell r="DX21">
            <v>1</v>
          </cell>
          <cell r="DY21">
            <v>7</v>
          </cell>
          <cell r="DZ21">
            <v>1</v>
          </cell>
          <cell r="EA21">
            <v>7</v>
          </cell>
          <cell r="EB21">
            <v>5</v>
          </cell>
          <cell r="EC21">
            <v>4</v>
          </cell>
        </row>
        <row r="22">
          <cell r="CH22">
            <v>1</v>
          </cell>
          <cell r="CJ22">
            <v>1</v>
          </cell>
          <cell r="CN22">
            <v>1</v>
          </cell>
          <cell r="CT22">
            <v>0</v>
          </cell>
          <cell r="CU22">
            <v>0</v>
          </cell>
          <cell r="CV22">
            <v>0</v>
          </cell>
          <cell r="CW22">
            <v>1</v>
          </cell>
          <cell r="CX22">
            <v>0</v>
          </cell>
          <cell r="CY22">
            <v>0</v>
          </cell>
          <cell r="CZ22">
            <v>0</v>
          </cell>
          <cell r="DA22">
            <v>0</v>
          </cell>
          <cell r="DB22">
            <v>0</v>
          </cell>
          <cell r="DC22">
            <v>0</v>
          </cell>
          <cell r="DD22">
            <v>0</v>
          </cell>
          <cell r="DE22">
            <v>0</v>
          </cell>
          <cell r="DF22">
            <v>0</v>
          </cell>
          <cell r="DG22">
            <v>0</v>
          </cell>
          <cell r="DH22">
            <v>1</v>
          </cell>
          <cell r="DI22">
            <v>1</v>
          </cell>
          <cell r="DJ22">
            <v>2</v>
          </cell>
          <cell r="DK22">
            <v>0</v>
          </cell>
          <cell r="DL22">
            <v>1</v>
          </cell>
          <cell r="DM22">
            <v>1</v>
          </cell>
          <cell r="DN22">
            <v>0</v>
          </cell>
          <cell r="DO22">
            <v>1</v>
          </cell>
          <cell r="DP22">
            <v>0</v>
          </cell>
          <cell r="DQ22">
            <v>0</v>
          </cell>
          <cell r="DR22">
            <v>0</v>
          </cell>
          <cell r="DS22">
            <v>0</v>
          </cell>
          <cell r="DT22">
            <v>1</v>
          </cell>
          <cell r="DU22">
            <v>0</v>
          </cell>
          <cell r="DV22">
            <v>0</v>
          </cell>
          <cell r="DW22">
            <v>0</v>
          </cell>
          <cell r="DX22">
            <v>0</v>
          </cell>
          <cell r="DY22">
            <v>0</v>
          </cell>
          <cell r="DZ22">
            <v>0</v>
          </cell>
          <cell r="EA22">
            <v>0</v>
          </cell>
          <cell r="EB22">
            <v>1</v>
          </cell>
          <cell r="EC22">
            <v>0</v>
          </cell>
        </row>
        <row r="23">
          <cell r="CI23">
            <v>1</v>
          </cell>
          <cell r="CJ23">
            <v>2</v>
          </cell>
          <cell r="CN23">
            <v>1</v>
          </cell>
          <cell r="CS23">
            <v>1</v>
          </cell>
          <cell r="CT23">
            <v>0</v>
          </cell>
          <cell r="CU23">
            <v>0</v>
          </cell>
          <cell r="CV23">
            <v>1</v>
          </cell>
          <cell r="CW23">
            <v>1</v>
          </cell>
          <cell r="CX23">
            <v>0</v>
          </cell>
          <cell r="CY23">
            <v>0</v>
          </cell>
          <cell r="CZ23">
            <v>0</v>
          </cell>
          <cell r="DA23">
            <v>0</v>
          </cell>
          <cell r="DB23">
            <v>0</v>
          </cell>
          <cell r="DC23">
            <v>2</v>
          </cell>
          <cell r="DD23">
            <v>0</v>
          </cell>
          <cell r="DE23">
            <v>2</v>
          </cell>
          <cell r="DF23">
            <v>1</v>
          </cell>
          <cell r="DG23">
            <v>0</v>
          </cell>
          <cell r="DH23">
            <v>1</v>
          </cell>
          <cell r="DI23">
            <v>0</v>
          </cell>
          <cell r="DJ23">
            <v>1</v>
          </cell>
          <cell r="DK23">
            <v>0</v>
          </cell>
          <cell r="DL23">
            <v>0</v>
          </cell>
          <cell r="DM23">
            <v>1</v>
          </cell>
          <cell r="DN23">
            <v>0</v>
          </cell>
          <cell r="DO23">
            <v>2</v>
          </cell>
          <cell r="DP23">
            <v>0</v>
          </cell>
          <cell r="DQ23">
            <v>0</v>
          </cell>
          <cell r="DR23">
            <v>0</v>
          </cell>
          <cell r="DS23">
            <v>0</v>
          </cell>
          <cell r="DT23">
            <v>0</v>
          </cell>
          <cell r="DU23">
            <v>0</v>
          </cell>
          <cell r="DV23">
            <v>0</v>
          </cell>
          <cell r="DW23">
            <v>0</v>
          </cell>
          <cell r="DX23">
            <v>0</v>
          </cell>
          <cell r="DY23">
            <v>1</v>
          </cell>
          <cell r="DZ23">
            <v>0</v>
          </cell>
          <cell r="EA23">
            <v>0</v>
          </cell>
          <cell r="EB23">
            <v>0</v>
          </cell>
          <cell r="EC23">
            <v>0</v>
          </cell>
        </row>
        <row r="24">
          <cell r="CH24">
            <v>21</v>
          </cell>
          <cell r="CI24">
            <v>13</v>
          </cell>
          <cell r="CJ24">
            <v>21</v>
          </cell>
          <cell r="CK24">
            <v>21</v>
          </cell>
          <cell r="CL24">
            <v>11</v>
          </cell>
          <cell r="CM24">
            <v>22</v>
          </cell>
          <cell r="CN24">
            <v>22</v>
          </cell>
          <cell r="CO24">
            <v>15</v>
          </cell>
          <cell r="CP24">
            <v>7</v>
          </cell>
          <cell r="CQ24">
            <v>11</v>
          </cell>
          <cell r="CR24">
            <v>9</v>
          </cell>
          <cell r="CS24">
            <v>12</v>
          </cell>
          <cell r="CT24">
            <v>26</v>
          </cell>
          <cell r="CU24">
            <v>13</v>
          </cell>
          <cell r="CV24">
            <v>15</v>
          </cell>
          <cell r="CW24">
            <v>15</v>
          </cell>
          <cell r="CX24">
            <v>16</v>
          </cell>
          <cell r="CY24">
            <v>17</v>
          </cell>
          <cell r="CZ24">
            <v>15</v>
          </cell>
          <cell r="DA24">
            <v>14</v>
          </cell>
          <cell r="DB24">
            <v>17</v>
          </cell>
          <cell r="DC24">
            <v>13</v>
          </cell>
          <cell r="DD24">
            <v>11</v>
          </cell>
          <cell r="DE24">
            <v>18</v>
          </cell>
          <cell r="DF24">
            <v>15</v>
          </cell>
          <cell r="DG24">
            <v>11</v>
          </cell>
          <cell r="DH24">
            <v>18</v>
          </cell>
          <cell r="DI24">
            <v>22</v>
          </cell>
          <cell r="DJ24">
            <v>13</v>
          </cell>
          <cell r="DK24">
            <v>13</v>
          </cell>
          <cell r="DL24">
            <v>17</v>
          </cell>
          <cell r="DM24">
            <v>14</v>
          </cell>
          <cell r="DN24">
            <v>23</v>
          </cell>
          <cell r="DO24">
            <v>16</v>
          </cell>
          <cell r="DP24">
            <v>9</v>
          </cell>
          <cell r="DQ24">
            <v>14</v>
          </cell>
          <cell r="DR24">
            <v>11</v>
          </cell>
          <cell r="DS24">
            <v>8</v>
          </cell>
          <cell r="DT24">
            <v>16</v>
          </cell>
          <cell r="DU24">
            <v>19</v>
          </cell>
          <cell r="DV24">
            <v>10</v>
          </cell>
          <cell r="DW24">
            <v>10</v>
          </cell>
          <cell r="DX24">
            <v>11</v>
          </cell>
          <cell r="DY24">
            <v>11</v>
          </cell>
          <cell r="DZ24">
            <v>16</v>
          </cell>
          <cell r="EA24">
            <v>16</v>
          </cell>
          <cell r="EB24">
            <v>12</v>
          </cell>
          <cell r="EC24">
            <v>17</v>
          </cell>
        </row>
        <row r="25">
          <cell r="CH25">
            <v>40</v>
          </cell>
          <cell r="CI25">
            <v>42</v>
          </cell>
          <cell r="CJ25">
            <v>45</v>
          </cell>
          <cell r="CK25">
            <v>46</v>
          </cell>
          <cell r="CL25">
            <v>33</v>
          </cell>
          <cell r="CM25">
            <v>32</v>
          </cell>
          <cell r="CN25">
            <v>36</v>
          </cell>
          <cell r="CO25">
            <v>30</v>
          </cell>
          <cell r="CP25">
            <v>41</v>
          </cell>
          <cell r="CQ25">
            <v>43</v>
          </cell>
          <cell r="CR25">
            <v>27</v>
          </cell>
          <cell r="CS25">
            <v>39</v>
          </cell>
          <cell r="CT25">
            <v>36</v>
          </cell>
          <cell r="CU25">
            <v>39</v>
          </cell>
          <cell r="CV25">
            <v>37</v>
          </cell>
          <cell r="CW25">
            <v>37</v>
          </cell>
          <cell r="CX25">
            <v>31</v>
          </cell>
          <cell r="CY25">
            <v>31</v>
          </cell>
          <cell r="CZ25">
            <v>27</v>
          </cell>
          <cell r="DA25">
            <v>42</v>
          </cell>
          <cell r="DB25">
            <v>37</v>
          </cell>
          <cell r="DC25">
            <v>23</v>
          </cell>
          <cell r="DD25">
            <v>41</v>
          </cell>
          <cell r="DE25">
            <v>53</v>
          </cell>
          <cell r="DF25">
            <v>30</v>
          </cell>
          <cell r="DG25">
            <v>37</v>
          </cell>
          <cell r="DH25">
            <v>27</v>
          </cell>
          <cell r="DI25">
            <v>38</v>
          </cell>
          <cell r="DJ25">
            <v>29</v>
          </cell>
          <cell r="DK25">
            <v>21</v>
          </cell>
          <cell r="DL25">
            <v>32</v>
          </cell>
          <cell r="DM25">
            <v>36</v>
          </cell>
          <cell r="DN25">
            <v>32</v>
          </cell>
          <cell r="DO25">
            <v>37</v>
          </cell>
          <cell r="DP25">
            <v>23</v>
          </cell>
          <cell r="DQ25">
            <v>35</v>
          </cell>
          <cell r="DR25">
            <v>28</v>
          </cell>
          <cell r="DS25">
            <v>25</v>
          </cell>
          <cell r="DT25">
            <v>31</v>
          </cell>
          <cell r="DU25">
            <v>35</v>
          </cell>
          <cell r="DV25">
            <v>43</v>
          </cell>
          <cell r="DW25">
            <v>29</v>
          </cell>
          <cell r="DX25">
            <v>22</v>
          </cell>
          <cell r="DY25">
            <v>30</v>
          </cell>
          <cell r="DZ25">
            <v>32</v>
          </cell>
          <cell r="EA25">
            <v>31</v>
          </cell>
          <cell r="EB25">
            <v>31</v>
          </cell>
          <cell r="EC25">
            <v>47</v>
          </cell>
        </row>
        <row r="27">
          <cell r="CH27">
            <v>3</v>
          </cell>
          <cell r="CI27">
            <v>3</v>
          </cell>
          <cell r="CJ27">
            <v>9</v>
          </cell>
          <cell r="CK27">
            <v>3</v>
          </cell>
          <cell r="CL27">
            <v>3</v>
          </cell>
          <cell r="CM27">
            <v>6</v>
          </cell>
          <cell r="CN27">
            <v>2</v>
          </cell>
          <cell r="CO27">
            <v>7</v>
          </cell>
          <cell r="CP27">
            <v>4</v>
          </cell>
          <cell r="CR27">
            <v>3</v>
          </cell>
          <cell r="CS27">
            <v>1</v>
          </cell>
          <cell r="CT27">
            <v>1</v>
          </cell>
          <cell r="CU27">
            <v>5</v>
          </cell>
          <cell r="CV27">
            <v>6</v>
          </cell>
          <cell r="CW27">
            <v>2</v>
          </cell>
          <cell r="CX27">
            <v>5</v>
          </cell>
          <cell r="CY27">
            <v>1</v>
          </cell>
          <cell r="CZ27">
            <v>4</v>
          </cell>
          <cell r="DA27">
            <v>1</v>
          </cell>
          <cell r="DB27">
            <v>3</v>
          </cell>
          <cell r="DC27">
            <v>4</v>
          </cell>
          <cell r="DD27">
            <v>3</v>
          </cell>
          <cell r="DE27">
            <v>3</v>
          </cell>
          <cell r="DF27">
            <v>2</v>
          </cell>
          <cell r="DG27">
            <v>5</v>
          </cell>
          <cell r="DH27">
            <v>3</v>
          </cell>
          <cell r="DI27">
            <v>6</v>
          </cell>
          <cell r="DJ27">
            <v>3</v>
          </cell>
          <cell r="DK27">
            <v>5</v>
          </cell>
          <cell r="DL27">
            <v>2</v>
          </cell>
          <cell r="DM27">
            <v>1</v>
          </cell>
          <cell r="DN27">
            <v>4</v>
          </cell>
          <cell r="DO27">
            <v>3</v>
          </cell>
          <cell r="DP27">
            <v>3</v>
          </cell>
          <cell r="DQ27">
            <v>5</v>
          </cell>
          <cell r="DR27">
            <v>3</v>
          </cell>
          <cell r="DS27">
            <v>0</v>
          </cell>
          <cell r="DT27">
            <v>0</v>
          </cell>
          <cell r="DU27">
            <v>0</v>
          </cell>
          <cell r="DV27">
            <v>5</v>
          </cell>
          <cell r="DW27">
            <v>3</v>
          </cell>
          <cell r="DX27">
            <v>0</v>
          </cell>
          <cell r="DY27">
            <v>1</v>
          </cell>
          <cell r="DZ27">
            <v>2</v>
          </cell>
          <cell r="EA27">
            <v>6</v>
          </cell>
          <cell r="EB27">
            <v>3</v>
          </cell>
          <cell r="EC27">
            <v>1</v>
          </cell>
        </row>
        <row r="28">
          <cell r="CH28">
            <v>5</v>
          </cell>
          <cell r="CI28">
            <v>3</v>
          </cell>
          <cell r="CJ28">
            <v>3</v>
          </cell>
          <cell r="CK28">
            <v>3</v>
          </cell>
          <cell r="CL28">
            <v>2</v>
          </cell>
          <cell r="CO28">
            <v>2</v>
          </cell>
          <cell r="CP28">
            <v>3</v>
          </cell>
          <cell r="CQ28">
            <v>1</v>
          </cell>
          <cell r="CR28">
            <v>1</v>
          </cell>
          <cell r="CS28">
            <v>4</v>
          </cell>
          <cell r="CT28">
            <v>0</v>
          </cell>
          <cell r="CU28">
            <v>0</v>
          </cell>
          <cell r="CV28">
            <v>0</v>
          </cell>
          <cell r="CW28">
            <v>0</v>
          </cell>
          <cell r="CX28">
            <v>0</v>
          </cell>
          <cell r="CY28">
            <v>0</v>
          </cell>
          <cell r="CZ28">
            <v>4</v>
          </cell>
          <cell r="DA28">
            <v>2</v>
          </cell>
          <cell r="DB28">
            <v>1</v>
          </cell>
          <cell r="DC28">
            <v>0</v>
          </cell>
          <cell r="DD28">
            <v>2</v>
          </cell>
          <cell r="DE28">
            <v>1</v>
          </cell>
          <cell r="DF28">
            <v>0</v>
          </cell>
          <cell r="DG28">
            <v>2</v>
          </cell>
          <cell r="DH28">
            <v>0</v>
          </cell>
          <cell r="DI28">
            <v>4</v>
          </cell>
          <cell r="DJ28">
            <v>2</v>
          </cell>
          <cell r="DK28">
            <v>2</v>
          </cell>
          <cell r="DL28">
            <v>0</v>
          </cell>
          <cell r="DM28">
            <v>1</v>
          </cell>
          <cell r="DN28">
            <v>1</v>
          </cell>
          <cell r="DO28">
            <v>1</v>
          </cell>
          <cell r="DP28">
            <v>1</v>
          </cell>
          <cell r="DQ28">
            <v>0</v>
          </cell>
          <cell r="DR28">
            <v>0</v>
          </cell>
          <cell r="DS28">
            <v>3</v>
          </cell>
          <cell r="DT28">
            <v>1</v>
          </cell>
          <cell r="DU28">
            <v>1</v>
          </cell>
          <cell r="DV28">
            <v>0</v>
          </cell>
          <cell r="DW28">
            <v>2</v>
          </cell>
          <cell r="DX28">
            <v>1</v>
          </cell>
          <cell r="DY28">
            <v>1</v>
          </cell>
          <cell r="DZ28">
            <v>2</v>
          </cell>
          <cell r="EA28">
            <v>0</v>
          </cell>
          <cell r="EB28">
            <v>1</v>
          </cell>
          <cell r="EC28">
            <v>2</v>
          </cell>
        </row>
        <row r="30">
          <cell r="AL30">
            <v>0</v>
          </cell>
          <cell r="AM30">
            <v>1</v>
          </cell>
          <cell r="AN30">
            <v>0</v>
          </cell>
          <cell r="AO30">
            <v>2</v>
          </cell>
          <cell r="AP30">
            <v>1</v>
          </cell>
          <cell r="AQ30">
            <v>0</v>
          </cell>
          <cell r="AR30">
            <v>0</v>
          </cell>
          <cell r="AS30">
            <v>0</v>
          </cell>
          <cell r="AT30">
            <v>2</v>
          </cell>
          <cell r="AU30">
            <v>0</v>
          </cell>
          <cell r="AV30">
            <v>2</v>
          </cell>
          <cell r="AW30">
            <v>4</v>
          </cell>
          <cell r="AX30">
            <v>0</v>
          </cell>
          <cell r="AY30">
            <v>0</v>
          </cell>
          <cell r="AZ30">
            <v>1</v>
          </cell>
          <cell r="BA30">
            <v>1</v>
          </cell>
          <cell r="BB30">
            <v>1</v>
          </cell>
          <cell r="BC30">
            <v>0</v>
          </cell>
          <cell r="BD30">
            <v>1</v>
          </cell>
          <cell r="BE30">
            <v>0</v>
          </cell>
          <cell r="BF30">
            <v>1</v>
          </cell>
          <cell r="BG30">
            <v>1</v>
          </cell>
          <cell r="BH30">
            <v>0</v>
          </cell>
          <cell r="BI30">
            <v>1</v>
          </cell>
          <cell r="BJ30">
            <v>1</v>
          </cell>
          <cell r="BK30">
            <v>0</v>
          </cell>
          <cell r="BL30">
            <v>0</v>
          </cell>
          <cell r="BM30">
            <v>0</v>
          </cell>
          <cell r="BN30">
            <v>0</v>
          </cell>
          <cell r="BO30">
            <v>0</v>
          </cell>
          <cell r="BP30">
            <v>0</v>
          </cell>
          <cell r="BQ30">
            <v>0</v>
          </cell>
          <cell r="BR30">
            <v>1</v>
          </cell>
          <cell r="BS30">
            <v>2</v>
          </cell>
          <cell r="BT30">
            <v>2</v>
          </cell>
          <cell r="BU30">
            <v>0</v>
          </cell>
          <cell r="BV30">
            <v>0</v>
          </cell>
          <cell r="BW30">
            <v>0</v>
          </cell>
          <cell r="BX30">
            <v>0</v>
          </cell>
          <cell r="BY30">
            <v>1</v>
          </cell>
          <cell r="BZ30">
            <v>1</v>
          </cell>
          <cell r="CA30">
            <v>0</v>
          </cell>
          <cell r="CB30">
            <v>1</v>
          </cell>
          <cell r="CC30">
            <v>1</v>
          </cell>
          <cell r="CD30">
            <v>0</v>
          </cell>
          <cell r="CE30">
            <v>2</v>
          </cell>
          <cell r="CF30">
            <v>1</v>
          </cell>
          <cell r="CG30">
            <v>0</v>
          </cell>
          <cell r="CJ30">
            <v>2</v>
          </cell>
          <cell r="CK30">
            <v>1</v>
          </cell>
          <cell r="CM30">
            <v>1</v>
          </cell>
          <cell r="CP30">
            <v>2</v>
          </cell>
          <cell r="CR30">
            <v>1</v>
          </cell>
          <cell r="CS30">
            <v>2</v>
          </cell>
          <cell r="CT30">
            <v>1</v>
          </cell>
          <cell r="CU30">
            <v>1</v>
          </cell>
          <cell r="CV30">
            <v>0</v>
          </cell>
          <cell r="CW30">
            <v>1</v>
          </cell>
          <cell r="CX30">
            <v>1</v>
          </cell>
          <cell r="CY30">
            <v>1</v>
          </cell>
          <cell r="CZ30">
            <v>0</v>
          </cell>
          <cell r="DA30">
            <v>1</v>
          </cell>
          <cell r="DB30">
            <v>1</v>
          </cell>
          <cell r="DC30">
            <v>2</v>
          </cell>
          <cell r="DD30">
            <v>0</v>
          </cell>
          <cell r="DE30">
            <v>1</v>
          </cell>
          <cell r="DF30">
            <v>1</v>
          </cell>
          <cell r="DG30">
            <v>2</v>
          </cell>
          <cell r="DH30">
            <v>0</v>
          </cell>
          <cell r="DI30">
            <v>1</v>
          </cell>
          <cell r="DJ30">
            <v>1</v>
          </cell>
          <cell r="DK30">
            <v>1</v>
          </cell>
          <cell r="DL30">
            <v>1</v>
          </cell>
          <cell r="DM30">
            <v>2</v>
          </cell>
          <cell r="DN30">
            <v>1</v>
          </cell>
          <cell r="DO30">
            <v>2</v>
          </cell>
          <cell r="DP30">
            <v>0</v>
          </cell>
          <cell r="DQ30">
            <v>0</v>
          </cell>
          <cell r="DR30">
            <v>0</v>
          </cell>
          <cell r="DS30">
            <v>2</v>
          </cell>
          <cell r="DT30">
            <v>1</v>
          </cell>
          <cell r="DU30">
            <v>2</v>
          </cell>
          <cell r="DV30">
            <v>0</v>
          </cell>
          <cell r="DW30">
            <v>0</v>
          </cell>
          <cell r="DX30">
            <v>1</v>
          </cell>
          <cell r="DY30">
            <v>0</v>
          </cell>
          <cell r="DZ30">
            <v>1</v>
          </cell>
          <cell r="EA30">
            <v>0</v>
          </cell>
          <cell r="EB30">
            <v>0</v>
          </cell>
          <cell r="EC30">
            <v>1</v>
          </cell>
        </row>
        <row r="31">
          <cell r="CH31">
            <v>7</v>
          </cell>
          <cell r="CI31">
            <v>7</v>
          </cell>
          <cell r="CJ31">
            <v>3</v>
          </cell>
          <cell r="CK31">
            <v>4</v>
          </cell>
          <cell r="CL31">
            <v>7</v>
          </cell>
          <cell r="CM31">
            <v>11</v>
          </cell>
          <cell r="CN31">
            <v>14</v>
          </cell>
          <cell r="CO31">
            <v>19</v>
          </cell>
          <cell r="CP31">
            <v>7</v>
          </cell>
          <cell r="CQ31">
            <v>9</v>
          </cell>
          <cell r="CR31">
            <v>13</v>
          </cell>
          <cell r="CS31">
            <v>6</v>
          </cell>
          <cell r="CT31">
            <v>17</v>
          </cell>
          <cell r="CU31">
            <v>11</v>
          </cell>
          <cell r="CV31">
            <v>7</v>
          </cell>
          <cell r="CW31">
            <v>12</v>
          </cell>
          <cell r="CX31">
            <v>15</v>
          </cell>
          <cell r="CY31">
            <v>21</v>
          </cell>
          <cell r="CZ31">
            <v>25</v>
          </cell>
          <cell r="DA31">
            <v>16</v>
          </cell>
          <cell r="DB31">
            <v>14</v>
          </cell>
          <cell r="DC31">
            <v>13</v>
          </cell>
          <cell r="DD31">
            <v>8</v>
          </cell>
          <cell r="DE31">
            <v>16</v>
          </cell>
          <cell r="DF31">
            <v>8</v>
          </cell>
          <cell r="DG31">
            <v>10</v>
          </cell>
          <cell r="DH31">
            <v>14</v>
          </cell>
          <cell r="DI31">
            <v>23</v>
          </cell>
          <cell r="DJ31">
            <v>12</v>
          </cell>
          <cell r="DK31">
            <v>14</v>
          </cell>
          <cell r="DL31">
            <v>9</v>
          </cell>
          <cell r="DM31">
            <v>19</v>
          </cell>
          <cell r="DN31">
            <v>22</v>
          </cell>
          <cell r="DO31">
            <v>25</v>
          </cell>
          <cell r="DP31">
            <v>27</v>
          </cell>
          <cell r="DQ31">
            <v>15</v>
          </cell>
          <cell r="DR31">
            <v>24</v>
          </cell>
          <cell r="DS31">
            <v>17</v>
          </cell>
          <cell r="DT31">
            <v>7</v>
          </cell>
          <cell r="DU31">
            <v>13</v>
          </cell>
          <cell r="DV31">
            <v>15</v>
          </cell>
          <cell r="DW31">
            <v>27</v>
          </cell>
          <cell r="DX31">
            <v>41</v>
          </cell>
          <cell r="DY31">
            <v>9</v>
          </cell>
          <cell r="DZ31">
            <v>15</v>
          </cell>
          <cell r="EA31">
            <v>13</v>
          </cell>
          <cell r="EB31">
            <v>16</v>
          </cell>
          <cell r="EC31">
            <v>4</v>
          </cell>
        </row>
        <row r="32">
          <cell r="AL32">
            <v>32</v>
          </cell>
          <cell r="AM32">
            <v>13</v>
          </cell>
          <cell r="AN32">
            <v>16</v>
          </cell>
          <cell r="AO32">
            <v>36</v>
          </cell>
          <cell r="AP32">
            <v>53</v>
          </cell>
          <cell r="AQ32">
            <v>26</v>
          </cell>
          <cell r="AR32">
            <v>55</v>
          </cell>
          <cell r="AS32">
            <v>44</v>
          </cell>
          <cell r="AT32">
            <v>19</v>
          </cell>
          <cell r="AU32">
            <v>37</v>
          </cell>
          <cell r="AV32">
            <v>28</v>
          </cell>
          <cell r="AW32">
            <v>34</v>
          </cell>
          <cell r="AX32">
            <v>24</v>
          </cell>
          <cell r="AY32">
            <v>43</v>
          </cell>
          <cell r="AZ32">
            <v>33</v>
          </cell>
          <cell r="BA32">
            <v>23</v>
          </cell>
          <cell r="BB32">
            <v>46</v>
          </cell>
          <cell r="BC32">
            <v>34</v>
          </cell>
          <cell r="BD32">
            <v>42</v>
          </cell>
          <cell r="BE32">
            <v>35</v>
          </cell>
          <cell r="BF32">
            <v>30</v>
          </cell>
          <cell r="BG32">
            <v>27</v>
          </cell>
          <cell r="BH32">
            <v>36</v>
          </cell>
          <cell r="BI32">
            <v>36</v>
          </cell>
          <cell r="BJ32">
            <v>26</v>
          </cell>
          <cell r="BK32">
            <v>33</v>
          </cell>
          <cell r="BL32">
            <v>22</v>
          </cell>
          <cell r="BM32">
            <v>27</v>
          </cell>
          <cell r="BN32">
            <v>26</v>
          </cell>
          <cell r="BO32">
            <v>24</v>
          </cell>
          <cell r="BP32">
            <v>37</v>
          </cell>
          <cell r="BQ32">
            <v>29</v>
          </cell>
          <cell r="BR32">
            <v>59</v>
          </cell>
          <cell r="BS32">
            <v>53</v>
          </cell>
          <cell r="BT32">
            <v>36</v>
          </cell>
          <cell r="BU32">
            <v>29</v>
          </cell>
          <cell r="BV32">
            <v>19</v>
          </cell>
          <cell r="BW32">
            <v>21</v>
          </cell>
          <cell r="BX32">
            <v>19</v>
          </cell>
          <cell r="BY32">
            <v>17</v>
          </cell>
          <cell r="BZ32">
            <v>18</v>
          </cell>
          <cell r="CA32">
            <v>17</v>
          </cell>
          <cell r="CB32">
            <v>33</v>
          </cell>
          <cell r="CC32">
            <v>32</v>
          </cell>
          <cell r="CD32">
            <v>19</v>
          </cell>
          <cell r="CE32">
            <v>20</v>
          </cell>
          <cell r="CF32">
            <v>9</v>
          </cell>
          <cell r="CG32">
            <v>22</v>
          </cell>
          <cell r="CH32">
            <v>19</v>
          </cell>
          <cell r="CI32">
            <v>14</v>
          </cell>
          <cell r="CJ32">
            <v>12</v>
          </cell>
          <cell r="CK32">
            <v>17</v>
          </cell>
          <cell r="CL32">
            <v>12</v>
          </cell>
          <cell r="CM32">
            <v>14</v>
          </cell>
          <cell r="CN32">
            <v>17</v>
          </cell>
          <cell r="CO32">
            <v>31</v>
          </cell>
          <cell r="CP32">
            <v>19</v>
          </cell>
          <cell r="CQ32">
            <v>9</v>
          </cell>
          <cell r="CR32">
            <v>19</v>
          </cell>
          <cell r="CS32">
            <v>16</v>
          </cell>
          <cell r="CT32">
            <v>24</v>
          </cell>
          <cell r="CU32">
            <v>30</v>
          </cell>
          <cell r="CV32">
            <v>23</v>
          </cell>
          <cell r="CW32">
            <v>27</v>
          </cell>
          <cell r="CX32">
            <v>27</v>
          </cell>
          <cell r="CY32">
            <v>29</v>
          </cell>
          <cell r="CZ32">
            <v>33</v>
          </cell>
          <cell r="DA32">
            <v>29</v>
          </cell>
          <cell r="DB32">
            <v>21</v>
          </cell>
          <cell r="DC32">
            <v>29</v>
          </cell>
          <cell r="DD32">
            <v>23</v>
          </cell>
          <cell r="DE32">
            <v>19</v>
          </cell>
          <cell r="DF32">
            <v>21</v>
          </cell>
          <cell r="DG32">
            <v>15</v>
          </cell>
          <cell r="DH32">
            <v>24</v>
          </cell>
          <cell r="DI32">
            <v>36</v>
          </cell>
          <cell r="DJ32">
            <v>22</v>
          </cell>
          <cell r="DK32">
            <v>27</v>
          </cell>
          <cell r="DL32">
            <v>17</v>
          </cell>
          <cell r="DM32">
            <v>29</v>
          </cell>
          <cell r="DN32">
            <v>29</v>
          </cell>
          <cell r="DO32">
            <v>25</v>
          </cell>
          <cell r="DP32">
            <v>27</v>
          </cell>
          <cell r="DQ32">
            <v>38</v>
          </cell>
          <cell r="DR32">
            <v>30</v>
          </cell>
          <cell r="DS32">
            <v>23</v>
          </cell>
          <cell r="DT32">
            <v>21</v>
          </cell>
          <cell r="DU32">
            <v>19</v>
          </cell>
          <cell r="DV32">
            <v>18</v>
          </cell>
          <cell r="DW32">
            <v>20</v>
          </cell>
          <cell r="DX32">
            <v>25</v>
          </cell>
          <cell r="DY32">
            <v>23</v>
          </cell>
          <cell r="DZ32">
            <v>28</v>
          </cell>
          <cell r="EA32">
            <v>27</v>
          </cell>
          <cell r="EB32">
            <v>25</v>
          </cell>
          <cell r="EC32">
            <v>21</v>
          </cell>
        </row>
        <row r="33">
          <cell r="AL33">
            <v>19</v>
          </cell>
          <cell r="AM33">
            <v>15</v>
          </cell>
          <cell r="AN33">
            <v>12</v>
          </cell>
          <cell r="AO33">
            <v>12</v>
          </cell>
          <cell r="AP33">
            <v>19</v>
          </cell>
          <cell r="AQ33">
            <v>18</v>
          </cell>
          <cell r="AR33">
            <v>20</v>
          </cell>
          <cell r="AS33">
            <v>10</v>
          </cell>
          <cell r="AT33">
            <v>19</v>
          </cell>
          <cell r="AU33">
            <v>26</v>
          </cell>
          <cell r="AV33">
            <v>14</v>
          </cell>
          <cell r="AW33">
            <v>12</v>
          </cell>
          <cell r="AX33">
            <v>7</v>
          </cell>
          <cell r="AY33">
            <v>15</v>
          </cell>
          <cell r="AZ33">
            <v>13</v>
          </cell>
          <cell r="BA33">
            <v>19</v>
          </cell>
          <cell r="BB33">
            <v>21</v>
          </cell>
          <cell r="BC33">
            <v>25</v>
          </cell>
          <cell r="BD33">
            <v>20</v>
          </cell>
          <cell r="BE33">
            <v>17</v>
          </cell>
          <cell r="BF33">
            <v>9</v>
          </cell>
          <cell r="BG33">
            <v>16</v>
          </cell>
          <cell r="BH33">
            <v>7</v>
          </cell>
          <cell r="BI33">
            <v>16</v>
          </cell>
          <cell r="BJ33">
            <v>9</v>
          </cell>
          <cell r="BK33">
            <v>16</v>
          </cell>
          <cell r="BL33">
            <v>13</v>
          </cell>
          <cell r="BM33">
            <v>15</v>
          </cell>
          <cell r="BN33">
            <v>16</v>
          </cell>
          <cell r="BO33">
            <v>11</v>
          </cell>
          <cell r="BP33">
            <v>12</v>
          </cell>
          <cell r="BQ33">
            <v>22</v>
          </cell>
          <cell r="BR33">
            <v>18</v>
          </cell>
          <cell r="BS33">
            <v>21</v>
          </cell>
          <cell r="BT33">
            <v>15</v>
          </cell>
          <cell r="BU33">
            <v>7</v>
          </cell>
          <cell r="BV33">
            <v>15</v>
          </cell>
          <cell r="BW33">
            <v>9</v>
          </cell>
          <cell r="BX33">
            <v>7</v>
          </cell>
          <cell r="BY33">
            <v>12</v>
          </cell>
          <cell r="BZ33">
            <v>7</v>
          </cell>
          <cell r="CA33">
            <v>13</v>
          </cell>
          <cell r="CB33">
            <v>13</v>
          </cell>
          <cell r="CC33">
            <v>23</v>
          </cell>
          <cell r="CD33">
            <v>16</v>
          </cell>
          <cell r="CE33">
            <v>21</v>
          </cell>
          <cell r="CF33">
            <v>6</v>
          </cell>
          <cell r="CG33">
            <v>11</v>
          </cell>
          <cell r="CH33">
            <v>11</v>
          </cell>
          <cell r="CI33">
            <v>9</v>
          </cell>
          <cell r="CJ33">
            <v>7</v>
          </cell>
          <cell r="CK33">
            <v>5</v>
          </cell>
          <cell r="CL33">
            <v>4</v>
          </cell>
          <cell r="CM33">
            <v>8</v>
          </cell>
          <cell r="CN33">
            <v>10</v>
          </cell>
          <cell r="CO33">
            <v>11</v>
          </cell>
          <cell r="CP33">
            <v>17</v>
          </cell>
          <cell r="CQ33">
            <v>10</v>
          </cell>
          <cell r="CR33">
            <v>24</v>
          </cell>
          <cell r="CS33">
            <v>23</v>
          </cell>
          <cell r="CT33">
            <v>16</v>
          </cell>
          <cell r="CU33">
            <v>19</v>
          </cell>
          <cell r="CV33">
            <v>23</v>
          </cell>
          <cell r="CW33">
            <v>26</v>
          </cell>
          <cell r="CX33">
            <v>16</v>
          </cell>
          <cell r="CY33">
            <v>22</v>
          </cell>
          <cell r="CZ33">
            <v>30</v>
          </cell>
          <cell r="DA33">
            <v>29</v>
          </cell>
          <cell r="DB33">
            <v>24</v>
          </cell>
          <cell r="DC33">
            <v>16</v>
          </cell>
          <cell r="DD33">
            <v>12</v>
          </cell>
          <cell r="DE33">
            <v>19</v>
          </cell>
          <cell r="DF33">
            <v>10</v>
          </cell>
          <cell r="DG33">
            <v>18</v>
          </cell>
          <cell r="DH33">
            <v>14</v>
          </cell>
          <cell r="DI33">
            <v>14</v>
          </cell>
          <cell r="DJ33">
            <v>15</v>
          </cell>
          <cell r="DK33">
            <v>15</v>
          </cell>
          <cell r="DL33">
            <v>16</v>
          </cell>
          <cell r="DM33">
            <v>18</v>
          </cell>
          <cell r="DN33">
            <v>10</v>
          </cell>
          <cell r="DO33">
            <v>15</v>
          </cell>
          <cell r="DP33">
            <v>16</v>
          </cell>
          <cell r="DQ33">
            <v>28</v>
          </cell>
          <cell r="DR33">
            <v>40</v>
          </cell>
          <cell r="DS33">
            <v>10</v>
          </cell>
          <cell r="DT33">
            <v>15</v>
          </cell>
          <cell r="DU33">
            <v>14</v>
          </cell>
          <cell r="DV33">
            <v>21</v>
          </cell>
          <cell r="DW33">
            <v>32</v>
          </cell>
          <cell r="DX33">
            <v>28</v>
          </cell>
          <cell r="DY33">
            <v>13</v>
          </cell>
          <cell r="DZ33">
            <v>29</v>
          </cell>
          <cell r="EA33">
            <v>15</v>
          </cell>
          <cell r="EB33">
            <v>15</v>
          </cell>
          <cell r="EC33">
            <v>29</v>
          </cell>
        </row>
        <row r="34">
          <cell r="CH34">
            <v>37</v>
          </cell>
          <cell r="CI34">
            <v>30</v>
          </cell>
          <cell r="CJ34">
            <v>24</v>
          </cell>
          <cell r="CK34">
            <v>27</v>
          </cell>
          <cell r="CL34">
            <v>23</v>
          </cell>
          <cell r="CM34">
            <v>34</v>
          </cell>
          <cell r="CN34">
            <v>41</v>
          </cell>
          <cell r="CO34">
            <v>61</v>
          </cell>
          <cell r="CP34">
            <v>45</v>
          </cell>
          <cell r="CQ34">
            <v>28</v>
          </cell>
          <cell r="CR34">
            <v>57</v>
          </cell>
          <cell r="CS34">
            <v>47</v>
          </cell>
          <cell r="CT34">
            <v>58</v>
          </cell>
          <cell r="CU34">
            <v>61</v>
          </cell>
          <cell r="CV34">
            <v>53</v>
          </cell>
          <cell r="CW34">
            <v>66</v>
          </cell>
          <cell r="CX34">
            <v>59</v>
          </cell>
          <cell r="CY34">
            <v>73</v>
          </cell>
          <cell r="CZ34">
            <v>88</v>
          </cell>
          <cell r="DA34">
            <v>75</v>
          </cell>
          <cell r="DB34">
            <v>60</v>
          </cell>
          <cell r="DC34">
            <v>60</v>
          </cell>
          <cell r="DD34">
            <v>43</v>
          </cell>
          <cell r="DE34">
            <v>55</v>
          </cell>
          <cell r="DF34">
            <v>40</v>
          </cell>
          <cell r="DG34">
            <v>45</v>
          </cell>
          <cell r="DH34">
            <v>52</v>
          </cell>
          <cell r="DI34">
            <v>74</v>
          </cell>
          <cell r="DJ34">
            <v>50</v>
          </cell>
          <cell r="DK34">
            <v>57</v>
          </cell>
          <cell r="DL34">
            <v>43</v>
          </cell>
          <cell r="DM34">
            <v>68</v>
          </cell>
          <cell r="DN34">
            <v>62</v>
          </cell>
          <cell r="DO34">
            <v>67</v>
          </cell>
          <cell r="DP34">
            <v>70</v>
          </cell>
          <cell r="DQ34">
            <v>81</v>
          </cell>
          <cell r="DR34">
            <v>94</v>
          </cell>
          <cell r="DS34">
            <v>52</v>
          </cell>
          <cell r="DT34">
            <v>44</v>
          </cell>
          <cell r="DU34">
            <v>48</v>
          </cell>
          <cell r="DV34">
            <v>54</v>
          </cell>
          <cell r="DW34">
            <v>79</v>
          </cell>
          <cell r="DX34">
            <v>95</v>
          </cell>
          <cell r="DY34">
            <v>45</v>
          </cell>
          <cell r="DZ34">
            <v>73</v>
          </cell>
          <cell r="EA34">
            <v>55</v>
          </cell>
          <cell r="EB34">
            <v>56</v>
          </cell>
          <cell r="EC34">
            <v>55</v>
          </cell>
        </row>
        <row r="36">
          <cell r="CH36">
            <v>13</v>
          </cell>
          <cell r="CI36">
            <v>17</v>
          </cell>
          <cell r="CJ36">
            <v>12</v>
          </cell>
          <cell r="CK36">
            <v>13</v>
          </cell>
          <cell r="CL36">
            <v>8</v>
          </cell>
          <cell r="CM36">
            <v>6</v>
          </cell>
          <cell r="CN36">
            <v>8</v>
          </cell>
          <cell r="CO36">
            <v>10</v>
          </cell>
          <cell r="CP36">
            <v>4</v>
          </cell>
          <cell r="CQ36">
            <v>10</v>
          </cell>
          <cell r="CR36">
            <v>5</v>
          </cell>
          <cell r="CS36">
            <v>8</v>
          </cell>
          <cell r="CT36">
            <v>5</v>
          </cell>
          <cell r="CU36">
            <v>9</v>
          </cell>
          <cell r="CV36">
            <v>2</v>
          </cell>
          <cell r="CW36">
            <v>10</v>
          </cell>
          <cell r="CX36">
            <v>4</v>
          </cell>
          <cell r="CY36">
            <v>6</v>
          </cell>
          <cell r="CZ36">
            <v>5</v>
          </cell>
          <cell r="DA36">
            <v>8</v>
          </cell>
          <cell r="DB36">
            <v>6</v>
          </cell>
          <cell r="DC36">
            <v>8</v>
          </cell>
          <cell r="DD36">
            <v>2</v>
          </cell>
          <cell r="DE36">
            <v>12</v>
          </cell>
          <cell r="DF36">
            <v>10</v>
          </cell>
          <cell r="DG36">
            <v>6</v>
          </cell>
          <cell r="DH36">
            <v>10</v>
          </cell>
          <cell r="DI36">
            <v>6</v>
          </cell>
          <cell r="DJ36">
            <v>6</v>
          </cell>
          <cell r="DK36">
            <v>6</v>
          </cell>
          <cell r="DL36">
            <v>8</v>
          </cell>
          <cell r="DM36">
            <v>6</v>
          </cell>
          <cell r="DN36">
            <v>5</v>
          </cell>
          <cell r="DO36">
            <v>2</v>
          </cell>
          <cell r="DP36">
            <v>4</v>
          </cell>
          <cell r="DQ36">
            <v>8</v>
          </cell>
          <cell r="DR36">
            <v>7</v>
          </cell>
          <cell r="DS36">
            <v>11</v>
          </cell>
          <cell r="DT36">
            <v>5</v>
          </cell>
          <cell r="DU36">
            <v>4</v>
          </cell>
          <cell r="DV36">
            <v>9</v>
          </cell>
          <cell r="DW36">
            <v>7</v>
          </cell>
          <cell r="DX36">
            <v>7</v>
          </cell>
          <cell r="DY36">
            <v>5</v>
          </cell>
          <cell r="DZ36">
            <v>4</v>
          </cell>
          <cell r="EA36">
            <v>11</v>
          </cell>
          <cell r="EB36">
            <v>5</v>
          </cell>
          <cell r="EC36">
            <v>4</v>
          </cell>
        </row>
        <row r="37">
          <cell r="CH37">
            <v>104</v>
          </cell>
          <cell r="CI37">
            <v>104</v>
          </cell>
          <cell r="CJ37">
            <v>120</v>
          </cell>
          <cell r="CK37">
            <v>122</v>
          </cell>
          <cell r="CL37">
            <v>99</v>
          </cell>
          <cell r="CM37">
            <v>110</v>
          </cell>
          <cell r="CN37">
            <v>100</v>
          </cell>
          <cell r="CO37">
            <v>88</v>
          </cell>
          <cell r="CP37">
            <v>90</v>
          </cell>
          <cell r="CQ37">
            <v>102</v>
          </cell>
          <cell r="CR37">
            <v>87</v>
          </cell>
          <cell r="CS37">
            <v>118</v>
          </cell>
          <cell r="CT37">
            <v>113</v>
          </cell>
          <cell r="CU37">
            <v>99</v>
          </cell>
          <cell r="CV37">
            <v>103</v>
          </cell>
          <cell r="CW37">
            <v>106</v>
          </cell>
          <cell r="CX37">
            <v>95</v>
          </cell>
          <cell r="CY37">
            <v>86</v>
          </cell>
          <cell r="CZ37">
            <v>89</v>
          </cell>
          <cell r="DA37">
            <v>96</v>
          </cell>
          <cell r="DB37">
            <v>110</v>
          </cell>
          <cell r="DC37">
            <v>88</v>
          </cell>
          <cell r="DD37">
            <v>87</v>
          </cell>
          <cell r="DE37">
            <v>112</v>
          </cell>
          <cell r="DF37">
            <v>97</v>
          </cell>
          <cell r="DG37">
            <v>102</v>
          </cell>
          <cell r="DH37">
            <v>94</v>
          </cell>
          <cell r="DI37">
            <v>106</v>
          </cell>
          <cell r="DJ37">
            <v>94</v>
          </cell>
          <cell r="DK37">
            <v>64</v>
          </cell>
          <cell r="DL37">
            <v>108</v>
          </cell>
          <cell r="DM37">
            <v>96</v>
          </cell>
          <cell r="DN37">
            <v>96</v>
          </cell>
          <cell r="DO37">
            <v>97</v>
          </cell>
          <cell r="DP37">
            <v>84</v>
          </cell>
          <cell r="DQ37">
            <v>91</v>
          </cell>
          <cell r="DR37">
            <v>91</v>
          </cell>
          <cell r="DS37">
            <v>64</v>
          </cell>
          <cell r="DT37">
            <v>95</v>
          </cell>
          <cell r="DU37">
            <v>102</v>
          </cell>
          <cell r="DV37">
            <v>101</v>
          </cell>
          <cell r="DW37">
            <v>86</v>
          </cell>
          <cell r="DX37">
            <v>75</v>
          </cell>
          <cell r="DY37">
            <v>95</v>
          </cell>
          <cell r="DZ37">
            <v>102</v>
          </cell>
          <cell r="EA37">
            <v>92</v>
          </cell>
          <cell r="EB37">
            <v>80</v>
          </cell>
          <cell r="EC37">
            <v>129</v>
          </cell>
        </row>
        <row r="38">
          <cell r="CH38">
            <v>48</v>
          </cell>
          <cell r="CI38">
            <v>53</v>
          </cell>
          <cell r="CJ38">
            <v>52</v>
          </cell>
          <cell r="CK38">
            <v>58</v>
          </cell>
          <cell r="CL38">
            <v>37</v>
          </cell>
          <cell r="CM38">
            <v>51</v>
          </cell>
          <cell r="CN38">
            <v>47</v>
          </cell>
          <cell r="CO38">
            <v>43</v>
          </cell>
          <cell r="CP38">
            <v>50</v>
          </cell>
          <cell r="CQ38">
            <v>31</v>
          </cell>
          <cell r="CR38">
            <v>35</v>
          </cell>
          <cell r="CS38">
            <v>31</v>
          </cell>
          <cell r="CT38">
            <v>54</v>
          </cell>
          <cell r="CU38">
            <v>44</v>
          </cell>
          <cell r="CV38">
            <v>71</v>
          </cell>
          <cell r="CW38">
            <v>70</v>
          </cell>
          <cell r="CX38">
            <v>50</v>
          </cell>
          <cell r="CY38">
            <v>44</v>
          </cell>
          <cell r="CZ38">
            <v>42</v>
          </cell>
          <cell r="DA38">
            <v>43</v>
          </cell>
          <cell r="DB38">
            <v>41</v>
          </cell>
          <cell r="DC38">
            <v>31</v>
          </cell>
          <cell r="DD38">
            <v>51</v>
          </cell>
          <cell r="DE38">
            <v>43</v>
          </cell>
          <cell r="DF38">
            <v>43</v>
          </cell>
          <cell r="DG38">
            <v>54</v>
          </cell>
          <cell r="DH38">
            <v>57</v>
          </cell>
          <cell r="DI38">
            <v>51</v>
          </cell>
          <cell r="DJ38">
            <v>55</v>
          </cell>
          <cell r="DK38">
            <v>35</v>
          </cell>
          <cell r="DL38">
            <v>72</v>
          </cell>
          <cell r="DM38">
            <v>48</v>
          </cell>
          <cell r="DN38">
            <v>48</v>
          </cell>
          <cell r="DO38">
            <v>53</v>
          </cell>
          <cell r="DP38">
            <v>50</v>
          </cell>
          <cell r="DQ38">
            <v>46</v>
          </cell>
          <cell r="DR38">
            <v>43</v>
          </cell>
          <cell r="DS38">
            <v>42</v>
          </cell>
          <cell r="DT38">
            <v>53</v>
          </cell>
          <cell r="DU38">
            <v>52</v>
          </cell>
          <cell r="DV38">
            <v>43</v>
          </cell>
          <cell r="DW38">
            <v>38</v>
          </cell>
          <cell r="DX38">
            <v>43</v>
          </cell>
          <cell r="DY38">
            <v>44</v>
          </cell>
          <cell r="DZ38">
            <v>38</v>
          </cell>
          <cell r="EA38">
            <v>42</v>
          </cell>
          <cell r="EB38">
            <v>37</v>
          </cell>
          <cell r="EC38">
            <v>44</v>
          </cell>
        </row>
        <row r="39">
          <cell r="CJ39">
            <v>1</v>
          </cell>
          <cell r="CK39">
            <v>1</v>
          </cell>
          <cell r="CM39">
            <v>2</v>
          </cell>
          <cell r="CO39">
            <v>1</v>
          </cell>
          <cell r="CP39">
            <v>1</v>
          </cell>
          <cell r="CQ39">
            <v>5</v>
          </cell>
          <cell r="CR39">
            <v>2</v>
          </cell>
          <cell r="CS39">
            <v>1</v>
          </cell>
          <cell r="CT39">
            <v>2</v>
          </cell>
          <cell r="CU39">
            <v>1</v>
          </cell>
          <cell r="CV39">
            <v>1</v>
          </cell>
          <cell r="CW39">
            <v>3</v>
          </cell>
          <cell r="CX39">
            <v>0</v>
          </cell>
          <cell r="CY39">
            <v>2</v>
          </cell>
          <cell r="CZ39">
            <v>1</v>
          </cell>
          <cell r="DA39">
            <v>1</v>
          </cell>
          <cell r="DB39">
            <v>2</v>
          </cell>
          <cell r="DC39">
            <v>2</v>
          </cell>
          <cell r="DD39">
            <v>4</v>
          </cell>
          <cell r="DE39">
            <v>5</v>
          </cell>
          <cell r="DF39">
            <v>1</v>
          </cell>
          <cell r="DG39">
            <v>0</v>
          </cell>
          <cell r="DH39">
            <v>0</v>
          </cell>
          <cell r="DI39">
            <v>1</v>
          </cell>
          <cell r="DJ39">
            <v>0</v>
          </cell>
          <cell r="DK39">
            <v>1</v>
          </cell>
          <cell r="DL39">
            <v>2</v>
          </cell>
          <cell r="DM39">
            <v>0</v>
          </cell>
          <cell r="DN39">
            <v>0</v>
          </cell>
          <cell r="DO39">
            <v>0</v>
          </cell>
          <cell r="DP39">
            <v>3</v>
          </cell>
          <cell r="DQ39">
            <v>0</v>
          </cell>
          <cell r="DR39">
            <v>2</v>
          </cell>
          <cell r="DS39">
            <v>0</v>
          </cell>
          <cell r="DT39">
            <v>1</v>
          </cell>
          <cell r="DU39">
            <v>0</v>
          </cell>
          <cell r="DV39">
            <v>1</v>
          </cell>
          <cell r="DW39">
            <v>2</v>
          </cell>
          <cell r="DX39">
            <v>3</v>
          </cell>
          <cell r="DY39">
            <v>0</v>
          </cell>
          <cell r="DZ39">
            <v>0</v>
          </cell>
          <cell r="EA39">
            <v>1</v>
          </cell>
          <cell r="EB39">
            <v>2</v>
          </cell>
          <cell r="EC39">
            <v>3</v>
          </cell>
        </row>
        <row r="41">
          <cell r="CH41">
            <v>42</v>
          </cell>
          <cell r="CI41">
            <v>56</v>
          </cell>
          <cell r="CJ41">
            <v>42</v>
          </cell>
          <cell r="CK41">
            <v>50</v>
          </cell>
          <cell r="CL41">
            <v>42</v>
          </cell>
          <cell r="CM41">
            <v>42</v>
          </cell>
          <cell r="CN41">
            <v>40</v>
          </cell>
          <cell r="CO41">
            <v>53</v>
          </cell>
          <cell r="CP41">
            <v>53</v>
          </cell>
          <cell r="CQ41">
            <v>36</v>
          </cell>
          <cell r="CR41">
            <v>42</v>
          </cell>
          <cell r="CS41">
            <v>65</v>
          </cell>
          <cell r="CT41">
            <v>78</v>
          </cell>
          <cell r="CU41">
            <v>40</v>
          </cell>
          <cell r="CV41">
            <v>52</v>
          </cell>
          <cell r="CW41">
            <v>58</v>
          </cell>
          <cell r="CX41">
            <v>76</v>
          </cell>
          <cell r="CY41">
            <v>66</v>
          </cell>
          <cell r="CZ41">
            <v>58</v>
          </cell>
          <cell r="DA41">
            <v>51</v>
          </cell>
          <cell r="DB41">
            <v>48</v>
          </cell>
          <cell r="DC41">
            <v>68</v>
          </cell>
          <cell r="DD41">
            <v>62</v>
          </cell>
          <cell r="DE41">
            <v>62</v>
          </cell>
          <cell r="DF41">
            <v>54</v>
          </cell>
          <cell r="DG41">
            <v>55</v>
          </cell>
          <cell r="DH41">
            <v>61</v>
          </cell>
          <cell r="DI41">
            <v>59</v>
          </cell>
          <cell r="DJ41">
            <v>46</v>
          </cell>
          <cell r="DK41">
            <v>76</v>
          </cell>
          <cell r="DL41">
            <v>82</v>
          </cell>
          <cell r="DM41">
            <v>79</v>
          </cell>
          <cell r="DN41">
            <v>70</v>
          </cell>
          <cell r="DO41">
            <v>66</v>
          </cell>
          <cell r="DP41">
            <v>66</v>
          </cell>
          <cell r="DQ41">
            <v>65</v>
          </cell>
          <cell r="DR41">
            <v>63</v>
          </cell>
          <cell r="DS41">
            <v>40</v>
          </cell>
          <cell r="DT41">
            <v>43</v>
          </cell>
          <cell r="DU41">
            <v>60</v>
          </cell>
          <cell r="DV41">
            <v>61</v>
          </cell>
          <cell r="DW41">
            <v>59</v>
          </cell>
          <cell r="DX41">
            <v>61</v>
          </cell>
          <cell r="DY41">
            <v>37</v>
          </cell>
          <cell r="DZ41">
            <v>42</v>
          </cell>
          <cell r="EA41">
            <v>39</v>
          </cell>
          <cell r="EB41">
            <v>39</v>
          </cell>
          <cell r="EC41">
            <v>31</v>
          </cell>
        </row>
        <row r="43">
          <cell r="CH43">
            <v>8</v>
          </cell>
          <cell r="CI43">
            <v>8</v>
          </cell>
          <cell r="CJ43">
            <v>10</v>
          </cell>
          <cell r="CK43">
            <v>9</v>
          </cell>
          <cell r="CL43">
            <v>11</v>
          </cell>
          <cell r="CM43">
            <v>11</v>
          </cell>
          <cell r="CN43">
            <v>9</v>
          </cell>
          <cell r="CO43">
            <v>8</v>
          </cell>
          <cell r="CP43">
            <v>10</v>
          </cell>
          <cell r="CQ43">
            <v>8</v>
          </cell>
          <cell r="CR43">
            <v>5</v>
          </cell>
          <cell r="CS43">
            <v>11</v>
          </cell>
          <cell r="CT43">
            <v>12</v>
          </cell>
          <cell r="CU43">
            <v>11</v>
          </cell>
          <cell r="CV43">
            <v>10</v>
          </cell>
          <cell r="CW43">
            <v>10</v>
          </cell>
          <cell r="CX43">
            <v>15</v>
          </cell>
          <cell r="CY43">
            <v>8</v>
          </cell>
          <cell r="CZ43">
            <v>16</v>
          </cell>
          <cell r="DA43">
            <v>6</v>
          </cell>
          <cell r="DB43">
            <v>19</v>
          </cell>
          <cell r="DC43">
            <v>20</v>
          </cell>
          <cell r="DD43">
            <v>9</v>
          </cell>
          <cell r="DE43">
            <v>8</v>
          </cell>
          <cell r="DF43">
            <v>10</v>
          </cell>
          <cell r="DG43">
            <v>17</v>
          </cell>
          <cell r="DH43">
            <v>9</v>
          </cell>
          <cell r="DI43">
            <v>21</v>
          </cell>
          <cell r="DJ43">
            <v>17</v>
          </cell>
          <cell r="DK43">
            <v>16</v>
          </cell>
          <cell r="DL43">
            <v>8</v>
          </cell>
          <cell r="DM43">
            <v>10</v>
          </cell>
          <cell r="DN43">
            <v>9</v>
          </cell>
          <cell r="DO43">
            <v>11</v>
          </cell>
          <cell r="DP43">
            <v>9</v>
          </cell>
          <cell r="DQ43">
            <v>14</v>
          </cell>
          <cell r="DR43">
            <v>18</v>
          </cell>
          <cell r="DS43">
            <v>5</v>
          </cell>
          <cell r="DT43">
            <v>7</v>
          </cell>
          <cell r="DU43">
            <v>8</v>
          </cell>
          <cell r="DV43">
            <v>25</v>
          </cell>
          <cell r="DW43">
            <v>20</v>
          </cell>
          <cell r="DX43">
            <v>12</v>
          </cell>
          <cell r="DY43">
            <v>9</v>
          </cell>
          <cell r="DZ43">
            <v>20</v>
          </cell>
          <cell r="EA43">
            <v>13</v>
          </cell>
          <cell r="EB43">
            <v>11</v>
          </cell>
          <cell r="EC43">
            <v>4</v>
          </cell>
        </row>
        <row r="53">
          <cell r="CH53">
            <v>812</v>
          </cell>
          <cell r="CI53">
            <v>936</v>
          </cell>
          <cell r="CJ53">
            <v>896</v>
          </cell>
          <cell r="CK53">
            <v>1018</v>
          </cell>
          <cell r="CL53">
            <v>852</v>
          </cell>
          <cell r="CM53">
            <v>948</v>
          </cell>
          <cell r="CN53">
            <v>971</v>
          </cell>
          <cell r="CO53">
            <v>998</v>
          </cell>
          <cell r="CP53">
            <v>916</v>
          </cell>
          <cell r="CQ53">
            <v>839</v>
          </cell>
          <cell r="CR53">
            <v>864</v>
          </cell>
          <cell r="CS53">
            <v>1060</v>
          </cell>
          <cell r="CT53">
            <v>995</v>
          </cell>
          <cell r="CU53">
            <v>941</v>
          </cell>
          <cell r="CV53">
            <v>1008</v>
          </cell>
          <cell r="CW53">
            <v>1026</v>
          </cell>
          <cell r="CX53">
            <v>989</v>
          </cell>
          <cell r="CY53">
            <v>916</v>
          </cell>
          <cell r="CZ53">
            <v>1000</v>
          </cell>
          <cell r="DA53">
            <v>832</v>
          </cell>
          <cell r="DB53">
            <v>833</v>
          </cell>
          <cell r="DC53">
            <v>965</v>
          </cell>
          <cell r="DD53">
            <v>883</v>
          </cell>
          <cell r="DE53">
            <v>1027</v>
          </cell>
          <cell r="DF53">
            <v>946</v>
          </cell>
          <cell r="DG53">
            <v>917</v>
          </cell>
          <cell r="DH53">
            <v>975</v>
          </cell>
          <cell r="DI53">
            <v>1055</v>
          </cell>
          <cell r="DJ53">
            <v>892</v>
          </cell>
          <cell r="DK53">
            <v>959</v>
          </cell>
          <cell r="DL53">
            <v>1021</v>
          </cell>
          <cell r="DM53">
            <v>845</v>
          </cell>
          <cell r="DN53">
            <v>895</v>
          </cell>
          <cell r="DO53">
            <v>959</v>
          </cell>
          <cell r="DP53">
            <v>859</v>
          </cell>
          <cell r="DQ53">
            <v>944</v>
          </cell>
          <cell r="DR53">
            <v>980</v>
          </cell>
          <cell r="DS53">
            <v>1054</v>
          </cell>
          <cell r="DT53">
            <v>1052</v>
          </cell>
          <cell r="DU53">
            <v>1044</v>
          </cell>
          <cell r="DV53">
            <v>979</v>
          </cell>
          <cell r="DW53">
            <v>972</v>
          </cell>
          <cell r="DX53">
            <v>957</v>
          </cell>
          <cell r="DY53">
            <v>866</v>
          </cell>
          <cell r="DZ53">
            <v>939</v>
          </cell>
          <cell r="EA53">
            <v>894</v>
          </cell>
          <cell r="EB53">
            <v>810</v>
          </cell>
          <cell r="EC53">
            <v>919</v>
          </cell>
        </row>
        <row r="55">
          <cell r="AL55">
            <v>124</v>
          </cell>
          <cell r="AM55">
            <v>126</v>
          </cell>
          <cell r="AN55">
            <v>134</v>
          </cell>
          <cell r="AO55">
            <v>147</v>
          </cell>
          <cell r="AP55">
            <v>100</v>
          </cell>
          <cell r="AQ55">
            <v>116</v>
          </cell>
          <cell r="AR55">
            <v>107</v>
          </cell>
          <cell r="AS55">
            <v>123</v>
          </cell>
          <cell r="AT55">
            <v>112</v>
          </cell>
          <cell r="AU55">
            <v>88</v>
          </cell>
          <cell r="AV55">
            <v>95</v>
          </cell>
          <cell r="AW55">
            <v>112</v>
          </cell>
          <cell r="AX55">
            <v>97</v>
          </cell>
          <cell r="AY55">
            <v>113</v>
          </cell>
          <cell r="AZ55">
            <v>133</v>
          </cell>
          <cell r="BA55">
            <v>131</v>
          </cell>
          <cell r="BB55">
            <v>120</v>
          </cell>
          <cell r="BC55">
            <v>136</v>
          </cell>
          <cell r="BD55">
            <v>138</v>
          </cell>
          <cell r="BE55">
            <v>114</v>
          </cell>
          <cell r="BF55">
            <v>157</v>
          </cell>
          <cell r="BG55">
            <v>116</v>
          </cell>
          <cell r="BH55">
            <v>102</v>
          </cell>
          <cell r="BI55">
            <v>145</v>
          </cell>
          <cell r="BJ55">
            <v>132</v>
          </cell>
          <cell r="BK55">
            <v>103</v>
          </cell>
          <cell r="BL55">
            <v>127</v>
          </cell>
          <cell r="BM55">
            <v>119</v>
          </cell>
          <cell r="BN55">
            <v>103</v>
          </cell>
          <cell r="BO55">
            <v>127</v>
          </cell>
          <cell r="BP55">
            <v>117</v>
          </cell>
          <cell r="BQ55">
            <v>127</v>
          </cell>
          <cell r="BR55">
            <v>134</v>
          </cell>
          <cell r="BS55">
            <v>141</v>
          </cell>
          <cell r="BT55">
            <v>139</v>
          </cell>
          <cell r="BU55">
            <v>99</v>
          </cell>
          <cell r="BV55">
            <v>80</v>
          </cell>
          <cell r="BW55">
            <v>104</v>
          </cell>
          <cell r="BX55">
            <v>89</v>
          </cell>
          <cell r="BY55">
            <v>132</v>
          </cell>
          <cell r="BZ55">
            <v>115</v>
          </cell>
          <cell r="CA55">
            <v>117</v>
          </cell>
          <cell r="CB55">
            <v>106</v>
          </cell>
          <cell r="CC55">
            <v>74</v>
          </cell>
          <cell r="CD55">
            <v>96</v>
          </cell>
          <cell r="CE55">
            <v>87</v>
          </cell>
          <cell r="CF55">
            <v>64</v>
          </cell>
          <cell r="CG55">
            <v>118</v>
          </cell>
          <cell r="CH55">
            <v>104</v>
          </cell>
          <cell r="CI55">
            <v>102</v>
          </cell>
          <cell r="CJ55">
            <v>110</v>
          </cell>
          <cell r="CK55">
            <v>112</v>
          </cell>
          <cell r="CL55">
            <v>123</v>
          </cell>
          <cell r="CM55">
            <v>109</v>
          </cell>
          <cell r="CN55">
            <v>127</v>
          </cell>
          <cell r="CO55">
            <v>101</v>
          </cell>
          <cell r="CP55">
            <v>106</v>
          </cell>
          <cell r="CQ55">
            <v>93</v>
          </cell>
          <cell r="CR55">
            <v>101</v>
          </cell>
          <cell r="CS55">
            <v>138</v>
          </cell>
          <cell r="CT55">
            <v>132</v>
          </cell>
          <cell r="CU55">
            <v>133</v>
          </cell>
          <cell r="CV55">
            <v>151</v>
          </cell>
          <cell r="CW55">
            <v>147</v>
          </cell>
          <cell r="CX55">
            <v>135</v>
          </cell>
          <cell r="CY55">
            <v>120</v>
          </cell>
          <cell r="CZ55">
            <v>131</v>
          </cell>
          <cell r="DA55">
            <v>111</v>
          </cell>
          <cell r="DB55">
            <v>95</v>
          </cell>
          <cell r="DC55">
            <v>116</v>
          </cell>
          <cell r="DD55">
            <v>82</v>
          </cell>
          <cell r="DE55">
            <v>119</v>
          </cell>
          <cell r="DF55">
            <v>112</v>
          </cell>
          <cell r="DG55">
            <v>126</v>
          </cell>
          <cell r="DH55">
            <v>163</v>
          </cell>
          <cell r="DI55">
            <v>129</v>
          </cell>
          <cell r="DJ55">
            <v>149</v>
          </cell>
          <cell r="DK55">
            <v>132</v>
          </cell>
          <cell r="DL55">
            <v>131</v>
          </cell>
          <cell r="DM55">
            <v>130</v>
          </cell>
          <cell r="DN55">
            <v>135</v>
          </cell>
          <cell r="DO55">
            <v>126</v>
          </cell>
          <cell r="DP55">
            <v>113</v>
          </cell>
          <cell r="DQ55">
            <v>123</v>
          </cell>
          <cell r="DR55">
            <v>141</v>
          </cell>
          <cell r="DS55">
            <v>157</v>
          </cell>
          <cell r="DT55">
            <v>146</v>
          </cell>
          <cell r="DU55">
            <v>140</v>
          </cell>
          <cell r="DV55">
            <v>135</v>
          </cell>
          <cell r="DW55">
            <v>116</v>
          </cell>
          <cell r="DX55">
            <v>120</v>
          </cell>
          <cell r="DY55">
            <v>95</v>
          </cell>
          <cell r="DZ55">
            <v>135</v>
          </cell>
          <cell r="EA55">
            <v>96</v>
          </cell>
          <cell r="EB55">
            <v>109</v>
          </cell>
          <cell r="EC55">
            <v>116</v>
          </cell>
        </row>
        <row r="56">
          <cell r="AL56">
            <v>187</v>
          </cell>
          <cell r="AM56">
            <v>185</v>
          </cell>
          <cell r="AN56">
            <v>215</v>
          </cell>
          <cell r="AO56">
            <v>224</v>
          </cell>
          <cell r="AP56">
            <v>186</v>
          </cell>
          <cell r="AQ56">
            <v>153</v>
          </cell>
          <cell r="AR56">
            <v>176</v>
          </cell>
          <cell r="AS56">
            <v>196</v>
          </cell>
          <cell r="AT56">
            <v>176</v>
          </cell>
          <cell r="AU56">
            <v>185</v>
          </cell>
          <cell r="AV56">
            <v>172</v>
          </cell>
          <cell r="AW56">
            <v>180</v>
          </cell>
          <cell r="AX56">
            <v>195</v>
          </cell>
          <cell r="AY56">
            <v>224</v>
          </cell>
          <cell r="AZ56">
            <v>247</v>
          </cell>
          <cell r="BA56">
            <v>220</v>
          </cell>
          <cell r="BB56">
            <v>202</v>
          </cell>
          <cell r="BC56">
            <v>215</v>
          </cell>
          <cell r="BD56">
            <v>235</v>
          </cell>
          <cell r="BE56">
            <v>224</v>
          </cell>
          <cell r="BF56">
            <v>258</v>
          </cell>
          <cell r="BG56">
            <v>256</v>
          </cell>
          <cell r="BH56">
            <v>204</v>
          </cell>
          <cell r="BI56">
            <v>217</v>
          </cell>
          <cell r="BJ56">
            <v>206</v>
          </cell>
          <cell r="BK56">
            <v>236</v>
          </cell>
          <cell r="BL56">
            <v>184</v>
          </cell>
          <cell r="BM56">
            <v>222</v>
          </cell>
          <cell r="BN56">
            <v>239</v>
          </cell>
          <cell r="BO56">
            <v>267</v>
          </cell>
          <cell r="BP56">
            <v>280</v>
          </cell>
          <cell r="BQ56">
            <v>289</v>
          </cell>
          <cell r="BR56">
            <v>292</v>
          </cell>
          <cell r="BS56">
            <v>272</v>
          </cell>
          <cell r="BT56">
            <v>278</v>
          </cell>
          <cell r="BU56">
            <v>245</v>
          </cell>
          <cell r="BV56">
            <v>212</v>
          </cell>
          <cell r="BW56">
            <v>233</v>
          </cell>
          <cell r="BX56">
            <v>272</v>
          </cell>
          <cell r="BY56">
            <v>317</v>
          </cell>
          <cell r="BZ56">
            <v>330</v>
          </cell>
          <cell r="CA56">
            <v>270</v>
          </cell>
          <cell r="CB56">
            <v>298</v>
          </cell>
          <cell r="CC56">
            <v>253</v>
          </cell>
          <cell r="CD56">
            <v>241</v>
          </cell>
          <cell r="CE56">
            <v>234</v>
          </cell>
          <cell r="CF56">
            <v>221</v>
          </cell>
          <cell r="CG56">
            <v>272</v>
          </cell>
          <cell r="CH56">
            <v>268</v>
          </cell>
          <cell r="CI56">
            <v>308</v>
          </cell>
          <cell r="CJ56">
            <v>285</v>
          </cell>
          <cell r="CK56">
            <v>309</v>
          </cell>
          <cell r="CL56">
            <v>241</v>
          </cell>
          <cell r="CM56">
            <v>315</v>
          </cell>
          <cell r="CN56">
            <v>284</v>
          </cell>
          <cell r="CO56">
            <v>323</v>
          </cell>
          <cell r="CP56">
            <v>277</v>
          </cell>
          <cell r="CQ56">
            <v>254</v>
          </cell>
          <cell r="CR56">
            <v>287</v>
          </cell>
          <cell r="CS56">
            <v>323</v>
          </cell>
          <cell r="CT56">
            <v>241</v>
          </cell>
          <cell r="CU56">
            <v>276</v>
          </cell>
          <cell r="CV56">
            <v>309</v>
          </cell>
          <cell r="CW56">
            <v>319</v>
          </cell>
          <cell r="CX56">
            <v>262</v>
          </cell>
          <cell r="CY56">
            <v>262</v>
          </cell>
          <cell r="CZ56">
            <v>245</v>
          </cell>
          <cell r="DA56">
            <v>253</v>
          </cell>
          <cell r="DB56">
            <v>244</v>
          </cell>
          <cell r="DC56">
            <v>230</v>
          </cell>
          <cell r="DD56">
            <v>277</v>
          </cell>
          <cell r="DE56">
            <v>312</v>
          </cell>
          <cell r="DF56">
            <v>292</v>
          </cell>
          <cell r="DG56">
            <v>250</v>
          </cell>
          <cell r="DH56">
            <v>245</v>
          </cell>
          <cell r="DI56">
            <v>272</v>
          </cell>
          <cell r="DJ56">
            <v>234</v>
          </cell>
          <cell r="DK56">
            <v>265</v>
          </cell>
          <cell r="DL56">
            <v>294</v>
          </cell>
          <cell r="DM56">
            <v>242</v>
          </cell>
          <cell r="DN56">
            <v>245</v>
          </cell>
          <cell r="DO56">
            <v>245</v>
          </cell>
          <cell r="DP56">
            <v>262</v>
          </cell>
          <cell r="DQ56">
            <v>211</v>
          </cell>
          <cell r="DR56">
            <v>232</v>
          </cell>
          <cell r="DS56">
            <v>282</v>
          </cell>
          <cell r="DT56">
            <v>257</v>
          </cell>
          <cell r="DU56">
            <v>276</v>
          </cell>
          <cell r="DV56">
            <v>214</v>
          </cell>
          <cell r="DW56">
            <v>250</v>
          </cell>
          <cell r="DX56">
            <v>226</v>
          </cell>
          <cell r="DY56">
            <v>224</v>
          </cell>
          <cell r="DZ56">
            <v>261</v>
          </cell>
          <cell r="EA56">
            <v>262</v>
          </cell>
          <cell r="EB56">
            <v>216</v>
          </cell>
          <cell r="EC56">
            <v>212</v>
          </cell>
        </row>
        <row r="57">
          <cell r="AL57">
            <v>12</v>
          </cell>
          <cell r="AM57">
            <v>21</v>
          </cell>
          <cell r="AN57">
            <v>11</v>
          </cell>
          <cell r="AO57">
            <v>2</v>
          </cell>
          <cell r="AP57">
            <v>9</v>
          </cell>
          <cell r="AQ57">
            <v>14</v>
          </cell>
          <cell r="AR57">
            <v>6</v>
          </cell>
          <cell r="AS57">
            <v>14</v>
          </cell>
          <cell r="AT57">
            <v>3</v>
          </cell>
          <cell r="AU57">
            <v>10</v>
          </cell>
          <cell r="AV57">
            <v>11</v>
          </cell>
          <cell r="AW57">
            <v>14</v>
          </cell>
          <cell r="AX57">
            <v>8</v>
          </cell>
          <cell r="AY57">
            <v>15</v>
          </cell>
          <cell r="AZ57">
            <v>10</v>
          </cell>
          <cell r="BA57">
            <v>10</v>
          </cell>
          <cell r="BB57">
            <v>10</v>
          </cell>
          <cell r="BC57">
            <v>11</v>
          </cell>
          <cell r="BD57">
            <v>5</v>
          </cell>
          <cell r="BE57">
            <v>8</v>
          </cell>
          <cell r="BF57">
            <v>8</v>
          </cell>
          <cell r="BG57">
            <v>10</v>
          </cell>
          <cell r="BH57">
            <v>6</v>
          </cell>
          <cell r="BI57">
            <v>10</v>
          </cell>
          <cell r="BJ57">
            <v>7</v>
          </cell>
          <cell r="BK57">
            <v>7</v>
          </cell>
          <cell r="BL57">
            <v>7</v>
          </cell>
          <cell r="BM57">
            <v>14</v>
          </cell>
          <cell r="BN57">
            <v>11</v>
          </cell>
          <cell r="BO57">
            <v>10</v>
          </cell>
          <cell r="BP57">
            <v>12</v>
          </cell>
          <cell r="BQ57">
            <v>17</v>
          </cell>
          <cell r="BR57">
            <v>14</v>
          </cell>
          <cell r="BS57">
            <v>15</v>
          </cell>
          <cell r="BT57">
            <v>16</v>
          </cell>
          <cell r="BU57">
            <v>18</v>
          </cell>
          <cell r="BV57">
            <v>4</v>
          </cell>
          <cell r="BW57">
            <v>10</v>
          </cell>
          <cell r="BX57">
            <v>9</v>
          </cell>
          <cell r="BY57">
            <v>13</v>
          </cell>
          <cell r="BZ57">
            <v>19</v>
          </cell>
          <cell r="CA57">
            <v>18</v>
          </cell>
          <cell r="CB57">
            <v>12</v>
          </cell>
          <cell r="CC57">
            <v>7</v>
          </cell>
          <cell r="CD57">
            <v>12</v>
          </cell>
          <cell r="CE57">
            <v>12</v>
          </cell>
          <cell r="CF57">
            <v>7</v>
          </cell>
          <cell r="CG57">
            <v>9</v>
          </cell>
          <cell r="CH57">
            <v>8</v>
          </cell>
          <cell r="CI57">
            <v>15</v>
          </cell>
          <cell r="CJ57">
            <v>19</v>
          </cell>
          <cell r="CK57">
            <v>50</v>
          </cell>
          <cell r="CL57">
            <v>10</v>
          </cell>
          <cell r="CM57">
            <v>24</v>
          </cell>
          <cell r="CN57">
            <v>15</v>
          </cell>
          <cell r="CO57">
            <v>16</v>
          </cell>
          <cell r="CP57">
            <v>11</v>
          </cell>
          <cell r="CQ57">
            <v>4</v>
          </cell>
          <cell r="CR57">
            <v>24</v>
          </cell>
          <cell r="CS57">
            <v>19</v>
          </cell>
          <cell r="CT57">
            <v>13</v>
          </cell>
          <cell r="CU57">
            <v>9</v>
          </cell>
          <cell r="CV57">
            <v>6</v>
          </cell>
          <cell r="CW57">
            <v>13</v>
          </cell>
          <cell r="CX57">
            <v>11</v>
          </cell>
          <cell r="CY57">
            <v>12</v>
          </cell>
          <cell r="CZ57">
            <v>12</v>
          </cell>
          <cell r="DA57">
            <v>8</v>
          </cell>
          <cell r="DB57">
            <v>13</v>
          </cell>
          <cell r="DC57">
            <v>22</v>
          </cell>
          <cell r="DD57">
            <v>10</v>
          </cell>
          <cell r="DE57">
            <v>9</v>
          </cell>
          <cell r="DF57">
            <v>10</v>
          </cell>
          <cell r="DG57">
            <v>20</v>
          </cell>
          <cell r="DH57">
            <v>12</v>
          </cell>
          <cell r="DI57">
            <v>7</v>
          </cell>
          <cell r="DJ57">
            <v>5</v>
          </cell>
          <cell r="DK57">
            <v>14</v>
          </cell>
          <cell r="DL57">
            <v>12</v>
          </cell>
          <cell r="DM57">
            <v>10</v>
          </cell>
          <cell r="DN57">
            <v>10</v>
          </cell>
          <cell r="DO57">
            <v>14</v>
          </cell>
          <cell r="DP57">
            <v>7</v>
          </cell>
          <cell r="DQ57">
            <v>11</v>
          </cell>
          <cell r="DR57">
            <v>13</v>
          </cell>
          <cell r="DS57">
            <v>11</v>
          </cell>
          <cell r="DT57">
            <v>7</v>
          </cell>
          <cell r="DU57">
            <v>11</v>
          </cell>
          <cell r="DV57">
            <v>16</v>
          </cell>
          <cell r="DW57">
            <v>9</v>
          </cell>
          <cell r="DX57">
            <v>9</v>
          </cell>
          <cell r="DY57">
            <v>13</v>
          </cell>
          <cell r="DZ57">
            <v>11</v>
          </cell>
          <cell r="EA57">
            <v>23</v>
          </cell>
          <cell r="EB57">
            <v>14</v>
          </cell>
          <cell r="EC57">
            <v>23</v>
          </cell>
        </row>
        <row r="58">
          <cell r="AL58">
            <v>20</v>
          </cell>
          <cell r="AM58">
            <v>29</v>
          </cell>
          <cell r="AN58">
            <v>23</v>
          </cell>
          <cell r="AO58">
            <v>19</v>
          </cell>
          <cell r="AP58">
            <v>14</v>
          </cell>
          <cell r="AQ58">
            <v>28</v>
          </cell>
          <cell r="AR58">
            <v>22</v>
          </cell>
          <cell r="AS58">
            <v>18</v>
          </cell>
          <cell r="AT58">
            <v>19</v>
          </cell>
          <cell r="AU58">
            <v>15</v>
          </cell>
          <cell r="AV58">
            <v>25</v>
          </cell>
          <cell r="AW58">
            <v>19</v>
          </cell>
          <cell r="AX58">
            <v>15</v>
          </cell>
          <cell r="AY58">
            <v>26</v>
          </cell>
          <cell r="AZ58">
            <v>25</v>
          </cell>
          <cell r="BA58">
            <v>13</v>
          </cell>
          <cell r="BB58">
            <v>11</v>
          </cell>
          <cell r="BC58">
            <v>16</v>
          </cell>
          <cell r="BD58">
            <v>24</v>
          </cell>
          <cell r="BE58">
            <v>9</v>
          </cell>
          <cell r="BF58">
            <v>26</v>
          </cell>
          <cell r="BG58">
            <v>23</v>
          </cell>
          <cell r="BH58">
            <v>22</v>
          </cell>
          <cell r="BI58">
            <v>19</v>
          </cell>
          <cell r="BJ58">
            <v>24</v>
          </cell>
          <cell r="BK58">
            <v>19</v>
          </cell>
          <cell r="BL58">
            <v>28</v>
          </cell>
          <cell r="BM58">
            <v>17</v>
          </cell>
          <cell r="BN58">
            <v>22</v>
          </cell>
          <cell r="BO58">
            <v>33</v>
          </cell>
          <cell r="BP58">
            <v>17</v>
          </cell>
          <cell r="BQ58">
            <v>25</v>
          </cell>
          <cell r="BR58">
            <v>33</v>
          </cell>
          <cell r="BS58">
            <v>33</v>
          </cell>
          <cell r="BT58">
            <v>26</v>
          </cell>
          <cell r="BU58">
            <v>22</v>
          </cell>
          <cell r="BV58">
            <v>14</v>
          </cell>
          <cell r="BW58">
            <v>14</v>
          </cell>
          <cell r="BX58">
            <v>23</v>
          </cell>
          <cell r="BY58">
            <v>27</v>
          </cell>
          <cell r="BZ58">
            <v>27</v>
          </cell>
          <cell r="CA58">
            <v>29</v>
          </cell>
          <cell r="CB58">
            <v>25</v>
          </cell>
          <cell r="CC58">
            <v>22</v>
          </cell>
          <cell r="CD58">
            <v>18</v>
          </cell>
          <cell r="CE58">
            <v>9</v>
          </cell>
          <cell r="CF58">
            <v>30</v>
          </cell>
          <cell r="CG58">
            <v>25</v>
          </cell>
          <cell r="CH58">
            <v>17</v>
          </cell>
          <cell r="CI58">
            <v>40</v>
          </cell>
          <cell r="CJ58">
            <v>28</v>
          </cell>
          <cell r="CK58">
            <v>31</v>
          </cell>
          <cell r="CL58">
            <v>13</v>
          </cell>
          <cell r="CM58">
            <v>29</v>
          </cell>
          <cell r="CN58">
            <v>29</v>
          </cell>
          <cell r="CO58">
            <v>24</v>
          </cell>
          <cell r="CP58">
            <v>25</v>
          </cell>
          <cell r="CQ58">
            <v>19</v>
          </cell>
          <cell r="CR58">
            <v>25</v>
          </cell>
          <cell r="CS58">
            <v>28</v>
          </cell>
          <cell r="CT58">
            <v>37</v>
          </cell>
          <cell r="CU58">
            <v>25</v>
          </cell>
          <cell r="CV58">
            <v>26</v>
          </cell>
          <cell r="CW58">
            <v>35</v>
          </cell>
          <cell r="CX58">
            <v>22</v>
          </cell>
          <cell r="CY58">
            <v>23</v>
          </cell>
          <cell r="CZ58">
            <v>27</v>
          </cell>
          <cell r="DA58">
            <v>32</v>
          </cell>
          <cell r="DB58">
            <v>18</v>
          </cell>
          <cell r="DC58">
            <v>27</v>
          </cell>
          <cell r="DD58">
            <v>15</v>
          </cell>
          <cell r="DE58">
            <v>20</v>
          </cell>
          <cell r="DF58">
            <v>24</v>
          </cell>
          <cell r="DG58">
            <v>30</v>
          </cell>
          <cell r="DH58">
            <v>28</v>
          </cell>
          <cell r="DI58">
            <v>29</v>
          </cell>
          <cell r="DJ58">
            <v>23</v>
          </cell>
          <cell r="DK58">
            <v>28</v>
          </cell>
          <cell r="DL58">
            <v>40</v>
          </cell>
          <cell r="DM58">
            <v>17</v>
          </cell>
          <cell r="DN58">
            <v>19</v>
          </cell>
          <cell r="DO58">
            <v>28</v>
          </cell>
          <cell r="DP58">
            <v>23</v>
          </cell>
          <cell r="DQ58">
            <v>28</v>
          </cell>
          <cell r="DR58">
            <v>37</v>
          </cell>
          <cell r="DS58">
            <v>35</v>
          </cell>
          <cell r="DT58">
            <v>45</v>
          </cell>
          <cell r="DU58">
            <v>29</v>
          </cell>
          <cell r="DV58">
            <v>23</v>
          </cell>
          <cell r="DW58">
            <v>25</v>
          </cell>
          <cell r="DX58">
            <v>39</v>
          </cell>
          <cell r="DY58">
            <v>26</v>
          </cell>
          <cell r="DZ58">
            <v>35</v>
          </cell>
          <cell r="EA58">
            <v>26</v>
          </cell>
          <cell r="EB58">
            <v>38</v>
          </cell>
          <cell r="EC58">
            <v>38</v>
          </cell>
        </row>
        <row r="59">
          <cell r="CH59" t="str">
            <v>0</v>
          </cell>
          <cell r="CI59">
            <v>1</v>
          </cell>
          <cell r="CJ59">
            <v>2</v>
          </cell>
          <cell r="CK59" t="str">
            <v>0</v>
          </cell>
          <cell r="CL59" t="str">
            <v>0</v>
          </cell>
          <cell r="CM59">
            <v>1</v>
          </cell>
          <cell r="CN59" t="str">
            <v>0</v>
          </cell>
          <cell r="CO59">
            <v>2</v>
          </cell>
          <cell r="CP59" t="str">
            <v>0</v>
          </cell>
          <cell r="CQ59">
            <v>2</v>
          </cell>
          <cell r="CR59" t="str">
            <v>0</v>
          </cell>
          <cell r="CS59">
            <v>2</v>
          </cell>
          <cell r="CT59">
            <v>0</v>
          </cell>
          <cell r="CU59">
            <v>3</v>
          </cell>
          <cell r="CV59">
            <v>0</v>
          </cell>
          <cell r="CW59">
            <v>0</v>
          </cell>
          <cell r="CX59">
            <v>0</v>
          </cell>
          <cell r="CY59">
            <v>0</v>
          </cell>
          <cell r="CZ59">
            <v>1</v>
          </cell>
          <cell r="DA59">
            <v>1</v>
          </cell>
          <cell r="DB59">
            <v>2</v>
          </cell>
          <cell r="DC59">
            <v>1</v>
          </cell>
          <cell r="DD59">
            <v>1</v>
          </cell>
          <cell r="DE59">
            <v>1</v>
          </cell>
          <cell r="DF59">
            <v>0</v>
          </cell>
          <cell r="DG59">
            <v>2</v>
          </cell>
          <cell r="DH59">
            <v>1</v>
          </cell>
          <cell r="DI59">
            <v>0</v>
          </cell>
          <cell r="DJ59">
            <v>0</v>
          </cell>
          <cell r="DK59">
            <v>0</v>
          </cell>
          <cell r="DL59">
            <v>4</v>
          </cell>
          <cell r="DM59">
            <v>1</v>
          </cell>
          <cell r="DN59">
            <v>2</v>
          </cell>
          <cell r="DO59">
            <v>0</v>
          </cell>
          <cell r="DP59">
            <v>0</v>
          </cell>
          <cell r="DQ59">
            <v>0</v>
          </cell>
          <cell r="DR59">
            <v>3</v>
          </cell>
          <cell r="DS59">
            <v>1</v>
          </cell>
          <cell r="DT59">
            <v>0</v>
          </cell>
          <cell r="DU59">
            <v>1</v>
          </cell>
          <cell r="DV59">
            <v>2</v>
          </cell>
          <cell r="DW59">
            <v>4</v>
          </cell>
          <cell r="DX59">
            <v>1</v>
          </cell>
          <cell r="DY59">
            <v>2</v>
          </cell>
          <cell r="DZ59">
            <v>2</v>
          </cell>
          <cell r="EA59">
            <v>6</v>
          </cell>
          <cell r="EB59">
            <v>4</v>
          </cell>
          <cell r="EC59">
            <v>7</v>
          </cell>
        </row>
        <row r="60">
          <cell r="AL60">
            <v>9</v>
          </cell>
          <cell r="AM60">
            <v>6</v>
          </cell>
          <cell r="AN60">
            <v>5</v>
          </cell>
          <cell r="AO60">
            <v>13</v>
          </cell>
          <cell r="AP60">
            <v>9</v>
          </cell>
          <cell r="AQ60">
            <v>10</v>
          </cell>
          <cell r="AR60">
            <v>14</v>
          </cell>
          <cell r="AS60">
            <v>10</v>
          </cell>
          <cell r="AT60">
            <v>9</v>
          </cell>
          <cell r="AU60">
            <v>17</v>
          </cell>
          <cell r="AV60">
            <v>11</v>
          </cell>
          <cell r="AW60">
            <v>8</v>
          </cell>
          <cell r="AX60">
            <v>3</v>
          </cell>
          <cell r="AY60">
            <v>6</v>
          </cell>
          <cell r="AZ60">
            <v>12</v>
          </cell>
          <cell r="BA60">
            <v>9</v>
          </cell>
          <cell r="BB60">
            <v>18</v>
          </cell>
          <cell r="BC60">
            <v>15</v>
          </cell>
          <cell r="BD60">
            <v>13</v>
          </cell>
          <cell r="BE60">
            <v>21</v>
          </cell>
          <cell r="BF60">
            <v>11</v>
          </cell>
          <cell r="BG60">
            <v>14</v>
          </cell>
          <cell r="BH60">
            <v>5</v>
          </cell>
          <cell r="BI60">
            <v>19</v>
          </cell>
          <cell r="BJ60">
            <v>16</v>
          </cell>
          <cell r="BK60">
            <v>13</v>
          </cell>
          <cell r="BL60">
            <v>8</v>
          </cell>
          <cell r="BM60">
            <v>10</v>
          </cell>
          <cell r="BN60">
            <v>8</v>
          </cell>
          <cell r="BO60">
            <v>15</v>
          </cell>
          <cell r="BP60">
            <v>4</v>
          </cell>
          <cell r="BQ60">
            <v>11</v>
          </cell>
          <cell r="BR60">
            <v>17</v>
          </cell>
          <cell r="BS60">
            <v>6</v>
          </cell>
          <cell r="BT60">
            <v>3</v>
          </cell>
          <cell r="BU60">
            <v>9</v>
          </cell>
          <cell r="BV60">
            <v>4</v>
          </cell>
          <cell r="BW60">
            <v>6</v>
          </cell>
          <cell r="BX60">
            <v>5</v>
          </cell>
          <cell r="BY60">
            <v>12</v>
          </cell>
          <cell r="BZ60">
            <v>9</v>
          </cell>
          <cell r="CA60">
            <v>6</v>
          </cell>
          <cell r="CB60">
            <v>8</v>
          </cell>
          <cell r="CC60">
            <v>4</v>
          </cell>
          <cell r="CD60">
            <v>7</v>
          </cell>
          <cell r="CE60">
            <v>5</v>
          </cell>
          <cell r="CF60">
            <v>2</v>
          </cell>
          <cell r="CG60">
            <v>5</v>
          </cell>
          <cell r="CH60">
            <v>5</v>
          </cell>
          <cell r="CI60">
            <v>9</v>
          </cell>
          <cell r="CJ60">
            <v>11</v>
          </cell>
          <cell r="CK60">
            <v>6</v>
          </cell>
          <cell r="CL60">
            <v>6</v>
          </cell>
          <cell r="CM60">
            <v>7</v>
          </cell>
          <cell r="CN60">
            <v>6</v>
          </cell>
          <cell r="CO60">
            <v>11</v>
          </cell>
          <cell r="CP60">
            <v>13</v>
          </cell>
          <cell r="CQ60">
            <v>10</v>
          </cell>
          <cell r="CR60">
            <v>18</v>
          </cell>
          <cell r="CS60">
            <v>10</v>
          </cell>
          <cell r="CT60">
            <v>6</v>
          </cell>
          <cell r="CU60">
            <v>8</v>
          </cell>
          <cell r="CV60">
            <v>18</v>
          </cell>
          <cell r="CW60">
            <v>12</v>
          </cell>
          <cell r="CX60">
            <v>11</v>
          </cell>
          <cell r="CY60">
            <v>10</v>
          </cell>
          <cell r="CZ60">
            <v>7</v>
          </cell>
          <cell r="DA60">
            <v>8</v>
          </cell>
          <cell r="DB60">
            <v>11</v>
          </cell>
          <cell r="DC60">
            <v>5</v>
          </cell>
          <cell r="DD60">
            <v>17</v>
          </cell>
          <cell r="DE60">
            <v>8</v>
          </cell>
          <cell r="DF60">
            <v>6</v>
          </cell>
          <cell r="DG60">
            <v>10</v>
          </cell>
          <cell r="DH60">
            <v>11</v>
          </cell>
          <cell r="DI60">
            <v>19</v>
          </cell>
          <cell r="DJ60">
            <v>17</v>
          </cell>
          <cell r="DK60">
            <v>13</v>
          </cell>
          <cell r="DL60">
            <v>6</v>
          </cell>
          <cell r="DM60">
            <v>9</v>
          </cell>
          <cell r="DN60">
            <v>12</v>
          </cell>
          <cell r="DO60">
            <v>12</v>
          </cell>
          <cell r="DP60">
            <v>11</v>
          </cell>
          <cell r="DQ60">
            <v>15</v>
          </cell>
          <cell r="DR60">
            <v>14</v>
          </cell>
          <cell r="DS60">
            <v>11</v>
          </cell>
          <cell r="DT60">
            <v>19</v>
          </cell>
          <cell r="DU60">
            <v>9</v>
          </cell>
          <cell r="DV60">
            <v>9</v>
          </cell>
          <cell r="DW60">
            <v>14</v>
          </cell>
          <cell r="DX60">
            <v>5</v>
          </cell>
          <cell r="DY60">
            <v>10</v>
          </cell>
          <cell r="DZ60">
            <v>8</v>
          </cell>
          <cell r="EA60">
            <v>1</v>
          </cell>
          <cell r="EB60">
            <v>8</v>
          </cell>
          <cell r="EC60">
            <v>11</v>
          </cell>
        </row>
        <row r="61">
          <cell r="AL61">
            <v>54</v>
          </cell>
          <cell r="AM61">
            <v>47</v>
          </cell>
          <cell r="AN61">
            <v>57</v>
          </cell>
          <cell r="AO61">
            <v>47</v>
          </cell>
          <cell r="AP61">
            <v>73</v>
          </cell>
          <cell r="AQ61">
            <v>48</v>
          </cell>
          <cell r="AR61">
            <v>84</v>
          </cell>
          <cell r="AS61">
            <v>70</v>
          </cell>
          <cell r="AT61">
            <v>38</v>
          </cell>
          <cell r="AU61">
            <v>55</v>
          </cell>
          <cell r="AV61">
            <v>54</v>
          </cell>
          <cell r="AW61">
            <v>70</v>
          </cell>
          <cell r="AX61">
            <v>58</v>
          </cell>
          <cell r="AY61">
            <v>55</v>
          </cell>
          <cell r="AZ61">
            <v>29</v>
          </cell>
          <cell r="BA61">
            <v>55</v>
          </cell>
          <cell r="BB61">
            <v>69</v>
          </cell>
          <cell r="BC61">
            <v>48</v>
          </cell>
          <cell r="BD61">
            <v>58</v>
          </cell>
          <cell r="BE61">
            <v>66</v>
          </cell>
          <cell r="BF61">
            <v>73</v>
          </cell>
          <cell r="BG61">
            <v>64</v>
          </cell>
          <cell r="BH61">
            <v>36</v>
          </cell>
          <cell r="BI61">
            <v>50</v>
          </cell>
          <cell r="BJ61">
            <v>87</v>
          </cell>
          <cell r="BK61">
            <v>57</v>
          </cell>
          <cell r="BL61">
            <v>31</v>
          </cell>
          <cell r="BM61">
            <v>27</v>
          </cell>
          <cell r="BN61">
            <v>47</v>
          </cell>
          <cell r="BO61">
            <v>50</v>
          </cell>
          <cell r="BP61">
            <v>69</v>
          </cell>
          <cell r="BQ61">
            <v>54</v>
          </cell>
          <cell r="BR61">
            <v>55</v>
          </cell>
          <cell r="BS61">
            <v>41</v>
          </cell>
          <cell r="BT61">
            <v>34</v>
          </cell>
          <cell r="BU61">
            <v>42</v>
          </cell>
          <cell r="BV61">
            <v>32</v>
          </cell>
          <cell r="BW61">
            <v>35</v>
          </cell>
          <cell r="BX61">
            <v>19</v>
          </cell>
          <cell r="BY61">
            <v>35</v>
          </cell>
          <cell r="BZ61">
            <v>34</v>
          </cell>
          <cell r="CA61">
            <v>32</v>
          </cell>
          <cell r="CB61">
            <v>22</v>
          </cell>
          <cell r="CC61">
            <v>30</v>
          </cell>
          <cell r="CD61">
            <v>37</v>
          </cell>
          <cell r="CE61">
            <v>24</v>
          </cell>
          <cell r="CF61">
            <v>26</v>
          </cell>
          <cell r="CG61">
            <v>15</v>
          </cell>
          <cell r="CH61">
            <v>18</v>
          </cell>
          <cell r="CI61">
            <v>21</v>
          </cell>
          <cell r="CJ61">
            <v>27</v>
          </cell>
          <cell r="CK61">
            <v>36</v>
          </cell>
          <cell r="CL61">
            <v>17</v>
          </cell>
          <cell r="CM61">
            <v>37</v>
          </cell>
          <cell r="CN61">
            <v>25</v>
          </cell>
          <cell r="CO61">
            <v>24</v>
          </cell>
          <cell r="CP61">
            <v>19</v>
          </cell>
          <cell r="CQ61">
            <v>15</v>
          </cell>
          <cell r="CR61">
            <v>32</v>
          </cell>
          <cell r="CS61">
            <v>34</v>
          </cell>
          <cell r="CT61">
            <v>31</v>
          </cell>
          <cell r="CU61">
            <v>27</v>
          </cell>
          <cell r="CV61">
            <v>31</v>
          </cell>
          <cell r="CW61">
            <v>26</v>
          </cell>
          <cell r="CX61">
            <v>33</v>
          </cell>
          <cell r="CY61">
            <v>26</v>
          </cell>
          <cell r="CZ61">
            <v>35</v>
          </cell>
          <cell r="DA61">
            <v>27</v>
          </cell>
          <cell r="DB61">
            <v>30</v>
          </cell>
          <cell r="DC61">
            <v>37</v>
          </cell>
          <cell r="DD61">
            <v>36</v>
          </cell>
          <cell r="DE61">
            <v>46</v>
          </cell>
          <cell r="DF61">
            <v>40</v>
          </cell>
          <cell r="DG61">
            <v>37</v>
          </cell>
          <cell r="DH61">
            <v>32</v>
          </cell>
          <cell r="DI61">
            <v>42</v>
          </cell>
          <cell r="DJ61">
            <v>21</v>
          </cell>
          <cell r="DK61">
            <v>27</v>
          </cell>
          <cell r="DL61">
            <v>44</v>
          </cell>
          <cell r="DM61">
            <v>36</v>
          </cell>
          <cell r="DN61">
            <v>19</v>
          </cell>
          <cell r="DO61">
            <v>31</v>
          </cell>
          <cell r="DP61">
            <v>31</v>
          </cell>
          <cell r="DQ61">
            <v>35</v>
          </cell>
          <cell r="DR61">
            <v>29</v>
          </cell>
          <cell r="DS61">
            <v>24</v>
          </cell>
          <cell r="DT61">
            <v>35</v>
          </cell>
          <cell r="DU61">
            <v>38</v>
          </cell>
          <cell r="DV61">
            <v>38</v>
          </cell>
          <cell r="DW61">
            <v>27</v>
          </cell>
          <cell r="DX61">
            <v>47</v>
          </cell>
          <cell r="DY61">
            <v>30</v>
          </cell>
          <cell r="DZ61">
            <v>38</v>
          </cell>
          <cell r="EA61">
            <v>30</v>
          </cell>
          <cell r="EB61">
            <v>25</v>
          </cell>
          <cell r="EC61">
            <v>29</v>
          </cell>
        </row>
        <row r="62">
          <cell r="CH62">
            <v>1</v>
          </cell>
          <cell r="CI62">
            <v>3</v>
          </cell>
          <cell r="CJ62">
            <v>6</v>
          </cell>
          <cell r="CK62">
            <v>11</v>
          </cell>
          <cell r="CL62">
            <v>6</v>
          </cell>
          <cell r="CM62">
            <v>7</v>
          </cell>
          <cell r="CN62">
            <v>5</v>
          </cell>
          <cell r="CO62">
            <v>10</v>
          </cell>
          <cell r="CP62">
            <v>7</v>
          </cell>
          <cell r="CQ62">
            <v>11</v>
          </cell>
          <cell r="CR62">
            <v>9</v>
          </cell>
          <cell r="CS62">
            <v>11</v>
          </cell>
          <cell r="CT62">
            <v>15</v>
          </cell>
          <cell r="CU62">
            <v>10</v>
          </cell>
          <cell r="CV62">
            <v>6</v>
          </cell>
          <cell r="CW62">
            <v>12</v>
          </cell>
          <cell r="CX62">
            <v>27</v>
          </cell>
          <cell r="CY62">
            <v>12</v>
          </cell>
          <cell r="CZ62">
            <v>14</v>
          </cell>
          <cell r="DA62">
            <v>17</v>
          </cell>
          <cell r="DB62">
            <v>22</v>
          </cell>
          <cell r="DC62">
            <v>45</v>
          </cell>
          <cell r="DD62">
            <v>20</v>
          </cell>
          <cell r="DE62">
            <v>13</v>
          </cell>
          <cell r="DF62">
            <v>7</v>
          </cell>
          <cell r="DG62">
            <v>9</v>
          </cell>
          <cell r="DH62">
            <v>9</v>
          </cell>
          <cell r="DI62">
            <v>15</v>
          </cell>
          <cell r="DJ62">
            <v>15</v>
          </cell>
          <cell r="DK62">
            <v>17</v>
          </cell>
          <cell r="DL62">
            <v>11</v>
          </cell>
          <cell r="DM62">
            <v>10</v>
          </cell>
          <cell r="DN62">
            <v>19</v>
          </cell>
          <cell r="DO62">
            <v>20</v>
          </cell>
          <cell r="DP62">
            <v>10</v>
          </cell>
          <cell r="DQ62">
            <v>13</v>
          </cell>
          <cell r="DR62">
            <v>7</v>
          </cell>
          <cell r="DS62">
            <v>14</v>
          </cell>
          <cell r="DT62">
            <v>11</v>
          </cell>
          <cell r="DU62">
            <v>15</v>
          </cell>
          <cell r="DV62">
            <v>14</v>
          </cell>
          <cell r="DW62">
            <v>14</v>
          </cell>
          <cell r="DX62">
            <v>6</v>
          </cell>
          <cell r="DY62">
            <v>9</v>
          </cell>
          <cell r="DZ62">
            <v>10</v>
          </cell>
          <cell r="EA62">
            <v>10</v>
          </cell>
          <cell r="EB62">
            <v>8</v>
          </cell>
          <cell r="EC62">
            <v>11</v>
          </cell>
        </row>
        <row r="63">
          <cell r="CH63">
            <v>42</v>
          </cell>
          <cell r="CI63">
            <v>53</v>
          </cell>
          <cell r="CJ63">
            <v>53</v>
          </cell>
          <cell r="CK63">
            <v>49</v>
          </cell>
          <cell r="CL63">
            <v>60</v>
          </cell>
          <cell r="CM63">
            <v>43</v>
          </cell>
          <cell r="CN63">
            <v>53</v>
          </cell>
          <cell r="CO63">
            <v>83</v>
          </cell>
          <cell r="CP63">
            <v>76</v>
          </cell>
          <cell r="CQ63">
            <v>72</v>
          </cell>
          <cell r="CR63">
            <v>56</v>
          </cell>
          <cell r="CS63">
            <v>86</v>
          </cell>
          <cell r="CT63">
            <v>88</v>
          </cell>
          <cell r="CU63">
            <v>87</v>
          </cell>
          <cell r="CV63">
            <v>74</v>
          </cell>
          <cell r="CW63">
            <v>76</v>
          </cell>
          <cell r="CX63">
            <v>67</v>
          </cell>
          <cell r="CY63">
            <v>78</v>
          </cell>
          <cell r="CZ63">
            <v>108</v>
          </cell>
          <cell r="DA63">
            <v>66</v>
          </cell>
          <cell r="DB63">
            <v>94</v>
          </cell>
          <cell r="DC63">
            <v>107</v>
          </cell>
          <cell r="DD63">
            <v>84</v>
          </cell>
          <cell r="DE63">
            <v>74</v>
          </cell>
          <cell r="DF63">
            <v>74</v>
          </cell>
          <cell r="DG63">
            <v>58</v>
          </cell>
          <cell r="DH63">
            <v>72</v>
          </cell>
          <cell r="DI63">
            <v>82</v>
          </cell>
          <cell r="DJ63">
            <v>79</v>
          </cell>
          <cell r="DK63">
            <v>92</v>
          </cell>
          <cell r="DL63">
            <v>58</v>
          </cell>
          <cell r="DM63">
            <v>54</v>
          </cell>
          <cell r="DN63">
            <v>79</v>
          </cell>
          <cell r="DO63">
            <v>73</v>
          </cell>
          <cell r="DP63">
            <v>75</v>
          </cell>
          <cell r="DQ63">
            <v>128</v>
          </cell>
          <cell r="DR63">
            <v>108</v>
          </cell>
          <cell r="DS63">
            <v>88</v>
          </cell>
          <cell r="DT63">
            <v>103</v>
          </cell>
          <cell r="DU63">
            <v>61</v>
          </cell>
          <cell r="DV63">
            <v>106</v>
          </cell>
          <cell r="DW63">
            <v>98</v>
          </cell>
          <cell r="DX63">
            <v>125</v>
          </cell>
          <cell r="DY63">
            <v>93</v>
          </cell>
          <cell r="DZ63">
            <v>77</v>
          </cell>
          <cell r="EA63">
            <v>85</v>
          </cell>
          <cell r="EB63">
            <v>54</v>
          </cell>
          <cell r="EC63">
            <v>65</v>
          </cell>
        </row>
        <row r="64">
          <cell r="CH64">
            <v>49</v>
          </cell>
          <cell r="CI64">
            <v>46</v>
          </cell>
          <cell r="CJ64">
            <v>44</v>
          </cell>
          <cell r="CK64">
            <v>48</v>
          </cell>
          <cell r="CL64">
            <v>42</v>
          </cell>
          <cell r="CM64">
            <v>38</v>
          </cell>
          <cell r="CN64">
            <v>41</v>
          </cell>
          <cell r="CO64">
            <v>67</v>
          </cell>
          <cell r="CP64">
            <v>57</v>
          </cell>
          <cell r="CQ64">
            <v>39</v>
          </cell>
          <cell r="CR64">
            <v>47</v>
          </cell>
          <cell r="CS64">
            <v>58</v>
          </cell>
          <cell r="CT64">
            <v>63</v>
          </cell>
          <cell r="CU64">
            <v>50</v>
          </cell>
          <cell r="CV64">
            <v>56</v>
          </cell>
          <cell r="CW64">
            <v>43</v>
          </cell>
          <cell r="CX64">
            <v>82</v>
          </cell>
          <cell r="CY64">
            <v>52</v>
          </cell>
          <cell r="CZ64">
            <v>53</v>
          </cell>
          <cell r="DA64">
            <v>33</v>
          </cell>
          <cell r="DB64">
            <v>38</v>
          </cell>
          <cell r="DC64">
            <v>69</v>
          </cell>
          <cell r="DD64">
            <v>64</v>
          </cell>
          <cell r="DE64">
            <v>58</v>
          </cell>
          <cell r="DF64">
            <v>50</v>
          </cell>
          <cell r="DG64">
            <v>51</v>
          </cell>
          <cell r="DH64">
            <v>51</v>
          </cell>
          <cell r="DI64">
            <v>84</v>
          </cell>
          <cell r="DJ64">
            <v>58</v>
          </cell>
          <cell r="DK64">
            <v>54</v>
          </cell>
          <cell r="DL64">
            <v>72</v>
          </cell>
          <cell r="DM64">
            <v>56</v>
          </cell>
          <cell r="DN64">
            <v>63</v>
          </cell>
          <cell r="DO64">
            <v>83</v>
          </cell>
          <cell r="DP64">
            <v>77</v>
          </cell>
          <cell r="DQ64">
            <v>83</v>
          </cell>
          <cell r="DR64">
            <v>116</v>
          </cell>
          <cell r="DS64">
            <v>106</v>
          </cell>
          <cell r="DT64">
            <v>97</v>
          </cell>
          <cell r="DU64">
            <v>107</v>
          </cell>
          <cell r="DV64">
            <v>116</v>
          </cell>
          <cell r="DW64">
            <v>116</v>
          </cell>
          <cell r="DX64">
            <v>92</v>
          </cell>
          <cell r="DY64">
            <v>75</v>
          </cell>
          <cell r="DZ64">
            <v>76</v>
          </cell>
          <cell r="EA64">
            <v>102</v>
          </cell>
          <cell r="EB64">
            <v>96</v>
          </cell>
          <cell r="EC64">
            <v>132</v>
          </cell>
        </row>
        <row r="65">
          <cell r="CH65">
            <v>98</v>
          </cell>
          <cell r="CI65">
            <v>94</v>
          </cell>
          <cell r="CJ65">
            <v>93</v>
          </cell>
          <cell r="CK65">
            <v>94</v>
          </cell>
          <cell r="CL65">
            <v>92</v>
          </cell>
          <cell r="CM65">
            <v>111</v>
          </cell>
          <cell r="CN65">
            <v>128</v>
          </cell>
          <cell r="CO65">
            <v>118</v>
          </cell>
          <cell r="CP65">
            <v>117</v>
          </cell>
          <cell r="CQ65">
            <v>114</v>
          </cell>
          <cell r="CR65">
            <v>75</v>
          </cell>
          <cell r="CS65">
            <v>111</v>
          </cell>
          <cell r="CT65">
            <v>121</v>
          </cell>
          <cell r="CU65">
            <v>88</v>
          </cell>
          <cell r="CV65">
            <v>101</v>
          </cell>
          <cell r="CW65">
            <v>95</v>
          </cell>
          <cell r="CX65">
            <v>101</v>
          </cell>
          <cell r="CY65">
            <v>95</v>
          </cell>
          <cell r="CZ65">
            <v>108</v>
          </cell>
          <cell r="DA65">
            <v>90</v>
          </cell>
          <cell r="DB65">
            <v>76</v>
          </cell>
          <cell r="DC65">
            <v>97</v>
          </cell>
          <cell r="DD65">
            <v>85</v>
          </cell>
          <cell r="DE65">
            <v>109</v>
          </cell>
          <cell r="DF65">
            <v>112</v>
          </cell>
          <cell r="DG65">
            <v>107</v>
          </cell>
          <cell r="DH65">
            <v>93</v>
          </cell>
          <cell r="DI65">
            <v>118</v>
          </cell>
          <cell r="DJ65">
            <v>87</v>
          </cell>
          <cell r="DK65">
            <v>99</v>
          </cell>
          <cell r="DL65">
            <v>107</v>
          </cell>
          <cell r="DM65">
            <v>75</v>
          </cell>
          <cell r="DN65">
            <v>94</v>
          </cell>
          <cell r="DO65">
            <v>72</v>
          </cell>
          <cell r="DP65">
            <v>57</v>
          </cell>
          <cell r="DQ65">
            <v>68</v>
          </cell>
          <cell r="DR65">
            <v>73</v>
          </cell>
          <cell r="DS65">
            <v>69</v>
          </cell>
          <cell r="DT65">
            <v>88</v>
          </cell>
          <cell r="DU65">
            <v>88</v>
          </cell>
          <cell r="DV65">
            <v>82</v>
          </cell>
          <cell r="DW65">
            <v>69</v>
          </cell>
          <cell r="DX65">
            <v>85</v>
          </cell>
          <cell r="DY65">
            <v>84</v>
          </cell>
          <cell r="DZ65">
            <v>83</v>
          </cell>
          <cell r="EA65">
            <v>70</v>
          </cell>
          <cell r="EB65">
            <v>52</v>
          </cell>
          <cell r="EC65">
            <v>73</v>
          </cell>
        </row>
        <row r="66">
          <cell r="CH66">
            <v>5</v>
          </cell>
          <cell r="CI66">
            <v>10</v>
          </cell>
          <cell r="CJ66">
            <v>13</v>
          </cell>
          <cell r="CK66">
            <v>6</v>
          </cell>
          <cell r="CL66">
            <v>6</v>
          </cell>
          <cell r="CM66">
            <v>8</v>
          </cell>
          <cell r="CN66">
            <v>6</v>
          </cell>
          <cell r="CO66">
            <v>13</v>
          </cell>
          <cell r="CP66">
            <v>13</v>
          </cell>
          <cell r="CQ66">
            <v>12</v>
          </cell>
          <cell r="CR66">
            <v>18</v>
          </cell>
          <cell r="CS66">
            <v>12</v>
          </cell>
          <cell r="CT66">
            <v>6</v>
          </cell>
          <cell r="CU66">
            <v>11</v>
          </cell>
          <cell r="CV66">
            <v>18</v>
          </cell>
          <cell r="CW66">
            <v>12</v>
          </cell>
          <cell r="CX66">
            <v>11</v>
          </cell>
          <cell r="CY66">
            <v>10</v>
          </cell>
          <cell r="CZ66">
            <v>8</v>
          </cell>
          <cell r="DA66">
            <v>9</v>
          </cell>
          <cell r="DB66">
            <v>13</v>
          </cell>
          <cell r="DC66">
            <v>6</v>
          </cell>
          <cell r="DD66">
            <v>18</v>
          </cell>
          <cell r="DE66">
            <v>9</v>
          </cell>
          <cell r="DF66">
            <v>6</v>
          </cell>
          <cell r="DG66">
            <v>12</v>
          </cell>
          <cell r="DH66">
            <v>12</v>
          </cell>
          <cell r="DI66">
            <v>19</v>
          </cell>
          <cell r="DJ66">
            <v>17</v>
          </cell>
          <cell r="DK66">
            <v>13</v>
          </cell>
          <cell r="DL66">
            <v>10</v>
          </cell>
          <cell r="DM66">
            <v>10</v>
          </cell>
          <cell r="DN66">
            <v>14</v>
          </cell>
          <cell r="DO66">
            <v>12</v>
          </cell>
          <cell r="DP66">
            <v>11</v>
          </cell>
          <cell r="DQ66">
            <v>15</v>
          </cell>
          <cell r="DR66">
            <v>17</v>
          </cell>
          <cell r="DS66">
            <v>12</v>
          </cell>
          <cell r="DT66">
            <v>19</v>
          </cell>
          <cell r="DU66">
            <v>10</v>
          </cell>
          <cell r="DV66">
            <v>11</v>
          </cell>
          <cell r="DW66">
            <v>18</v>
          </cell>
          <cell r="DX66">
            <v>6</v>
          </cell>
          <cell r="DY66">
            <v>12</v>
          </cell>
          <cell r="DZ66">
            <v>10</v>
          </cell>
          <cell r="EA66">
            <v>7</v>
          </cell>
          <cell r="EB66">
            <v>12</v>
          </cell>
          <cell r="EC66">
            <v>18</v>
          </cell>
        </row>
        <row r="67">
          <cell r="CH67">
            <v>399</v>
          </cell>
          <cell r="CI67">
            <v>466</v>
          </cell>
          <cell r="CJ67">
            <v>443</v>
          </cell>
          <cell r="CK67">
            <v>503</v>
          </cell>
          <cell r="CL67">
            <v>387</v>
          </cell>
          <cell r="CM67">
            <v>477</v>
          </cell>
          <cell r="CN67">
            <v>455</v>
          </cell>
          <cell r="CO67">
            <v>465</v>
          </cell>
          <cell r="CP67">
            <v>419</v>
          </cell>
          <cell r="CQ67">
            <v>371</v>
          </cell>
          <cell r="CR67">
            <v>437</v>
          </cell>
          <cell r="CS67">
            <v>508</v>
          </cell>
          <cell r="CT67">
            <v>423</v>
          </cell>
          <cell r="CU67">
            <v>443</v>
          </cell>
          <cell r="CV67">
            <v>492</v>
          </cell>
          <cell r="CW67">
            <v>514</v>
          </cell>
          <cell r="CX67">
            <v>430</v>
          </cell>
          <cell r="CY67">
            <v>417</v>
          </cell>
          <cell r="CZ67">
            <v>415</v>
          </cell>
          <cell r="DA67">
            <v>404</v>
          </cell>
          <cell r="DB67">
            <v>370</v>
          </cell>
          <cell r="DC67">
            <v>395</v>
          </cell>
          <cell r="DD67">
            <v>384</v>
          </cell>
          <cell r="DE67">
            <v>460</v>
          </cell>
          <cell r="DF67">
            <v>438</v>
          </cell>
          <cell r="DG67">
            <v>426</v>
          </cell>
          <cell r="DH67">
            <v>448</v>
          </cell>
          <cell r="DI67">
            <v>437</v>
          </cell>
          <cell r="DJ67">
            <v>411</v>
          </cell>
          <cell r="DK67">
            <v>439</v>
          </cell>
          <cell r="DL67">
            <v>477</v>
          </cell>
          <cell r="DM67">
            <v>399</v>
          </cell>
          <cell r="DN67">
            <v>409</v>
          </cell>
          <cell r="DO67">
            <v>413</v>
          </cell>
          <cell r="DP67">
            <v>405</v>
          </cell>
          <cell r="DQ67">
            <v>373</v>
          </cell>
          <cell r="DR67">
            <v>423</v>
          </cell>
          <cell r="DS67">
            <v>485</v>
          </cell>
          <cell r="DT67">
            <v>455</v>
          </cell>
          <cell r="DU67">
            <v>456</v>
          </cell>
          <cell r="DV67">
            <v>388</v>
          </cell>
          <cell r="DW67">
            <v>400</v>
          </cell>
          <cell r="DX67">
            <v>394</v>
          </cell>
          <cell r="DY67">
            <v>358</v>
          </cell>
          <cell r="DZ67">
            <v>442</v>
          </cell>
          <cell r="EA67">
            <v>407</v>
          </cell>
          <cell r="EB67">
            <v>377</v>
          </cell>
          <cell r="EC67">
            <v>389</v>
          </cell>
        </row>
        <row r="69">
          <cell r="CH69">
            <v>7</v>
          </cell>
          <cell r="CI69">
            <v>12</v>
          </cell>
          <cell r="CJ69">
            <v>10</v>
          </cell>
          <cell r="CK69">
            <v>15</v>
          </cell>
          <cell r="CL69">
            <v>19</v>
          </cell>
          <cell r="CM69">
            <v>19</v>
          </cell>
          <cell r="CN69">
            <v>13</v>
          </cell>
          <cell r="CO69">
            <v>20</v>
          </cell>
          <cell r="CP69">
            <v>16</v>
          </cell>
          <cell r="CQ69">
            <v>7</v>
          </cell>
          <cell r="CR69">
            <v>19</v>
          </cell>
          <cell r="CS69">
            <v>12</v>
          </cell>
          <cell r="CT69">
            <v>12</v>
          </cell>
          <cell r="CU69">
            <v>18</v>
          </cell>
          <cell r="CV69">
            <v>14</v>
          </cell>
          <cell r="CW69">
            <v>20</v>
          </cell>
          <cell r="CX69">
            <v>17</v>
          </cell>
          <cell r="CY69">
            <v>9</v>
          </cell>
          <cell r="CZ69">
            <v>16</v>
          </cell>
          <cell r="DA69">
            <v>7</v>
          </cell>
          <cell r="DB69">
            <v>8</v>
          </cell>
          <cell r="DC69">
            <v>6</v>
          </cell>
          <cell r="DD69">
            <v>8</v>
          </cell>
          <cell r="DE69">
            <v>6</v>
          </cell>
          <cell r="DF69">
            <v>10</v>
          </cell>
          <cell r="DG69">
            <v>16</v>
          </cell>
          <cell r="DH69">
            <v>11</v>
          </cell>
          <cell r="DI69">
            <v>20</v>
          </cell>
          <cell r="DJ69">
            <v>15</v>
          </cell>
          <cell r="DK69">
            <v>14</v>
          </cell>
          <cell r="DL69">
            <v>17</v>
          </cell>
          <cell r="DM69">
            <v>17</v>
          </cell>
          <cell r="DN69">
            <v>15</v>
          </cell>
          <cell r="DO69">
            <v>9</v>
          </cell>
          <cell r="DP69">
            <v>8</v>
          </cell>
          <cell r="DQ69">
            <v>16</v>
          </cell>
          <cell r="DR69">
            <v>15</v>
          </cell>
          <cell r="DS69">
            <v>15</v>
          </cell>
          <cell r="DT69">
            <v>10</v>
          </cell>
          <cell r="DU69">
            <v>11</v>
          </cell>
          <cell r="DV69">
            <v>7</v>
          </cell>
          <cell r="DW69">
            <v>0</v>
          </cell>
          <cell r="DX69">
            <v>9</v>
          </cell>
          <cell r="DY69">
            <v>12</v>
          </cell>
          <cell r="DZ69">
            <v>10</v>
          </cell>
          <cell r="EA69">
            <v>10</v>
          </cell>
          <cell r="EB69">
            <v>6</v>
          </cell>
          <cell r="EC69">
            <v>2</v>
          </cell>
        </row>
        <row r="70">
          <cell r="CH70">
            <v>15</v>
          </cell>
          <cell r="CI70">
            <v>7</v>
          </cell>
          <cell r="CJ70">
            <v>22</v>
          </cell>
          <cell r="CK70">
            <v>23</v>
          </cell>
          <cell r="CL70">
            <v>14</v>
          </cell>
          <cell r="CM70">
            <v>21</v>
          </cell>
          <cell r="CN70">
            <v>18</v>
          </cell>
          <cell r="CO70">
            <v>21</v>
          </cell>
          <cell r="CP70">
            <v>25</v>
          </cell>
          <cell r="CQ70">
            <v>9</v>
          </cell>
          <cell r="CR70">
            <v>21</v>
          </cell>
          <cell r="CS70">
            <v>30</v>
          </cell>
          <cell r="CT70">
            <v>17</v>
          </cell>
          <cell r="CU70">
            <v>19</v>
          </cell>
          <cell r="CV70">
            <v>18</v>
          </cell>
          <cell r="CW70">
            <v>21</v>
          </cell>
          <cell r="CX70">
            <v>14</v>
          </cell>
          <cell r="CY70">
            <v>12</v>
          </cell>
          <cell r="CZ70">
            <v>18</v>
          </cell>
          <cell r="DA70">
            <v>7</v>
          </cell>
          <cell r="DB70">
            <v>12</v>
          </cell>
          <cell r="DC70">
            <v>10</v>
          </cell>
          <cell r="DD70">
            <v>16</v>
          </cell>
          <cell r="DE70">
            <v>17</v>
          </cell>
          <cell r="DF70">
            <v>13</v>
          </cell>
          <cell r="DG70">
            <v>12</v>
          </cell>
          <cell r="DH70">
            <v>16</v>
          </cell>
          <cell r="DI70">
            <v>24</v>
          </cell>
          <cell r="DJ70">
            <v>11</v>
          </cell>
          <cell r="DK70">
            <v>14</v>
          </cell>
          <cell r="DL70">
            <v>11</v>
          </cell>
          <cell r="DM70">
            <v>9</v>
          </cell>
          <cell r="DN70">
            <v>19</v>
          </cell>
          <cell r="DO70">
            <v>12</v>
          </cell>
          <cell r="DP70">
            <v>14</v>
          </cell>
          <cell r="DQ70">
            <v>12</v>
          </cell>
          <cell r="DR70">
            <v>11</v>
          </cell>
          <cell r="DS70">
            <v>35</v>
          </cell>
          <cell r="DT70">
            <v>17</v>
          </cell>
          <cell r="DU70">
            <v>15</v>
          </cell>
          <cell r="DV70">
            <v>8</v>
          </cell>
          <cell r="DW70">
            <v>8</v>
          </cell>
          <cell r="DX70">
            <v>11</v>
          </cell>
          <cell r="DY70">
            <v>11</v>
          </cell>
          <cell r="DZ70">
            <v>10</v>
          </cell>
          <cell r="EA70">
            <v>10</v>
          </cell>
          <cell r="EB70">
            <v>6</v>
          </cell>
          <cell r="EC70">
            <v>14</v>
          </cell>
        </row>
        <row r="71">
          <cell r="CH71">
            <v>1</v>
          </cell>
          <cell r="CJ71">
            <v>1</v>
          </cell>
          <cell r="CK71">
            <v>2</v>
          </cell>
          <cell r="CL71">
            <v>1</v>
          </cell>
          <cell r="CM71">
            <v>3</v>
          </cell>
          <cell r="CO71">
            <v>2</v>
          </cell>
          <cell r="CP71">
            <v>4</v>
          </cell>
          <cell r="CQ71">
            <v>1</v>
          </cell>
          <cell r="CR71">
            <v>1</v>
          </cell>
          <cell r="CT71">
            <v>0</v>
          </cell>
          <cell r="CU71">
            <v>0</v>
          </cell>
          <cell r="CV71">
            <v>0</v>
          </cell>
          <cell r="CW71">
            <v>1</v>
          </cell>
          <cell r="CX71">
            <v>2</v>
          </cell>
          <cell r="CY71">
            <v>0</v>
          </cell>
          <cell r="CZ71">
            <v>3</v>
          </cell>
          <cell r="DA71">
            <v>1</v>
          </cell>
          <cell r="DB71">
            <v>1</v>
          </cell>
          <cell r="DC71">
            <v>1</v>
          </cell>
          <cell r="DD71">
            <v>0</v>
          </cell>
          <cell r="DE71">
            <v>0</v>
          </cell>
          <cell r="DF71">
            <v>0</v>
          </cell>
          <cell r="DG71">
            <v>1</v>
          </cell>
          <cell r="DH71">
            <v>1</v>
          </cell>
          <cell r="DI71">
            <v>2</v>
          </cell>
          <cell r="DJ71">
            <v>0</v>
          </cell>
          <cell r="DK71">
            <v>2</v>
          </cell>
          <cell r="DL71">
            <v>0</v>
          </cell>
          <cell r="DM71">
            <v>0</v>
          </cell>
          <cell r="DN71">
            <v>2</v>
          </cell>
          <cell r="DO71">
            <v>0</v>
          </cell>
          <cell r="DP71">
            <v>0</v>
          </cell>
          <cell r="DQ71">
            <v>0</v>
          </cell>
          <cell r="DR71">
            <v>2</v>
          </cell>
          <cell r="DS71">
            <v>3</v>
          </cell>
          <cell r="DT71">
            <v>1</v>
          </cell>
          <cell r="DU71">
            <v>0</v>
          </cell>
          <cell r="DV71">
            <v>2</v>
          </cell>
          <cell r="DW71">
            <v>0</v>
          </cell>
          <cell r="DX71">
            <v>0</v>
          </cell>
          <cell r="DY71">
            <v>0</v>
          </cell>
          <cell r="DZ71">
            <v>0</v>
          </cell>
          <cell r="EA71">
            <v>1</v>
          </cell>
          <cell r="EB71">
            <v>0</v>
          </cell>
          <cell r="EC71">
            <v>0</v>
          </cell>
        </row>
        <row r="72">
          <cell r="CH72">
            <v>2</v>
          </cell>
          <cell r="CI72">
            <v>2</v>
          </cell>
          <cell r="CK72">
            <v>1</v>
          </cell>
          <cell r="CM72">
            <v>1</v>
          </cell>
          <cell r="CN72">
            <v>3</v>
          </cell>
          <cell r="CQ72">
            <v>1</v>
          </cell>
          <cell r="CR72">
            <v>1</v>
          </cell>
          <cell r="CT72">
            <v>2</v>
          </cell>
          <cell r="CU72">
            <v>1</v>
          </cell>
          <cell r="CV72">
            <v>4</v>
          </cell>
          <cell r="CW72">
            <v>0</v>
          </cell>
          <cell r="CX72">
            <v>2</v>
          </cell>
          <cell r="CY72">
            <v>0</v>
          </cell>
          <cell r="CZ72">
            <v>0</v>
          </cell>
          <cell r="DA72">
            <v>1</v>
          </cell>
          <cell r="DB72">
            <v>0</v>
          </cell>
          <cell r="DC72">
            <v>1</v>
          </cell>
          <cell r="DD72">
            <v>4</v>
          </cell>
          <cell r="DE72">
            <v>0</v>
          </cell>
          <cell r="DF72">
            <v>3</v>
          </cell>
          <cell r="DG72">
            <v>1</v>
          </cell>
          <cell r="DH72">
            <v>2</v>
          </cell>
          <cell r="DI72">
            <v>1</v>
          </cell>
          <cell r="DJ72">
            <v>0</v>
          </cell>
          <cell r="DK72">
            <v>1</v>
          </cell>
          <cell r="DL72">
            <v>5</v>
          </cell>
          <cell r="DM72">
            <v>1</v>
          </cell>
          <cell r="DN72">
            <v>1</v>
          </cell>
          <cell r="DO72">
            <v>1</v>
          </cell>
          <cell r="DP72">
            <v>0</v>
          </cell>
          <cell r="DQ72">
            <v>1</v>
          </cell>
          <cell r="DR72">
            <v>3</v>
          </cell>
          <cell r="DS72">
            <v>1</v>
          </cell>
          <cell r="DT72">
            <v>1</v>
          </cell>
          <cell r="DU72">
            <v>1</v>
          </cell>
          <cell r="DV72">
            <v>1</v>
          </cell>
          <cell r="DW72">
            <v>3</v>
          </cell>
          <cell r="DX72">
            <v>1</v>
          </cell>
          <cell r="DY72">
            <v>0</v>
          </cell>
          <cell r="DZ72">
            <v>1</v>
          </cell>
          <cell r="EA72">
            <v>2</v>
          </cell>
          <cell r="EB72">
            <v>0</v>
          </cell>
          <cell r="EC72">
            <v>0</v>
          </cell>
        </row>
        <row r="73">
          <cell r="CH73">
            <v>39</v>
          </cell>
          <cell r="CI73">
            <v>44</v>
          </cell>
          <cell r="CJ73">
            <v>25</v>
          </cell>
          <cell r="CK73">
            <v>41</v>
          </cell>
          <cell r="CL73">
            <v>38</v>
          </cell>
          <cell r="CM73">
            <v>45</v>
          </cell>
          <cell r="CN73">
            <v>46</v>
          </cell>
          <cell r="CO73">
            <v>32</v>
          </cell>
          <cell r="CP73">
            <v>39</v>
          </cell>
          <cell r="CQ73">
            <v>27</v>
          </cell>
          <cell r="CR73">
            <v>35</v>
          </cell>
          <cell r="CS73">
            <v>40</v>
          </cell>
          <cell r="CT73">
            <v>46</v>
          </cell>
          <cell r="CU73">
            <v>51</v>
          </cell>
          <cell r="CV73">
            <v>49</v>
          </cell>
          <cell r="CW73">
            <v>43</v>
          </cell>
          <cell r="CX73">
            <v>60</v>
          </cell>
          <cell r="CY73">
            <v>42</v>
          </cell>
          <cell r="CZ73">
            <v>47</v>
          </cell>
          <cell r="DA73">
            <v>41</v>
          </cell>
          <cell r="DB73">
            <v>38</v>
          </cell>
          <cell r="DC73">
            <v>35</v>
          </cell>
          <cell r="DD73">
            <v>38</v>
          </cell>
          <cell r="DE73">
            <v>35</v>
          </cell>
          <cell r="DF73">
            <v>34</v>
          </cell>
          <cell r="DG73">
            <v>42</v>
          </cell>
          <cell r="DH73">
            <v>53</v>
          </cell>
          <cell r="DI73">
            <v>51</v>
          </cell>
          <cell r="DJ73">
            <v>58</v>
          </cell>
          <cell r="DK73">
            <v>47</v>
          </cell>
          <cell r="DL73">
            <v>45</v>
          </cell>
          <cell r="DM73">
            <v>57</v>
          </cell>
          <cell r="DN73">
            <v>52</v>
          </cell>
          <cell r="DO73">
            <v>42</v>
          </cell>
          <cell r="DP73">
            <v>40</v>
          </cell>
          <cell r="DQ73">
            <v>49</v>
          </cell>
          <cell r="DR73">
            <v>39</v>
          </cell>
          <cell r="DS73">
            <v>48</v>
          </cell>
          <cell r="DT73">
            <v>46</v>
          </cell>
          <cell r="DU73">
            <v>45</v>
          </cell>
          <cell r="DV73">
            <v>35</v>
          </cell>
          <cell r="DW73">
            <v>36</v>
          </cell>
          <cell r="DX73">
            <v>31</v>
          </cell>
          <cell r="DY73">
            <v>36</v>
          </cell>
          <cell r="DZ73">
            <v>50</v>
          </cell>
          <cell r="EA73">
            <v>31</v>
          </cell>
          <cell r="EB73">
            <v>48</v>
          </cell>
          <cell r="EC73">
            <v>38</v>
          </cell>
        </row>
        <row r="74">
          <cell r="CH74">
            <v>105</v>
          </cell>
          <cell r="CI74">
            <v>132</v>
          </cell>
          <cell r="CJ74">
            <v>89</v>
          </cell>
          <cell r="CK74">
            <v>101</v>
          </cell>
          <cell r="CL74">
            <v>89</v>
          </cell>
          <cell r="CM74">
            <v>127</v>
          </cell>
          <cell r="CN74">
            <v>127</v>
          </cell>
          <cell r="CO74">
            <v>123</v>
          </cell>
          <cell r="CP74">
            <v>116</v>
          </cell>
          <cell r="CQ74">
            <v>102</v>
          </cell>
          <cell r="CR74">
            <v>115</v>
          </cell>
          <cell r="CS74">
            <v>115</v>
          </cell>
          <cell r="CT74">
            <v>83</v>
          </cell>
          <cell r="CU74">
            <v>97</v>
          </cell>
          <cell r="CV74">
            <v>113</v>
          </cell>
          <cell r="CW74">
            <v>124</v>
          </cell>
          <cell r="CX74">
            <v>101</v>
          </cell>
          <cell r="CY74">
            <v>110</v>
          </cell>
          <cell r="CZ74">
            <v>97</v>
          </cell>
          <cell r="DA74">
            <v>107</v>
          </cell>
          <cell r="DB74">
            <v>85</v>
          </cell>
          <cell r="DC74">
            <v>84</v>
          </cell>
          <cell r="DD74">
            <v>110</v>
          </cell>
          <cell r="DE74">
            <v>102</v>
          </cell>
          <cell r="DF74">
            <v>92</v>
          </cell>
          <cell r="DG74">
            <v>100</v>
          </cell>
          <cell r="DH74">
            <v>75</v>
          </cell>
          <cell r="DI74">
            <v>102</v>
          </cell>
          <cell r="DJ74">
            <v>92</v>
          </cell>
          <cell r="DK74">
            <v>97</v>
          </cell>
          <cell r="DL74">
            <v>111</v>
          </cell>
          <cell r="DM74">
            <v>91</v>
          </cell>
          <cell r="DN74">
            <v>100</v>
          </cell>
          <cell r="DO74">
            <v>93</v>
          </cell>
          <cell r="DP74">
            <v>89</v>
          </cell>
          <cell r="DQ74">
            <v>78</v>
          </cell>
          <cell r="DR74">
            <v>91</v>
          </cell>
          <cell r="DS74">
            <v>94</v>
          </cell>
          <cell r="DT74">
            <v>81</v>
          </cell>
          <cell r="DU74">
            <v>91</v>
          </cell>
          <cell r="DV74">
            <v>80</v>
          </cell>
          <cell r="DW74">
            <v>94</v>
          </cell>
          <cell r="DX74">
            <v>89</v>
          </cell>
          <cell r="DY74">
            <v>83</v>
          </cell>
          <cell r="DZ74">
            <v>105</v>
          </cell>
          <cell r="EA74">
            <v>87</v>
          </cell>
          <cell r="EB74">
            <v>96</v>
          </cell>
          <cell r="EC74">
            <v>77</v>
          </cell>
        </row>
        <row r="76">
          <cell r="CH76">
            <v>5</v>
          </cell>
          <cell r="CI76">
            <v>4</v>
          </cell>
          <cell r="CJ76">
            <v>13</v>
          </cell>
          <cell r="CK76">
            <v>9</v>
          </cell>
          <cell r="CL76">
            <v>15</v>
          </cell>
          <cell r="CM76">
            <v>7</v>
          </cell>
          <cell r="CN76">
            <v>8</v>
          </cell>
          <cell r="CO76">
            <v>7</v>
          </cell>
          <cell r="CP76">
            <v>6</v>
          </cell>
          <cell r="CQ76">
            <v>9</v>
          </cell>
          <cell r="CR76">
            <v>8</v>
          </cell>
          <cell r="CS76">
            <v>7</v>
          </cell>
          <cell r="CT76">
            <v>9</v>
          </cell>
          <cell r="CU76">
            <v>10</v>
          </cell>
          <cell r="CV76">
            <v>17</v>
          </cell>
          <cell r="CW76">
            <v>8</v>
          </cell>
          <cell r="CX76">
            <v>11</v>
          </cell>
          <cell r="CY76">
            <v>9</v>
          </cell>
          <cell r="CZ76">
            <v>8</v>
          </cell>
          <cell r="DA76">
            <v>4</v>
          </cell>
          <cell r="DB76">
            <v>4</v>
          </cell>
          <cell r="DC76">
            <v>17</v>
          </cell>
          <cell r="DD76">
            <v>5</v>
          </cell>
          <cell r="DE76">
            <v>10</v>
          </cell>
          <cell r="DF76">
            <v>10</v>
          </cell>
          <cell r="DG76">
            <v>8</v>
          </cell>
          <cell r="DH76">
            <v>6</v>
          </cell>
          <cell r="DI76">
            <v>4</v>
          </cell>
          <cell r="DJ76">
            <v>6</v>
          </cell>
          <cell r="DK76">
            <v>11</v>
          </cell>
          <cell r="DL76">
            <v>10</v>
          </cell>
          <cell r="DM76">
            <v>4</v>
          </cell>
          <cell r="DN76">
            <v>7</v>
          </cell>
          <cell r="DO76">
            <v>3</v>
          </cell>
          <cell r="DP76">
            <v>6</v>
          </cell>
          <cell r="DQ76">
            <v>8</v>
          </cell>
          <cell r="DR76">
            <v>5</v>
          </cell>
          <cell r="DS76">
            <v>8</v>
          </cell>
          <cell r="DT76">
            <v>7</v>
          </cell>
          <cell r="DU76">
            <v>6</v>
          </cell>
          <cell r="DV76">
            <v>9</v>
          </cell>
          <cell r="DW76">
            <v>10</v>
          </cell>
          <cell r="DX76">
            <v>7</v>
          </cell>
          <cell r="DY76">
            <v>8</v>
          </cell>
          <cell r="DZ76">
            <v>8</v>
          </cell>
          <cell r="EA76">
            <v>2</v>
          </cell>
          <cell r="EB76">
            <v>6</v>
          </cell>
          <cell r="EC76">
            <v>6</v>
          </cell>
        </row>
        <row r="77">
          <cell r="CH77">
            <v>5</v>
          </cell>
          <cell r="CI77">
            <v>1</v>
          </cell>
          <cell r="CJ77">
            <v>5</v>
          </cell>
          <cell r="CK77">
            <v>7</v>
          </cell>
          <cell r="CL77">
            <v>8</v>
          </cell>
          <cell r="CM77">
            <v>8</v>
          </cell>
          <cell r="CN77">
            <v>6</v>
          </cell>
          <cell r="CO77">
            <v>4</v>
          </cell>
          <cell r="CP77">
            <v>3</v>
          </cell>
          <cell r="CQ77">
            <v>5</v>
          </cell>
          <cell r="CR77">
            <v>4</v>
          </cell>
          <cell r="CS77">
            <v>6</v>
          </cell>
          <cell r="CT77">
            <v>1</v>
          </cell>
          <cell r="CU77">
            <v>5</v>
          </cell>
          <cell r="CV77">
            <v>4</v>
          </cell>
          <cell r="CW77">
            <v>2</v>
          </cell>
          <cell r="CX77">
            <v>4</v>
          </cell>
          <cell r="CY77">
            <v>5</v>
          </cell>
          <cell r="CZ77">
            <v>7</v>
          </cell>
          <cell r="DA77">
            <v>6</v>
          </cell>
          <cell r="DB77">
            <v>3</v>
          </cell>
          <cell r="DC77">
            <v>0</v>
          </cell>
          <cell r="DD77">
            <v>2</v>
          </cell>
          <cell r="DE77">
            <v>3</v>
          </cell>
          <cell r="DF77">
            <v>10</v>
          </cell>
          <cell r="DG77">
            <v>6</v>
          </cell>
          <cell r="DH77">
            <v>7</v>
          </cell>
          <cell r="DI77">
            <v>8</v>
          </cell>
          <cell r="DJ77">
            <v>5</v>
          </cell>
          <cell r="DK77">
            <v>5</v>
          </cell>
          <cell r="DL77">
            <v>3</v>
          </cell>
          <cell r="DM77">
            <v>6</v>
          </cell>
          <cell r="DN77">
            <v>6</v>
          </cell>
          <cell r="DO77">
            <v>3</v>
          </cell>
          <cell r="DP77">
            <v>4</v>
          </cell>
          <cell r="DQ77">
            <v>6</v>
          </cell>
          <cell r="DR77">
            <v>5</v>
          </cell>
          <cell r="DS77">
            <v>6</v>
          </cell>
          <cell r="DT77">
            <v>2</v>
          </cell>
          <cell r="DU77">
            <v>0</v>
          </cell>
          <cell r="DV77">
            <v>4</v>
          </cell>
          <cell r="DW77">
            <v>5</v>
          </cell>
          <cell r="DX77">
            <v>5</v>
          </cell>
          <cell r="DY77">
            <v>2</v>
          </cell>
          <cell r="DZ77">
            <v>10</v>
          </cell>
          <cell r="EA77">
            <v>1</v>
          </cell>
          <cell r="EB77">
            <v>3</v>
          </cell>
          <cell r="EC77">
            <v>9</v>
          </cell>
        </row>
        <row r="79">
          <cell r="AL79">
            <v>1</v>
          </cell>
          <cell r="AM79">
            <v>4</v>
          </cell>
          <cell r="AN79">
            <v>2</v>
          </cell>
          <cell r="AO79">
            <v>1</v>
          </cell>
          <cell r="AP79">
            <v>4</v>
          </cell>
          <cell r="AQ79">
            <v>1</v>
          </cell>
          <cell r="AR79">
            <v>0</v>
          </cell>
          <cell r="AS79">
            <v>1</v>
          </cell>
          <cell r="AT79">
            <v>2</v>
          </cell>
          <cell r="AU79">
            <v>1</v>
          </cell>
          <cell r="AV79">
            <v>2</v>
          </cell>
          <cell r="AW79">
            <v>1</v>
          </cell>
          <cell r="AX79">
            <v>1</v>
          </cell>
          <cell r="AY79">
            <v>3</v>
          </cell>
          <cell r="AZ79">
            <v>1</v>
          </cell>
          <cell r="BA79">
            <v>2</v>
          </cell>
          <cell r="BB79">
            <v>3</v>
          </cell>
          <cell r="BC79">
            <v>2</v>
          </cell>
          <cell r="BD79">
            <v>0</v>
          </cell>
          <cell r="BE79">
            <v>3</v>
          </cell>
          <cell r="BF79">
            <v>1</v>
          </cell>
          <cell r="BG79">
            <v>3</v>
          </cell>
          <cell r="BH79">
            <v>1</v>
          </cell>
          <cell r="BI79">
            <v>1</v>
          </cell>
          <cell r="BJ79">
            <v>2</v>
          </cell>
          <cell r="BK79">
            <v>0</v>
          </cell>
          <cell r="BL79">
            <v>3</v>
          </cell>
          <cell r="BM79">
            <v>2</v>
          </cell>
          <cell r="BN79">
            <v>1</v>
          </cell>
          <cell r="BO79">
            <v>2</v>
          </cell>
          <cell r="BP79">
            <v>1</v>
          </cell>
          <cell r="BQ79">
            <v>2</v>
          </cell>
          <cell r="BR79">
            <v>2</v>
          </cell>
          <cell r="BS79">
            <v>1</v>
          </cell>
          <cell r="BT79">
            <v>4</v>
          </cell>
          <cell r="BU79">
            <v>3</v>
          </cell>
          <cell r="BV79">
            <v>1</v>
          </cell>
          <cell r="BW79">
            <v>3</v>
          </cell>
          <cell r="BX79">
            <v>0</v>
          </cell>
          <cell r="BY79">
            <v>2</v>
          </cell>
          <cell r="BZ79">
            <v>1</v>
          </cell>
          <cell r="CA79">
            <v>0</v>
          </cell>
          <cell r="CB79">
            <v>2</v>
          </cell>
          <cell r="CC79">
            <v>2</v>
          </cell>
          <cell r="CD79">
            <v>1</v>
          </cell>
          <cell r="CE79">
            <v>3</v>
          </cell>
          <cell r="CF79">
            <v>2</v>
          </cell>
          <cell r="CG79">
            <v>1</v>
          </cell>
          <cell r="CH79">
            <v>2</v>
          </cell>
          <cell r="CI79">
            <v>1</v>
          </cell>
          <cell r="CJ79">
            <v>5</v>
          </cell>
          <cell r="CK79">
            <v>1</v>
          </cell>
          <cell r="CL79">
            <v>2</v>
          </cell>
          <cell r="CM79">
            <v>1</v>
          </cell>
          <cell r="CN79">
            <v>1</v>
          </cell>
          <cell r="CP79">
            <v>3</v>
          </cell>
          <cell r="CQ79">
            <v>1</v>
          </cell>
          <cell r="CR79">
            <v>3</v>
          </cell>
          <cell r="CS79">
            <v>2</v>
          </cell>
          <cell r="CT79">
            <v>0</v>
          </cell>
          <cell r="CU79">
            <v>4</v>
          </cell>
          <cell r="CV79">
            <v>1</v>
          </cell>
          <cell r="CW79">
            <v>0</v>
          </cell>
          <cell r="CX79">
            <v>0</v>
          </cell>
          <cell r="CY79">
            <v>0</v>
          </cell>
          <cell r="CZ79">
            <v>1</v>
          </cell>
          <cell r="DA79">
            <v>3</v>
          </cell>
          <cell r="DB79">
            <v>3</v>
          </cell>
          <cell r="DC79">
            <v>6</v>
          </cell>
          <cell r="DD79">
            <v>1</v>
          </cell>
          <cell r="DE79">
            <v>1</v>
          </cell>
          <cell r="DF79">
            <v>2</v>
          </cell>
          <cell r="DG79">
            <v>1</v>
          </cell>
          <cell r="DH79">
            <v>0</v>
          </cell>
          <cell r="DI79">
            <v>1</v>
          </cell>
          <cell r="DJ79">
            <v>0</v>
          </cell>
          <cell r="DK79">
            <v>3</v>
          </cell>
          <cell r="DL79">
            <v>0</v>
          </cell>
          <cell r="DM79">
            <v>0</v>
          </cell>
          <cell r="DN79">
            <v>1</v>
          </cell>
          <cell r="DO79">
            <v>2</v>
          </cell>
          <cell r="DP79">
            <v>1</v>
          </cell>
          <cell r="DQ79">
            <v>2</v>
          </cell>
          <cell r="DR79">
            <v>2</v>
          </cell>
          <cell r="DS79">
            <v>1</v>
          </cell>
          <cell r="DT79">
            <v>1</v>
          </cell>
          <cell r="DU79">
            <v>1</v>
          </cell>
          <cell r="DV79">
            <v>1</v>
          </cell>
          <cell r="DW79">
            <v>1</v>
          </cell>
          <cell r="DX79">
            <v>2</v>
          </cell>
          <cell r="DY79">
            <v>3</v>
          </cell>
          <cell r="DZ79">
            <v>1</v>
          </cell>
          <cell r="EA79">
            <v>2</v>
          </cell>
          <cell r="EB79">
            <v>4</v>
          </cell>
          <cell r="EC79">
            <v>1</v>
          </cell>
        </row>
        <row r="80">
          <cell r="CH80">
            <v>12</v>
          </cell>
          <cell r="CI80">
            <v>8</v>
          </cell>
          <cell r="CJ80">
            <v>7</v>
          </cell>
          <cell r="CK80">
            <v>7</v>
          </cell>
          <cell r="CL80">
            <v>10</v>
          </cell>
          <cell r="CM80">
            <v>10</v>
          </cell>
          <cell r="CN80">
            <v>14</v>
          </cell>
          <cell r="CO80">
            <v>21</v>
          </cell>
          <cell r="CP80">
            <v>19</v>
          </cell>
          <cell r="CQ80">
            <v>7</v>
          </cell>
          <cell r="CR80">
            <v>10</v>
          </cell>
          <cell r="CS80">
            <v>8</v>
          </cell>
          <cell r="CT80">
            <v>16</v>
          </cell>
          <cell r="CU80">
            <v>7</v>
          </cell>
          <cell r="CV80">
            <v>13</v>
          </cell>
          <cell r="CW80">
            <v>19</v>
          </cell>
          <cell r="CX80">
            <v>11</v>
          </cell>
          <cell r="CY80">
            <v>10</v>
          </cell>
          <cell r="CZ80">
            <v>16</v>
          </cell>
          <cell r="DA80">
            <v>8</v>
          </cell>
          <cell r="DB80">
            <v>22</v>
          </cell>
          <cell r="DC80">
            <v>18</v>
          </cell>
          <cell r="DD80">
            <v>15</v>
          </cell>
          <cell r="DE80">
            <v>24</v>
          </cell>
          <cell r="DF80">
            <v>14</v>
          </cell>
          <cell r="DG80">
            <v>13</v>
          </cell>
          <cell r="DH80">
            <v>13</v>
          </cell>
          <cell r="DI80">
            <v>12</v>
          </cell>
          <cell r="DJ80">
            <v>14</v>
          </cell>
          <cell r="DK80">
            <v>13</v>
          </cell>
          <cell r="DL80">
            <v>17</v>
          </cell>
          <cell r="DM80">
            <v>11</v>
          </cell>
          <cell r="DN80">
            <v>18</v>
          </cell>
          <cell r="DO80">
            <v>22</v>
          </cell>
          <cell r="DP80">
            <v>11</v>
          </cell>
          <cell r="DQ80">
            <v>33</v>
          </cell>
          <cell r="DR80">
            <v>22</v>
          </cell>
          <cell r="DS80">
            <v>26</v>
          </cell>
          <cell r="DT80">
            <v>14</v>
          </cell>
          <cell r="DU80">
            <v>8</v>
          </cell>
          <cell r="DV80">
            <v>22</v>
          </cell>
          <cell r="DW80">
            <v>18</v>
          </cell>
          <cell r="DX80">
            <v>28</v>
          </cell>
          <cell r="DY80">
            <v>28</v>
          </cell>
          <cell r="DZ80">
            <v>18</v>
          </cell>
          <cell r="EA80">
            <v>18</v>
          </cell>
          <cell r="EB80">
            <v>13</v>
          </cell>
          <cell r="EC80">
            <v>16</v>
          </cell>
        </row>
        <row r="81">
          <cell r="CH81">
            <v>19</v>
          </cell>
          <cell r="CI81">
            <v>28</v>
          </cell>
          <cell r="CJ81">
            <v>28</v>
          </cell>
          <cell r="CK81">
            <v>24</v>
          </cell>
          <cell r="CL81">
            <v>32</v>
          </cell>
          <cell r="CM81">
            <v>21</v>
          </cell>
          <cell r="CN81">
            <v>18</v>
          </cell>
          <cell r="CO81">
            <v>41</v>
          </cell>
          <cell r="CP81">
            <v>33</v>
          </cell>
          <cell r="CQ81">
            <v>43</v>
          </cell>
          <cell r="CR81">
            <v>22</v>
          </cell>
          <cell r="CS81">
            <v>41</v>
          </cell>
          <cell r="CT81">
            <v>38</v>
          </cell>
          <cell r="CU81">
            <v>36</v>
          </cell>
          <cell r="CV81">
            <v>24</v>
          </cell>
          <cell r="CW81">
            <v>24</v>
          </cell>
          <cell r="CX81">
            <v>31</v>
          </cell>
          <cell r="CY81">
            <v>33</v>
          </cell>
          <cell r="CZ81">
            <v>56</v>
          </cell>
          <cell r="DA81">
            <v>30</v>
          </cell>
          <cell r="DB81">
            <v>38</v>
          </cell>
          <cell r="DC81">
            <v>41</v>
          </cell>
          <cell r="DD81">
            <v>23</v>
          </cell>
          <cell r="DE81">
            <v>27</v>
          </cell>
          <cell r="DF81">
            <v>21</v>
          </cell>
          <cell r="DG81">
            <v>15</v>
          </cell>
          <cell r="DH81">
            <v>24</v>
          </cell>
          <cell r="DI81">
            <v>31</v>
          </cell>
          <cell r="DJ81">
            <v>29</v>
          </cell>
          <cell r="DK81">
            <v>45</v>
          </cell>
          <cell r="DL81">
            <v>19</v>
          </cell>
          <cell r="DM81">
            <v>22</v>
          </cell>
          <cell r="DN81">
            <v>32</v>
          </cell>
          <cell r="DO81">
            <v>24</v>
          </cell>
          <cell r="DP81">
            <v>33</v>
          </cell>
          <cell r="DQ81">
            <v>68</v>
          </cell>
          <cell r="DR81">
            <v>53</v>
          </cell>
          <cell r="DS81">
            <v>31</v>
          </cell>
          <cell r="DT81">
            <v>58</v>
          </cell>
          <cell r="DU81">
            <v>37</v>
          </cell>
          <cell r="DV81">
            <v>58</v>
          </cell>
          <cell r="DW81">
            <v>60</v>
          </cell>
          <cell r="DX81">
            <v>60</v>
          </cell>
          <cell r="DY81">
            <v>44</v>
          </cell>
          <cell r="DZ81">
            <v>26</v>
          </cell>
          <cell r="EA81">
            <v>36</v>
          </cell>
          <cell r="EB81">
            <v>22</v>
          </cell>
          <cell r="EC81">
            <v>17</v>
          </cell>
        </row>
        <row r="82">
          <cell r="AL82">
            <v>5</v>
          </cell>
          <cell r="AM82">
            <v>25</v>
          </cell>
          <cell r="AN82">
            <v>20</v>
          </cell>
          <cell r="AO82">
            <v>22</v>
          </cell>
          <cell r="AP82">
            <v>8</v>
          </cell>
          <cell r="AQ82">
            <v>24</v>
          </cell>
          <cell r="AR82">
            <v>36</v>
          </cell>
          <cell r="AS82">
            <v>29</v>
          </cell>
          <cell r="AT82">
            <v>14</v>
          </cell>
          <cell r="AU82">
            <v>20</v>
          </cell>
          <cell r="AV82">
            <v>16</v>
          </cell>
          <cell r="AW82">
            <v>22</v>
          </cell>
          <cell r="AX82">
            <v>28</v>
          </cell>
          <cell r="AY82">
            <v>24</v>
          </cell>
          <cell r="AZ82">
            <v>23</v>
          </cell>
          <cell r="BA82">
            <v>24</v>
          </cell>
          <cell r="BB82">
            <v>26</v>
          </cell>
          <cell r="BC82">
            <v>27</v>
          </cell>
          <cell r="BD82">
            <v>24</v>
          </cell>
          <cell r="BE82">
            <v>17</v>
          </cell>
          <cell r="BF82">
            <v>26</v>
          </cell>
          <cell r="BG82">
            <v>17</v>
          </cell>
          <cell r="BH82">
            <v>21</v>
          </cell>
          <cell r="BI82">
            <v>18</v>
          </cell>
          <cell r="BJ82">
            <v>20</v>
          </cell>
          <cell r="BK82">
            <v>20</v>
          </cell>
          <cell r="BL82">
            <v>29</v>
          </cell>
          <cell r="BM82">
            <v>21</v>
          </cell>
          <cell r="BN82">
            <v>22</v>
          </cell>
          <cell r="BO82">
            <v>27</v>
          </cell>
          <cell r="BP82">
            <v>39</v>
          </cell>
          <cell r="BQ82">
            <v>27</v>
          </cell>
          <cell r="BR82">
            <v>31</v>
          </cell>
          <cell r="BS82">
            <v>24</v>
          </cell>
          <cell r="BT82">
            <v>27</v>
          </cell>
          <cell r="BU82">
            <v>20</v>
          </cell>
          <cell r="BV82">
            <v>18</v>
          </cell>
          <cell r="BW82">
            <v>20</v>
          </cell>
          <cell r="BX82">
            <v>27</v>
          </cell>
          <cell r="BY82">
            <v>13</v>
          </cell>
          <cell r="BZ82">
            <v>20</v>
          </cell>
          <cell r="CA82">
            <v>28</v>
          </cell>
          <cell r="CB82">
            <v>27</v>
          </cell>
          <cell r="CC82">
            <v>18</v>
          </cell>
          <cell r="CD82">
            <v>25</v>
          </cell>
          <cell r="CE82">
            <v>14</v>
          </cell>
          <cell r="CF82">
            <v>9</v>
          </cell>
          <cell r="CG82">
            <v>15</v>
          </cell>
          <cell r="CH82">
            <v>9</v>
          </cell>
          <cell r="CI82">
            <v>16</v>
          </cell>
          <cell r="CJ82">
            <v>13</v>
          </cell>
          <cell r="CK82">
            <v>17</v>
          </cell>
          <cell r="CL82">
            <v>16</v>
          </cell>
          <cell r="CM82">
            <v>11</v>
          </cell>
          <cell r="CN82">
            <v>20</v>
          </cell>
          <cell r="CO82">
            <v>21</v>
          </cell>
          <cell r="CP82">
            <v>21</v>
          </cell>
          <cell r="CQ82">
            <v>21</v>
          </cell>
          <cell r="CR82">
            <v>21</v>
          </cell>
          <cell r="CS82">
            <v>35</v>
          </cell>
          <cell r="CT82">
            <v>34</v>
          </cell>
          <cell r="CU82">
            <v>40</v>
          </cell>
          <cell r="CV82">
            <v>36</v>
          </cell>
          <cell r="CW82">
            <v>33</v>
          </cell>
          <cell r="CX82">
            <v>25</v>
          </cell>
          <cell r="CY82">
            <v>35</v>
          </cell>
          <cell r="CZ82">
            <v>35</v>
          </cell>
          <cell r="DA82">
            <v>25</v>
          </cell>
          <cell r="DB82">
            <v>31</v>
          </cell>
          <cell r="DC82">
            <v>42</v>
          </cell>
          <cell r="DD82">
            <v>45</v>
          </cell>
          <cell r="DE82">
            <v>22</v>
          </cell>
          <cell r="DF82">
            <v>37</v>
          </cell>
          <cell r="DG82">
            <v>29</v>
          </cell>
          <cell r="DH82">
            <v>35</v>
          </cell>
          <cell r="DI82">
            <v>38</v>
          </cell>
          <cell r="DJ82">
            <v>36</v>
          </cell>
          <cell r="DK82">
            <v>31</v>
          </cell>
          <cell r="DL82">
            <v>22</v>
          </cell>
          <cell r="DM82">
            <v>21</v>
          </cell>
          <cell r="DN82">
            <v>28</v>
          </cell>
          <cell r="DO82">
            <v>25</v>
          </cell>
          <cell r="DP82">
            <v>30</v>
          </cell>
          <cell r="DQ82">
            <v>25</v>
          </cell>
          <cell r="DR82">
            <v>31</v>
          </cell>
          <cell r="DS82">
            <v>30</v>
          </cell>
          <cell r="DT82">
            <v>30</v>
          </cell>
          <cell r="DU82">
            <v>15</v>
          </cell>
          <cell r="DV82">
            <v>25</v>
          </cell>
          <cell r="DW82">
            <v>19</v>
          </cell>
          <cell r="DX82">
            <v>35</v>
          </cell>
          <cell r="DY82">
            <v>18</v>
          </cell>
          <cell r="DZ82">
            <v>32</v>
          </cell>
          <cell r="EA82">
            <v>29</v>
          </cell>
          <cell r="EB82">
            <v>15</v>
          </cell>
          <cell r="EC82">
            <v>31</v>
          </cell>
        </row>
        <row r="83">
          <cell r="CH83">
            <v>42</v>
          </cell>
          <cell r="CI83">
            <v>53</v>
          </cell>
          <cell r="CJ83">
            <v>53</v>
          </cell>
          <cell r="CK83">
            <v>49</v>
          </cell>
          <cell r="CL83">
            <v>60</v>
          </cell>
          <cell r="CM83">
            <v>43</v>
          </cell>
          <cell r="CN83">
            <v>53</v>
          </cell>
          <cell r="CO83">
            <v>83</v>
          </cell>
          <cell r="CP83">
            <v>76</v>
          </cell>
          <cell r="CQ83">
            <v>72</v>
          </cell>
          <cell r="CR83">
            <v>56</v>
          </cell>
          <cell r="CS83">
            <v>86</v>
          </cell>
          <cell r="CT83">
            <v>88</v>
          </cell>
          <cell r="CU83">
            <v>87</v>
          </cell>
          <cell r="CV83">
            <v>74</v>
          </cell>
          <cell r="CW83">
            <v>76</v>
          </cell>
          <cell r="CX83">
            <v>67</v>
          </cell>
          <cell r="CY83">
            <v>78</v>
          </cell>
          <cell r="CZ83">
            <v>108</v>
          </cell>
          <cell r="DA83">
            <v>66</v>
          </cell>
          <cell r="DB83">
            <v>94</v>
          </cell>
          <cell r="DC83">
            <v>107</v>
          </cell>
          <cell r="DD83">
            <v>84</v>
          </cell>
          <cell r="DE83">
            <v>74</v>
          </cell>
          <cell r="DF83">
            <v>74</v>
          </cell>
          <cell r="DG83">
            <v>58</v>
          </cell>
          <cell r="DH83">
            <v>72</v>
          </cell>
          <cell r="DI83">
            <v>82</v>
          </cell>
          <cell r="DJ83">
            <v>79</v>
          </cell>
          <cell r="DK83">
            <v>92</v>
          </cell>
          <cell r="DL83">
            <v>58</v>
          </cell>
          <cell r="DM83">
            <v>54</v>
          </cell>
          <cell r="DN83">
            <v>79</v>
          </cell>
          <cell r="DO83">
            <v>73</v>
          </cell>
          <cell r="DP83">
            <v>75</v>
          </cell>
          <cell r="DQ83">
            <v>128</v>
          </cell>
          <cell r="DR83">
            <v>108</v>
          </cell>
          <cell r="DS83">
            <v>88</v>
          </cell>
          <cell r="DT83">
            <v>103</v>
          </cell>
          <cell r="DU83">
            <v>61</v>
          </cell>
          <cell r="DV83">
            <v>106</v>
          </cell>
          <cell r="DW83">
            <v>98</v>
          </cell>
          <cell r="DX83">
            <v>125</v>
          </cell>
          <cell r="DY83">
            <v>93</v>
          </cell>
          <cell r="DZ83">
            <v>77</v>
          </cell>
          <cell r="EA83">
            <v>85</v>
          </cell>
          <cell r="EB83">
            <v>54</v>
          </cell>
          <cell r="EC83">
            <v>65</v>
          </cell>
        </row>
        <row r="85">
          <cell r="CH85">
            <v>32</v>
          </cell>
          <cell r="CI85">
            <v>27</v>
          </cell>
          <cell r="CJ85">
            <v>32</v>
          </cell>
          <cell r="CK85">
            <v>43</v>
          </cell>
          <cell r="CL85">
            <v>29</v>
          </cell>
          <cell r="CM85">
            <v>29</v>
          </cell>
          <cell r="CN85">
            <v>31</v>
          </cell>
          <cell r="CO85">
            <v>32</v>
          </cell>
          <cell r="CP85">
            <v>26</v>
          </cell>
          <cell r="CQ85">
            <v>37</v>
          </cell>
          <cell r="CR85">
            <v>18</v>
          </cell>
          <cell r="CS85">
            <v>35</v>
          </cell>
          <cell r="CT85">
            <v>29</v>
          </cell>
          <cell r="CU85">
            <v>24</v>
          </cell>
          <cell r="CV85">
            <v>32</v>
          </cell>
          <cell r="CW85">
            <v>34</v>
          </cell>
          <cell r="CX85">
            <v>28</v>
          </cell>
          <cell r="CY85">
            <v>26</v>
          </cell>
          <cell r="CZ85">
            <v>23</v>
          </cell>
          <cell r="DA85">
            <v>19</v>
          </cell>
          <cell r="DB85">
            <v>28</v>
          </cell>
          <cell r="DC85">
            <v>28</v>
          </cell>
          <cell r="DD85">
            <v>17</v>
          </cell>
          <cell r="DE85">
            <v>29</v>
          </cell>
          <cell r="DF85">
            <v>30</v>
          </cell>
          <cell r="DG85">
            <v>17</v>
          </cell>
          <cell r="DH85">
            <v>24</v>
          </cell>
          <cell r="DI85">
            <v>33</v>
          </cell>
          <cell r="DJ85">
            <v>25</v>
          </cell>
          <cell r="DK85">
            <v>19</v>
          </cell>
          <cell r="DL85">
            <v>40</v>
          </cell>
          <cell r="DM85">
            <v>29</v>
          </cell>
          <cell r="DN85">
            <v>12</v>
          </cell>
          <cell r="DO85">
            <v>25</v>
          </cell>
          <cell r="DP85">
            <v>21</v>
          </cell>
          <cell r="DQ85">
            <v>17</v>
          </cell>
          <cell r="DR85">
            <v>16</v>
          </cell>
          <cell r="DS85">
            <v>20</v>
          </cell>
          <cell r="DT85">
            <v>47</v>
          </cell>
          <cell r="DU85">
            <v>34</v>
          </cell>
          <cell r="DV85">
            <v>22</v>
          </cell>
          <cell r="DW85">
            <v>34</v>
          </cell>
          <cell r="DX85">
            <v>27</v>
          </cell>
          <cell r="DY85">
            <v>22</v>
          </cell>
          <cell r="DZ85">
            <v>25</v>
          </cell>
          <cell r="EA85">
            <v>30</v>
          </cell>
          <cell r="EB85">
            <v>17</v>
          </cell>
          <cell r="EC85">
            <v>25</v>
          </cell>
        </row>
        <row r="86">
          <cell r="CH86">
            <v>298</v>
          </cell>
          <cell r="CI86">
            <v>342</v>
          </cell>
          <cell r="CJ86">
            <v>273</v>
          </cell>
          <cell r="CK86">
            <v>322</v>
          </cell>
          <cell r="CL86">
            <v>295</v>
          </cell>
          <cell r="CM86">
            <v>366</v>
          </cell>
          <cell r="CN86">
            <v>324</v>
          </cell>
          <cell r="CO86">
            <v>315</v>
          </cell>
          <cell r="CP86">
            <v>300</v>
          </cell>
          <cell r="CQ86">
            <v>298</v>
          </cell>
          <cell r="CR86">
            <v>288</v>
          </cell>
          <cell r="CS86">
            <v>291</v>
          </cell>
          <cell r="CT86">
            <v>286</v>
          </cell>
          <cell r="CU86">
            <v>284</v>
          </cell>
          <cell r="CV86">
            <v>305</v>
          </cell>
          <cell r="CW86">
            <v>321</v>
          </cell>
          <cell r="CX86">
            <v>303</v>
          </cell>
          <cell r="CY86">
            <v>293</v>
          </cell>
          <cell r="CZ86">
            <v>275</v>
          </cell>
          <cell r="DA86">
            <v>267</v>
          </cell>
          <cell r="DB86">
            <v>265</v>
          </cell>
          <cell r="DC86">
            <v>259</v>
          </cell>
          <cell r="DD86">
            <v>262</v>
          </cell>
          <cell r="DE86">
            <v>300</v>
          </cell>
          <cell r="DF86">
            <v>265</v>
          </cell>
          <cell r="DG86">
            <v>285</v>
          </cell>
          <cell r="DH86">
            <v>278</v>
          </cell>
          <cell r="DI86">
            <v>299</v>
          </cell>
          <cell r="DJ86">
            <v>298</v>
          </cell>
          <cell r="DK86">
            <v>273</v>
          </cell>
          <cell r="DL86">
            <v>304</v>
          </cell>
          <cell r="DM86">
            <v>277</v>
          </cell>
          <cell r="DN86">
            <v>309</v>
          </cell>
          <cell r="DO86">
            <v>279</v>
          </cell>
          <cell r="DP86">
            <v>254</v>
          </cell>
          <cell r="DQ86">
            <v>268</v>
          </cell>
          <cell r="DR86">
            <v>261</v>
          </cell>
          <cell r="DS86">
            <v>277</v>
          </cell>
          <cell r="DT86">
            <v>266</v>
          </cell>
          <cell r="DU86">
            <v>272</v>
          </cell>
          <cell r="DV86">
            <v>257</v>
          </cell>
          <cell r="DW86">
            <v>260</v>
          </cell>
          <cell r="DX86">
            <v>253</v>
          </cell>
          <cell r="DY86">
            <v>250</v>
          </cell>
          <cell r="DZ86">
            <v>270</v>
          </cell>
          <cell r="EA86">
            <v>247</v>
          </cell>
          <cell r="EB86">
            <v>246</v>
          </cell>
          <cell r="EC86">
            <v>246</v>
          </cell>
        </row>
        <row r="87">
          <cell r="CH87">
            <v>138</v>
          </cell>
          <cell r="CI87">
            <v>169</v>
          </cell>
          <cell r="CJ87">
            <v>174</v>
          </cell>
          <cell r="CK87">
            <v>179</v>
          </cell>
          <cell r="CL87">
            <v>155</v>
          </cell>
          <cell r="CM87">
            <v>171</v>
          </cell>
          <cell r="CN87">
            <v>163</v>
          </cell>
          <cell r="CO87">
            <v>126</v>
          </cell>
          <cell r="CP87">
            <v>156</v>
          </cell>
          <cell r="CQ87">
            <v>142</v>
          </cell>
          <cell r="CR87">
            <v>87</v>
          </cell>
          <cell r="CS87">
            <v>131</v>
          </cell>
          <cell r="CT87">
            <v>162</v>
          </cell>
          <cell r="CU87">
            <v>141</v>
          </cell>
          <cell r="CV87">
            <v>146</v>
          </cell>
          <cell r="CW87">
            <v>148</v>
          </cell>
          <cell r="CX87">
            <v>178</v>
          </cell>
          <cell r="CY87">
            <v>149</v>
          </cell>
          <cell r="CZ87">
            <v>152</v>
          </cell>
          <cell r="DA87">
            <v>156</v>
          </cell>
          <cell r="DB87">
            <v>137</v>
          </cell>
          <cell r="DC87">
            <v>142</v>
          </cell>
          <cell r="DD87">
            <v>155</v>
          </cell>
          <cell r="DE87">
            <v>163</v>
          </cell>
          <cell r="DF87">
            <v>164</v>
          </cell>
          <cell r="DG87">
            <v>168</v>
          </cell>
          <cell r="DH87">
            <v>172</v>
          </cell>
          <cell r="DI87">
            <v>150</v>
          </cell>
          <cell r="DJ87">
            <v>137</v>
          </cell>
          <cell r="DK87">
            <v>139</v>
          </cell>
          <cell r="DL87">
            <v>163</v>
          </cell>
          <cell r="DM87">
            <v>147</v>
          </cell>
          <cell r="DN87">
            <v>169</v>
          </cell>
          <cell r="DO87">
            <v>141</v>
          </cell>
          <cell r="DP87">
            <v>150</v>
          </cell>
          <cell r="DQ87">
            <v>152</v>
          </cell>
          <cell r="DR87">
            <v>141</v>
          </cell>
          <cell r="DS87">
            <v>137</v>
          </cell>
          <cell r="DT87">
            <v>171</v>
          </cell>
          <cell r="DU87">
            <v>151</v>
          </cell>
          <cell r="DV87">
            <v>149</v>
          </cell>
          <cell r="DW87">
            <v>124</v>
          </cell>
          <cell r="DX87">
            <v>133</v>
          </cell>
          <cell r="DY87">
            <v>121</v>
          </cell>
          <cell r="DZ87">
            <v>146</v>
          </cell>
          <cell r="EA87">
            <v>135</v>
          </cell>
          <cell r="EB87">
            <v>130</v>
          </cell>
          <cell r="EC87">
            <v>136</v>
          </cell>
        </row>
        <row r="88">
          <cell r="CH88">
            <v>2</v>
          </cell>
          <cell r="CI88">
            <v>13</v>
          </cell>
          <cell r="CJ88">
            <v>9</v>
          </cell>
          <cell r="CK88">
            <v>42</v>
          </cell>
          <cell r="CL88">
            <v>9</v>
          </cell>
          <cell r="CM88">
            <v>3</v>
          </cell>
          <cell r="CN88">
            <v>3</v>
          </cell>
          <cell r="CO88">
            <v>2</v>
          </cell>
          <cell r="CP88">
            <v>1</v>
          </cell>
          <cell r="CQ88">
            <v>1</v>
          </cell>
          <cell r="CR88">
            <v>1</v>
          </cell>
          <cell r="CT88">
            <v>3</v>
          </cell>
          <cell r="CU88">
            <v>5</v>
          </cell>
          <cell r="CV88">
            <v>3</v>
          </cell>
          <cell r="CW88">
            <v>11</v>
          </cell>
          <cell r="CX88">
            <v>4</v>
          </cell>
          <cell r="CY88">
            <v>7</v>
          </cell>
          <cell r="CZ88">
            <v>6</v>
          </cell>
          <cell r="DA88">
            <v>8</v>
          </cell>
          <cell r="DB88">
            <v>3</v>
          </cell>
          <cell r="DC88">
            <v>15</v>
          </cell>
          <cell r="DD88">
            <v>5</v>
          </cell>
          <cell r="DE88">
            <v>5</v>
          </cell>
          <cell r="DF88">
            <v>4</v>
          </cell>
          <cell r="DG88">
            <v>5</v>
          </cell>
          <cell r="DH88">
            <v>1</v>
          </cell>
          <cell r="DI88">
            <v>5</v>
          </cell>
          <cell r="DJ88">
            <v>2</v>
          </cell>
          <cell r="DK88">
            <v>6</v>
          </cell>
          <cell r="DL88">
            <v>4</v>
          </cell>
          <cell r="DM88">
            <v>3</v>
          </cell>
          <cell r="DN88">
            <v>0</v>
          </cell>
          <cell r="DO88">
            <v>8</v>
          </cell>
          <cell r="DP88">
            <v>2</v>
          </cell>
          <cell r="DQ88">
            <v>2</v>
          </cell>
          <cell r="DR88">
            <v>4</v>
          </cell>
          <cell r="DS88">
            <v>3</v>
          </cell>
          <cell r="DT88">
            <v>5</v>
          </cell>
          <cell r="DU88">
            <v>3</v>
          </cell>
          <cell r="DV88">
            <v>7</v>
          </cell>
          <cell r="DW88">
            <v>4</v>
          </cell>
          <cell r="DX88">
            <v>1</v>
          </cell>
          <cell r="DY88">
            <v>4</v>
          </cell>
          <cell r="DZ88">
            <v>3</v>
          </cell>
          <cell r="EA88">
            <v>3</v>
          </cell>
          <cell r="EB88">
            <v>9</v>
          </cell>
          <cell r="EC88">
            <v>9</v>
          </cell>
        </row>
        <row r="90">
          <cell r="CH90">
            <v>95</v>
          </cell>
          <cell r="CI90">
            <v>95</v>
          </cell>
          <cell r="CJ90">
            <v>89</v>
          </cell>
          <cell r="CK90">
            <v>97</v>
          </cell>
          <cell r="CL90">
            <v>97</v>
          </cell>
          <cell r="CM90">
            <v>81</v>
          </cell>
          <cell r="CN90">
            <v>83</v>
          </cell>
          <cell r="CO90">
            <v>132</v>
          </cell>
          <cell r="CP90">
            <v>107</v>
          </cell>
          <cell r="CQ90">
            <v>87</v>
          </cell>
          <cell r="CR90">
            <v>83</v>
          </cell>
          <cell r="CS90">
            <v>115</v>
          </cell>
          <cell r="CT90">
            <v>132</v>
          </cell>
          <cell r="CU90">
            <v>111</v>
          </cell>
          <cell r="CV90">
            <v>122</v>
          </cell>
          <cell r="CW90">
            <v>86</v>
          </cell>
          <cell r="CX90">
            <v>147</v>
          </cell>
          <cell r="CY90">
            <v>107</v>
          </cell>
          <cell r="CZ90">
            <v>127</v>
          </cell>
          <cell r="DA90">
            <v>89</v>
          </cell>
          <cell r="DB90">
            <v>104</v>
          </cell>
          <cell r="DC90">
            <v>164</v>
          </cell>
          <cell r="DD90">
            <v>143</v>
          </cell>
          <cell r="DE90">
            <v>136</v>
          </cell>
          <cell r="DF90">
            <v>103</v>
          </cell>
          <cell r="DG90">
            <v>120</v>
          </cell>
          <cell r="DH90">
            <v>102</v>
          </cell>
          <cell r="DI90">
            <v>178</v>
          </cell>
          <cell r="DJ90">
            <v>126</v>
          </cell>
          <cell r="DK90">
            <v>126</v>
          </cell>
          <cell r="DL90">
            <v>146</v>
          </cell>
          <cell r="DM90">
            <v>135</v>
          </cell>
          <cell r="DN90">
            <v>133</v>
          </cell>
          <cell r="DO90">
            <v>158</v>
          </cell>
          <cell r="DP90">
            <v>131</v>
          </cell>
          <cell r="DQ90">
            <v>158</v>
          </cell>
          <cell r="DR90">
            <v>184</v>
          </cell>
          <cell r="DS90">
            <v>169</v>
          </cell>
          <cell r="DT90">
            <v>169</v>
          </cell>
          <cell r="DU90">
            <v>176</v>
          </cell>
          <cell r="DV90">
            <v>176</v>
          </cell>
          <cell r="DW90">
            <v>193</v>
          </cell>
          <cell r="DX90">
            <v>140</v>
          </cell>
          <cell r="DY90">
            <v>138</v>
          </cell>
          <cell r="DZ90">
            <v>129</v>
          </cell>
          <cell r="EA90">
            <v>146</v>
          </cell>
          <cell r="EB90">
            <v>134</v>
          </cell>
          <cell r="EC90">
            <v>173</v>
          </cell>
        </row>
        <row r="92">
          <cell r="CH92">
            <v>12</v>
          </cell>
          <cell r="CI92">
            <v>15</v>
          </cell>
          <cell r="CJ92">
            <v>23</v>
          </cell>
          <cell r="CK92">
            <v>22</v>
          </cell>
          <cell r="CL92">
            <v>15</v>
          </cell>
          <cell r="CM92">
            <v>27</v>
          </cell>
          <cell r="CN92">
            <v>23</v>
          </cell>
          <cell r="CO92">
            <v>18</v>
          </cell>
          <cell r="CP92">
            <v>15</v>
          </cell>
          <cell r="CQ92">
            <v>13</v>
          </cell>
          <cell r="CR92">
            <v>16</v>
          </cell>
          <cell r="CS92">
            <v>26</v>
          </cell>
          <cell r="CT92">
            <v>27</v>
          </cell>
          <cell r="CU92">
            <v>20</v>
          </cell>
          <cell r="CV92">
            <v>18</v>
          </cell>
          <cell r="CW92">
            <v>21</v>
          </cell>
          <cell r="CX92">
            <v>29</v>
          </cell>
          <cell r="CY92">
            <v>23</v>
          </cell>
          <cell r="CZ92">
            <v>26</v>
          </cell>
          <cell r="DA92">
            <v>24</v>
          </cell>
          <cell r="DB92">
            <v>24</v>
          </cell>
          <cell r="DC92">
            <v>30</v>
          </cell>
          <cell r="DD92">
            <v>24</v>
          </cell>
          <cell r="DE92">
            <v>32</v>
          </cell>
          <cell r="DF92">
            <v>26</v>
          </cell>
          <cell r="DG92">
            <v>22</v>
          </cell>
          <cell r="DH92">
            <v>21</v>
          </cell>
          <cell r="DI92">
            <v>36</v>
          </cell>
          <cell r="DJ92">
            <v>11</v>
          </cell>
          <cell r="DK92">
            <v>23</v>
          </cell>
          <cell r="DL92">
            <v>35</v>
          </cell>
          <cell r="DM92">
            <v>31</v>
          </cell>
          <cell r="DN92">
            <v>16</v>
          </cell>
          <cell r="DO92">
            <v>27</v>
          </cell>
          <cell r="DP92">
            <v>28</v>
          </cell>
          <cell r="DQ92">
            <v>31</v>
          </cell>
          <cell r="DR92">
            <v>23</v>
          </cell>
          <cell r="DS92">
            <v>17</v>
          </cell>
          <cell r="DT92">
            <v>28</v>
          </cell>
          <cell r="DU92">
            <v>32</v>
          </cell>
          <cell r="DV92">
            <v>32</v>
          </cell>
          <cell r="DW92">
            <v>25</v>
          </cell>
          <cell r="DX92">
            <v>44</v>
          </cell>
          <cell r="DY92">
            <v>25</v>
          </cell>
          <cell r="DZ92">
            <v>28</v>
          </cell>
          <cell r="EA92">
            <v>25</v>
          </cell>
          <cell r="EB92">
            <v>20</v>
          </cell>
          <cell r="EC92">
            <v>22</v>
          </cell>
        </row>
        <row r="103">
          <cell r="CH103">
            <v>577</v>
          </cell>
          <cell r="CI103">
            <v>647</v>
          </cell>
          <cell r="CJ103">
            <v>670</v>
          </cell>
          <cell r="CK103">
            <v>654</v>
          </cell>
          <cell r="CL103">
            <v>669</v>
          </cell>
          <cell r="CM103">
            <v>676</v>
          </cell>
          <cell r="CN103">
            <v>704</v>
          </cell>
          <cell r="CO103">
            <v>668</v>
          </cell>
          <cell r="CP103">
            <v>585</v>
          </cell>
          <cell r="CQ103">
            <v>576</v>
          </cell>
          <cell r="CR103">
            <v>532</v>
          </cell>
          <cell r="CS103">
            <v>671</v>
          </cell>
          <cell r="CT103">
            <v>658</v>
          </cell>
          <cell r="CU103">
            <v>653</v>
          </cell>
          <cell r="CV103">
            <v>646</v>
          </cell>
          <cell r="CW103">
            <v>691</v>
          </cell>
          <cell r="CX103">
            <v>646</v>
          </cell>
          <cell r="CY103">
            <v>565</v>
          </cell>
          <cell r="CZ103">
            <v>566</v>
          </cell>
          <cell r="DA103">
            <v>661</v>
          </cell>
          <cell r="DB103">
            <v>501</v>
          </cell>
          <cell r="DC103">
            <v>501</v>
          </cell>
          <cell r="DD103">
            <v>566</v>
          </cell>
          <cell r="DE103">
            <v>639</v>
          </cell>
          <cell r="DF103">
            <v>543</v>
          </cell>
          <cell r="DG103">
            <v>635</v>
          </cell>
          <cell r="DH103">
            <v>610</v>
          </cell>
          <cell r="DI103">
            <v>576</v>
          </cell>
          <cell r="DJ103">
            <v>581</v>
          </cell>
          <cell r="DK103">
            <v>600</v>
          </cell>
          <cell r="DL103">
            <v>563</v>
          </cell>
          <cell r="DM103">
            <v>568</v>
          </cell>
          <cell r="DN103">
            <v>575</v>
          </cell>
          <cell r="DO103">
            <v>556</v>
          </cell>
          <cell r="DP103">
            <v>538</v>
          </cell>
          <cell r="DQ103">
            <v>632</v>
          </cell>
          <cell r="DR103">
            <v>607</v>
          </cell>
          <cell r="DS103">
            <v>624</v>
          </cell>
          <cell r="DT103">
            <v>548</v>
          </cell>
          <cell r="DU103">
            <v>647</v>
          </cell>
          <cell r="DV103">
            <v>578</v>
          </cell>
          <cell r="DW103">
            <v>512</v>
          </cell>
          <cell r="DX103">
            <v>545</v>
          </cell>
          <cell r="DY103">
            <v>567</v>
          </cell>
          <cell r="DZ103">
            <v>561</v>
          </cell>
          <cell r="EA103">
            <v>504</v>
          </cell>
          <cell r="EB103">
            <v>490</v>
          </cell>
          <cell r="EC103">
            <v>541</v>
          </cell>
        </row>
        <row r="105">
          <cell r="AL105">
            <v>76</v>
          </cell>
          <cell r="AM105">
            <v>80</v>
          </cell>
          <cell r="AN105">
            <v>77</v>
          </cell>
          <cell r="AO105">
            <v>70</v>
          </cell>
          <cell r="AP105">
            <v>84</v>
          </cell>
          <cell r="AQ105">
            <v>69</v>
          </cell>
          <cell r="AR105">
            <v>66</v>
          </cell>
          <cell r="AS105">
            <v>78</v>
          </cell>
          <cell r="AT105">
            <v>70</v>
          </cell>
          <cell r="AU105">
            <v>62</v>
          </cell>
          <cell r="AV105">
            <v>69</v>
          </cell>
          <cell r="AW105">
            <v>73</v>
          </cell>
          <cell r="AX105">
            <v>80</v>
          </cell>
          <cell r="AY105">
            <v>69</v>
          </cell>
          <cell r="AZ105">
            <v>73</v>
          </cell>
          <cell r="BA105">
            <v>81</v>
          </cell>
          <cell r="BB105">
            <v>73</v>
          </cell>
          <cell r="BC105">
            <v>54</v>
          </cell>
          <cell r="BD105">
            <v>86</v>
          </cell>
          <cell r="BE105">
            <v>81</v>
          </cell>
          <cell r="BF105">
            <v>87</v>
          </cell>
          <cell r="BG105">
            <v>79</v>
          </cell>
          <cell r="BH105">
            <v>57</v>
          </cell>
          <cell r="BI105">
            <v>75</v>
          </cell>
          <cell r="BJ105">
            <v>59</v>
          </cell>
          <cell r="BK105">
            <v>70</v>
          </cell>
          <cell r="BL105">
            <v>63</v>
          </cell>
          <cell r="BM105">
            <v>76</v>
          </cell>
          <cell r="BN105">
            <v>72</v>
          </cell>
          <cell r="BO105">
            <v>62</v>
          </cell>
          <cell r="BP105">
            <v>91</v>
          </cell>
          <cell r="BQ105">
            <v>81</v>
          </cell>
          <cell r="BR105">
            <v>82</v>
          </cell>
          <cell r="BS105">
            <v>81</v>
          </cell>
          <cell r="BT105">
            <v>80</v>
          </cell>
          <cell r="BU105">
            <v>64</v>
          </cell>
          <cell r="BV105">
            <v>64</v>
          </cell>
          <cell r="BW105">
            <v>67</v>
          </cell>
          <cell r="BX105">
            <v>55</v>
          </cell>
          <cell r="BY105">
            <v>86</v>
          </cell>
          <cell r="BZ105">
            <v>71</v>
          </cell>
          <cell r="CA105">
            <v>84</v>
          </cell>
          <cell r="CB105">
            <v>68</v>
          </cell>
          <cell r="CC105">
            <v>56</v>
          </cell>
          <cell r="CD105">
            <v>66</v>
          </cell>
          <cell r="CE105">
            <v>41</v>
          </cell>
          <cell r="CF105">
            <v>51</v>
          </cell>
          <cell r="CG105">
            <v>54</v>
          </cell>
          <cell r="CH105">
            <v>86</v>
          </cell>
          <cell r="CI105">
            <v>76</v>
          </cell>
          <cell r="CJ105">
            <v>57</v>
          </cell>
          <cell r="CK105">
            <v>74</v>
          </cell>
          <cell r="CL105">
            <v>76</v>
          </cell>
          <cell r="CM105">
            <v>92</v>
          </cell>
          <cell r="CN105">
            <v>83</v>
          </cell>
          <cell r="CO105">
            <v>68</v>
          </cell>
          <cell r="CP105">
            <v>65</v>
          </cell>
          <cell r="CQ105">
            <v>59</v>
          </cell>
          <cell r="CR105">
            <v>51</v>
          </cell>
          <cell r="CS105">
            <v>84</v>
          </cell>
          <cell r="CT105">
            <v>68</v>
          </cell>
          <cell r="CU105">
            <v>75</v>
          </cell>
          <cell r="CV105">
            <v>69</v>
          </cell>
          <cell r="CW105">
            <v>97</v>
          </cell>
          <cell r="CX105">
            <v>61</v>
          </cell>
          <cell r="CY105">
            <v>55</v>
          </cell>
          <cell r="CZ105">
            <v>64</v>
          </cell>
          <cell r="DA105">
            <v>55</v>
          </cell>
          <cell r="DB105">
            <v>58</v>
          </cell>
          <cell r="DC105">
            <v>58</v>
          </cell>
          <cell r="DD105">
            <v>79</v>
          </cell>
          <cell r="DE105">
            <v>82</v>
          </cell>
          <cell r="DF105">
            <v>69</v>
          </cell>
          <cell r="DG105">
            <v>86</v>
          </cell>
          <cell r="DH105">
            <v>76</v>
          </cell>
          <cell r="DI105">
            <v>83</v>
          </cell>
          <cell r="DJ105">
            <v>75</v>
          </cell>
          <cell r="DK105">
            <v>61</v>
          </cell>
          <cell r="DL105">
            <v>83</v>
          </cell>
          <cell r="DM105">
            <v>60</v>
          </cell>
          <cell r="DN105">
            <v>76</v>
          </cell>
          <cell r="DO105">
            <v>64</v>
          </cell>
          <cell r="DP105">
            <v>59</v>
          </cell>
          <cell r="DQ105">
            <v>64</v>
          </cell>
          <cell r="DR105">
            <v>66</v>
          </cell>
          <cell r="DS105">
            <v>68</v>
          </cell>
          <cell r="DT105">
            <v>69</v>
          </cell>
          <cell r="DU105">
            <v>91</v>
          </cell>
          <cell r="DV105">
            <v>90</v>
          </cell>
          <cell r="DW105">
            <v>51</v>
          </cell>
          <cell r="DX105">
            <v>61</v>
          </cell>
          <cell r="DY105">
            <v>71</v>
          </cell>
          <cell r="DZ105">
            <v>80</v>
          </cell>
          <cell r="EA105">
            <v>71</v>
          </cell>
          <cell r="EB105">
            <v>66</v>
          </cell>
          <cell r="EC105">
            <v>87</v>
          </cell>
        </row>
        <row r="106">
          <cell r="AL106">
            <v>126</v>
          </cell>
          <cell r="AM106">
            <v>151</v>
          </cell>
          <cell r="AN106">
            <v>110</v>
          </cell>
          <cell r="AO106">
            <v>132</v>
          </cell>
          <cell r="AP106">
            <v>121</v>
          </cell>
          <cell r="AQ106">
            <v>113</v>
          </cell>
          <cell r="AR106">
            <v>128</v>
          </cell>
          <cell r="AS106">
            <v>132</v>
          </cell>
          <cell r="AT106">
            <v>142</v>
          </cell>
          <cell r="AU106">
            <v>118</v>
          </cell>
          <cell r="AV106">
            <v>104</v>
          </cell>
          <cell r="AW106">
            <v>128</v>
          </cell>
          <cell r="AX106">
            <v>124</v>
          </cell>
          <cell r="AY106">
            <v>132</v>
          </cell>
          <cell r="AZ106">
            <v>142</v>
          </cell>
          <cell r="BA106">
            <v>151</v>
          </cell>
          <cell r="BB106">
            <v>133</v>
          </cell>
          <cell r="BC106">
            <v>124</v>
          </cell>
          <cell r="BD106">
            <v>172</v>
          </cell>
          <cell r="BE106">
            <v>163</v>
          </cell>
          <cell r="BF106">
            <v>157</v>
          </cell>
          <cell r="BG106">
            <v>137</v>
          </cell>
          <cell r="BH106">
            <v>159</v>
          </cell>
          <cell r="BI106">
            <v>152</v>
          </cell>
          <cell r="BJ106">
            <v>150</v>
          </cell>
          <cell r="BK106">
            <v>148</v>
          </cell>
          <cell r="BL106">
            <v>128</v>
          </cell>
          <cell r="BM106">
            <v>173</v>
          </cell>
          <cell r="BN106">
            <v>165</v>
          </cell>
          <cell r="BO106">
            <v>167</v>
          </cell>
          <cell r="BP106">
            <v>206</v>
          </cell>
          <cell r="BQ106">
            <v>172</v>
          </cell>
          <cell r="BR106">
            <v>169</v>
          </cell>
          <cell r="BS106">
            <v>151</v>
          </cell>
          <cell r="BT106">
            <v>132</v>
          </cell>
          <cell r="BU106">
            <v>154</v>
          </cell>
          <cell r="BV106">
            <v>173</v>
          </cell>
          <cell r="BW106">
            <v>175</v>
          </cell>
          <cell r="BX106">
            <v>210</v>
          </cell>
          <cell r="BY106">
            <v>208</v>
          </cell>
          <cell r="BZ106">
            <v>184</v>
          </cell>
          <cell r="CA106">
            <v>171</v>
          </cell>
          <cell r="CB106">
            <v>187</v>
          </cell>
          <cell r="CC106">
            <v>187</v>
          </cell>
          <cell r="CD106">
            <v>189</v>
          </cell>
          <cell r="CE106">
            <v>140</v>
          </cell>
          <cell r="CF106">
            <v>155</v>
          </cell>
          <cell r="CG106">
            <v>147</v>
          </cell>
          <cell r="CH106">
            <v>182</v>
          </cell>
          <cell r="CI106">
            <v>230</v>
          </cell>
          <cell r="CJ106">
            <v>227</v>
          </cell>
          <cell r="CK106">
            <v>222</v>
          </cell>
          <cell r="CL106">
            <v>203</v>
          </cell>
          <cell r="CM106">
            <v>223</v>
          </cell>
          <cell r="CN106">
            <v>220</v>
          </cell>
          <cell r="CO106">
            <v>179</v>
          </cell>
          <cell r="CP106">
            <v>183</v>
          </cell>
          <cell r="CQ106">
            <v>174</v>
          </cell>
          <cell r="CR106">
            <v>160</v>
          </cell>
          <cell r="CS106">
            <v>162</v>
          </cell>
          <cell r="CT106">
            <v>175</v>
          </cell>
          <cell r="CU106">
            <v>187</v>
          </cell>
          <cell r="CV106">
            <v>153</v>
          </cell>
          <cell r="CW106">
            <v>188</v>
          </cell>
          <cell r="CX106">
            <v>161</v>
          </cell>
          <cell r="CY106">
            <v>150</v>
          </cell>
          <cell r="CZ106">
            <v>143</v>
          </cell>
          <cell r="DA106">
            <v>161</v>
          </cell>
          <cell r="DB106">
            <v>144</v>
          </cell>
          <cell r="DC106">
            <v>119</v>
          </cell>
          <cell r="DD106">
            <v>155</v>
          </cell>
          <cell r="DE106">
            <v>153</v>
          </cell>
          <cell r="DF106">
            <v>150</v>
          </cell>
          <cell r="DG106">
            <v>177</v>
          </cell>
          <cell r="DH106">
            <v>181</v>
          </cell>
          <cell r="DI106">
            <v>140</v>
          </cell>
          <cell r="DJ106">
            <v>149</v>
          </cell>
          <cell r="DK106">
            <v>156</v>
          </cell>
          <cell r="DL106">
            <v>144</v>
          </cell>
          <cell r="DM106">
            <v>176</v>
          </cell>
          <cell r="DN106">
            <v>170</v>
          </cell>
          <cell r="DO106">
            <v>139</v>
          </cell>
          <cell r="DP106">
            <v>139</v>
          </cell>
          <cell r="DQ106">
            <v>173</v>
          </cell>
          <cell r="DR106">
            <v>174</v>
          </cell>
          <cell r="DS106">
            <v>136</v>
          </cell>
          <cell r="DT106">
            <v>136</v>
          </cell>
          <cell r="DU106">
            <v>157</v>
          </cell>
          <cell r="DV106">
            <v>137</v>
          </cell>
          <cell r="DW106">
            <v>135</v>
          </cell>
          <cell r="DX106">
            <v>129</v>
          </cell>
          <cell r="DY106">
            <v>136</v>
          </cell>
          <cell r="DZ106">
            <v>164</v>
          </cell>
          <cell r="EA106">
            <v>142</v>
          </cell>
          <cell r="EB106">
            <v>126</v>
          </cell>
          <cell r="EC106">
            <v>142</v>
          </cell>
        </row>
        <row r="107">
          <cell r="CH107">
            <v>8</v>
          </cell>
          <cell r="CI107">
            <v>4</v>
          </cell>
          <cell r="CJ107">
            <v>17</v>
          </cell>
          <cell r="CK107">
            <v>4</v>
          </cell>
          <cell r="CL107">
            <v>7</v>
          </cell>
          <cell r="CM107">
            <v>10</v>
          </cell>
          <cell r="CN107">
            <v>16</v>
          </cell>
          <cell r="CO107">
            <v>13</v>
          </cell>
          <cell r="CP107">
            <v>12</v>
          </cell>
          <cell r="CQ107">
            <v>6</v>
          </cell>
          <cell r="CR107">
            <v>9</v>
          </cell>
          <cell r="CS107">
            <v>15</v>
          </cell>
          <cell r="CT107">
            <v>15</v>
          </cell>
          <cell r="CU107">
            <v>8</v>
          </cell>
          <cell r="CV107">
            <v>12</v>
          </cell>
          <cell r="CW107">
            <v>8</v>
          </cell>
          <cell r="CX107">
            <v>5</v>
          </cell>
          <cell r="CY107">
            <v>6</v>
          </cell>
          <cell r="CZ107">
            <v>7</v>
          </cell>
          <cell r="DA107">
            <v>8</v>
          </cell>
          <cell r="DB107">
            <v>9</v>
          </cell>
          <cell r="DC107">
            <v>7</v>
          </cell>
          <cell r="DD107">
            <v>5</v>
          </cell>
          <cell r="DE107">
            <v>11</v>
          </cell>
          <cell r="DF107">
            <v>5</v>
          </cell>
          <cell r="DG107">
            <v>10</v>
          </cell>
          <cell r="DH107">
            <v>9</v>
          </cell>
          <cell r="DI107">
            <v>5</v>
          </cell>
          <cell r="DJ107">
            <v>3</v>
          </cell>
          <cell r="DK107">
            <v>9</v>
          </cell>
          <cell r="DL107">
            <v>5</v>
          </cell>
          <cell r="DM107">
            <v>8</v>
          </cell>
          <cell r="DN107">
            <v>14</v>
          </cell>
          <cell r="DO107">
            <v>9</v>
          </cell>
          <cell r="DP107">
            <v>6</v>
          </cell>
          <cell r="DQ107">
            <v>8</v>
          </cell>
          <cell r="DR107">
            <v>8</v>
          </cell>
          <cell r="DS107">
            <v>11</v>
          </cell>
          <cell r="DT107">
            <v>11</v>
          </cell>
          <cell r="DU107">
            <v>11</v>
          </cell>
          <cell r="DV107">
            <v>8</v>
          </cell>
          <cell r="DW107">
            <v>10</v>
          </cell>
          <cell r="DX107">
            <v>7</v>
          </cell>
          <cell r="DY107">
            <v>6</v>
          </cell>
          <cell r="DZ107">
            <v>7</v>
          </cell>
          <cell r="EA107">
            <v>10</v>
          </cell>
          <cell r="EB107">
            <v>9</v>
          </cell>
          <cell r="EC107">
            <v>9</v>
          </cell>
        </row>
        <row r="108">
          <cell r="CH108">
            <v>21</v>
          </cell>
          <cell r="CI108">
            <v>9</v>
          </cell>
          <cell r="CJ108">
            <v>28</v>
          </cell>
          <cell r="CK108">
            <v>17</v>
          </cell>
          <cell r="CL108">
            <v>16</v>
          </cell>
          <cell r="CM108">
            <v>12</v>
          </cell>
          <cell r="CN108">
            <v>22</v>
          </cell>
          <cell r="CO108">
            <v>15</v>
          </cell>
          <cell r="CP108">
            <v>11</v>
          </cell>
          <cell r="CQ108">
            <v>22</v>
          </cell>
          <cell r="CR108">
            <v>19</v>
          </cell>
          <cell r="CS108">
            <v>20</v>
          </cell>
          <cell r="CT108">
            <v>16</v>
          </cell>
          <cell r="CU108">
            <v>17</v>
          </cell>
          <cell r="CV108">
            <v>21</v>
          </cell>
          <cell r="CW108">
            <v>19</v>
          </cell>
          <cell r="CX108">
            <v>18</v>
          </cell>
          <cell r="CY108">
            <v>26</v>
          </cell>
          <cell r="CZ108">
            <v>19</v>
          </cell>
          <cell r="DA108">
            <v>16</v>
          </cell>
          <cell r="DB108">
            <v>8</v>
          </cell>
          <cell r="DC108">
            <v>14</v>
          </cell>
          <cell r="DD108">
            <v>15</v>
          </cell>
          <cell r="DE108">
            <v>34</v>
          </cell>
          <cell r="DF108">
            <v>14</v>
          </cell>
          <cell r="DG108">
            <v>22</v>
          </cell>
          <cell r="DH108">
            <v>36</v>
          </cell>
          <cell r="DI108">
            <v>15</v>
          </cell>
          <cell r="DJ108">
            <v>23</v>
          </cell>
          <cell r="DK108">
            <v>14</v>
          </cell>
          <cell r="DL108">
            <v>29</v>
          </cell>
          <cell r="DM108">
            <v>19</v>
          </cell>
          <cell r="DN108">
            <v>20</v>
          </cell>
          <cell r="DO108">
            <v>21</v>
          </cell>
          <cell r="DP108">
            <v>9</v>
          </cell>
          <cell r="DQ108">
            <v>15</v>
          </cell>
          <cell r="DR108">
            <v>23</v>
          </cell>
          <cell r="DS108">
            <v>45</v>
          </cell>
          <cell r="DT108">
            <v>16</v>
          </cell>
          <cell r="DU108">
            <v>22</v>
          </cell>
          <cell r="DV108">
            <v>19</v>
          </cell>
          <cell r="DW108">
            <v>14</v>
          </cell>
          <cell r="DX108">
            <v>29</v>
          </cell>
          <cell r="DY108">
            <v>28</v>
          </cell>
          <cell r="DZ108">
            <v>22</v>
          </cell>
          <cell r="EA108">
            <v>15</v>
          </cell>
          <cell r="EB108">
            <v>20</v>
          </cell>
          <cell r="EC108">
            <v>21</v>
          </cell>
        </row>
        <row r="109">
          <cell r="CH109">
            <v>2</v>
          </cell>
          <cell r="CI109">
            <v>2</v>
          </cell>
          <cell r="CJ109" t="str">
            <v>0</v>
          </cell>
          <cell r="CK109" t="str">
            <v>0</v>
          </cell>
          <cell r="CL109" t="str">
            <v>0</v>
          </cell>
          <cell r="CM109" t="str">
            <v>0</v>
          </cell>
          <cell r="CN109" t="str">
            <v>0</v>
          </cell>
          <cell r="CO109">
            <v>1</v>
          </cell>
          <cell r="CP109" t="str">
            <v>0</v>
          </cell>
          <cell r="CQ109" t="str">
            <v>0</v>
          </cell>
          <cell r="CR109" t="str">
            <v>0</v>
          </cell>
          <cell r="CS109">
            <v>1</v>
          </cell>
          <cell r="CT109">
            <v>0</v>
          </cell>
          <cell r="CU109">
            <v>1</v>
          </cell>
          <cell r="CV109">
            <v>1</v>
          </cell>
          <cell r="CW109">
            <v>0</v>
          </cell>
          <cell r="CX109">
            <v>1</v>
          </cell>
          <cell r="CY109">
            <v>0</v>
          </cell>
          <cell r="CZ109">
            <v>0</v>
          </cell>
          <cell r="DA109">
            <v>0</v>
          </cell>
          <cell r="DB109">
            <v>0</v>
          </cell>
          <cell r="DC109">
            <v>1</v>
          </cell>
          <cell r="DD109">
            <v>0</v>
          </cell>
          <cell r="DE109">
            <v>0</v>
          </cell>
          <cell r="DF109">
            <v>2</v>
          </cell>
          <cell r="DG109">
            <v>1</v>
          </cell>
          <cell r="DH109">
            <v>1</v>
          </cell>
          <cell r="DI109">
            <v>0</v>
          </cell>
          <cell r="DJ109">
            <v>1</v>
          </cell>
          <cell r="DK109">
            <v>0</v>
          </cell>
          <cell r="DL109">
            <v>1</v>
          </cell>
          <cell r="DM109">
            <v>2</v>
          </cell>
          <cell r="DN109">
            <v>1</v>
          </cell>
          <cell r="DO109">
            <v>0</v>
          </cell>
          <cell r="DP109">
            <v>1</v>
          </cell>
          <cell r="DQ109">
            <v>1</v>
          </cell>
          <cell r="DR109">
            <v>0</v>
          </cell>
          <cell r="DS109">
            <v>0</v>
          </cell>
          <cell r="DT109">
            <v>0</v>
          </cell>
          <cell r="DU109">
            <v>1</v>
          </cell>
          <cell r="DV109">
            <v>0</v>
          </cell>
          <cell r="DW109">
            <v>0</v>
          </cell>
          <cell r="DX109">
            <v>3</v>
          </cell>
          <cell r="DY109">
            <v>0</v>
          </cell>
          <cell r="DZ109">
            <v>2</v>
          </cell>
          <cell r="EA109">
            <v>2</v>
          </cell>
          <cell r="EB109">
            <v>3</v>
          </cell>
          <cell r="EC109">
            <v>1</v>
          </cell>
        </row>
        <row r="110">
          <cell r="AL110">
            <v>6</v>
          </cell>
          <cell r="AM110">
            <v>7</v>
          </cell>
          <cell r="AN110">
            <v>10</v>
          </cell>
          <cell r="AO110">
            <v>6</v>
          </cell>
          <cell r="AP110">
            <v>4</v>
          </cell>
          <cell r="AQ110">
            <v>4</v>
          </cell>
          <cell r="AR110">
            <v>3</v>
          </cell>
          <cell r="AS110">
            <v>9</v>
          </cell>
          <cell r="AT110">
            <v>4</v>
          </cell>
          <cell r="AU110">
            <v>4</v>
          </cell>
          <cell r="AV110">
            <v>5</v>
          </cell>
          <cell r="AW110">
            <v>6</v>
          </cell>
          <cell r="AX110">
            <v>3</v>
          </cell>
          <cell r="AY110">
            <v>7</v>
          </cell>
          <cell r="AZ110">
            <v>7</v>
          </cell>
          <cell r="BA110">
            <v>6</v>
          </cell>
          <cell r="BB110">
            <v>4</v>
          </cell>
          <cell r="BC110">
            <v>3</v>
          </cell>
          <cell r="BD110">
            <v>5</v>
          </cell>
          <cell r="BE110">
            <v>4</v>
          </cell>
          <cell r="BF110">
            <v>6</v>
          </cell>
          <cell r="BG110">
            <v>8</v>
          </cell>
          <cell r="BH110">
            <v>4</v>
          </cell>
          <cell r="BI110">
            <v>7</v>
          </cell>
          <cell r="BJ110">
            <v>14</v>
          </cell>
          <cell r="BK110">
            <v>8</v>
          </cell>
          <cell r="BL110">
            <v>2</v>
          </cell>
          <cell r="BM110">
            <v>11</v>
          </cell>
          <cell r="BN110">
            <v>12</v>
          </cell>
          <cell r="BO110">
            <v>10</v>
          </cell>
          <cell r="BP110">
            <v>9</v>
          </cell>
          <cell r="BQ110">
            <v>6</v>
          </cell>
          <cell r="BR110">
            <v>11</v>
          </cell>
          <cell r="BS110">
            <v>3</v>
          </cell>
          <cell r="BT110">
            <v>3</v>
          </cell>
          <cell r="BU110">
            <v>4</v>
          </cell>
          <cell r="BV110">
            <v>5</v>
          </cell>
          <cell r="BW110">
            <v>6</v>
          </cell>
          <cell r="BX110">
            <v>4</v>
          </cell>
          <cell r="BY110">
            <v>8</v>
          </cell>
          <cell r="BZ110">
            <v>4</v>
          </cell>
          <cell r="CA110">
            <v>4</v>
          </cell>
          <cell r="CB110">
            <v>10</v>
          </cell>
          <cell r="CC110">
            <v>9</v>
          </cell>
          <cell r="CD110">
            <v>3</v>
          </cell>
          <cell r="CE110">
            <v>2</v>
          </cell>
          <cell r="CF110">
            <v>6</v>
          </cell>
          <cell r="CG110">
            <v>6</v>
          </cell>
          <cell r="CH110">
            <v>8</v>
          </cell>
          <cell r="CI110">
            <v>1</v>
          </cell>
          <cell r="CJ110">
            <v>9</v>
          </cell>
          <cell r="CK110">
            <v>10</v>
          </cell>
          <cell r="CL110">
            <v>10</v>
          </cell>
          <cell r="CM110">
            <v>7</v>
          </cell>
          <cell r="CN110">
            <v>10</v>
          </cell>
          <cell r="CO110">
            <v>6</v>
          </cell>
          <cell r="CP110">
            <v>5</v>
          </cell>
          <cell r="CQ110">
            <v>3</v>
          </cell>
          <cell r="CR110">
            <v>7</v>
          </cell>
          <cell r="CS110">
            <v>4</v>
          </cell>
          <cell r="CT110">
            <v>8</v>
          </cell>
          <cell r="CU110">
            <v>4</v>
          </cell>
          <cell r="CV110">
            <v>5</v>
          </cell>
          <cell r="CW110">
            <v>3</v>
          </cell>
          <cell r="CX110">
            <v>4</v>
          </cell>
          <cell r="CY110">
            <v>1</v>
          </cell>
          <cell r="CZ110">
            <v>5</v>
          </cell>
          <cell r="DA110">
            <v>8</v>
          </cell>
          <cell r="DB110">
            <v>2</v>
          </cell>
          <cell r="DC110">
            <v>1</v>
          </cell>
          <cell r="DD110">
            <v>5</v>
          </cell>
          <cell r="DE110">
            <v>3</v>
          </cell>
          <cell r="DF110">
            <v>2</v>
          </cell>
          <cell r="DG110">
            <v>3</v>
          </cell>
          <cell r="DH110">
            <v>2</v>
          </cell>
          <cell r="DI110">
            <v>4</v>
          </cell>
          <cell r="DJ110">
            <v>4</v>
          </cell>
          <cell r="DK110">
            <v>5</v>
          </cell>
          <cell r="DL110">
            <v>1</v>
          </cell>
          <cell r="DM110">
            <v>3</v>
          </cell>
          <cell r="DN110">
            <v>1</v>
          </cell>
          <cell r="DO110">
            <v>3</v>
          </cell>
          <cell r="DP110">
            <v>2</v>
          </cell>
          <cell r="DQ110">
            <v>3</v>
          </cell>
          <cell r="DR110">
            <v>8</v>
          </cell>
          <cell r="DS110">
            <v>3</v>
          </cell>
          <cell r="DT110">
            <v>4</v>
          </cell>
          <cell r="DU110">
            <v>13</v>
          </cell>
          <cell r="DV110">
            <v>2</v>
          </cell>
          <cell r="DW110">
            <v>6</v>
          </cell>
          <cell r="DX110">
            <v>2</v>
          </cell>
          <cell r="DY110">
            <v>0</v>
          </cell>
          <cell r="DZ110">
            <v>2</v>
          </cell>
          <cell r="EA110">
            <v>4</v>
          </cell>
          <cell r="EB110">
            <v>1</v>
          </cell>
          <cell r="EC110">
            <v>8</v>
          </cell>
        </row>
        <row r="111">
          <cell r="AL111">
            <v>52</v>
          </cell>
          <cell r="AM111">
            <v>42</v>
          </cell>
          <cell r="AN111">
            <v>38</v>
          </cell>
          <cell r="AO111">
            <v>53</v>
          </cell>
          <cell r="AP111">
            <v>44</v>
          </cell>
          <cell r="AQ111">
            <v>65</v>
          </cell>
          <cell r="AR111">
            <v>69</v>
          </cell>
          <cell r="AS111">
            <v>76</v>
          </cell>
          <cell r="AT111">
            <v>61</v>
          </cell>
          <cell r="AU111">
            <v>54</v>
          </cell>
          <cell r="AV111">
            <v>31</v>
          </cell>
          <cell r="AW111">
            <v>32</v>
          </cell>
          <cell r="AX111">
            <v>29</v>
          </cell>
          <cell r="AY111">
            <v>35</v>
          </cell>
          <cell r="AZ111">
            <v>27</v>
          </cell>
          <cell r="BA111">
            <v>29</v>
          </cell>
          <cell r="BB111">
            <v>31</v>
          </cell>
          <cell r="BC111">
            <v>38</v>
          </cell>
          <cell r="BD111">
            <v>64</v>
          </cell>
          <cell r="BE111">
            <v>46</v>
          </cell>
          <cell r="BF111">
            <v>47</v>
          </cell>
          <cell r="BG111">
            <v>44</v>
          </cell>
          <cell r="BH111">
            <v>42</v>
          </cell>
          <cell r="BI111">
            <v>35</v>
          </cell>
          <cell r="BJ111">
            <v>23</v>
          </cell>
          <cell r="BK111">
            <v>28</v>
          </cell>
          <cell r="BL111">
            <v>34</v>
          </cell>
          <cell r="BM111">
            <v>27</v>
          </cell>
          <cell r="BN111">
            <v>44</v>
          </cell>
          <cell r="BO111">
            <v>37</v>
          </cell>
          <cell r="BP111">
            <v>33</v>
          </cell>
          <cell r="BQ111">
            <v>24</v>
          </cell>
          <cell r="BR111">
            <v>26</v>
          </cell>
          <cell r="BS111">
            <v>30</v>
          </cell>
          <cell r="BT111">
            <v>21</v>
          </cell>
          <cell r="BU111">
            <v>34</v>
          </cell>
          <cell r="BV111">
            <v>18</v>
          </cell>
          <cell r="BW111">
            <v>19</v>
          </cell>
          <cell r="BX111">
            <v>27</v>
          </cell>
          <cell r="BY111">
            <v>24</v>
          </cell>
          <cell r="BZ111">
            <v>19</v>
          </cell>
          <cell r="CA111">
            <v>15</v>
          </cell>
          <cell r="CB111">
            <v>22</v>
          </cell>
          <cell r="CC111">
            <v>14</v>
          </cell>
          <cell r="CD111">
            <v>15</v>
          </cell>
          <cell r="CE111">
            <v>15</v>
          </cell>
          <cell r="CF111">
            <v>12</v>
          </cell>
          <cell r="CG111">
            <v>17</v>
          </cell>
          <cell r="CH111">
            <v>15</v>
          </cell>
          <cell r="CI111">
            <v>27</v>
          </cell>
          <cell r="CJ111">
            <v>14</v>
          </cell>
          <cell r="CK111">
            <v>15</v>
          </cell>
          <cell r="CL111">
            <v>8</v>
          </cell>
          <cell r="CM111">
            <v>21</v>
          </cell>
          <cell r="CN111">
            <v>23</v>
          </cell>
          <cell r="CO111">
            <v>15</v>
          </cell>
          <cell r="CP111">
            <v>14</v>
          </cell>
          <cell r="CQ111">
            <v>21</v>
          </cell>
          <cell r="CR111">
            <v>10</v>
          </cell>
          <cell r="CS111">
            <v>27</v>
          </cell>
          <cell r="CT111">
            <v>12</v>
          </cell>
          <cell r="CU111">
            <v>19</v>
          </cell>
          <cell r="CV111">
            <v>12</v>
          </cell>
          <cell r="CW111">
            <v>14</v>
          </cell>
          <cell r="CX111">
            <v>11</v>
          </cell>
          <cell r="CY111">
            <v>12</v>
          </cell>
          <cell r="CZ111">
            <v>14</v>
          </cell>
          <cell r="DA111">
            <v>14</v>
          </cell>
          <cell r="DB111">
            <v>14</v>
          </cell>
          <cell r="DC111">
            <v>15</v>
          </cell>
          <cell r="DD111">
            <v>10</v>
          </cell>
          <cell r="DE111">
            <v>15</v>
          </cell>
          <cell r="DF111">
            <v>19</v>
          </cell>
          <cell r="DG111">
            <v>15</v>
          </cell>
          <cell r="DH111">
            <v>9</v>
          </cell>
          <cell r="DI111">
            <v>4</v>
          </cell>
          <cell r="DJ111">
            <v>16</v>
          </cell>
          <cell r="DK111">
            <v>17</v>
          </cell>
          <cell r="DL111">
            <v>14</v>
          </cell>
          <cell r="DM111">
            <v>9</v>
          </cell>
          <cell r="DN111">
            <v>8</v>
          </cell>
          <cell r="DO111">
            <v>18</v>
          </cell>
          <cell r="DP111">
            <v>22</v>
          </cell>
          <cell r="DQ111">
            <v>18</v>
          </cell>
          <cell r="DR111">
            <v>28</v>
          </cell>
          <cell r="DS111">
            <v>14</v>
          </cell>
          <cell r="DT111">
            <v>15</v>
          </cell>
          <cell r="DU111">
            <v>24</v>
          </cell>
          <cell r="DV111">
            <v>25</v>
          </cell>
          <cell r="DW111">
            <v>24</v>
          </cell>
          <cell r="DX111">
            <v>20</v>
          </cell>
          <cell r="DY111">
            <v>20</v>
          </cell>
          <cell r="DZ111">
            <v>27</v>
          </cell>
          <cell r="EA111">
            <v>11</v>
          </cell>
          <cell r="EB111">
            <v>14</v>
          </cell>
          <cell r="EC111">
            <v>11</v>
          </cell>
        </row>
        <row r="112">
          <cell r="CH112">
            <v>5</v>
          </cell>
          <cell r="CI112">
            <v>4</v>
          </cell>
          <cell r="CJ112">
            <v>7</v>
          </cell>
          <cell r="CK112">
            <v>9</v>
          </cell>
          <cell r="CL112">
            <v>12</v>
          </cell>
          <cell r="CM112">
            <v>6</v>
          </cell>
          <cell r="CN112">
            <v>5</v>
          </cell>
          <cell r="CO112">
            <v>12</v>
          </cell>
          <cell r="CP112">
            <v>9</v>
          </cell>
          <cell r="CQ112">
            <v>13</v>
          </cell>
          <cell r="CR112">
            <v>7</v>
          </cell>
          <cell r="CS112">
            <v>11</v>
          </cell>
          <cell r="CT112">
            <v>8</v>
          </cell>
          <cell r="CU112">
            <v>12</v>
          </cell>
          <cell r="CV112">
            <v>5</v>
          </cell>
          <cell r="CW112">
            <v>9</v>
          </cell>
          <cell r="CX112">
            <v>2</v>
          </cell>
          <cell r="CY112">
            <v>7</v>
          </cell>
          <cell r="CZ112">
            <v>10</v>
          </cell>
          <cell r="DA112">
            <v>8</v>
          </cell>
          <cell r="DB112">
            <v>11</v>
          </cell>
          <cell r="DC112">
            <v>5</v>
          </cell>
          <cell r="DD112">
            <v>7</v>
          </cell>
          <cell r="DE112">
            <v>15</v>
          </cell>
          <cell r="DF112">
            <v>9</v>
          </cell>
          <cell r="DG112">
            <v>10</v>
          </cell>
          <cell r="DH112">
            <v>14</v>
          </cell>
          <cell r="DI112">
            <v>10</v>
          </cell>
          <cell r="DJ112">
            <v>12</v>
          </cell>
          <cell r="DK112">
            <v>13</v>
          </cell>
          <cell r="DL112">
            <v>20</v>
          </cell>
          <cell r="DM112">
            <v>20</v>
          </cell>
          <cell r="DN112">
            <v>16</v>
          </cell>
          <cell r="DO112">
            <v>21</v>
          </cell>
          <cell r="DP112">
            <v>10</v>
          </cell>
          <cell r="DQ112">
            <v>17</v>
          </cell>
          <cell r="DR112">
            <v>8</v>
          </cell>
          <cell r="DS112">
            <v>19</v>
          </cell>
          <cell r="DT112">
            <v>10</v>
          </cell>
          <cell r="DU112">
            <v>8</v>
          </cell>
          <cell r="DV112">
            <v>25</v>
          </cell>
          <cell r="DW112">
            <v>6</v>
          </cell>
          <cell r="DX112">
            <v>8</v>
          </cell>
          <cell r="DY112">
            <v>12</v>
          </cell>
          <cell r="DZ112">
            <v>10</v>
          </cell>
          <cell r="EA112">
            <v>14</v>
          </cell>
          <cell r="EB112">
            <v>11</v>
          </cell>
          <cell r="EC112">
            <v>6</v>
          </cell>
        </row>
        <row r="113">
          <cell r="CH113">
            <v>29</v>
          </cell>
          <cell r="CI113">
            <v>42</v>
          </cell>
          <cell r="CJ113">
            <v>30</v>
          </cell>
          <cell r="CK113">
            <v>39</v>
          </cell>
          <cell r="CL113">
            <v>54</v>
          </cell>
          <cell r="CM113">
            <v>41</v>
          </cell>
          <cell r="CN113">
            <v>36</v>
          </cell>
          <cell r="CO113">
            <v>70</v>
          </cell>
          <cell r="CP113">
            <v>57</v>
          </cell>
          <cell r="CQ113">
            <v>64</v>
          </cell>
          <cell r="CR113">
            <v>49</v>
          </cell>
          <cell r="CS113">
            <v>53</v>
          </cell>
          <cell r="CT113">
            <v>84</v>
          </cell>
          <cell r="CU113">
            <v>48</v>
          </cell>
          <cell r="CV113">
            <v>80</v>
          </cell>
          <cell r="CW113">
            <v>58</v>
          </cell>
          <cell r="CX113">
            <v>77</v>
          </cell>
          <cell r="CY113">
            <v>60</v>
          </cell>
          <cell r="CZ113">
            <v>62</v>
          </cell>
          <cell r="DA113">
            <v>81</v>
          </cell>
          <cell r="DB113">
            <v>26</v>
          </cell>
          <cell r="DC113">
            <v>68</v>
          </cell>
          <cell r="DD113">
            <v>50</v>
          </cell>
          <cell r="DE113">
            <v>62</v>
          </cell>
          <cell r="DF113">
            <v>53</v>
          </cell>
          <cell r="DG113">
            <v>60</v>
          </cell>
          <cell r="DH113">
            <v>44</v>
          </cell>
          <cell r="DI113">
            <v>57</v>
          </cell>
          <cell r="DJ113">
            <v>55</v>
          </cell>
          <cell r="DK113">
            <v>53</v>
          </cell>
          <cell r="DL113">
            <v>43</v>
          </cell>
          <cell r="DM113">
            <v>54</v>
          </cell>
          <cell r="DN113">
            <v>45</v>
          </cell>
          <cell r="DO113">
            <v>50</v>
          </cell>
          <cell r="DP113">
            <v>44</v>
          </cell>
          <cell r="DQ113">
            <v>53</v>
          </cell>
          <cell r="DR113">
            <v>43</v>
          </cell>
          <cell r="DS113">
            <v>50</v>
          </cell>
          <cell r="DT113">
            <v>55</v>
          </cell>
          <cell r="DU113">
            <v>47</v>
          </cell>
          <cell r="DV113">
            <v>34</v>
          </cell>
          <cell r="DW113">
            <v>45</v>
          </cell>
          <cell r="DX113">
            <v>40</v>
          </cell>
          <cell r="DY113">
            <v>54</v>
          </cell>
          <cell r="DZ113">
            <v>23</v>
          </cell>
          <cell r="EA113">
            <v>29</v>
          </cell>
          <cell r="EB113">
            <v>35</v>
          </cell>
          <cell r="EC113">
            <v>39</v>
          </cell>
        </row>
        <row r="114">
          <cell r="CH114">
            <v>24</v>
          </cell>
          <cell r="CI114">
            <v>41</v>
          </cell>
          <cell r="CJ114">
            <v>23</v>
          </cell>
          <cell r="CK114">
            <v>24</v>
          </cell>
          <cell r="CL114">
            <v>30</v>
          </cell>
          <cell r="CM114">
            <v>25</v>
          </cell>
          <cell r="CN114">
            <v>35</v>
          </cell>
          <cell r="CO114">
            <v>43</v>
          </cell>
          <cell r="CP114">
            <v>33</v>
          </cell>
          <cell r="CQ114">
            <v>15</v>
          </cell>
          <cell r="CR114">
            <v>26</v>
          </cell>
          <cell r="CS114">
            <v>35</v>
          </cell>
          <cell r="CT114">
            <v>35</v>
          </cell>
          <cell r="CU114">
            <v>26</v>
          </cell>
          <cell r="CV114">
            <v>27</v>
          </cell>
          <cell r="CW114">
            <v>17</v>
          </cell>
          <cell r="CX114">
            <v>39</v>
          </cell>
          <cell r="CY114">
            <v>29</v>
          </cell>
          <cell r="CZ114">
            <v>29</v>
          </cell>
          <cell r="DA114">
            <v>54</v>
          </cell>
          <cell r="DB114">
            <v>59</v>
          </cell>
          <cell r="DC114">
            <v>43</v>
          </cell>
          <cell r="DD114">
            <v>53</v>
          </cell>
          <cell r="DE114">
            <v>53</v>
          </cell>
          <cell r="DF114">
            <v>49</v>
          </cell>
          <cell r="DG114">
            <v>29</v>
          </cell>
          <cell r="DH114">
            <v>50</v>
          </cell>
          <cell r="DI114">
            <v>35</v>
          </cell>
          <cell r="DJ114">
            <v>45</v>
          </cell>
          <cell r="DK114">
            <v>61</v>
          </cell>
          <cell r="DL114">
            <v>50</v>
          </cell>
          <cell r="DM114">
            <v>72</v>
          </cell>
          <cell r="DN114">
            <v>45</v>
          </cell>
          <cell r="DO114">
            <v>52</v>
          </cell>
          <cell r="DP114">
            <v>59</v>
          </cell>
          <cell r="DQ114">
            <v>57</v>
          </cell>
          <cell r="DR114">
            <v>69</v>
          </cell>
          <cell r="DS114">
            <v>51</v>
          </cell>
          <cell r="DT114">
            <v>33</v>
          </cell>
          <cell r="DU114">
            <v>50</v>
          </cell>
          <cell r="DV114">
            <v>40</v>
          </cell>
          <cell r="DW114">
            <v>38</v>
          </cell>
          <cell r="DX114">
            <v>66</v>
          </cell>
          <cell r="DY114">
            <v>46</v>
          </cell>
          <cell r="DZ114">
            <v>44</v>
          </cell>
          <cell r="EA114">
            <v>36</v>
          </cell>
          <cell r="EB114">
            <v>53</v>
          </cell>
          <cell r="EC114">
            <v>43</v>
          </cell>
        </row>
        <row r="115">
          <cell r="CH115">
            <v>45</v>
          </cell>
          <cell r="CI115">
            <v>53</v>
          </cell>
          <cell r="CJ115">
            <v>50</v>
          </cell>
          <cell r="CK115">
            <v>51</v>
          </cell>
          <cell r="CL115">
            <v>66</v>
          </cell>
          <cell r="CM115">
            <v>63</v>
          </cell>
          <cell r="CN115">
            <v>70</v>
          </cell>
          <cell r="CO115">
            <v>51</v>
          </cell>
          <cell r="CP115">
            <v>48</v>
          </cell>
          <cell r="CQ115">
            <v>49</v>
          </cell>
          <cell r="CR115">
            <v>41</v>
          </cell>
          <cell r="CS115">
            <v>101</v>
          </cell>
          <cell r="CT115">
            <v>68</v>
          </cell>
          <cell r="CU115">
            <v>57</v>
          </cell>
          <cell r="CV115">
            <v>67</v>
          </cell>
          <cell r="CW115">
            <v>70</v>
          </cell>
          <cell r="CX115">
            <v>73</v>
          </cell>
          <cell r="CY115">
            <v>50</v>
          </cell>
          <cell r="CZ115">
            <v>44</v>
          </cell>
          <cell r="DA115">
            <v>59</v>
          </cell>
          <cell r="DB115">
            <v>53</v>
          </cell>
          <cell r="DC115">
            <v>36</v>
          </cell>
          <cell r="DD115">
            <v>50</v>
          </cell>
          <cell r="DE115">
            <v>52</v>
          </cell>
          <cell r="DF115">
            <v>39</v>
          </cell>
          <cell r="DG115">
            <v>46</v>
          </cell>
          <cell r="DH115">
            <v>59</v>
          </cell>
          <cell r="DI115">
            <v>53</v>
          </cell>
          <cell r="DJ115">
            <v>41</v>
          </cell>
          <cell r="DK115">
            <v>47</v>
          </cell>
          <cell r="DL115">
            <v>34</v>
          </cell>
          <cell r="DM115">
            <v>28</v>
          </cell>
          <cell r="DN115">
            <v>48</v>
          </cell>
          <cell r="DO115">
            <v>32</v>
          </cell>
          <cell r="DP115">
            <v>28</v>
          </cell>
          <cell r="DQ115">
            <v>63</v>
          </cell>
          <cell r="DR115">
            <v>33</v>
          </cell>
          <cell r="DS115">
            <v>56</v>
          </cell>
          <cell r="DT115">
            <v>39</v>
          </cell>
          <cell r="DU115">
            <v>45</v>
          </cell>
          <cell r="DV115">
            <v>46</v>
          </cell>
          <cell r="DW115">
            <v>42</v>
          </cell>
          <cell r="DX115">
            <v>36</v>
          </cell>
          <cell r="DY115">
            <v>46</v>
          </cell>
          <cell r="DZ115">
            <v>32</v>
          </cell>
          <cell r="EA115">
            <v>29</v>
          </cell>
          <cell r="EB115">
            <v>37</v>
          </cell>
          <cell r="EC115">
            <v>46</v>
          </cell>
        </row>
        <row r="116">
          <cell r="CH116">
            <v>10</v>
          </cell>
          <cell r="CI116">
            <v>3</v>
          </cell>
          <cell r="CJ116">
            <v>9</v>
          </cell>
          <cell r="CK116">
            <v>10</v>
          </cell>
          <cell r="CL116">
            <v>10</v>
          </cell>
          <cell r="CM116">
            <v>7</v>
          </cell>
          <cell r="CN116">
            <v>10</v>
          </cell>
          <cell r="CO116">
            <v>7</v>
          </cell>
          <cell r="CP116">
            <v>5</v>
          </cell>
          <cell r="CQ116">
            <v>3</v>
          </cell>
          <cell r="CR116">
            <v>7</v>
          </cell>
          <cell r="CS116">
            <v>5</v>
          </cell>
          <cell r="CT116">
            <v>8</v>
          </cell>
          <cell r="CU116">
            <v>5</v>
          </cell>
          <cell r="CV116">
            <v>6</v>
          </cell>
          <cell r="CW116">
            <v>3</v>
          </cell>
          <cell r="CX116">
            <v>5</v>
          </cell>
          <cell r="CY116">
            <v>1</v>
          </cell>
          <cell r="CZ116">
            <v>5</v>
          </cell>
          <cell r="DA116">
            <v>8</v>
          </cell>
          <cell r="DB116">
            <v>2</v>
          </cell>
          <cell r="DC116">
            <v>2</v>
          </cell>
          <cell r="DD116">
            <v>5</v>
          </cell>
          <cell r="DE116">
            <v>3</v>
          </cell>
          <cell r="DF116">
            <v>4</v>
          </cell>
          <cell r="DG116">
            <v>4</v>
          </cell>
          <cell r="DH116">
            <v>3</v>
          </cell>
          <cell r="DI116">
            <v>4</v>
          </cell>
          <cell r="DJ116">
            <v>5</v>
          </cell>
          <cell r="DK116">
            <v>5</v>
          </cell>
          <cell r="DL116">
            <v>2</v>
          </cell>
          <cell r="DM116">
            <v>5</v>
          </cell>
          <cell r="DN116">
            <v>2</v>
          </cell>
          <cell r="DO116">
            <v>3</v>
          </cell>
          <cell r="DP116">
            <v>3</v>
          </cell>
          <cell r="DQ116">
            <v>4</v>
          </cell>
          <cell r="DR116">
            <v>8</v>
          </cell>
          <cell r="DS116">
            <v>3</v>
          </cell>
          <cell r="DT116">
            <v>4</v>
          </cell>
          <cell r="DU116">
            <v>14</v>
          </cell>
          <cell r="DV116">
            <v>2</v>
          </cell>
          <cell r="DW116">
            <v>6</v>
          </cell>
          <cell r="DX116">
            <v>5</v>
          </cell>
          <cell r="DY116">
            <v>0</v>
          </cell>
          <cell r="DZ116">
            <v>4</v>
          </cell>
          <cell r="EA116">
            <v>6</v>
          </cell>
          <cell r="EB116">
            <v>4</v>
          </cell>
          <cell r="EC116">
            <v>9</v>
          </cell>
        </row>
        <row r="117">
          <cell r="CH117">
            <v>297</v>
          </cell>
          <cell r="CI117">
            <v>319</v>
          </cell>
          <cell r="CJ117">
            <v>329</v>
          </cell>
          <cell r="CK117">
            <v>317</v>
          </cell>
          <cell r="CL117">
            <v>302</v>
          </cell>
          <cell r="CM117">
            <v>338</v>
          </cell>
          <cell r="CN117">
            <v>341</v>
          </cell>
          <cell r="CO117">
            <v>275</v>
          </cell>
          <cell r="CP117">
            <v>271</v>
          </cell>
          <cell r="CQ117">
            <v>261</v>
          </cell>
          <cell r="CR117">
            <v>239</v>
          </cell>
          <cell r="CS117">
            <v>281</v>
          </cell>
          <cell r="CT117">
            <v>274</v>
          </cell>
          <cell r="CU117">
            <v>287</v>
          </cell>
          <cell r="CV117">
            <v>255</v>
          </cell>
          <cell r="CW117">
            <v>312</v>
          </cell>
          <cell r="CX117">
            <v>245</v>
          </cell>
          <cell r="CY117">
            <v>237</v>
          </cell>
          <cell r="CZ117">
            <v>233</v>
          </cell>
          <cell r="DA117">
            <v>240</v>
          </cell>
          <cell r="DB117">
            <v>219</v>
          </cell>
          <cell r="DC117">
            <v>198</v>
          </cell>
          <cell r="DD117">
            <v>254</v>
          </cell>
          <cell r="DE117">
            <v>280</v>
          </cell>
          <cell r="DF117">
            <v>238</v>
          </cell>
          <cell r="DG117">
            <v>295</v>
          </cell>
          <cell r="DH117">
            <v>302</v>
          </cell>
          <cell r="DI117">
            <v>243</v>
          </cell>
          <cell r="DJ117">
            <v>250</v>
          </cell>
          <cell r="DK117">
            <v>240</v>
          </cell>
          <cell r="DL117">
            <v>261</v>
          </cell>
          <cell r="DM117">
            <v>263</v>
          </cell>
          <cell r="DN117">
            <v>280</v>
          </cell>
          <cell r="DO117">
            <v>233</v>
          </cell>
          <cell r="DP117">
            <v>213</v>
          </cell>
          <cell r="DQ117">
            <v>260</v>
          </cell>
          <cell r="DR117">
            <v>271</v>
          </cell>
          <cell r="DS117">
            <v>260</v>
          </cell>
          <cell r="DT117">
            <v>232</v>
          </cell>
          <cell r="DU117">
            <v>281</v>
          </cell>
          <cell r="DV117">
            <v>254</v>
          </cell>
          <cell r="DW117">
            <v>210</v>
          </cell>
          <cell r="DX117">
            <v>226</v>
          </cell>
          <cell r="DY117">
            <v>241</v>
          </cell>
          <cell r="DZ117">
            <v>273</v>
          </cell>
          <cell r="EA117">
            <v>238</v>
          </cell>
          <cell r="EB117">
            <v>221</v>
          </cell>
          <cell r="EC117">
            <v>259</v>
          </cell>
        </row>
        <row r="119">
          <cell r="CH119">
            <v>14</v>
          </cell>
          <cell r="CI119">
            <v>8</v>
          </cell>
          <cell r="CJ119">
            <v>10</v>
          </cell>
          <cell r="CK119">
            <v>10</v>
          </cell>
          <cell r="CL119">
            <v>11</v>
          </cell>
          <cell r="CM119">
            <v>15</v>
          </cell>
          <cell r="CN119">
            <v>7</v>
          </cell>
          <cell r="CO119">
            <v>9</v>
          </cell>
          <cell r="CP119">
            <v>10</v>
          </cell>
          <cell r="CQ119">
            <v>9</v>
          </cell>
          <cell r="CR119">
            <v>5</v>
          </cell>
          <cell r="CS119">
            <v>6</v>
          </cell>
          <cell r="CT119">
            <v>5</v>
          </cell>
          <cell r="CU119">
            <v>10</v>
          </cell>
          <cell r="CV119">
            <v>8</v>
          </cell>
          <cell r="CW119">
            <v>13</v>
          </cell>
          <cell r="CX119">
            <v>7</v>
          </cell>
          <cell r="CY119">
            <v>7</v>
          </cell>
          <cell r="CZ119">
            <v>10</v>
          </cell>
          <cell r="DA119">
            <v>2</v>
          </cell>
          <cell r="DB119">
            <v>11</v>
          </cell>
          <cell r="DC119">
            <v>6</v>
          </cell>
          <cell r="DD119">
            <v>6</v>
          </cell>
          <cell r="DE119">
            <v>6</v>
          </cell>
          <cell r="DF119">
            <v>4</v>
          </cell>
          <cell r="DG119">
            <v>15</v>
          </cell>
          <cell r="DH119">
            <v>7</v>
          </cell>
          <cell r="DI119">
            <v>14</v>
          </cell>
          <cell r="DJ119">
            <v>11</v>
          </cell>
          <cell r="DK119">
            <v>7</v>
          </cell>
          <cell r="DL119">
            <v>5</v>
          </cell>
          <cell r="DM119">
            <v>10</v>
          </cell>
          <cell r="DN119">
            <v>13</v>
          </cell>
          <cell r="DO119">
            <v>11</v>
          </cell>
          <cell r="DP119">
            <v>5</v>
          </cell>
          <cell r="DQ119">
            <v>7</v>
          </cell>
          <cell r="DR119">
            <v>7</v>
          </cell>
          <cell r="DS119">
            <v>7</v>
          </cell>
          <cell r="DT119">
            <v>2</v>
          </cell>
          <cell r="DU119">
            <v>4</v>
          </cell>
          <cell r="DV119">
            <v>6</v>
          </cell>
          <cell r="DW119">
            <v>4</v>
          </cell>
          <cell r="DX119">
            <v>5</v>
          </cell>
          <cell r="DY119">
            <v>7</v>
          </cell>
          <cell r="DZ119">
            <v>2</v>
          </cell>
          <cell r="EA119">
            <v>8</v>
          </cell>
          <cell r="EB119">
            <v>9</v>
          </cell>
          <cell r="EC119">
            <v>5</v>
          </cell>
        </row>
        <row r="120">
          <cell r="CH120">
            <v>6</v>
          </cell>
          <cell r="CI120">
            <v>19</v>
          </cell>
          <cell r="CJ120">
            <v>14</v>
          </cell>
          <cell r="CK120">
            <v>13</v>
          </cell>
          <cell r="CL120">
            <v>11</v>
          </cell>
          <cell r="CM120">
            <v>10</v>
          </cell>
          <cell r="CN120">
            <v>11</v>
          </cell>
          <cell r="CO120">
            <v>8</v>
          </cell>
          <cell r="CP120">
            <v>17</v>
          </cell>
          <cell r="CQ120">
            <v>14</v>
          </cell>
          <cell r="CR120">
            <v>9</v>
          </cell>
          <cell r="CS120">
            <v>7</v>
          </cell>
          <cell r="CT120">
            <v>10</v>
          </cell>
          <cell r="CU120">
            <v>11</v>
          </cell>
          <cell r="CV120">
            <v>14</v>
          </cell>
          <cell r="CW120">
            <v>24</v>
          </cell>
          <cell r="CX120">
            <v>6</v>
          </cell>
          <cell r="CY120">
            <v>16</v>
          </cell>
          <cell r="CZ120">
            <v>11</v>
          </cell>
          <cell r="DA120">
            <v>9</v>
          </cell>
          <cell r="DB120">
            <v>11</v>
          </cell>
          <cell r="DC120">
            <v>9</v>
          </cell>
          <cell r="DD120">
            <v>8</v>
          </cell>
          <cell r="DE120">
            <v>9</v>
          </cell>
          <cell r="DF120">
            <v>4</v>
          </cell>
          <cell r="DG120">
            <v>7</v>
          </cell>
          <cell r="DH120">
            <v>16</v>
          </cell>
          <cell r="DI120">
            <v>6</v>
          </cell>
          <cell r="DJ120">
            <v>6</v>
          </cell>
          <cell r="DK120">
            <v>5</v>
          </cell>
          <cell r="DL120">
            <v>8</v>
          </cell>
          <cell r="DM120">
            <v>8</v>
          </cell>
          <cell r="DN120">
            <v>12</v>
          </cell>
          <cell r="DO120">
            <v>8</v>
          </cell>
          <cell r="DP120">
            <v>1</v>
          </cell>
          <cell r="DQ120">
            <v>10</v>
          </cell>
          <cell r="DR120">
            <v>6</v>
          </cell>
          <cell r="DS120">
            <v>9</v>
          </cell>
          <cell r="DT120">
            <v>6</v>
          </cell>
          <cell r="DU120">
            <v>11</v>
          </cell>
          <cell r="DV120">
            <v>6</v>
          </cell>
          <cell r="DW120">
            <v>8</v>
          </cell>
          <cell r="DX120">
            <v>8</v>
          </cell>
          <cell r="DY120">
            <v>5</v>
          </cell>
          <cell r="DZ120">
            <v>8</v>
          </cell>
          <cell r="EA120">
            <v>4</v>
          </cell>
          <cell r="EB120">
            <v>5</v>
          </cell>
          <cell r="EC120">
            <v>7</v>
          </cell>
        </row>
        <row r="121">
          <cell r="CH121">
            <v>1</v>
          </cell>
          <cell r="CK121">
            <v>1</v>
          </cell>
          <cell r="CM121">
            <v>1</v>
          </cell>
          <cell r="CN121">
            <v>1</v>
          </cell>
          <cell r="CO121">
            <v>2</v>
          </cell>
          <cell r="CP121">
            <v>1</v>
          </cell>
          <cell r="CT121">
            <v>1</v>
          </cell>
          <cell r="CU121">
            <v>1</v>
          </cell>
          <cell r="CV121">
            <v>0</v>
          </cell>
          <cell r="CW121">
            <v>1</v>
          </cell>
          <cell r="CX121">
            <v>0</v>
          </cell>
          <cell r="CY121">
            <v>0</v>
          </cell>
          <cell r="CZ121">
            <v>0</v>
          </cell>
          <cell r="DA121">
            <v>0</v>
          </cell>
          <cell r="DB121">
            <v>0</v>
          </cell>
          <cell r="DC121">
            <v>1</v>
          </cell>
          <cell r="DD121">
            <v>0</v>
          </cell>
          <cell r="DE121">
            <v>1</v>
          </cell>
          <cell r="DF121">
            <v>0</v>
          </cell>
          <cell r="DG121">
            <v>0</v>
          </cell>
          <cell r="DH121">
            <v>0</v>
          </cell>
          <cell r="DI121">
            <v>1</v>
          </cell>
          <cell r="DJ121">
            <v>2</v>
          </cell>
          <cell r="DK121">
            <v>0</v>
          </cell>
          <cell r="DL121">
            <v>1</v>
          </cell>
          <cell r="DM121">
            <v>0</v>
          </cell>
          <cell r="DN121">
            <v>2</v>
          </cell>
          <cell r="DO121">
            <v>1</v>
          </cell>
          <cell r="DP121">
            <v>1</v>
          </cell>
          <cell r="DQ121">
            <v>1</v>
          </cell>
          <cell r="DR121">
            <v>1</v>
          </cell>
          <cell r="DS121">
            <v>3</v>
          </cell>
          <cell r="DT121">
            <v>1</v>
          </cell>
          <cell r="DU121">
            <v>0</v>
          </cell>
          <cell r="DV121">
            <v>0</v>
          </cell>
          <cell r="DW121">
            <v>0</v>
          </cell>
          <cell r="DX121">
            <v>0</v>
          </cell>
          <cell r="DY121">
            <v>0</v>
          </cell>
          <cell r="DZ121">
            <v>0</v>
          </cell>
          <cell r="EA121">
            <v>0</v>
          </cell>
          <cell r="EB121">
            <v>0</v>
          </cell>
          <cell r="EC121">
            <v>0</v>
          </cell>
        </row>
        <row r="122">
          <cell r="CH122">
            <v>3</v>
          </cell>
          <cell r="CN122">
            <v>4</v>
          </cell>
          <cell r="CT122">
            <v>0</v>
          </cell>
          <cell r="CU122">
            <v>1</v>
          </cell>
          <cell r="CV122">
            <v>1</v>
          </cell>
          <cell r="CW122">
            <v>0</v>
          </cell>
          <cell r="CX122">
            <v>1</v>
          </cell>
          <cell r="CY122">
            <v>1</v>
          </cell>
          <cell r="CZ122">
            <v>1</v>
          </cell>
          <cell r="DA122">
            <v>1</v>
          </cell>
          <cell r="DB122">
            <v>2</v>
          </cell>
          <cell r="DC122">
            <v>3</v>
          </cell>
          <cell r="DD122">
            <v>0</v>
          </cell>
          <cell r="DE122">
            <v>0</v>
          </cell>
          <cell r="DF122">
            <v>0</v>
          </cell>
          <cell r="DG122">
            <v>1</v>
          </cell>
          <cell r="DH122">
            <v>0</v>
          </cell>
          <cell r="DI122">
            <v>0</v>
          </cell>
          <cell r="DJ122">
            <v>0</v>
          </cell>
          <cell r="DK122">
            <v>1</v>
          </cell>
          <cell r="DL122">
            <v>0</v>
          </cell>
          <cell r="DM122">
            <v>0</v>
          </cell>
          <cell r="DN122">
            <v>0</v>
          </cell>
          <cell r="DO122">
            <v>0</v>
          </cell>
          <cell r="DP122">
            <v>0</v>
          </cell>
          <cell r="DQ122">
            <v>1</v>
          </cell>
          <cell r="DR122">
            <v>0</v>
          </cell>
          <cell r="DS122">
            <v>3</v>
          </cell>
          <cell r="DT122">
            <v>0</v>
          </cell>
          <cell r="DU122">
            <v>4</v>
          </cell>
          <cell r="DV122">
            <v>1</v>
          </cell>
          <cell r="DW122">
            <v>0</v>
          </cell>
          <cell r="DX122">
            <v>0</v>
          </cell>
          <cell r="DY122">
            <v>0</v>
          </cell>
          <cell r="DZ122">
            <v>1</v>
          </cell>
          <cell r="EA122">
            <v>1</v>
          </cell>
          <cell r="EB122">
            <v>0</v>
          </cell>
          <cell r="EC122">
            <v>1</v>
          </cell>
        </row>
        <row r="123">
          <cell r="CH123">
            <v>36</v>
          </cell>
          <cell r="CI123">
            <v>29</v>
          </cell>
          <cell r="CJ123">
            <v>25</v>
          </cell>
          <cell r="CK123">
            <v>27</v>
          </cell>
          <cell r="CL123">
            <v>32</v>
          </cell>
          <cell r="CM123">
            <v>36</v>
          </cell>
          <cell r="CN123">
            <v>26</v>
          </cell>
          <cell r="CO123">
            <v>18</v>
          </cell>
          <cell r="CP123">
            <v>24</v>
          </cell>
          <cell r="CQ123">
            <v>26</v>
          </cell>
          <cell r="CR123">
            <v>17</v>
          </cell>
          <cell r="CS123">
            <v>32</v>
          </cell>
          <cell r="CT123">
            <v>22</v>
          </cell>
          <cell r="CU123">
            <v>25</v>
          </cell>
          <cell r="CV123">
            <v>16</v>
          </cell>
          <cell r="CW123">
            <v>43</v>
          </cell>
          <cell r="CX123">
            <v>24</v>
          </cell>
          <cell r="CY123">
            <v>18</v>
          </cell>
          <cell r="CZ123">
            <v>19</v>
          </cell>
          <cell r="DA123">
            <v>21</v>
          </cell>
          <cell r="DB123">
            <v>28</v>
          </cell>
          <cell r="DC123">
            <v>27</v>
          </cell>
          <cell r="DD123">
            <v>22</v>
          </cell>
          <cell r="DE123">
            <v>29</v>
          </cell>
          <cell r="DF123">
            <v>25</v>
          </cell>
          <cell r="DG123">
            <v>38</v>
          </cell>
          <cell r="DH123">
            <v>21</v>
          </cell>
          <cell r="DI123">
            <v>33</v>
          </cell>
          <cell r="DJ123">
            <v>24</v>
          </cell>
          <cell r="DK123">
            <v>24</v>
          </cell>
          <cell r="DL123">
            <v>25</v>
          </cell>
          <cell r="DM123">
            <v>24</v>
          </cell>
          <cell r="DN123">
            <v>27</v>
          </cell>
          <cell r="DO123">
            <v>31</v>
          </cell>
          <cell r="DP123">
            <v>15</v>
          </cell>
          <cell r="DQ123">
            <v>17</v>
          </cell>
          <cell r="DR123">
            <v>27</v>
          </cell>
          <cell r="DS123">
            <v>23</v>
          </cell>
          <cell r="DT123">
            <v>26</v>
          </cell>
          <cell r="DU123">
            <v>34</v>
          </cell>
          <cell r="DV123">
            <v>29</v>
          </cell>
          <cell r="DW123">
            <v>15</v>
          </cell>
          <cell r="DX123">
            <v>18</v>
          </cell>
          <cell r="DY123">
            <v>28</v>
          </cell>
          <cell r="DZ123">
            <v>23</v>
          </cell>
          <cell r="EA123">
            <v>24</v>
          </cell>
          <cell r="EB123">
            <v>29</v>
          </cell>
          <cell r="EC123">
            <v>31</v>
          </cell>
        </row>
        <row r="124">
          <cell r="CH124">
            <v>64</v>
          </cell>
          <cell r="CI124">
            <v>91</v>
          </cell>
          <cell r="CJ124">
            <v>77</v>
          </cell>
          <cell r="CK124">
            <v>77</v>
          </cell>
          <cell r="CL124">
            <v>80</v>
          </cell>
          <cell r="CM124">
            <v>91</v>
          </cell>
          <cell r="CN124">
            <v>86</v>
          </cell>
          <cell r="CO124">
            <v>79</v>
          </cell>
          <cell r="CP124">
            <v>66</v>
          </cell>
          <cell r="CQ124">
            <v>67</v>
          </cell>
          <cell r="CR124">
            <v>52</v>
          </cell>
          <cell r="CS124">
            <v>59</v>
          </cell>
          <cell r="CT124">
            <v>42</v>
          </cell>
          <cell r="CU124">
            <v>60</v>
          </cell>
          <cell r="CV124">
            <v>58</v>
          </cell>
          <cell r="CW124">
            <v>56</v>
          </cell>
          <cell r="CX124">
            <v>70</v>
          </cell>
          <cell r="CY124">
            <v>57</v>
          </cell>
          <cell r="CZ124">
            <v>47</v>
          </cell>
          <cell r="DA124">
            <v>50</v>
          </cell>
          <cell r="DB124">
            <v>67</v>
          </cell>
          <cell r="DC124">
            <v>36</v>
          </cell>
          <cell r="DD124">
            <v>68</v>
          </cell>
          <cell r="DE124">
            <v>61</v>
          </cell>
          <cell r="DF124">
            <v>57</v>
          </cell>
          <cell r="DG124">
            <v>58</v>
          </cell>
          <cell r="DH124">
            <v>51</v>
          </cell>
          <cell r="DI124">
            <v>50</v>
          </cell>
          <cell r="DJ124">
            <v>53</v>
          </cell>
          <cell r="DK124">
            <v>59</v>
          </cell>
          <cell r="DL124">
            <v>51</v>
          </cell>
          <cell r="DM124">
            <v>60</v>
          </cell>
          <cell r="DN124">
            <v>56</v>
          </cell>
          <cell r="DO124">
            <v>57</v>
          </cell>
          <cell r="DP124">
            <v>55</v>
          </cell>
          <cell r="DQ124">
            <v>47</v>
          </cell>
          <cell r="DR124">
            <v>77</v>
          </cell>
          <cell r="DS124">
            <v>56</v>
          </cell>
          <cell r="DT124">
            <v>56</v>
          </cell>
          <cell r="DU124">
            <v>64</v>
          </cell>
          <cell r="DV124">
            <v>72</v>
          </cell>
          <cell r="DW124">
            <v>46</v>
          </cell>
          <cell r="DX124">
            <v>41</v>
          </cell>
          <cell r="DY124">
            <v>50</v>
          </cell>
          <cell r="DZ124">
            <v>69</v>
          </cell>
          <cell r="EA124">
            <v>54</v>
          </cell>
          <cell r="EB124">
            <v>56</v>
          </cell>
          <cell r="EC124">
            <v>60</v>
          </cell>
        </row>
        <row r="126">
          <cell r="AL126">
            <v>8</v>
          </cell>
          <cell r="AM126">
            <v>6</v>
          </cell>
          <cell r="AN126">
            <v>7</v>
          </cell>
          <cell r="AO126">
            <v>6</v>
          </cell>
          <cell r="AP126">
            <v>13</v>
          </cell>
          <cell r="AQ126">
            <v>4</v>
          </cell>
          <cell r="AR126">
            <v>2</v>
          </cell>
          <cell r="AS126">
            <v>4</v>
          </cell>
          <cell r="AT126">
            <v>1</v>
          </cell>
          <cell r="AU126">
            <v>2</v>
          </cell>
          <cell r="AV126">
            <v>7</v>
          </cell>
          <cell r="AW126">
            <v>7</v>
          </cell>
          <cell r="AX126">
            <v>5</v>
          </cell>
          <cell r="AY126">
            <v>6</v>
          </cell>
          <cell r="AZ126">
            <v>5</v>
          </cell>
          <cell r="BA126">
            <v>9</v>
          </cell>
          <cell r="BB126">
            <v>12</v>
          </cell>
          <cell r="BC126">
            <v>9</v>
          </cell>
          <cell r="BD126">
            <v>7</v>
          </cell>
          <cell r="BE126">
            <v>7</v>
          </cell>
          <cell r="BF126">
            <v>10</v>
          </cell>
          <cell r="BG126">
            <v>4</v>
          </cell>
          <cell r="BH126">
            <v>6</v>
          </cell>
          <cell r="BI126">
            <v>12</v>
          </cell>
          <cell r="BJ126">
            <v>5</v>
          </cell>
          <cell r="BK126">
            <v>1</v>
          </cell>
          <cell r="BL126">
            <v>4</v>
          </cell>
          <cell r="BM126">
            <v>4</v>
          </cell>
          <cell r="BN126">
            <v>7</v>
          </cell>
          <cell r="BO126">
            <v>11</v>
          </cell>
          <cell r="BP126">
            <v>3</v>
          </cell>
          <cell r="BQ126">
            <v>6</v>
          </cell>
          <cell r="BR126">
            <v>7</v>
          </cell>
          <cell r="BS126">
            <v>8</v>
          </cell>
          <cell r="BT126">
            <v>6</v>
          </cell>
          <cell r="BU126">
            <v>8</v>
          </cell>
          <cell r="BV126">
            <v>9</v>
          </cell>
          <cell r="BW126">
            <v>5</v>
          </cell>
          <cell r="BX126">
            <v>6</v>
          </cell>
          <cell r="BY126">
            <v>7</v>
          </cell>
          <cell r="BZ126">
            <v>6</v>
          </cell>
          <cell r="CA126">
            <v>9</v>
          </cell>
          <cell r="CB126">
            <v>5</v>
          </cell>
          <cell r="CC126">
            <v>4</v>
          </cell>
          <cell r="CD126">
            <v>6</v>
          </cell>
          <cell r="CE126">
            <v>3</v>
          </cell>
          <cell r="CF126">
            <v>4</v>
          </cell>
          <cell r="CG126">
            <v>2</v>
          </cell>
          <cell r="CH126">
            <v>1</v>
          </cell>
          <cell r="CI126">
            <v>5</v>
          </cell>
          <cell r="CJ126">
            <v>5</v>
          </cell>
          <cell r="CK126">
            <v>11</v>
          </cell>
          <cell r="CL126">
            <v>3</v>
          </cell>
          <cell r="CM126">
            <v>6</v>
          </cell>
          <cell r="CN126">
            <v>4</v>
          </cell>
          <cell r="CO126">
            <v>3</v>
          </cell>
          <cell r="CP126">
            <v>7</v>
          </cell>
          <cell r="CQ126">
            <v>3</v>
          </cell>
          <cell r="CR126">
            <v>7</v>
          </cell>
          <cell r="CS126">
            <v>1</v>
          </cell>
          <cell r="CT126">
            <v>6</v>
          </cell>
          <cell r="CU126">
            <v>7</v>
          </cell>
          <cell r="CV126">
            <v>6</v>
          </cell>
          <cell r="CW126">
            <v>7</v>
          </cell>
          <cell r="CX126">
            <v>2</v>
          </cell>
          <cell r="CY126">
            <v>3</v>
          </cell>
          <cell r="CZ126">
            <v>5</v>
          </cell>
          <cell r="DA126">
            <v>4</v>
          </cell>
          <cell r="DB126">
            <v>7</v>
          </cell>
          <cell r="DC126">
            <v>2</v>
          </cell>
          <cell r="DD126">
            <v>2</v>
          </cell>
          <cell r="DE126">
            <v>8</v>
          </cell>
          <cell r="DF126">
            <v>7</v>
          </cell>
          <cell r="DG126">
            <v>7</v>
          </cell>
          <cell r="DH126">
            <v>10</v>
          </cell>
          <cell r="DI126">
            <v>10</v>
          </cell>
          <cell r="DJ126">
            <v>7</v>
          </cell>
          <cell r="DK126">
            <v>6</v>
          </cell>
          <cell r="DL126">
            <v>3</v>
          </cell>
          <cell r="DM126">
            <v>2</v>
          </cell>
          <cell r="DN126">
            <v>8</v>
          </cell>
          <cell r="DO126">
            <v>4</v>
          </cell>
          <cell r="DP126">
            <v>6</v>
          </cell>
          <cell r="DQ126">
            <v>3</v>
          </cell>
          <cell r="DR126">
            <v>3</v>
          </cell>
          <cell r="DS126">
            <v>5</v>
          </cell>
          <cell r="DT126">
            <v>4</v>
          </cell>
          <cell r="DU126">
            <v>7</v>
          </cell>
          <cell r="DV126">
            <v>4</v>
          </cell>
          <cell r="DW126">
            <v>3</v>
          </cell>
          <cell r="DX126">
            <v>4</v>
          </cell>
          <cell r="DY126">
            <v>7</v>
          </cell>
          <cell r="DZ126">
            <v>6</v>
          </cell>
          <cell r="EA126">
            <v>6</v>
          </cell>
          <cell r="EB126">
            <v>2</v>
          </cell>
          <cell r="EC126">
            <v>4</v>
          </cell>
        </row>
        <row r="127">
          <cell r="AL127">
            <v>4</v>
          </cell>
          <cell r="AM127">
            <v>1</v>
          </cell>
          <cell r="AN127">
            <v>2</v>
          </cell>
          <cell r="AO127">
            <v>5</v>
          </cell>
          <cell r="AP127">
            <v>5</v>
          </cell>
          <cell r="AQ127">
            <v>7</v>
          </cell>
          <cell r="AR127">
            <v>2</v>
          </cell>
          <cell r="AS127">
            <v>5</v>
          </cell>
          <cell r="AT127">
            <v>2</v>
          </cell>
          <cell r="AU127">
            <v>5</v>
          </cell>
          <cell r="AV127">
            <v>2</v>
          </cell>
          <cell r="AW127">
            <v>1</v>
          </cell>
          <cell r="AX127">
            <v>8</v>
          </cell>
          <cell r="AY127">
            <v>9</v>
          </cell>
          <cell r="AZ127">
            <v>4</v>
          </cell>
          <cell r="BA127">
            <v>5</v>
          </cell>
          <cell r="BB127">
            <v>4</v>
          </cell>
          <cell r="BC127">
            <v>0</v>
          </cell>
          <cell r="BD127">
            <v>8</v>
          </cell>
          <cell r="BE127">
            <v>9</v>
          </cell>
          <cell r="BF127">
            <v>4</v>
          </cell>
          <cell r="BG127">
            <v>2</v>
          </cell>
          <cell r="BH127">
            <v>7</v>
          </cell>
          <cell r="BI127">
            <v>2</v>
          </cell>
          <cell r="BJ127">
            <v>1</v>
          </cell>
          <cell r="BK127">
            <v>4</v>
          </cell>
          <cell r="BL127">
            <v>6</v>
          </cell>
          <cell r="BM127">
            <v>6</v>
          </cell>
          <cell r="BN127">
            <v>9</v>
          </cell>
          <cell r="BO127">
            <v>2</v>
          </cell>
          <cell r="BP127">
            <v>4</v>
          </cell>
          <cell r="BQ127">
            <v>8</v>
          </cell>
          <cell r="BR127">
            <v>3</v>
          </cell>
          <cell r="BS127">
            <v>5</v>
          </cell>
          <cell r="BT127">
            <v>6</v>
          </cell>
          <cell r="BU127">
            <v>6</v>
          </cell>
          <cell r="BV127">
            <v>0</v>
          </cell>
          <cell r="BW127">
            <v>2</v>
          </cell>
          <cell r="BX127">
            <v>3</v>
          </cell>
          <cell r="BY127">
            <v>4</v>
          </cell>
          <cell r="BZ127">
            <v>3</v>
          </cell>
          <cell r="CA127">
            <v>4</v>
          </cell>
          <cell r="CB127">
            <v>4</v>
          </cell>
          <cell r="CC127">
            <v>0</v>
          </cell>
          <cell r="CD127">
            <v>1</v>
          </cell>
          <cell r="CE127">
            <v>0</v>
          </cell>
          <cell r="CF127">
            <v>1</v>
          </cell>
          <cell r="CG127">
            <v>4</v>
          </cell>
          <cell r="CH127">
            <v>2</v>
          </cell>
          <cell r="CI127">
            <v>1</v>
          </cell>
          <cell r="CJ127">
            <v>1</v>
          </cell>
          <cell r="CK127">
            <v>6</v>
          </cell>
          <cell r="CL127">
            <v>5</v>
          </cell>
          <cell r="CM127">
            <v>1</v>
          </cell>
          <cell r="CN127">
            <v>5</v>
          </cell>
          <cell r="CO127">
            <v>3</v>
          </cell>
          <cell r="CP127">
            <v>6</v>
          </cell>
          <cell r="CQ127">
            <v>1</v>
          </cell>
          <cell r="CR127">
            <v>1</v>
          </cell>
          <cell r="CS127">
            <v>3</v>
          </cell>
          <cell r="CT127">
            <v>2</v>
          </cell>
          <cell r="CU127">
            <v>2</v>
          </cell>
          <cell r="CV127">
            <v>2</v>
          </cell>
          <cell r="CW127">
            <v>3</v>
          </cell>
          <cell r="CX127">
            <v>3</v>
          </cell>
          <cell r="CY127">
            <v>1</v>
          </cell>
          <cell r="CZ127">
            <v>2</v>
          </cell>
          <cell r="DA127">
            <v>4</v>
          </cell>
          <cell r="DB127">
            <v>5</v>
          </cell>
          <cell r="DC127">
            <v>1</v>
          </cell>
          <cell r="DD127">
            <v>2</v>
          </cell>
          <cell r="DE127">
            <v>3</v>
          </cell>
          <cell r="DF127">
            <v>3</v>
          </cell>
          <cell r="DG127">
            <v>1</v>
          </cell>
          <cell r="DH127">
            <v>3</v>
          </cell>
          <cell r="DI127">
            <v>3</v>
          </cell>
          <cell r="DJ127">
            <v>1</v>
          </cell>
          <cell r="DK127">
            <v>1</v>
          </cell>
          <cell r="DL127">
            <v>6</v>
          </cell>
          <cell r="DM127">
            <v>3</v>
          </cell>
          <cell r="DN127">
            <v>2</v>
          </cell>
          <cell r="DO127">
            <v>2</v>
          </cell>
          <cell r="DP127">
            <v>4</v>
          </cell>
          <cell r="DQ127">
            <v>3</v>
          </cell>
          <cell r="DR127">
            <v>3</v>
          </cell>
          <cell r="DS127">
            <v>5</v>
          </cell>
          <cell r="DT127">
            <v>7</v>
          </cell>
          <cell r="DU127">
            <v>5</v>
          </cell>
          <cell r="DV127">
            <v>1</v>
          </cell>
          <cell r="DW127">
            <v>2</v>
          </cell>
          <cell r="DX127">
            <v>6</v>
          </cell>
          <cell r="DY127">
            <v>3</v>
          </cell>
          <cell r="DZ127">
            <v>3</v>
          </cell>
          <cell r="EA127">
            <v>1</v>
          </cell>
          <cell r="EB127">
            <v>2</v>
          </cell>
          <cell r="EC127">
            <v>2</v>
          </cell>
        </row>
        <row r="129">
          <cell r="CH129">
            <v>1</v>
          </cell>
          <cell r="CJ129">
            <v>1</v>
          </cell>
          <cell r="CK129">
            <v>1</v>
          </cell>
          <cell r="CL129">
            <v>1</v>
          </cell>
          <cell r="CM129">
            <v>3</v>
          </cell>
          <cell r="CP129">
            <v>1</v>
          </cell>
          <cell r="CQ129">
            <v>1</v>
          </cell>
          <cell r="CT129">
            <v>0</v>
          </cell>
          <cell r="CU129">
            <v>1</v>
          </cell>
          <cell r="CV129">
            <v>1</v>
          </cell>
          <cell r="CW129">
            <v>1</v>
          </cell>
          <cell r="CX129">
            <v>2</v>
          </cell>
          <cell r="CY129">
            <v>1</v>
          </cell>
          <cell r="CZ129">
            <v>0</v>
          </cell>
          <cell r="DA129">
            <v>2</v>
          </cell>
          <cell r="DB129">
            <v>0</v>
          </cell>
          <cell r="DC129">
            <v>2</v>
          </cell>
          <cell r="DD129">
            <v>1</v>
          </cell>
          <cell r="DE129">
            <v>2</v>
          </cell>
          <cell r="DF129">
            <v>1</v>
          </cell>
          <cell r="DG129">
            <v>2</v>
          </cell>
          <cell r="DH129">
            <v>0</v>
          </cell>
          <cell r="DI129">
            <v>3</v>
          </cell>
          <cell r="DJ129">
            <v>1</v>
          </cell>
          <cell r="DK129">
            <v>3</v>
          </cell>
          <cell r="DL129">
            <v>2</v>
          </cell>
          <cell r="DM129">
            <v>0</v>
          </cell>
          <cell r="DN129">
            <v>0</v>
          </cell>
          <cell r="DO129">
            <v>0</v>
          </cell>
          <cell r="DP129">
            <v>2</v>
          </cell>
          <cell r="DQ129">
            <v>0</v>
          </cell>
          <cell r="DR129">
            <v>0</v>
          </cell>
          <cell r="DS129">
            <v>0</v>
          </cell>
          <cell r="DT129">
            <v>0</v>
          </cell>
          <cell r="DU129">
            <v>1</v>
          </cell>
          <cell r="DV129">
            <v>0</v>
          </cell>
          <cell r="DW129">
            <v>0</v>
          </cell>
          <cell r="DX129">
            <v>1</v>
          </cell>
          <cell r="DY129">
            <v>1</v>
          </cell>
          <cell r="DZ129">
            <v>1</v>
          </cell>
          <cell r="EA129">
            <v>1</v>
          </cell>
          <cell r="EB129">
            <v>0</v>
          </cell>
          <cell r="EC129">
            <v>2</v>
          </cell>
        </row>
        <row r="130">
          <cell r="CH130">
            <v>8</v>
          </cell>
          <cell r="CI130">
            <v>9</v>
          </cell>
          <cell r="CJ130">
            <v>8</v>
          </cell>
          <cell r="CK130">
            <v>2</v>
          </cell>
          <cell r="CL130">
            <v>5</v>
          </cell>
          <cell r="CM130">
            <v>3</v>
          </cell>
          <cell r="CN130">
            <v>5</v>
          </cell>
          <cell r="CO130">
            <v>14</v>
          </cell>
          <cell r="CP130">
            <v>7</v>
          </cell>
          <cell r="CQ130">
            <v>15</v>
          </cell>
          <cell r="CR130">
            <v>4</v>
          </cell>
          <cell r="CS130">
            <v>4</v>
          </cell>
          <cell r="CT130">
            <v>17</v>
          </cell>
          <cell r="CU130">
            <v>5</v>
          </cell>
          <cell r="CV130">
            <v>11</v>
          </cell>
          <cell r="CW130">
            <v>12</v>
          </cell>
          <cell r="CX130">
            <v>11</v>
          </cell>
          <cell r="CY130">
            <v>7</v>
          </cell>
          <cell r="CZ130">
            <v>15</v>
          </cell>
          <cell r="DA130">
            <v>14</v>
          </cell>
          <cell r="DB130">
            <v>4</v>
          </cell>
          <cell r="DC130">
            <v>16</v>
          </cell>
          <cell r="DD130">
            <v>10</v>
          </cell>
          <cell r="DE130">
            <v>12</v>
          </cell>
          <cell r="DF130">
            <v>14</v>
          </cell>
          <cell r="DG130">
            <v>10</v>
          </cell>
          <cell r="DH130">
            <v>11</v>
          </cell>
          <cell r="DI130">
            <v>12</v>
          </cell>
          <cell r="DJ130">
            <v>8</v>
          </cell>
          <cell r="DK130">
            <v>7</v>
          </cell>
          <cell r="DL130">
            <v>9</v>
          </cell>
          <cell r="DM130">
            <v>15</v>
          </cell>
          <cell r="DN130">
            <v>6</v>
          </cell>
          <cell r="DO130">
            <v>21</v>
          </cell>
          <cell r="DP130">
            <v>16</v>
          </cell>
          <cell r="DQ130">
            <v>16</v>
          </cell>
          <cell r="DR130">
            <v>12</v>
          </cell>
          <cell r="DS130">
            <v>10</v>
          </cell>
          <cell r="DT130">
            <v>6</v>
          </cell>
          <cell r="DU130">
            <v>13</v>
          </cell>
          <cell r="DV130">
            <v>3</v>
          </cell>
          <cell r="DW130">
            <v>10</v>
          </cell>
          <cell r="DX130">
            <v>7</v>
          </cell>
          <cell r="DY130">
            <v>7</v>
          </cell>
          <cell r="DZ130">
            <v>2</v>
          </cell>
          <cell r="EA130">
            <v>2</v>
          </cell>
          <cell r="EB130">
            <v>8</v>
          </cell>
          <cell r="EC130">
            <v>3</v>
          </cell>
        </row>
        <row r="131">
          <cell r="CH131">
            <v>17</v>
          </cell>
          <cell r="CI131">
            <v>21</v>
          </cell>
          <cell r="CJ131">
            <v>14</v>
          </cell>
          <cell r="CK131">
            <v>25</v>
          </cell>
          <cell r="CL131">
            <v>29</v>
          </cell>
          <cell r="CM131">
            <v>17</v>
          </cell>
          <cell r="CN131">
            <v>19</v>
          </cell>
          <cell r="CO131">
            <v>38</v>
          </cell>
          <cell r="CP131">
            <v>32</v>
          </cell>
          <cell r="CQ131">
            <v>29</v>
          </cell>
          <cell r="CR131">
            <v>35</v>
          </cell>
          <cell r="CS131">
            <v>37</v>
          </cell>
          <cell r="CT131">
            <v>55</v>
          </cell>
          <cell r="CU131">
            <v>32</v>
          </cell>
          <cell r="CV131">
            <v>48</v>
          </cell>
          <cell r="CW131">
            <v>30</v>
          </cell>
          <cell r="CX131">
            <v>48</v>
          </cell>
          <cell r="CY131">
            <v>33</v>
          </cell>
          <cell r="CZ131">
            <v>29</v>
          </cell>
          <cell r="DA131">
            <v>48</v>
          </cell>
          <cell r="DB131">
            <v>13</v>
          </cell>
          <cell r="DC131">
            <v>35</v>
          </cell>
          <cell r="DD131">
            <v>23</v>
          </cell>
          <cell r="DE131">
            <v>39</v>
          </cell>
          <cell r="DF131">
            <v>28</v>
          </cell>
          <cell r="DG131">
            <v>29</v>
          </cell>
          <cell r="DH131">
            <v>22</v>
          </cell>
          <cell r="DI131">
            <v>29</v>
          </cell>
          <cell r="DJ131">
            <v>23</v>
          </cell>
          <cell r="DK131">
            <v>23</v>
          </cell>
          <cell r="DL131">
            <v>27</v>
          </cell>
          <cell r="DM131">
            <v>22</v>
          </cell>
          <cell r="DN131">
            <v>28</v>
          </cell>
          <cell r="DO131">
            <v>22</v>
          </cell>
          <cell r="DP131">
            <v>13</v>
          </cell>
          <cell r="DQ131">
            <v>19</v>
          </cell>
          <cell r="DR131">
            <v>18</v>
          </cell>
          <cell r="DS131">
            <v>24</v>
          </cell>
          <cell r="DT131">
            <v>23</v>
          </cell>
          <cell r="DU131">
            <v>19</v>
          </cell>
          <cell r="DV131">
            <v>17</v>
          </cell>
          <cell r="DW131">
            <v>29</v>
          </cell>
          <cell r="DX131">
            <v>18</v>
          </cell>
          <cell r="DY131">
            <v>31</v>
          </cell>
          <cell r="DZ131">
            <v>15</v>
          </cell>
          <cell r="EA131">
            <v>12</v>
          </cell>
          <cell r="EB131">
            <v>22</v>
          </cell>
          <cell r="EC131">
            <v>18</v>
          </cell>
        </row>
        <row r="132">
          <cell r="CH132">
            <v>3</v>
          </cell>
          <cell r="CI132">
            <v>12</v>
          </cell>
          <cell r="CJ132">
            <v>7</v>
          </cell>
          <cell r="CK132">
            <v>11</v>
          </cell>
          <cell r="CL132">
            <v>19</v>
          </cell>
          <cell r="CM132">
            <v>18</v>
          </cell>
          <cell r="CN132">
            <v>12</v>
          </cell>
          <cell r="CO132">
            <v>18</v>
          </cell>
          <cell r="CP132">
            <v>17</v>
          </cell>
          <cell r="CQ132">
            <v>19</v>
          </cell>
          <cell r="CR132">
            <v>10</v>
          </cell>
          <cell r="CS132">
            <v>12</v>
          </cell>
          <cell r="CT132">
            <v>12</v>
          </cell>
          <cell r="CU132">
            <v>10</v>
          </cell>
          <cell r="CV132">
            <v>20</v>
          </cell>
          <cell r="CW132">
            <v>15</v>
          </cell>
          <cell r="CX132">
            <v>16</v>
          </cell>
          <cell r="CY132">
            <v>19</v>
          </cell>
          <cell r="CZ132">
            <v>18</v>
          </cell>
          <cell r="DA132">
            <v>17</v>
          </cell>
          <cell r="DB132">
            <v>9</v>
          </cell>
          <cell r="DC132">
            <v>15</v>
          </cell>
          <cell r="DD132">
            <v>16</v>
          </cell>
          <cell r="DE132">
            <v>9</v>
          </cell>
          <cell r="DF132">
            <v>10</v>
          </cell>
          <cell r="DG132">
            <v>19</v>
          </cell>
          <cell r="DH132">
            <v>11</v>
          </cell>
          <cell r="DI132">
            <v>13</v>
          </cell>
          <cell r="DJ132">
            <v>23</v>
          </cell>
          <cell r="DK132">
            <v>20</v>
          </cell>
          <cell r="DL132">
            <v>5</v>
          </cell>
          <cell r="DM132">
            <v>17</v>
          </cell>
          <cell r="DN132">
            <v>11</v>
          </cell>
          <cell r="DO132">
            <v>7</v>
          </cell>
          <cell r="DP132">
            <v>13</v>
          </cell>
          <cell r="DQ132">
            <v>18</v>
          </cell>
          <cell r="DR132">
            <v>13</v>
          </cell>
          <cell r="DS132">
            <v>16</v>
          </cell>
          <cell r="DT132">
            <v>26</v>
          </cell>
          <cell r="DU132">
            <v>14</v>
          </cell>
          <cell r="DV132">
            <v>14</v>
          </cell>
          <cell r="DW132">
            <v>6</v>
          </cell>
          <cell r="DX132">
            <v>14</v>
          </cell>
          <cell r="DY132">
            <v>15</v>
          </cell>
          <cell r="DZ132">
            <v>5</v>
          </cell>
          <cell r="EA132">
            <v>14</v>
          </cell>
          <cell r="EB132">
            <v>5</v>
          </cell>
          <cell r="EC132">
            <v>16</v>
          </cell>
        </row>
        <row r="133">
          <cell r="CH133">
            <v>29</v>
          </cell>
          <cell r="CI133">
            <v>42</v>
          </cell>
          <cell r="CJ133">
            <v>30</v>
          </cell>
          <cell r="CK133">
            <v>39</v>
          </cell>
          <cell r="CL133">
            <v>54</v>
          </cell>
          <cell r="CM133">
            <v>41</v>
          </cell>
          <cell r="CN133">
            <v>36</v>
          </cell>
          <cell r="CO133">
            <v>70</v>
          </cell>
          <cell r="CP133">
            <v>57</v>
          </cell>
          <cell r="CQ133">
            <v>64</v>
          </cell>
          <cell r="CR133">
            <v>49</v>
          </cell>
          <cell r="CS133">
            <v>53</v>
          </cell>
          <cell r="CT133">
            <v>84</v>
          </cell>
          <cell r="CU133">
            <v>48</v>
          </cell>
          <cell r="CV133">
            <v>80</v>
          </cell>
          <cell r="CW133">
            <v>58</v>
          </cell>
          <cell r="CX133">
            <v>77</v>
          </cell>
          <cell r="CY133">
            <v>60</v>
          </cell>
          <cell r="CZ133">
            <v>62</v>
          </cell>
          <cell r="DA133">
            <v>81</v>
          </cell>
          <cell r="DB133">
            <v>26</v>
          </cell>
          <cell r="DC133">
            <v>68</v>
          </cell>
          <cell r="DD133">
            <v>50</v>
          </cell>
          <cell r="DE133">
            <v>62</v>
          </cell>
          <cell r="DF133">
            <v>53</v>
          </cell>
          <cell r="DG133">
            <v>60</v>
          </cell>
          <cell r="DH133">
            <v>44</v>
          </cell>
          <cell r="DI133">
            <v>57</v>
          </cell>
          <cell r="DJ133">
            <v>55</v>
          </cell>
          <cell r="DK133">
            <v>53</v>
          </cell>
          <cell r="DL133">
            <v>43</v>
          </cell>
          <cell r="DM133">
            <v>54</v>
          </cell>
          <cell r="DN133">
            <v>45</v>
          </cell>
          <cell r="DO133">
            <v>50</v>
          </cell>
          <cell r="DP133">
            <v>44</v>
          </cell>
          <cell r="DQ133">
            <v>53</v>
          </cell>
          <cell r="DR133">
            <v>43</v>
          </cell>
          <cell r="DS133">
            <v>50</v>
          </cell>
          <cell r="DT133">
            <v>55</v>
          </cell>
          <cell r="DU133">
            <v>47</v>
          </cell>
          <cell r="DV133">
            <v>34</v>
          </cell>
          <cell r="DW133">
            <v>45</v>
          </cell>
          <cell r="DX133">
            <v>40</v>
          </cell>
          <cell r="DY133">
            <v>54</v>
          </cell>
          <cell r="DZ133">
            <v>23</v>
          </cell>
          <cell r="EA133">
            <v>29</v>
          </cell>
          <cell r="EB133">
            <v>35</v>
          </cell>
          <cell r="EC133">
            <v>39</v>
          </cell>
        </row>
        <row r="135">
          <cell r="CH135">
            <v>21</v>
          </cell>
          <cell r="CI135">
            <v>26</v>
          </cell>
          <cell r="CJ135">
            <v>22</v>
          </cell>
          <cell r="CK135">
            <v>18</v>
          </cell>
          <cell r="CL135">
            <v>28</v>
          </cell>
          <cell r="CM135">
            <v>26</v>
          </cell>
          <cell r="CN135">
            <v>22</v>
          </cell>
          <cell r="CO135">
            <v>19</v>
          </cell>
          <cell r="CP135">
            <v>20</v>
          </cell>
          <cell r="CQ135">
            <v>14</v>
          </cell>
          <cell r="CR135">
            <v>19</v>
          </cell>
          <cell r="CS135">
            <v>19</v>
          </cell>
          <cell r="CT135">
            <v>16</v>
          </cell>
          <cell r="CU135">
            <v>22</v>
          </cell>
          <cell r="CV135">
            <v>31</v>
          </cell>
          <cell r="CW135">
            <v>27</v>
          </cell>
          <cell r="CX135">
            <v>22</v>
          </cell>
          <cell r="CY135">
            <v>12</v>
          </cell>
          <cell r="CZ135">
            <v>12</v>
          </cell>
          <cell r="DA135">
            <v>16</v>
          </cell>
          <cell r="DB135">
            <v>16</v>
          </cell>
          <cell r="DC135">
            <v>12</v>
          </cell>
          <cell r="DD135">
            <v>15</v>
          </cell>
          <cell r="DE135">
            <v>14</v>
          </cell>
          <cell r="DF135">
            <v>18</v>
          </cell>
          <cell r="DG135">
            <v>19</v>
          </cell>
          <cell r="DH135">
            <v>11</v>
          </cell>
          <cell r="DI135">
            <v>20</v>
          </cell>
          <cell r="DJ135">
            <v>11</v>
          </cell>
          <cell r="DK135">
            <v>20</v>
          </cell>
          <cell r="DL135">
            <v>24</v>
          </cell>
          <cell r="DM135">
            <v>22</v>
          </cell>
          <cell r="DN135">
            <v>10</v>
          </cell>
          <cell r="DO135">
            <v>7</v>
          </cell>
          <cell r="DP135">
            <v>14</v>
          </cell>
          <cell r="DQ135">
            <v>21</v>
          </cell>
          <cell r="DR135">
            <v>10</v>
          </cell>
          <cell r="DS135">
            <v>18</v>
          </cell>
          <cell r="DT135">
            <v>17</v>
          </cell>
          <cell r="DU135">
            <v>24</v>
          </cell>
          <cell r="DV135">
            <v>24</v>
          </cell>
          <cell r="DW135">
            <v>19</v>
          </cell>
          <cell r="DX135">
            <v>15</v>
          </cell>
          <cell r="DY135">
            <v>18</v>
          </cell>
          <cell r="DZ135">
            <v>8</v>
          </cell>
          <cell r="EA135">
            <v>14</v>
          </cell>
          <cell r="EB135">
            <v>13</v>
          </cell>
          <cell r="EC135">
            <v>12</v>
          </cell>
        </row>
        <row r="136">
          <cell r="CH136">
            <v>182</v>
          </cell>
          <cell r="CI136">
            <v>218</v>
          </cell>
          <cell r="CJ136">
            <v>224</v>
          </cell>
          <cell r="CK136">
            <v>214</v>
          </cell>
          <cell r="CL136">
            <v>194</v>
          </cell>
          <cell r="CM136">
            <v>245</v>
          </cell>
          <cell r="CN136">
            <v>207</v>
          </cell>
          <cell r="CO136">
            <v>179</v>
          </cell>
          <cell r="CP136">
            <v>183</v>
          </cell>
          <cell r="CQ136">
            <v>182</v>
          </cell>
          <cell r="CR136">
            <v>133</v>
          </cell>
          <cell r="CS136">
            <v>180</v>
          </cell>
          <cell r="CT136">
            <v>156</v>
          </cell>
          <cell r="CU136">
            <v>171</v>
          </cell>
          <cell r="CV136">
            <v>153</v>
          </cell>
          <cell r="CW136">
            <v>180</v>
          </cell>
          <cell r="CX136">
            <v>162</v>
          </cell>
          <cell r="CY136">
            <v>160</v>
          </cell>
          <cell r="CZ136">
            <v>154</v>
          </cell>
          <cell r="DA136">
            <v>147</v>
          </cell>
          <cell r="DB136">
            <v>161</v>
          </cell>
          <cell r="DC136">
            <v>149</v>
          </cell>
          <cell r="DD136">
            <v>158</v>
          </cell>
          <cell r="DE136">
            <v>155</v>
          </cell>
          <cell r="DF136">
            <v>146</v>
          </cell>
          <cell r="DG136">
            <v>177</v>
          </cell>
          <cell r="DH136">
            <v>155</v>
          </cell>
          <cell r="DI136">
            <v>154</v>
          </cell>
          <cell r="DJ136">
            <v>140</v>
          </cell>
          <cell r="DK136">
            <v>150</v>
          </cell>
          <cell r="DL136">
            <v>127</v>
          </cell>
          <cell r="DM136">
            <v>147</v>
          </cell>
          <cell r="DN136">
            <v>163</v>
          </cell>
          <cell r="DO136">
            <v>151</v>
          </cell>
          <cell r="DP136">
            <v>140</v>
          </cell>
          <cell r="DQ136">
            <v>143</v>
          </cell>
          <cell r="DR136">
            <v>176</v>
          </cell>
          <cell r="DS136">
            <v>155</v>
          </cell>
          <cell r="DT136">
            <v>158</v>
          </cell>
          <cell r="DU136">
            <v>174</v>
          </cell>
          <cell r="DV136">
            <v>170</v>
          </cell>
          <cell r="DW136">
            <v>143</v>
          </cell>
          <cell r="DX136">
            <v>136</v>
          </cell>
          <cell r="DY136">
            <v>136</v>
          </cell>
          <cell r="DZ136">
            <v>179</v>
          </cell>
          <cell r="EA136">
            <v>143</v>
          </cell>
          <cell r="EB136">
            <v>150</v>
          </cell>
          <cell r="EC136">
            <v>154</v>
          </cell>
        </row>
        <row r="137">
          <cell r="CH137">
            <v>103</v>
          </cell>
          <cell r="CI137">
            <v>85</v>
          </cell>
          <cell r="CJ137">
            <v>107</v>
          </cell>
          <cell r="CK137">
            <v>86</v>
          </cell>
          <cell r="CL137">
            <v>99</v>
          </cell>
          <cell r="CM137">
            <v>96</v>
          </cell>
          <cell r="CN137">
            <v>105</v>
          </cell>
          <cell r="CO137">
            <v>96</v>
          </cell>
          <cell r="CP137">
            <v>84</v>
          </cell>
          <cell r="CQ137">
            <v>89</v>
          </cell>
          <cell r="CR137">
            <v>82</v>
          </cell>
          <cell r="CS137">
            <v>75</v>
          </cell>
          <cell r="CT137">
            <v>77</v>
          </cell>
          <cell r="CU137">
            <v>87</v>
          </cell>
          <cell r="CV137">
            <v>79</v>
          </cell>
          <cell r="CW137">
            <v>102</v>
          </cell>
          <cell r="CX137">
            <v>126</v>
          </cell>
          <cell r="CY137">
            <v>112</v>
          </cell>
          <cell r="CZ137">
            <v>110</v>
          </cell>
          <cell r="DA137">
            <v>108</v>
          </cell>
          <cell r="DB137">
            <v>85</v>
          </cell>
          <cell r="DC137">
            <v>74</v>
          </cell>
          <cell r="DD137">
            <v>83</v>
          </cell>
          <cell r="DE137">
            <v>96</v>
          </cell>
          <cell r="DF137">
            <v>94</v>
          </cell>
          <cell r="DG137">
            <v>121</v>
          </cell>
          <cell r="DH137">
            <v>99</v>
          </cell>
          <cell r="DI137">
            <v>119</v>
          </cell>
          <cell r="DJ137">
            <v>88</v>
          </cell>
          <cell r="DK137">
            <v>107</v>
          </cell>
          <cell r="DL137">
            <v>89</v>
          </cell>
          <cell r="DM137">
            <v>87</v>
          </cell>
          <cell r="DN137">
            <v>94</v>
          </cell>
          <cell r="DO137">
            <v>102</v>
          </cell>
          <cell r="DP137">
            <v>91</v>
          </cell>
          <cell r="DQ137">
            <v>85</v>
          </cell>
          <cell r="DR137">
            <v>109</v>
          </cell>
          <cell r="DS137">
            <v>97</v>
          </cell>
          <cell r="DT137">
            <v>88</v>
          </cell>
          <cell r="DU137">
            <v>86</v>
          </cell>
          <cell r="DV137">
            <v>86</v>
          </cell>
          <cell r="DW137">
            <v>82</v>
          </cell>
          <cell r="DX137">
            <v>101</v>
          </cell>
          <cell r="DY137">
            <v>78</v>
          </cell>
          <cell r="DZ137">
            <v>76</v>
          </cell>
          <cell r="EA137">
            <v>75</v>
          </cell>
          <cell r="EB137">
            <v>82</v>
          </cell>
          <cell r="EC137">
            <v>86</v>
          </cell>
        </row>
        <row r="138">
          <cell r="CH138">
            <v>3</v>
          </cell>
          <cell r="CI138">
            <v>3</v>
          </cell>
          <cell r="CJ138">
            <v>1</v>
          </cell>
          <cell r="CL138">
            <v>2</v>
          </cell>
          <cell r="CN138">
            <v>5</v>
          </cell>
          <cell r="CO138">
            <v>5</v>
          </cell>
          <cell r="CP138">
            <v>1</v>
          </cell>
          <cell r="CR138">
            <v>2</v>
          </cell>
          <cell r="CT138">
            <v>10</v>
          </cell>
          <cell r="CU138">
            <v>2</v>
          </cell>
          <cell r="CV138">
            <v>2</v>
          </cell>
          <cell r="CW138">
            <v>5</v>
          </cell>
          <cell r="CX138">
            <v>2</v>
          </cell>
          <cell r="CY138">
            <v>5</v>
          </cell>
          <cell r="CZ138">
            <v>3</v>
          </cell>
          <cell r="DA138">
            <v>6</v>
          </cell>
          <cell r="DB138">
            <v>2</v>
          </cell>
          <cell r="DC138">
            <v>12</v>
          </cell>
          <cell r="DD138">
            <v>6</v>
          </cell>
          <cell r="DE138">
            <v>3</v>
          </cell>
          <cell r="DF138">
            <v>3</v>
          </cell>
          <cell r="DG138">
            <v>3</v>
          </cell>
          <cell r="DH138">
            <v>3</v>
          </cell>
          <cell r="DI138">
            <v>0</v>
          </cell>
          <cell r="DJ138">
            <v>2</v>
          </cell>
          <cell r="DK138">
            <v>3</v>
          </cell>
          <cell r="DL138">
            <v>5</v>
          </cell>
          <cell r="DM138">
            <v>0</v>
          </cell>
          <cell r="DN138">
            <v>4</v>
          </cell>
          <cell r="DO138">
            <v>4</v>
          </cell>
          <cell r="DP138">
            <v>0</v>
          </cell>
          <cell r="DQ138">
            <v>0</v>
          </cell>
          <cell r="DR138">
            <v>6</v>
          </cell>
          <cell r="DS138">
            <v>7</v>
          </cell>
          <cell r="DT138">
            <v>3</v>
          </cell>
          <cell r="DU138">
            <v>1</v>
          </cell>
          <cell r="DV138">
            <v>8</v>
          </cell>
          <cell r="DW138">
            <v>0</v>
          </cell>
          <cell r="DX138">
            <v>1</v>
          </cell>
          <cell r="DY138">
            <v>1</v>
          </cell>
          <cell r="DZ138">
            <v>0</v>
          </cell>
          <cell r="EA138">
            <v>3</v>
          </cell>
          <cell r="EB138">
            <v>1</v>
          </cell>
          <cell r="EC138">
            <v>2</v>
          </cell>
        </row>
        <row r="140">
          <cell r="AL140">
            <v>138</v>
          </cell>
          <cell r="AM140">
            <v>136</v>
          </cell>
          <cell r="AN140">
            <v>143</v>
          </cell>
          <cell r="AO140">
            <v>96</v>
          </cell>
          <cell r="AP140">
            <v>145</v>
          </cell>
          <cell r="AQ140">
            <v>135</v>
          </cell>
          <cell r="AR140">
            <v>39</v>
          </cell>
          <cell r="AS140">
            <v>47</v>
          </cell>
          <cell r="AT140">
            <v>35</v>
          </cell>
          <cell r="AU140">
            <v>46</v>
          </cell>
          <cell r="AV140">
            <v>36</v>
          </cell>
          <cell r="AW140">
            <v>41</v>
          </cell>
          <cell r="AX140">
            <v>47</v>
          </cell>
          <cell r="AY140">
            <v>57</v>
          </cell>
          <cell r="AZ140">
            <v>65</v>
          </cell>
          <cell r="BA140">
            <v>69</v>
          </cell>
          <cell r="BB140">
            <v>72</v>
          </cell>
          <cell r="BC140">
            <v>55</v>
          </cell>
          <cell r="BD140">
            <v>91</v>
          </cell>
          <cell r="BE140">
            <v>85</v>
          </cell>
          <cell r="BF140">
            <v>63</v>
          </cell>
          <cell r="BG140">
            <v>87</v>
          </cell>
          <cell r="BH140">
            <v>111</v>
          </cell>
          <cell r="BI140">
            <v>111</v>
          </cell>
          <cell r="BJ140">
            <v>88</v>
          </cell>
          <cell r="BK140">
            <v>115</v>
          </cell>
          <cell r="BL140">
            <v>97</v>
          </cell>
          <cell r="BM140">
            <v>107</v>
          </cell>
          <cell r="BN140">
            <v>118</v>
          </cell>
          <cell r="BO140">
            <v>104</v>
          </cell>
          <cell r="BP140">
            <v>107</v>
          </cell>
          <cell r="BQ140">
            <v>90</v>
          </cell>
          <cell r="BR140">
            <v>120</v>
          </cell>
          <cell r="BS140">
            <v>126</v>
          </cell>
          <cell r="BT140">
            <v>112</v>
          </cell>
          <cell r="BU140">
            <v>118</v>
          </cell>
          <cell r="BV140">
            <v>49</v>
          </cell>
          <cell r="BW140">
            <v>56</v>
          </cell>
          <cell r="BX140">
            <v>63</v>
          </cell>
          <cell r="BY140">
            <v>88</v>
          </cell>
          <cell r="BZ140">
            <v>71</v>
          </cell>
          <cell r="CA140">
            <v>63</v>
          </cell>
          <cell r="CB140">
            <v>116</v>
          </cell>
          <cell r="CC140">
            <v>81</v>
          </cell>
          <cell r="CD140">
            <v>62</v>
          </cell>
          <cell r="CE140">
            <v>59</v>
          </cell>
          <cell r="CF140">
            <v>73</v>
          </cell>
          <cell r="CG140">
            <v>74</v>
          </cell>
          <cell r="CH140">
            <v>54</v>
          </cell>
          <cell r="CI140">
            <v>77</v>
          </cell>
          <cell r="CJ140">
            <v>64</v>
          </cell>
          <cell r="CK140">
            <v>73</v>
          </cell>
          <cell r="CL140">
            <v>76</v>
          </cell>
          <cell r="CM140">
            <v>74</v>
          </cell>
          <cell r="CN140">
            <v>77</v>
          </cell>
          <cell r="CO140">
            <v>111</v>
          </cell>
          <cell r="CP140">
            <v>73</v>
          </cell>
          <cell r="CQ140">
            <v>69</v>
          </cell>
          <cell r="CR140">
            <v>56</v>
          </cell>
          <cell r="CS140">
            <v>89</v>
          </cell>
          <cell r="CT140">
            <v>101</v>
          </cell>
          <cell r="CU140">
            <v>82</v>
          </cell>
          <cell r="CV140">
            <v>90</v>
          </cell>
          <cell r="CW140">
            <v>84</v>
          </cell>
          <cell r="CX140">
            <v>86</v>
          </cell>
          <cell r="CY140">
            <v>72</v>
          </cell>
          <cell r="CZ140">
            <v>89</v>
          </cell>
          <cell r="DA140">
            <v>117</v>
          </cell>
          <cell r="DB140">
            <v>104</v>
          </cell>
          <cell r="DC140">
            <v>94</v>
          </cell>
          <cell r="DD140">
            <v>86</v>
          </cell>
          <cell r="DE140">
            <v>125</v>
          </cell>
          <cell r="DF140">
            <v>93</v>
          </cell>
          <cell r="DG140">
            <v>83</v>
          </cell>
          <cell r="DH140">
            <v>103</v>
          </cell>
          <cell r="DI140">
            <v>78</v>
          </cell>
          <cell r="DJ140">
            <v>92</v>
          </cell>
          <cell r="DK140">
            <v>119</v>
          </cell>
          <cell r="DL140">
            <v>111</v>
          </cell>
          <cell r="DM140">
            <v>140</v>
          </cell>
          <cell r="DN140">
            <v>104</v>
          </cell>
          <cell r="DO140">
            <v>125</v>
          </cell>
          <cell r="DP140">
            <v>108</v>
          </cell>
          <cell r="DQ140">
            <v>111</v>
          </cell>
          <cell r="DR140">
            <v>109</v>
          </cell>
          <cell r="DS140">
            <v>113</v>
          </cell>
          <cell r="DT140">
            <v>87</v>
          </cell>
          <cell r="DU140">
            <v>104</v>
          </cell>
          <cell r="DV140">
            <v>88</v>
          </cell>
          <cell r="DW140">
            <v>89</v>
          </cell>
          <cell r="DX140">
            <v>111</v>
          </cell>
          <cell r="DY140">
            <v>88</v>
          </cell>
          <cell r="DZ140">
            <v>83</v>
          </cell>
          <cell r="EA140">
            <v>78</v>
          </cell>
          <cell r="EB140">
            <v>85</v>
          </cell>
          <cell r="EC140">
            <v>66</v>
          </cell>
        </row>
        <row r="142">
          <cell r="CH142">
            <v>13</v>
          </cell>
          <cell r="CI142">
            <v>22</v>
          </cell>
          <cell r="CJ142">
            <v>11</v>
          </cell>
          <cell r="CK142">
            <v>11</v>
          </cell>
          <cell r="CL142">
            <v>8</v>
          </cell>
          <cell r="CM142">
            <v>15</v>
          </cell>
          <cell r="CN142">
            <v>17</v>
          </cell>
          <cell r="CO142">
            <v>11</v>
          </cell>
          <cell r="CP142">
            <v>11</v>
          </cell>
          <cell r="CQ142">
            <v>16</v>
          </cell>
          <cell r="CR142">
            <v>8</v>
          </cell>
          <cell r="CS142">
            <v>15</v>
          </cell>
          <cell r="CT142">
            <v>10</v>
          </cell>
          <cell r="CU142">
            <v>15</v>
          </cell>
          <cell r="CV142">
            <v>10</v>
          </cell>
          <cell r="CW142">
            <v>11</v>
          </cell>
          <cell r="CX142">
            <v>8</v>
          </cell>
          <cell r="CY142">
            <v>9</v>
          </cell>
          <cell r="CZ142">
            <v>11</v>
          </cell>
          <cell r="DA142">
            <v>13</v>
          </cell>
          <cell r="DB142">
            <v>12</v>
          </cell>
          <cell r="DC142">
            <v>9</v>
          </cell>
          <cell r="DD142">
            <v>8</v>
          </cell>
          <cell r="DE142">
            <v>11</v>
          </cell>
          <cell r="DF142">
            <v>18</v>
          </cell>
          <cell r="DG142">
            <v>12</v>
          </cell>
          <cell r="DH142">
            <v>6</v>
          </cell>
          <cell r="DI142">
            <v>3</v>
          </cell>
          <cell r="DJ142">
            <v>11</v>
          </cell>
          <cell r="DK142">
            <v>12</v>
          </cell>
          <cell r="DL142">
            <v>12</v>
          </cell>
          <cell r="DM142">
            <v>6</v>
          </cell>
          <cell r="DN142">
            <v>8</v>
          </cell>
          <cell r="DO142">
            <v>17</v>
          </cell>
          <cell r="DP142">
            <v>19</v>
          </cell>
          <cell r="DQ142">
            <v>14</v>
          </cell>
          <cell r="DR142">
            <v>21</v>
          </cell>
          <cell r="DS142">
            <v>14</v>
          </cell>
          <cell r="DT142">
            <v>12</v>
          </cell>
          <cell r="DU142">
            <v>22</v>
          </cell>
          <cell r="DV142">
            <v>23</v>
          </cell>
          <cell r="DW142">
            <v>19</v>
          </cell>
          <cell r="DX142">
            <v>19</v>
          </cell>
          <cell r="DY142">
            <v>18</v>
          </cell>
          <cell r="DZ142">
            <v>23</v>
          </cell>
          <cell r="EA142">
            <v>9</v>
          </cell>
          <cell r="EB142">
            <v>11</v>
          </cell>
          <cell r="EC142">
            <v>9</v>
          </cell>
        </row>
        <row r="152">
          <cell r="CH152">
            <v>587</v>
          </cell>
          <cell r="CI152">
            <v>562</v>
          </cell>
          <cell r="CJ152">
            <v>616</v>
          </cell>
          <cell r="CK152">
            <v>652</v>
          </cell>
          <cell r="CL152">
            <v>628</v>
          </cell>
          <cell r="CM152">
            <v>593</v>
          </cell>
          <cell r="CN152">
            <v>658</v>
          </cell>
          <cell r="CO152">
            <v>638</v>
          </cell>
          <cell r="CP152">
            <v>584</v>
          </cell>
          <cell r="CQ152">
            <v>599</v>
          </cell>
          <cell r="CR152">
            <v>524</v>
          </cell>
          <cell r="CS152">
            <v>659</v>
          </cell>
          <cell r="CT152">
            <v>582</v>
          </cell>
          <cell r="CU152">
            <v>661</v>
          </cell>
          <cell r="CV152">
            <v>611</v>
          </cell>
          <cell r="CW152">
            <v>751</v>
          </cell>
          <cell r="CX152">
            <v>702</v>
          </cell>
          <cell r="CY152">
            <v>679</v>
          </cell>
          <cell r="CZ152">
            <v>699</v>
          </cell>
          <cell r="DA152">
            <v>671</v>
          </cell>
          <cell r="DB152">
            <v>588</v>
          </cell>
          <cell r="DC152">
            <v>635</v>
          </cell>
          <cell r="DD152">
            <v>646</v>
          </cell>
          <cell r="DE152">
            <v>706</v>
          </cell>
          <cell r="DF152">
            <v>692</v>
          </cell>
          <cell r="DG152">
            <v>658</v>
          </cell>
          <cell r="DH152">
            <v>726</v>
          </cell>
          <cell r="DI152">
            <v>681</v>
          </cell>
          <cell r="DJ152">
            <v>644</v>
          </cell>
          <cell r="DK152">
            <v>646</v>
          </cell>
          <cell r="DL152">
            <v>667</v>
          </cell>
          <cell r="DM152">
            <v>655</v>
          </cell>
          <cell r="DN152">
            <v>613</v>
          </cell>
          <cell r="DO152">
            <v>623</v>
          </cell>
          <cell r="DP152">
            <v>595</v>
          </cell>
          <cell r="DQ152">
            <v>599</v>
          </cell>
          <cell r="DR152">
            <v>652</v>
          </cell>
          <cell r="DS152">
            <v>766</v>
          </cell>
          <cell r="DT152">
            <v>670</v>
          </cell>
          <cell r="DU152">
            <v>715</v>
          </cell>
          <cell r="DV152">
            <v>638</v>
          </cell>
          <cell r="DW152">
            <v>633</v>
          </cell>
          <cell r="DX152">
            <v>703</v>
          </cell>
          <cell r="DY152">
            <v>623</v>
          </cell>
          <cell r="DZ152">
            <v>582</v>
          </cell>
          <cell r="EA152">
            <v>570</v>
          </cell>
          <cell r="EB152">
            <v>574</v>
          </cell>
          <cell r="EC152">
            <v>626</v>
          </cell>
        </row>
        <row r="154">
          <cell r="AL154">
            <v>51</v>
          </cell>
          <cell r="AM154">
            <v>57</v>
          </cell>
          <cell r="AN154">
            <v>41</v>
          </cell>
          <cell r="AO154">
            <v>78</v>
          </cell>
          <cell r="AP154">
            <v>57</v>
          </cell>
          <cell r="AQ154">
            <v>53</v>
          </cell>
          <cell r="AR154">
            <v>42</v>
          </cell>
          <cell r="AS154">
            <v>43</v>
          </cell>
          <cell r="AT154">
            <v>63</v>
          </cell>
          <cell r="AU154">
            <v>49</v>
          </cell>
          <cell r="AV154">
            <v>42</v>
          </cell>
          <cell r="AW154">
            <v>38</v>
          </cell>
          <cell r="AX154">
            <v>37</v>
          </cell>
          <cell r="AY154">
            <v>67</v>
          </cell>
          <cell r="AZ154">
            <v>52</v>
          </cell>
          <cell r="BA154">
            <v>68</v>
          </cell>
          <cell r="BB154">
            <v>57</v>
          </cell>
          <cell r="BC154">
            <v>43</v>
          </cell>
          <cell r="BD154">
            <v>63</v>
          </cell>
          <cell r="BE154">
            <v>41</v>
          </cell>
          <cell r="BF154">
            <v>67</v>
          </cell>
          <cell r="BG154">
            <v>49</v>
          </cell>
          <cell r="BH154">
            <v>35</v>
          </cell>
          <cell r="BI154">
            <v>42</v>
          </cell>
          <cell r="BJ154">
            <v>67</v>
          </cell>
          <cell r="BK154">
            <v>59</v>
          </cell>
          <cell r="BL154">
            <v>68</v>
          </cell>
          <cell r="BM154">
            <v>71</v>
          </cell>
          <cell r="BN154">
            <v>59</v>
          </cell>
          <cell r="BO154">
            <v>55</v>
          </cell>
          <cell r="BP154">
            <v>59</v>
          </cell>
          <cell r="BQ154">
            <v>59</v>
          </cell>
          <cell r="BR154">
            <v>82</v>
          </cell>
          <cell r="BS154">
            <v>48</v>
          </cell>
          <cell r="BT154">
            <v>42</v>
          </cell>
          <cell r="BU154">
            <v>54</v>
          </cell>
          <cell r="BV154">
            <v>44</v>
          </cell>
          <cell r="BW154">
            <v>64</v>
          </cell>
          <cell r="BX154">
            <v>64</v>
          </cell>
          <cell r="BY154">
            <v>68</v>
          </cell>
          <cell r="BZ154">
            <v>44</v>
          </cell>
          <cell r="CA154">
            <v>58</v>
          </cell>
          <cell r="CB154">
            <v>70</v>
          </cell>
          <cell r="CC154">
            <v>37</v>
          </cell>
          <cell r="CD154">
            <v>42</v>
          </cell>
          <cell r="CE154">
            <v>36</v>
          </cell>
          <cell r="CF154">
            <v>57</v>
          </cell>
          <cell r="CG154">
            <v>51</v>
          </cell>
          <cell r="CH154">
            <v>56</v>
          </cell>
          <cell r="CI154">
            <v>43</v>
          </cell>
          <cell r="CJ154">
            <v>67</v>
          </cell>
          <cell r="CK154">
            <v>63</v>
          </cell>
          <cell r="CL154">
            <v>70</v>
          </cell>
          <cell r="CM154">
            <v>62</v>
          </cell>
          <cell r="CN154">
            <v>61</v>
          </cell>
          <cell r="CO154">
            <v>51</v>
          </cell>
          <cell r="CP154">
            <v>60</v>
          </cell>
          <cell r="CQ154">
            <v>58</v>
          </cell>
          <cell r="CR154">
            <v>44</v>
          </cell>
          <cell r="CS154">
            <v>54</v>
          </cell>
          <cell r="CT154">
            <v>69</v>
          </cell>
          <cell r="CU154">
            <v>64</v>
          </cell>
          <cell r="CV154">
            <v>64</v>
          </cell>
          <cell r="CW154">
            <v>69</v>
          </cell>
          <cell r="CX154">
            <v>94</v>
          </cell>
          <cell r="CY154">
            <v>66</v>
          </cell>
          <cell r="CZ154">
            <v>56</v>
          </cell>
          <cell r="DA154">
            <v>58</v>
          </cell>
          <cell r="DB154">
            <v>61</v>
          </cell>
          <cell r="DC154">
            <v>58</v>
          </cell>
          <cell r="DD154">
            <v>68</v>
          </cell>
          <cell r="DE154">
            <v>58</v>
          </cell>
          <cell r="DF154">
            <v>77</v>
          </cell>
          <cell r="DG154">
            <v>74</v>
          </cell>
          <cell r="DH154">
            <v>97</v>
          </cell>
          <cell r="DI154">
            <v>81</v>
          </cell>
          <cell r="DJ154">
            <v>79</v>
          </cell>
          <cell r="DK154">
            <v>70</v>
          </cell>
          <cell r="DL154">
            <v>72</v>
          </cell>
          <cell r="DM154">
            <v>70</v>
          </cell>
          <cell r="DN154">
            <v>69</v>
          </cell>
          <cell r="DO154">
            <v>58</v>
          </cell>
          <cell r="DP154">
            <v>83</v>
          </cell>
          <cell r="DQ154">
            <v>69</v>
          </cell>
          <cell r="DR154">
            <v>72</v>
          </cell>
          <cell r="DS154">
            <v>81</v>
          </cell>
          <cell r="DT154">
            <v>76</v>
          </cell>
          <cell r="DU154">
            <v>95</v>
          </cell>
          <cell r="DV154">
            <v>71</v>
          </cell>
          <cell r="DW154">
            <v>65</v>
          </cell>
          <cell r="DX154">
            <v>83</v>
          </cell>
          <cell r="DY154">
            <v>69</v>
          </cell>
          <cell r="DZ154">
            <v>65</v>
          </cell>
          <cell r="EA154">
            <v>82</v>
          </cell>
          <cell r="EB154">
            <v>55</v>
          </cell>
          <cell r="EC154">
            <v>55</v>
          </cell>
        </row>
        <row r="155">
          <cell r="AL155">
            <v>98</v>
          </cell>
          <cell r="AM155">
            <v>108</v>
          </cell>
          <cell r="AN155">
            <v>111</v>
          </cell>
          <cell r="AO155">
            <v>108</v>
          </cell>
          <cell r="AP155">
            <v>98</v>
          </cell>
          <cell r="AQ155">
            <v>96</v>
          </cell>
          <cell r="AR155">
            <v>87</v>
          </cell>
          <cell r="AS155">
            <v>102</v>
          </cell>
          <cell r="AT155">
            <v>103</v>
          </cell>
          <cell r="AU155">
            <v>96</v>
          </cell>
          <cell r="AV155">
            <v>94</v>
          </cell>
          <cell r="AW155">
            <v>110</v>
          </cell>
          <cell r="AX155">
            <v>105</v>
          </cell>
          <cell r="AY155">
            <v>101</v>
          </cell>
          <cell r="AZ155">
            <v>106</v>
          </cell>
          <cell r="BA155">
            <v>154</v>
          </cell>
          <cell r="BB155">
            <v>122</v>
          </cell>
          <cell r="BC155">
            <v>114</v>
          </cell>
          <cell r="BD155">
            <v>96</v>
          </cell>
          <cell r="BE155">
            <v>129</v>
          </cell>
          <cell r="BF155">
            <v>117</v>
          </cell>
          <cell r="BG155">
            <v>112</v>
          </cell>
          <cell r="BH155">
            <v>100</v>
          </cell>
          <cell r="BI155">
            <v>136</v>
          </cell>
          <cell r="BJ155">
            <v>130</v>
          </cell>
          <cell r="BK155">
            <v>118</v>
          </cell>
          <cell r="BL155">
            <v>149</v>
          </cell>
          <cell r="BM155">
            <v>143</v>
          </cell>
          <cell r="BN155">
            <v>140</v>
          </cell>
          <cell r="BO155">
            <v>136</v>
          </cell>
          <cell r="BP155">
            <v>130</v>
          </cell>
          <cell r="BQ155">
            <v>135</v>
          </cell>
          <cell r="BR155">
            <v>137</v>
          </cell>
          <cell r="BS155">
            <v>132</v>
          </cell>
          <cell r="BT155">
            <v>129</v>
          </cell>
          <cell r="BU155">
            <v>157</v>
          </cell>
          <cell r="BV155">
            <v>120</v>
          </cell>
          <cell r="BW155">
            <v>138</v>
          </cell>
          <cell r="BX155">
            <v>178</v>
          </cell>
          <cell r="BY155">
            <v>144</v>
          </cell>
          <cell r="BZ155">
            <v>160</v>
          </cell>
          <cell r="CA155">
            <v>153</v>
          </cell>
          <cell r="CB155">
            <v>188</v>
          </cell>
          <cell r="CC155">
            <v>158</v>
          </cell>
          <cell r="CD155">
            <v>120</v>
          </cell>
          <cell r="CE155">
            <v>124</v>
          </cell>
          <cell r="CF155">
            <v>144</v>
          </cell>
          <cell r="CG155">
            <v>137</v>
          </cell>
          <cell r="CH155">
            <v>162</v>
          </cell>
          <cell r="CI155">
            <v>165</v>
          </cell>
          <cell r="CJ155">
            <v>160</v>
          </cell>
          <cell r="CK155">
            <v>205</v>
          </cell>
          <cell r="CL155">
            <v>172</v>
          </cell>
          <cell r="CM155">
            <v>153</v>
          </cell>
          <cell r="CN155">
            <v>170</v>
          </cell>
          <cell r="CO155">
            <v>142</v>
          </cell>
          <cell r="CP155">
            <v>162</v>
          </cell>
          <cell r="CQ155">
            <v>140</v>
          </cell>
          <cell r="CR155">
            <v>133</v>
          </cell>
          <cell r="CS155">
            <v>176</v>
          </cell>
          <cell r="CT155">
            <v>135</v>
          </cell>
          <cell r="CU155">
            <v>162</v>
          </cell>
          <cell r="CV155">
            <v>154</v>
          </cell>
          <cell r="CW155">
            <v>188</v>
          </cell>
          <cell r="CX155">
            <v>134</v>
          </cell>
          <cell r="CY155">
            <v>147</v>
          </cell>
          <cell r="CZ155">
            <v>173</v>
          </cell>
          <cell r="DA155">
            <v>152</v>
          </cell>
          <cell r="DB155">
            <v>145</v>
          </cell>
          <cell r="DC155">
            <v>139</v>
          </cell>
          <cell r="DD155">
            <v>136</v>
          </cell>
          <cell r="DE155">
            <v>187</v>
          </cell>
          <cell r="DF155">
            <v>148</v>
          </cell>
          <cell r="DG155">
            <v>125</v>
          </cell>
          <cell r="DH155">
            <v>173</v>
          </cell>
          <cell r="DI155">
            <v>145</v>
          </cell>
          <cell r="DJ155">
            <v>148</v>
          </cell>
          <cell r="DK155">
            <v>175</v>
          </cell>
          <cell r="DL155">
            <v>172</v>
          </cell>
          <cell r="DM155">
            <v>159</v>
          </cell>
          <cell r="DN155">
            <v>162</v>
          </cell>
          <cell r="DO155">
            <v>157</v>
          </cell>
          <cell r="DP155">
            <v>157</v>
          </cell>
          <cell r="DQ155">
            <v>143</v>
          </cell>
          <cell r="DR155">
            <v>153</v>
          </cell>
          <cell r="DS155">
            <v>160</v>
          </cell>
          <cell r="DT155">
            <v>163</v>
          </cell>
          <cell r="DU155">
            <v>164</v>
          </cell>
          <cell r="DV155">
            <v>147</v>
          </cell>
          <cell r="DW155">
            <v>135</v>
          </cell>
          <cell r="DX155">
            <v>156</v>
          </cell>
          <cell r="DY155">
            <v>152</v>
          </cell>
          <cell r="DZ155">
            <v>138</v>
          </cell>
          <cell r="EA155">
            <v>127</v>
          </cell>
          <cell r="EB155">
            <v>170</v>
          </cell>
          <cell r="EC155">
            <v>158</v>
          </cell>
        </row>
        <row r="156">
          <cell r="AL156">
            <v>6</v>
          </cell>
          <cell r="AM156">
            <v>18</v>
          </cell>
          <cell r="AN156">
            <v>8</v>
          </cell>
          <cell r="AO156">
            <v>10</v>
          </cell>
          <cell r="AP156">
            <v>7</v>
          </cell>
          <cell r="AQ156">
            <v>6</v>
          </cell>
          <cell r="AR156">
            <v>7</v>
          </cell>
          <cell r="AS156">
            <v>9</v>
          </cell>
          <cell r="AT156">
            <v>5</v>
          </cell>
          <cell r="AU156">
            <v>5</v>
          </cell>
          <cell r="AV156">
            <v>5</v>
          </cell>
          <cell r="AW156">
            <v>8</v>
          </cell>
          <cell r="AX156">
            <v>5</v>
          </cell>
          <cell r="AY156">
            <v>9</v>
          </cell>
          <cell r="AZ156">
            <v>10</v>
          </cell>
          <cell r="BA156">
            <v>5</v>
          </cell>
          <cell r="BB156">
            <v>6</v>
          </cell>
          <cell r="BC156">
            <v>4</v>
          </cell>
          <cell r="BD156">
            <v>3</v>
          </cell>
          <cell r="BE156">
            <v>1</v>
          </cell>
          <cell r="BF156">
            <v>5</v>
          </cell>
          <cell r="BG156">
            <v>4</v>
          </cell>
          <cell r="BH156">
            <v>4</v>
          </cell>
          <cell r="BI156">
            <v>7</v>
          </cell>
          <cell r="BJ156">
            <v>7</v>
          </cell>
          <cell r="BK156">
            <v>9</v>
          </cell>
          <cell r="BL156">
            <v>7</v>
          </cell>
          <cell r="BM156">
            <v>8</v>
          </cell>
          <cell r="BN156">
            <v>14</v>
          </cell>
          <cell r="BO156">
            <v>11</v>
          </cell>
          <cell r="BP156">
            <v>10</v>
          </cell>
          <cell r="BQ156">
            <v>4</v>
          </cell>
          <cell r="BR156">
            <v>7</v>
          </cell>
          <cell r="BS156">
            <v>4</v>
          </cell>
          <cell r="BT156">
            <v>9</v>
          </cell>
          <cell r="BU156">
            <v>3</v>
          </cell>
          <cell r="BV156">
            <v>2</v>
          </cell>
          <cell r="BW156">
            <v>2</v>
          </cell>
          <cell r="BX156">
            <v>5</v>
          </cell>
          <cell r="BY156">
            <v>5</v>
          </cell>
          <cell r="BZ156">
            <v>7</v>
          </cell>
          <cell r="CA156">
            <v>2</v>
          </cell>
          <cell r="CB156">
            <v>7</v>
          </cell>
          <cell r="CC156">
            <v>7</v>
          </cell>
          <cell r="CD156">
            <v>6</v>
          </cell>
          <cell r="CE156">
            <v>6</v>
          </cell>
          <cell r="CF156">
            <v>4</v>
          </cell>
          <cell r="CG156">
            <v>7</v>
          </cell>
          <cell r="CH156">
            <v>9</v>
          </cell>
          <cell r="CI156">
            <v>2</v>
          </cell>
          <cell r="CJ156">
            <v>6</v>
          </cell>
          <cell r="CK156">
            <v>14</v>
          </cell>
          <cell r="CL156">
            <v>13</v>
          </cell>
          <cell r="CM156">
            <v>7</v>
          </cell>
          <cell r="CN156">
            <v>3</v>
          </cell>
          <cell r="CO156">
            <v>7</v>
          </cell>
          <cell r="CP156">
            <v>5</v>
          </cell>
          <cell r="CQ156">
            <v>9</v>
          </cell>
          <cell r="CR156">
            <v>7</v>
          </cell>
          <cell r="CS156">
            <v>10</v>
          </cell>
          <cell r="CT156">
            <v>6</v>
          </cell>
          <cell r="CU156">
            <v>5</v>
          </cell>
          <cell r="CV156">
            <v>7</v>
          </cell>
          <cell r="CW156">
            <v>1</v>
          </cell>
          <cell r="CX156">
            <v>4</v>
          </cell>
          <cell r="CY156">
            <v>5</v>
          </cell>
          <cell r="CZ156">
            <v>8</v>
          </cell>
          <cell r="DA156">
            <v>9</v>
          </cell>
          <cell r="DB156">
            <v>18</v>
          </cell>
          <cell r="DC156">
            <v>6</v>
          </cell>
          <cell r="DD156">
            <v>8</v>
          </cell>
          <cell r="DE156">
            <v>17</v>
          </cell>
          <cell r="DF156">
            <v>4</v>
          </cell>
          <cell r="DG156">
            <v>4</v>
          </cell>
          <cell r="DH156">
            <v>8</v>
          </cell>
          <cell r="DI156">
            <v>6</v>
          </cell>
          <cell r="DJ156">
            <v>12</v>
          </cell>
          <cell r="DK156">
            <v>13</v>
          </cell>
          <cell r="DL156">
            <v>8</v>
          </cell>
          <cell r="DM156">
            <v>12</v>
          </cell>
          <cell r="DN156">
            <v>7</v>
          </cell>
          <cell r="DO156">
            <v>8</v>
          </cell>
          <cell r="DP156">
            <v>8</v>
          </cell>
          <cell r="DQ156">
            <v>8</v>
          </cell>
          <cell r="DR156">
            <v>6</v>
          </cell>
          <cell r="DS156">
            <v>9</v>
          </cell>
          <cell r="DT156">
            <v>8</v>
          </cell>
          <cell r="DU156">
            <v>6</v>
          </cell>
          <cell r="DV156">
            <v>8</v>
          </cell>
          <cell r="DW156">
            <v>2</v>
          </cell>
          <cell r="DX156">
            <v>15</v>
          </cell>
          <cell r="DY156">
            <v>9</v>
          </cell>
          <cell r="DZ156">
            <v>9</v>
          </cell>
          <cell r="EA156">
            <v>11</v>
          </cell>
          <cell r="EB156">
            <v>5</v>
          </cell>
          <cell r="EC156">
            <v>5</v>
          </cell>
        </row>
        <row r="157">
          <cell r="AL157">
            <v>20</v>
          </cell>
          <cell r="AM157">
            <v>20</v>
          </cell>
          <cell r="AN157">
            <v>13</v>
          </cell>
          <cell r="AO157">
            <v>17</v>
          </cell>
          <cell r="AP157">
            <v>15</v>
          </cell>
          <cell r="AQ157">
            <v>15</v>
          </cell>
          <cell r="AR157">
            <v>17</v>
          </cell>
          <cell r="AS157">
            <v>19</v>
          </cell>
          <cell r="AT157">
            <v>10</v>
          </cell>
          <cell r="AU157">
            <v>18</v>
          </cell>
          <cell r="AV157">
            <v>10</v>
          </cell>
          <cell r="AW157">
            <v>15</v>
          </cell>
          <cell r="AX157">
            <v>14</v>
          </cell>
          <cell r="AY157">
            <v>10</v>
          </cell>
          <cell r="AZ157">
            <v>12</v>
          </cell>
          <cell r="BA157">
            <v>16</v>
          </cell>
          <cell r="BB157">
            <v>17</v>
          </cell>
          <cell r="BC157">
            <v>22</v>
          </cell>
          <cell r="BD157">
            <v>16</v>
          </cell>
          <cell r="BE157">
            <v>9</v>
          </cell>
          <cell r="BF157">
            <v>15</v>
          </cell>
          <cell r="BG157">
            <v>12</v>
          </cell>
          <cell r="BH157">
            <v>12</v>
          </cell>
          <cell r="BI157">
            <v>9</v>
          </cell>
          <cell r="BJ157">
            <v>15</v>
          </cell>
          <cell r="BK157">
            <v>15</v>
          </cell>
          <cell r="BL157">
            <v>7</v>
          </cell>
          <cell r="BM157">
            <v>20</v>
          </cell>
          <cell r="BN157">
            <v>12</v>
          </cell>
          <cell r="BO157">
            <v>12</v>
          </cell>
          <cell r="BP157">
            <v>9</v>
          </cell>
          <cell r="BQ157">
            <v>12</v>
          </cell>
          <cell r="BR157">
            <v>6</v>
          </cell>
          <cell r="BS157">
            <v>15</v>
          </cell>
          <cell r="BT157">
            <v>18</v>
          </cell>
          <cell r="BU157">
            <v>12</v>
          </cell>
          <cell r="BV157">
            <v>7</v>
          </cell>
          <cell r="BW157">
            <v>15</v>
          </cell>
          <cell r="BX157">
            <v>12</v>
          </cell>
          <cell r="BY157">
            <v>11</v>
          </cell>
          <cell r="BZ157">
            <v>14</v>
          </cell>
          <cell r="CA157">
            <v>14</v>
          </cell>
          <cell r="CB157">
            <v>10</v>
          </cell>
          <cell r="CC157">
            <v>12</v>
          </cell>
          <cell r="CD157">
            <v>10</v>
          </cell>
          <cell r="CE157">
            <v>11</v>
          </cell>
          <cell r="CF157">
            <v>6</v>
          </cell>
          <cell r="CG157">
            <v>14</v>
          </cell>
          <cell r="CH157">
            <v>11</v>
          </cell>
          <cell r="CI157">
            <v>12</v>
          </cell>
          <cell r="CJ157">
            <v>11</v>
          </cell>
          <cell r="CK157">
            <v>13</v>
          </cell>
          <cell r="CL157">
            <v>12</v>
          </cell>
          <cell r="CM157">
            <v>10</v>
          </cell>
          <cell r="CN157">
            <v>9</v>
          </cell>
          <cell r="CO157">
            <v>14</v>
          </cell>
          <cell r="CP157">
            <v>8</v>
          </cell>
          <cell r="CQ157">
            <v>18</v>
          </cell>
          <cell r="CR157">
            <v>15</v>
          </cell>
          <cell r="CS157">
            <v>19</v>
          </cell>
          <cell r="CT157">
            <v>10</v>
          </cell>
          <cell r="CU157">
            <v>22</v>
          </cell>
          <cell r="CV157">
            <v>12</v>
          </cell>
          <cell r="CW157">
            <v>20</v>
          </cell>
          <cell r="CX157">
            <v>17</v>
          </cell>
          <cell r="CY157">
            <v>12</v>
          </cell>
          <cell r="CZ157">
            <v>15</v>
          </cell>
          <cell r="DA157">
            <v>15</v>
          </cell>
          <cell r="DB157">
            <v>18</v>
          </cell>
          <cell r="DC157">
            <v>17</v>
          </cell>
          <cell r="DD157">
            <v>19</v>
          </cell>
          <cell r="DE157">
            <v>20</v>
          </cell>
          <cell r="DF157">
            <v>14</v>
          </cell>
          <cell r="DG157">
            <v>17</v>
          </cell>
          <cell r="DH157">
            <v>15</v>
          </cell>
          <cell r="DI157">
            <v>14</v>
          </cell>
          <cell r="DJ157">
            <v>18</v>
          </cell>
          <cell r="DK157">
            <v>20</v>
          </cell>
          <cell r="DL157">
            <v>23</v>
          </cell>
          <cell r="DM157">
            <v>19</v>
          </cell>
          <cell r="DN157">
            <v>18</v>
          </cell>
          <cell r="DO157">
            <v>15</v>
          </cell>
          <cell r="DP157">
            <v>16</v>
          </cell>
          <cell r="DQ157">
            <v>19</v>
          </cell>
          <cell r="DR157">
            <v>16</v>
          </cell>
          <cell r="DS157">
            <v>15</v>
          </cell>
          <cell r="DT157">
            <v>22</v>
          </cell>
          <cell r="DU157">
            <v>14</v>
          </cell>
          <cell r="DV157">
            <v>19</v>
          </cell>
          <cell r="DW157">
            <v>13</v>
          </cell>
          <cell r="DX157">
            <v>21</v>
          </cell>
          <cell r="DY157">
            <v>17</v>
          </cell>
          <cell r="DZ157">
            <v>25</v>
          </cell>
          <cell r="EA157">
            <v>21</v>
          </cell>
          <cell r="EB157">
            <v>15</v>
          </cell>
          <cell r="EC157">
            <v>29</v>
          </cell>
        </row>
        <row r="158">
          <cell r="CH158">
            <v>1</v>
          </cell>
          <cell r="CI158" t="str">
            <v>0</v>
          </cell>
          <cell r="CJ158" t="str">
            <v>0</v>
          </cell>
          <cell r="CK158">
            <v>6</v>
          </cell>
          <cell r="CL158" t="str">
            <v>0</v>
          </cell>
          <cell r="CM158" t="str">
            <v>0</v>
          </cell>
          <cell r="CN158" t="str">
            <v>0</v>
          </cell>
          <cell r="CO158" t="str">
            <v>0</v>
          </cell>
          <cell r="CP158">
            <v>1</v>
          </cell>
          <cell r="CQ158" t="str">
            <v>0</v>
          </cell>
          <cell r="CR158" t="str">
            <v>0</v>
          </cell>
          <cell r="CS158">
            <v>1</v>
          </cell>
          <cell r="CT158">
            <v>0</v>
          </cell>
          <cell r="CU158">
            <v>0</v>
          </cell>
          <cell r="CV158">
            <v>0</v>
          </cell>
          <cell r="CW158">
            <v>0</v>
          </cell>
          <cell r="CX158">
            <v>0</v>
          </cell>
          <cell r="CY158">
            <v>0</v>
          </cell>
          <cell r="CZ158">
            <v>0</v>
          </cell>
          <cell r="DA158">
            <v>2</v>
          </cell>
          <cell r="DB158">
            <v>0</v>
          </cell>
          <cell r="DC158">
            <v>0</v>
          </cell>
          <cell r="DD158">
            <v>2</v>
          </cell>
          <cell r="DE158">
            <v>1</v>
          </cell>
          <cell r="DF158">
            <v>1</v>
          </cell>
          <cell r="DG158">
            <v>0</v>
          </cell>
          <cell r="DH158">
            <v>1</v>
          </cell>
          <cell r="DI158">
            <v>0</v>
          </cell>
          <cell r="DJ158">
            <v>0</v>
          </cell>
          <cell r="DK158">
            <v>0</v>
          </cell>
          <cell r="DL158">
            <v>0</v>
          </cell>
          <cell r="DM158">
            <v>1</v>
          </cell>
          <cell r="DN158">
            <v>0</v>
          </cell>
          <cell r="DO158">
            <v>0</v>
          </cell>
          <cell r="DP158">
            <v>0</v>
          </cell>
          <cell r="DQ158">
            <v>0</v>
          </cell>
          <cell r="DR158">
            <v>1</v>
          </cell>
          <cell r="DS158">
            <v>0</v>
          </cell>
          <cell r="DT158">
            <v>2</v>
          </cell>
          <cell r="DU158">
            <v>0</v>
          </cell>
          <cell r="DV158">
            <v>0</v>
          </cell>
          <cell r="DW158">
            <v>1</v>
          </cell>
          <cell r="DX158">
            <v>0</v>
          </cell>
          <cell r="DY158">
            <v>1</v>
          </cell>
          <cell r="DZ158">
            <v>2</v>
          </cell>
          <cell r="EA158">
            <v>1</v>
          </cell>
          <cell r="EB158">
            <v>2</v>
          </cell>
          <cell r="EC158">
            <v>3</v>
          </cell>
        </row>
        <row r="159">
          <cell r="CH159" t="str">
            <v>0</v>
          </cell>
          <cell r="CI159">
            <v>1</v>
          </cell>
          <cell r="CJ159">
            <v>6</v>
          </cell>
          <cell r="CK159">
            <v>2</v>
          </cell>
          <cell r="CL159">
            <v>7</v>
          </cell>
          <cell r="CM159">
            <v>2</v>
          </cell>
          <cell r="CN159">
            <v>5</v>
          </cell>
          <cell r="CO159">
            <v>7</v>
          </cell>
          <cell r="CP159" t="str">
            <v>0</v>
          </cell>
          <cell r="CQ159">
            <v>3</v>
          </cell>
          <cell r="CR159">
            <v>2</v>
          </cell>
          <cell r="CS159">
            <v>4</v>
          </cell>
          <cell r="CT159">
            <v>2</v>
          </cell>
          <cell r="CU159">
            <v>5</v>
          </cell>
          <cell r="CV159">
            <v>1</v>
          </cell>
          <cell r="CW159">
            <v>4</v>
          </cell>
          <cell r="CX159">
            <v>2</v>
          </cell>
          <cell r="CY159">
            <v>3</v>
          </cell>
          <cell r="CZ159">
            <v>3</v>
          </cell>
          <cell r="DA159">
            <v>5</v>
          </cell>
          <cell r="DB159">
            <v>5</v>
          </cell>
          <cell r="DC159">
            <v>10</v>
          </cell>
          <cell r="DD159">
            <v>2</v>
          </cell>
          <cell r="DE159">
            <v>4</v>
          </cell>
          <cell r="DF159">
            <v>4</v>
          </cell>
          <cell r="DG159">
            <v>7</v>
          </cell>
          <cell r="DH159">
            <v>4</v>
          </cell>
          <cell r="DI159">
            <v>5</v>
          </cell>
          <cell r="DJ159">
            <v>4</v>
          </cell>
          <cell r="DK159">
            <v>5</v>
          </cell>
          <cell r="DL159">
            <v>3</v>
          </cell>
          <cell r="DM159">
            <v>1</v>
          </cell>
          <cell r="DN159">
            <v>3</v>
          </cell>
          <cell r="DO159">
            <v>3</v>
          </cell>
          <cell r="DP159">
            <v>3</v>
          </cell>
          <cell r="DQ159">
            <v>5</v>
          </cell>
          <cell r="DR159">
            <v>0</v>
          </cell>
          <cell r="DS159">
            <v>3</v>
          </cell>
          <cell r="DT159">
            <v>8</v>
          </cell>
          <cell r="DU159">
            <v>7</v>
          </cell>
          <cell r="DV159">
            <v>9</v>
          </cell>
          <cell r="DW159">
            <v>4</v>
          </cell>
          <cell r="DX159">
            <v>5</v>
          </cell>
          <cell r="DY159">
            <v>3</v>
          </cell>
          <cell r="DZ159">
            <v>2</v>
          </cell>
          <cell r="EA159">
            <v>1</v>
          </cell>
          <cell r="EB159">
            <v>7</v>
          </cell>
          <cell r="EC159">
            <v>4</v>
          </cell>
        </row>
        <row r="160">
          <cell r="AL160">
            <v>51</v>
          </cell>
          <cell r="AM160">
            <v>65</v>
          </cell>
          <cell r="AN160">
            <v>59</v>
          </cell>
          <cell r="AO160">
            <v>58</v>
          </cell>
          <cell r="AP160">
            <v>48</v>
          </cell>
          <cell r="AQ160">
            <v>68</v>
          </cell>
          <cell r="AR160">
            <v>95</v>
          </cell>
          <cell r="AS160">
            <v>58</v>
          </cell>
          <cell r="AT160">
            <v>48</v>
          </cell>
          <cell r="AU160">
            <v>68</v>
          </cell>
          <cell r="AV160">
            <v>30</v>
          </cell>
          <cell r="AW160">
            <v>37</v>
          </cell>
          <cell r="AX160">
            <v>62</v>
          </cell>
          <cell r="AY160">
            <v>64</v>
          </cell>
          <cell r="AZ160">
            <v>49</v>
          </cell>
          <cell r="BA160">
            <v>50</v>
          </cell>
          <cell r="BB160">
            <v>87</v>
          </cell>
          <cell r="BC160">
            <v>41</v>
          </cell>
          <cell r="BD160">
            <v>57</v>
          </cell>
          <cell r="BE160">
            <v>72</v>
          </cell>
          <cell r="BF160">
            <v>69</v>
          </cell>
          <cell r="BG160">
            <v>62</v>
          </cell>
          <cell r="BH160">
            <v>40</v>
          </cell>
          <cell r="BI160">
            <v>52</v>
          </cell>
          <cell r="BJ160">
            <v>51</v>
          </cell>
          <cell r="BK160">
            <v>44</v>
          </cell>
          <cell r="BL160">
            <v>62</v>
          </cell>
          <cell r="BM160">
            <v>71</v>
          </cell>
          <cell r="BN160">
            <v>53</v>
          </cell>
          <cell r="BO160">
            <v>41</v>
          </cell>
          <cell r="BP160">
            <v>67</v>
          </cell>
          <cell r="BQ160">
            <v>45</v>
          </cell>
          <cell r="BR160">
            <v>51</v>
          </cell>
          <cell r="BS160">
            <v>63</v>
          </cell>
          <cell r="BT160">
            <v>44</v>
          </cell>
          <cell r="BU160">
            <v>41</v>
          </cell>
          <cell r="BV160">
            <v>39</v>
          </cell>
          <cell r="BW160">
            <v>23</v>
          </cell>
          <cell r="BX160">
            <v>27</v>
          </cell>
          <cell r="BY160">
            <v>27</v>
          </cell>
          <cell r="BZ160">
            <v>40</v>
          </cell>
          <cell r="CA160">
            <v>29</v>
          </cell>
          <cell r="CB160">
            <v>21</v>
          </cell>
          <cell r="CC160">
            <v>31</v>
          </cell>
          <cell r="CD160">
            <v>35</v>
          </cell>
          <cell r="CE160">
            <v>19</v>
          </cell>
          <cell r="CF160">
            <v>17</v>
          </cell>
          <cell r="CG160">
            <v>26</v>
          </cell>
          <cell r="CH160">
            <v>20</v>
          </cell>
          <cell r="CI160">
            <v>25</v>
          </cell>
          <cell r="CJ160">
            <v>26</v>
          </cell>
          <cell r="CK160">
            <v>29</v>
          </cell>
          <cell r="CL160">
            <v>27</v>
          </cell>
          <cell r="CM160">
            <v>32</v>
          </cell>
          <cell r="CN160">
            <v>44</v>
          </cell>
          <cell r="CO160">
            <v>49</v>
          </cell>
          <cell r="CP160">
            <v>38</v>
          </cell>
          <cell r="CQ160">
            <v>36</v>
          </cell>
          <cell r="CR160">
            <v>33</v>
          </cell>
          <cell r="CS160">
            <v>45</v>
          </cell>
          <cell r="CT160">
            <v>43</v>
          </cell>
          <cell r="CU160">
            <v>27</v>
          </cell>
          <cell r="CV160">
            <v>34</v>
          </cell>
          <cell r="CW160">
            <v>28</v>
          </cell>
          <cell r="CX160">
            <v>26</v>
          </cell>
          <cell r="CY160">
            <v>43</v>
          </cell>
          <cell r="CZ160">
            <v>41</v>
          </cell>
          <cell r="DA160">
            <v>48</v>
          </cell>
          <cell r="DB160">
            <v>29</v>
          </cell>
          <cell r="DC160">
            <v>41</v>
          </cell>
          <cell r="DD160">
            <v>25</v>
          </cell>
          <cell r="DE160">
            <v>33</v>
          </cell>
          <cell r="DF160">
            <v>44</v>
          </cell>
          <cell r="DG160">
            <v>23</v>
          </cell>
          <cell r="DH160">
            <v>38</v>
          </cell>
          <cell r="DI160">
            <v>35</v>
          </cell>
          <cell r="DJ160">
            <v>20</v>
          </cell>
          <cell r="DK160">
            <v>26</v>
          </cell>
          <cell r="DL160">
            <v>38</v>
          </cell>
          <cell r="DM160">
            <v>41</v>
          </cell>
          <cell r="DN160">
            <v>43</v>
          </cell>
          <cell r="DO160">
            <v>34</v>
          </cell>
          <cell r="DP160">
            <v>29</v>
          </cell>
          <cell r="DQ160">
            <v>21</v>
          </cell>
          <cell r="DR160">
            <v>35</v>
          </cell>
          <cell r="DS160">
            <v>49</v>
          </cell>
          <cell r="DT160">
            <v>35</v>
          </cell>
          <cell r="DU160">
            <v>48</v>
          </cell>
          <cell r="DV160">
            <v>23</v>
          </cell>
          <cell r="DW160">
            <v>44</v>
          </cell>
          <cell r="DX160">
            <v>32</v>
          </cell>
          <cell r="DY160">
            <v>31</v>
          </cell>
          <cell r="DZ160">
            <v>35</v>
          </cell>
          <cell r="EA160">
            <v>46</v>
          </cell>
          <cell r="EB160">
            <v>41</v>
          </cell>
          <cell r="EC160">
            <v>50</v>
          </cell>
        </row>
        <row r="161">
          <cell r="CH161">
            <v>19</v>
          </cell>
          <cell r="CI161">
            <v>14</v>
          </cell>
          <cell r="CJ161">
            <v>11</v>
          </cell>
          <cell r="CK161">
            <v>12</v>
          </cell>
          <cell r="CL161">
            <v>9</v>
          </cell>
          <cell r="CM161">
            <v>12</v>
          </cell>
          <cell r="CN161">
            <v>12</v>
          </cell>
          <cell r="CO161">
            <v>20</v>
          </cell>
          <cell r="CP161">
            <v>18</v>
          </cell>
          <cell r="CQ161">
            <v>21</v>
          </cell>
          <cell r="CR161">
            <v>23</v>
          </cell>
          <cell r="CS161">
            <v>13</v>
          </cell>
          <cell r="CT161">
            <v>27</v>
          </cell>
          <cell r="CU161">
            <v>16</v>
          </cell>
          <cell r="CV161">
            <v>10</v>
          </cell>
          <cell r="CW161">
            <v>14</v>
          </cell>
          <cell r="CX161">
            <v>30</v>
          </cell>
          <cell r="CY161">
            <v>8</v>
          </cell>
          <cell r="CZ161">
            <v>15</v>
          </cell>
          <cell r="DA161">
            <v>17</v>
          </cell>
          <cell r="DB161">
            <v>15</v>
          </cell>
          <cell r="DC161">
            <v>16</v>
          </cell>
          <cell r="DD161">
            <v>15</v>
          </cell>
          <cell r="DE161">
            <v>16</v>
          </cell>
          <cell r="DF161">
            <v>19</v>
          </cell>
          <cell r="DG161">
            <v>17</v>
          </cell>
          <cell r="DH161">
            <v>13</v>
          </cell>
          <cell r="DI161">
            <v>13</v>
          </cell>
          <cell r="DJ161">
            <v>17</v>
          </cell>
          <cell r="DK161">
            <v>26</v>
          </cell>
          <cell r="DL161">
            <v>20</v>
          </cell>
          <cell r="DM161">
            <v>16</v>
          </cell>
          <cell r="DN161">
            <v>9</v>
          </cell>
          <cell r="DO161">
            <v>15</v>
          </cell>
          <cell r="DP161">
            <v>7</v>
          </cell>
          <cell r="DQ161">
            <v>10</v>
          </cell>
          <cell r="DR161">
            <v>11</v>
          </cell>
          <cell r="DS161">
            <v>25</v>
          </cell>
          <cell r="DT161">
            <v>16</v>
          </cell>
          <cell r="DU161">
            <v>21</v>
          </cell>
          <cell r="DV161">
            <v>16</v>
          </cell>
          <cell r="DW161">
            <v>11</v>
          </cell>
          <cell r="DX161">
            <v>16</v>
          </cell>
          <cell r="DY161">
            <v>14</v>
          </cell>
          <cell r="DZ161">
            <v>14</v>
          </cell>
          <cell r="EA161">
            <v>13</v>
          </cell>
          <cell r="EB161">
            <v>8</v>
          </cell>
          <cell r="EC161">
            <v>17</v>
          </cell>
        </row>
        <row r="162">
          <cell r="CH162">
            <v>42</v>
          </cell>
          <cell r="CI162">
            <v>51</v>
          </cell>
          <cell r="CJ162">
            <v>43</v>
          </cell>
          <cell r="CK162">
            <v>63</v>
          </cell>
          <cell r="CL162">
            <v>77</v>
          </cell>
          <cell r="CM162">
            <v>61</v>
          </cell>
          <cell r="CN162">
            <v>71</v>
          </cell>
          <cell r="CO162">
            <v>71</v>
          </cell>
          <cell r="CP162">
            <v>51</v>
          </cell>
          <cell r="CQ162">
            <v>74</v>
          </cell>
          <cell r="CR162">
            <v>56</v>
          </cell>
          <cell r="CS162">
            <v>88</v>
          </cell>
          <cell r="CT162">
            <v>72</v>
          </cell>
          <cell r="CU162">
            <v>76</v>
          </cell>
          <cell r="CV162">
            <v>67</v>
          </cell>
          <cell r="CW162">
            <v>93</v>
          </cell>
          <cell r="CX162">
            <v>113</v>
          </cell>
          <cell r="CY162">
            <v>125</v>
          </cell>
          <cell r="CZ162">
            <v>85</v>
          </cell>
          <cell r="DA162">
            <v>96</v>
          </cell>
          <cell r="DB162">
            <v>64</v>
          </cell>
          <cell r="DC162">
            <v>108</v>
          </cell>
          <cell r="DD162">
            <v>111</v>
          </cell>
          <cell r="DE162">
            <v>92</v>
          </cell>
          <cell r="DF162">
            <v>104</v>
          </cell>
          <cell r="DG162">
            <v>108</v>
          </cell>
          <cell r="DH162">
            <v>79</v>
          </cell>
          <cell r="DI162">
            <v>83</v>
          </cell>
          <cell r="DJ162">
            <v>66</v>
          </cell>
          <cell r="DK162">
            <v>61</v>
          </cell>
          <cell r="DL162">
            <v>84</v>
          </cell>
          <cell r="DM162">
            <v>78</v>
          </cell>
          <cell r="DN162">
            <v>56</v>
          </cell>
          <cell r="DO162">
            <v>72</v>
          </cell>
          <cell r="DP162">
            <v>51</v>
          </cell>
          <cell r="DQ162">
            <v>60</v>
          </cell>
          <cell r="DR162">
            <v>55</v>
          </cell>
          <cell r="DS162">
            <v>112</v>
          </cell>
          <cell r="DT162">
            <v>76</v>
          </cell>
          <cell r="DU162">
            <v>72</v>
          </cell>
          <cell r="DV162">
            <v>49</v>
          </cell>
          <cell r="DW162">
            <v>37</v>
          </cell>
          <cell r="DX162">
            <v>88</v>
          </cell>
          <cell r="DY162">
            <v>87</v>
          </cell>
          <cell r="DZ162">
            <v>65</v>
          </cell>
          <cell r="EA162">
            <v>72</v>
          </cell>
          <cell r="EB162">
            <v>40</v>
          </cell>
          <cell r="EC162">
            <v>65</v>
          </cell>
        </row>
        <row r="163">
          <cell r="CH163">
            <v>30</v>
          </cell>
          <cell r="CI163">
            <v>35</v>
          </cell>
          <cell r="CJ163">
            <v>36</v>
          </cell>
          <cell r="CK163">
            <v>37</v>
          </cell>
          <cell r="CL163">
            <v>35</v>
          </cell>
          <cell r="CM163">
            <v>42</v>
          </cell>
          <cell r="CN163">
            <v>45</v>
          </cell>
          <cell r="CO163">
            <v>48</v>
          </cell>
          <cell r="CP163">
            <v>39</v>
          </cell>
          <cell r="CQ163">
            <v>39</v>
          </cell>
          <cell r="CR163">
            <v>30</v>
          </cell>
          <cell r="CS163">
            <v>46</v>
          </cell>
          <cell r="CT163">
            <v>35</v>
          </cell>
          <cell r="CU163">
            <v>47</v>
          </cell>
          <cell r="CV163">
            <v>26</v>
          </cell>
          <cell r="CW163">
            <v>27</v>
          </cell>
          <cell r="CX163">
            <v>41</v>
          </cell>
          <cell r="CY163">
            <v>30</v>
          </cell>
          <cell r="CZ163">
            <v>39</v>
          </cell>
          <cell r="DA163">
            <v>38</v>
          </cell>
          <cell r="DB163">
            <v>33</v>
          </cell>
          <cell r="DC163">
            <v>32</v>
          </cell>
          <cell r="DD163">
            <v>60</v>
          </cell>
          <cell r="DE163">
            <v>45</v>
          </cell>
          <cell r="DF163">
            <v>43</v>
          </cell>
          <cell r="DG163">
            <v>46</v>
          </cell>
          <cell r="DH163">
            <v>38</v>
          </cell>
          <cell r="DI163">
            <v>45</v>
          </cell>
          <cell r="DJ163">
            <v>30</v>
          </cell>
          <cell r="DK163">
            <v>37</v>
          </cell>
          <cell r="DL163">
            <v>46</v>
          </cell>
          <cell r="DM163">
            <v>45</v>
          </cell>
          <cell r="DN163">
            <v>53</v>
          </cell>
          <cell r="DO163">
            <v>52</v>
          </cell>
          <cell r="DP163">
            <v>43</v>
          </cell>
          <cell r="DQ163">
            <v>59</v>
          </cell>
          <cell r="DR163">
            <v>69</v>
          </cell>
          <cell r="DS163">
            <v>76</v>
          </cell>
          <cell r="DT163">
            <v>49</v>
          </cell>
          <cell r="DU163">
            <v>52</v>
          </cell>
          <cell r="DV163">
            <v>76</v>
          </cell>
          <cell r="DW163">
            <v>75</v>
          </cell>
          <cell r="DX163">
            <v>81</v>
          </cell>
          <cell r="DY163">
            <v>43</v>
          </cell>
          <cell r="DZ163">
            <v>38</v>
          </cell>
          <cell r="EA163">
            <v>29</v>
          </cell>
          <cell r="EB163">
            <v>36</v>
          </cell>
          <cell r="EC163">
            <v>41</v>
          </cell>
        </row>
        <row r="164">
          <cell r="CH164">
            <v>76</v>
          </cell>
          <cell r="CI164">
            <v>68</v>
          </cell>
          <cell r="CJ164">
            <v>54</v>
          </cell>
          <cell r="CK164">
            <v>58</v>
          </cell>
          <cell r="CL164">
            <v>53</v>
          </cell>
          <cell r="CM164">
            <v>52</v>
          </cell>
          <cell r="CN164">
            <v>69</v>
          </cell>
          <cell r="CO164">
            <v>49</v>
          </cell>
          <cell r="CP164">
            <v>48</v>
          </cell>
          <cell r="CQ164">
            <v>51</v>
          </cell>
          <cell r="CR164">
            <v>40</v>
          </cell>
          <cell r="CS164">
            <v>42</v>
          </cell>
          <cell r="CT164">
            <v>41</v>
          </cell>
          <cell r="CU164">
            <v>61</v>
          </cell>
          <cell r="CV164">
            <v>60</v>
          </cell>
          <cell r="CW164">
            <v>84</v>
          </cell>
          <cell r="CX164">
            <v>76</v>
          </cell>
          <cell r="CY164">
            <v>50</v>
          </cell>
          <cell r="CZ164">
            <v>75</v>
          </cell>
          <cell r="DA164">
            <v>51</v>
          </cell>
          <cell r="DB164">
            <v>55</v>
          </cell>
          <cell r="DC164">
            <v>48</v>
          </cell>
          <cell r="DD164">
            <v>50</v>
          </cell>
          <cell r="DE164">
            <v>51</v>
          </cell>
          <cell r="DF164">
            <v>58</v>
          </cell>
          <cell r="DG164">
            <v>44</v>
          </cell>
          <cell r="DH164">
            <v>62</v>
          </cell>
          <cell r="DI164">
            <v>70</v>
          </cell>
          <cell r="DJ164">
            <v>61</v>
          </cell>
          <cell r="DK164">
            <v>58</v>
          </cell>
          <cell r="DL164">
            <v>50</v>
          </cell>
          <cell r="DM164">
            <v>44</v>
          </cell>
          <cell r="DN164">
            <v>50</v>
          </cell>
          <cell r="DO164">
            <v>47</v>
          </cell>
          <cell r="DP164">
            <v>39</v>
          </cell>
          <cell r="DQ164">
            <v>46</v>
          </cell>
          <cell r="DR164">
            <v>65</v>
          </cell>
          <cell r="DS164">
            <v>64</v>
          </cell>
          <cell r="DT164">
            <v>53</v>
          </cell>
          <cell r="DU164">
            <v>62</v>
          </cell>
          <cell r="DV164">
            <v>61</v>
          </cell>
          <cell r="DW164">
            <v>68</v>
          </cell>
          <cell r="DX164">
            <v>45</v>
          </cell>
          <cell r="DY164">
            <v>52</v>
          </cell>
          <cell r="DZ164">
            <v>63</v>
          </cell>
          <cell r="EA164">
            <v>49</v>
          </cell>
          <cell r="EB164">
            <v>52</v>
          </cell>
          <cell r="EC164">
            <v>39</v>
          </cell>
        </row>
        <row r="165">
          <cell r="CH165">
            <v>1</v>
          </cell>
          <cell r="CI165">
            <v>1</v>
          </cell>
          <cell r="CJ165">
            <v>6</v>
          </cell>
          <cell r="CK165">
            <v>8</v>
          </cell>
          <cell r="CL165">
            <v>7</v>
          </cell>
          <cell r="CM165">
            <v>2</v>
          </cell>
          <cell r="CN165">
            <v>5</v>
          </cell>
          <cell r="CO165">
            <v>7</v>
          </cell>
          <cell r="CP165">
            <v>1</v>
          </cell>
          <cell r="CQ165">
            <v>3</v>
          </cell>
          <cell r="CR165">
            <v>2</v>
          </cell>
          <cell r="CS165">
            <v>5</v>
          </cell>
          <cell r="CT165">
            <v>2</v>
          </cell>
          <cell r="CU165">
            <v>5</v>
          </cell>
          <cell r="CV165">
            <v>1</v>
          </cell>
          <cell r="CW165">
            <v>4</v>
          </cell>
          <cell r="CX165">
            <v>2</v>
          </cell>
          <cell r="CY165">
            <v>3</v>
          </cell>
          <cell r="CZ165">
            <v>3</v>
          </cell>
          <cell r="DA165">
            <v>7</v>
          </cell>
          <cell r="DB165">
            <v>5</v>
          </cell>
          <cell r="DC165">
            <v>10</v>
          </cell>
          <cell r="DD165">
            <v>4</v>
          </cell>
          <cell r="DE165">
            <v>5</v>
          </cell>
          <cell r="DF165">
            <v>5</v>
          </cell>
          <cell r="DG165">
            <v>7</v>
          </cell>
          <cell r="DH165">
            <v>5</v>
          </cell>
          <cell r="DI165">
            <v>5</v>
          </cell>
          <cell r="DJ165">
            <v>4</v>
          </cell>
          <cell r="DK165">
            <v>5</v>
          </cell>
          <cell r="DL165">
            <v>3</v>
          </cell>
          <cell r="DM165">
            <v>2</v>
          </cell>
          <cell r="DN165">
            <v>3</v>
          </cell>
          <cell r="DO165">
            <v>3</v>
          </cell>
          <cell r="DP165">
            <v>3</v>
          </cell>
          <cell r="DQ165">
            <v>5</v>
          </cell>
          <cell r="DR165">
            <v>1</v>
          </cell>
          <cell r="DS165">
            <v>3</v>
          </cell>
          <cell r="DT165">
            <v>10</v>
          </cell>
          <cell r="DU165">
            <v>7</v>
          </cell>
          <cell r="DV165">
            <v>9</v>
          </cell>
          <cell r="DW165">
            <v>5</v>
          </cell>
          <cell r="DX165">
            <v>5</v>
          </cell>
          <cell r="DY165">
            <v>4</v>
          </cell>
          <cell r="DZ165">
            <v>4</v>
          </cell>
          <cell r="EA165">
            <v>2</v>
          </cell>
          <cell r="EB165">
            <v>9</v>
          </cell>
          <cell r="EC165">
            <v>7</v>
          </cell>
        </row>
        <row r="166">
          <cell r="CH166">
            <v>238</v>
          </cell>
          <cell r="CI166">
            <v>222</v>
          </cell>
          <cell r="CJ166">
            <v>244</v>
          </cell>
          <cell r="CK166">
            <v>295</v>
          </cell>
          <cell r="CL166">
            <v>267</v>
          </cell>
          <cell r="CM166">
            <v>232</v>
          </cell>
          <cell r="CN166">
            <v>243</v>
          </cell>
          <cell r="CO166">
            <v>214</v>
          </cell>
          <cell r="CP166">
            <v>235</v>
          </cell>
          <cell r="CQ166">
            <v>225</v>
          </cell>
          <cell r="CR166">
            <v>199</v>
          </cell>
          <cell r="CS166">
            <v>259</v>
          </cell>
          <cell r="CT166">
            <v>220</v>
          </cell>
          <cell r="CU166">
            <v>253</v>
          </cell>
          <cell r="CV166">
            <v>237</v>
          </cell>
          <cell r="CW166">
            <v>278</v>
          </cell>
          <cell r="CX166">
            <v>249</v>
          </cell>
          <cell r="CY166">
            <v>230</v>
          </cell>
          <cell r="CZ166">
            <v>252</v>
          </cell>
          <cell r="DA166">
            <v>234</v>
          </cell>
          <cell r="DB166">
            <v>242</v>
          </cell>
          <cell r="DC166">
            <v>220</v>
          </cell>
          <cell r="DD166">
            <v>231</v>
          </cell>
          <cell r="DE166">
            <v>282</v>
          </cell>
          <cell r="DF166">
            <v>243</v>
          </cell>
          <cell r="DG166">
            <v>220</v>
          </cell>
          <cell r="DH166">
            <v>293</v>
          </cell>
          <cell r="DI166">
            <v>246</v>
          </cell>
          <cell r="DJ166">
            <v>257</v>
          </cell>
          <cell r="DK166">
            <v>278</v>
          </cell>
          <cell r="DL166">
            <v>275</v>
          </cell>
          <cell r="DM166">
            <v>260</v>
          </cell>
          <cell r="DN166">
            <v>256</v>
          </cell>
          <cell r="DO166">
            <v>238</v>
          </cell>
          <cell r="DP166">
            <v>264</v>
          </cell>
          <cell r="DQ166">
            <v>239</v>
          </cell>
          <cell r="DR166">
            <v>247</v>
          </cell>
          <cell r="DS166">
            <v>265</v>
          </cell>
          <cell r="DT166">
            <v>269</v>
          </cell>
          <cell r="DU166">
            <v>279</v>
          </cell>
          <cell r="DV166">
            <v>245</v>
          </cell>
          <cell r="DW166">
            <v>215</v>
          </cell>
          <cell r="DX166">
            <v>275</v>
          </cell>
          <cell r="DY166">
            <v>247</v>
          </cell>
          <cell r="DZ166">
            <v>237</v>
          </cell>
          <cell r="EA166">
            <v>241</v>
          </cell>
          <cell r="EB166">
            <v>245</v>
          </cell>
          <cell r="EC166">
            <v>247</v>
          </cell>
        </row>
        <row r="168">
          <cell r="CH168">
            <v>7</v>
          </cell>
          <cell r="CI168">
            <v>2</v>
          </cell>
          <cell r="CJ168">
            <v>9</v>
          </cell>
          <cell r="CK168">
            <v>7</v>
          </cell>
          <cell r="CL168">
            <v>7</v>
          </cell>
          <cell r="CM168">
            <v>6</v>
          </cell>
          <cell r="CN168">
            <v>7</v>
          </cell>
          <cell r="CO168">
            <v>5</v>
          </cell>
          <cell r="CP168">
            <v>5</v>
          </cell>
          <cell r="CQ168">
            <v>8</v>
          </cell>
          <cell r="CR168">
            <v>3</v>
          </cell>
          <cell r="CS168">
            <v>2</v>
          </cell>
          <cell r="CT168">
            <v>8</v>
          </cell>
          <cell r="CU168">
            <v>6</v>
          </cell>
          <cell r="CV168">
            <v>6</v>
          </cell>
          <cell r="CW168">
            <v>9</v>
          </cell>
          <cell r="CX168">
            <v>13</v>
          </cell>
          <cell r="CY168">
            <v>4</v>
          </cell>
          <cell r="CZ168">
            <v>6</v>
          </cell>
          <cell r="DA168">
            <v>4</v>
          </cell>
          <cell r="DB168">
            <v>6</v>
          </cell>
          <cell r="DC168">
            <v>3</v>
          </cell>
          <cell r="DD168">
            <v>7</v>
          </cell>
          <cell r="DE168">
            <v>1</v>
          </cell>
          <cell r="DF168">
            <v>4</v>
          </cell>
          <cell r="DG168">
            <v>10</v>
          </cell>
          <cell r="DH168">
            <v>7</v>
          </cell>
          <cell r="DI168">
            <v>5</v>
          </cell>
          <cell r="DJ168">
            <v>6</v>
          </cell>
          <cell r="DK168">
            <v>6</v>
          </cell>
          <cell r="DL168">
            <v>2</v>
          </cell>
          <cell r="DM168">
            <v>10</v>
          </cell>
          <cell r="DN168">
            <v>7</v>
          </cell>
          <cell r="DO168">
            <v>2</v>
          </cell>
          <cell r="DP168">
            <v>10</v>
          </cell>
          <cell r="DQ168">
            <v>10</v>
          </cell>
          <cell r="DR168">
            <v>8</v>
          </cell>
          <cell r="DS168">
            <v>12</v>
          </cell>
          <cell r="DT168">
            <v>7</v>
          </cell>
          <cell r="DU168">
            <v>8</v>
          </cell>
          <cell r="DV168">
            <v>4</v>
          </cell>
          <cell r="DW168">
            <v>6</v>
          </cell>
          <cell r="DX168">
            <v>9</v>
          </cell>
          <cell r="DY168">
            <v>8</v>
          </cell>
          <cell r="DZ168">
            <v>5</v>
          </cell>
          <cell r="EA168">
            <v>4</v>
          </cell>
          <cell r="EB168">
            <v>8</v>
          </cell>
          <cell r="EC168">
            <v>3</v>
          </cell>
        </row>
        <row r="169">
          <cell r="CH169">
            <v>8</v>
          </cell>
          <cell r="CI169">
            <v>11</v>
          </cell>
          <cell r="CJ169">
            <v>13</v>
          </cell>
          <cell r="CK169">
            <v>17</v>
          </cell>
          <cell r="CL169">
            <v>15</v>
          </cell>
          <cell r="CM169">
            <v>7</v>
          </cell>
          <cell r="CN169">
            <v>6</v>
          </cell>
          <cell r="CO169">
            <v>11</v>
          </cell>
          <cell r="CP169">
            <v>9</v>
          </cell>
          <cell r="CQ169">
            <v>8</v>
          </cell>
          <cell r="CR169">
            <v>10</v>
          </cell>
          <cell r="CS169">
            <v>12</v>
          </cell>
          <cell r="CT169">
            <v>11</v>
          </cell>
          <cell r="CU169">
            <v>10</v>
          </cell>
          <cell r="CV169">
            <v>6</v>
          </cell>
          <cell r="CW169">
            <v>15</v>
          </cell>
          <cell r="CX169">
            <v>6</v>
          </cell>
          <cell r="CY169">
            <v>5</v>
          </cell>
          <cell r="CZ169">
            <v>8</v>
          </cell>
          <cell r="DA169">
            <v>10</v>
          </cell>
          <cell r="DB169">
            <v>14</v>
          </cell>
          <cell r="DC169">
            <v>9</v>
          </cell>
          <cell r="DD169">
            <v>8</v>
          </cell>
          <cell r="DE169">
            <v>11</v>
          </cell>
          <cell r="DF169">
            <v>7</v>
          </cell>
          <cell r="DG169">
            <v>8</v>
          </cell>
          <cell r="DH169">
            <v>7</v>
          </cell>
          <cell r="DI169">
            <v>6</v>
          </cell>
          <cell r="DJ169">
            <v>16</v>
          </cell>
          <cell r="DK169">
            <v>19</v>
          </cell>
          <cell r="DL169">
            <v>10</v>
          </cell>
          <cell r="DM169">
            <v>8</v>
          </cell>
          <cell r="DN169">
            <v>8</v>
          </cell>
          <cell r="DO169">
            <v>13</v>
          </cell>
          <cell r="DP169">
            <v>4</v>
          </cell>
          <cell r="DQ169">
            <v>7</v>
          </cell>
          <cell r="DR169">
            <v>6</v>
          </cell>
          <cell r="DS169">
            <v>5</v>
          </cell>
          <cell r="DT169">
            <v>11</v>
          </cell>
          <cell r="DU169">
            <v>9</v>
          </cell>
          <cell r="DV169">
            <v>3</v>
          </cell>
          <cell r="DW169">
            <v>5</v>
          </cell>
          <cell r="DX169">
            <v>9</v>
          </cell>
          <cell r="DY169">
            <v>6</v>
          </cell>
          <cell r="DZ169">
            <v>8</v>
          </cell>
          <cell r="EA169">
            <v>8</v>
          </cell>
          <cell r="EB169">
            <v>9</v>
          </cell>
          <cell r="EC169">
            <v>6</v>
          </cell>
        </row>
        <row r="170">
          <cell r="CJ170">
            <v>1</v>
          </cell>
          <cell r="CT170">
            <v>0</v>
          </cell>
          <cell r="CU170">
            <v>1</v>
          </cell>
          <cell r="CV170">
            <v>1</v>
          </cell>
          <cell r="CW170">
            <v>0</v>
          </cell>
          <cell r="CX170">
            <v>0</v>
          </cell>
          <cell r="CY170">
            <v>0</v>
          </cell>
          <cell r="CZ170">
            <v>0</v>
          </cell>
          <cell r="DA170">
            <v>0</v>
          </cell>
          <cell r="DB170">
            <v>2</v>
          </cell>
          <cell r="DC170">
            <v>0</v>
          </cell>
          <cell r="DD170">
            <v>1</v>
          </cell>
          <cell r="DE170">
            <v>1</v>
          </cell>
          <cell r="DF170">
            <v>1</v>
          </cell>
          <cell r="DG170">
            <v>0</v>
          </cell>
          <cell r="DH170">
            <v>0</v>
          </cell>
          <cell r="DI170">
            <v>1</v>
          </cell>
          <cell r="DJ170">
            <v>0</v>
          </cell>
          <cell r="DK170">
            <v>0</v>
          </cell>
          <cell r="DL170">
            <v>0</v>
          </cell>
          <cell r="DM170">
            <v>0</v>
          </cell>
          <cell r="DN170">
            <v>0</v>
          </cell>
          <cell r="DO170">
            <v>0</v>
          </cell>
          <cell r="DP170">
            <v>0</v>
          </cell>
          <cell r="DQ170">
            <v>0</v>
          </cell>
          <cell r="DR170">
            <v>1</v>
          </cell>
          <cell r="DS170">
            <v>0</v>
          </cell>
          <cell r="DT170">
            <v>1</v>
          </cell>
          <cell r="DU170">
            <v>1</v>
          </cell>
          <cell r="DV170">
            <v>0</v>
          </cell>
          <cell r="DW170">
            <v>0</v>
          </cell>
          <cell r="DX170">
            <v>0</v>
          </cell>
          <cell r="DY170">
            <v>1</v>
          </cell>
          <cell r="DZ170">
            <v>1</v>
          </cell>
          <cell r="EA170">
            <v>0</v>
          </cell>
          <cell r="EB170">
            <v>0</v>
          </cell>
          <cell r="EC170">
            <v>0</v>
          </cell>
        </row>
        <row r="171">
          <cell r="CH171">
            <v>1</v>
          </cell>
          <cell r="CK171">
            <v>1</v>
          </cell>
          <cell r="CT171">
            <v>0</v>
          </cell>
          <cell r="CU171">
            <v>2</v>
          </cell>
          <cell r="CV171">
            <v>1</v>
          </cell>
          <cell r="CW171">
            <v>0</v>
          </cell>
          <cell r="CX171">
            <v>0</v>
          </cell>
          <cell r="CY171">
            <v>0</v>
          </cell>
          <cell r="CZ171">
            <v>0</v>
          </cell>
          <cell r="DA171">
            <v>0</v>
          </cell>
          <cell r="DB171">
            <v>0</v>
          </cell>
          <cell r="DC171">
            <v>0</v>
          </cell>
          <cell r="DD171">
            <v>0</v>
          </cell>
          <cell r="DE171">
            <v>1</v>
          </cell>
          <cell r="DF171">
            <v>0</v>
          </cell>
          <cell r="DG171">
            <v>0</v>
          </cell>
          <cell r="DH171">
            <v>1</v>
          </cell>
          <cell r="DI171">
            <v>3</v>
          </cell>
          <cell r="DJ171">
            <v>1</v>
          </cell>
          <cell r="DK171">
            <v>5</v>
          </cell>
          <cell r="DL171">
            <v>0</v>
          </cell>
          <cell r="DM171">
            <v>0</v>
          </cell>
          <cell r="DN171">
            <v>0</v>
          </cell>
          <cell r="DO171">
            <v>1</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1</v>
          </cell>
        </row>
        <row r="172">
          <cell r="CH172">
            <v>20</v>
          </cell>
          <cell r="CI172">
            <v>13</v>
          </cell>
          <cell r="CJ172">
            <v>22</v>
          </cell>
          <cell r="CK172">
            <v>23</v>
          </cell>
          <cell r="CL172">
            <v>18</v>
          </cell>
          <cell r="CM172">
            <v>20</v>
          </cell>
          <cell r="CN172">
            <v>17</v>
          </cell>
          <cell r="CO172">
            <v>18</v>
          </cell>
          <cell r="CP172">
            <v>24</v>
          </cell>
          <cell r="CQ172">
            <v>21</v>
          </cell>
          <cell r="CR172">
            <v>11</v>
          </cell>
          <cell r="CS172">
            <v>16</v>
          </cell>
          <cell r="CT172">
            <v>33</v>
          </cell>
          <cell r="CU172">
            <v>27</v>
          </cell>
          <cell r="CV172">
            <v>21</v>
          </cell>
          <cell r="CW172">
            <v>31</v>
          </cell>
          <cell r="CX172">
            <v>26</v>
          </cell>
          <cell r="CY172">
            <v>21</v>
          </cell>
          <cell r="CZ172">
            <v>26</v>
          </cell>
          <cell r="DA172">
            <v>23</v>
          </cell>
          <cell r="DB172">
            <v>31</v>
          </cell>
          <cell r="DC172">
            <v>18</v>
          </cell>
          <cell r="DD172">
            <v>28</v>
          </cell>
          <cell r="DE172">
            <v>27</v>
          </cell>
          <cell r="DF172">
            <v>30</v>
          </cell>
          <cell r="DG172">
            <v>16</v>
          </cell>
          <cell r="DH172">
            <v>38</v>
          </cell>
          <cell r="DI172">
            <v>25</v>
          </cell>
          <cell r="DJ172">
            <v>32</v>
          </cell>
          <cell r="DK172">
            <v>23</v>
          </cell>
          <cell r="DL172">
            <v>13</v>
          </cell>
          <cell r="DM172">
            <v>20</v>
          </cell>
          <cell r="DN172">
            <v>21</v>
          </cell>
          <cell r="DO172">
            <v>26</v>
          </cell>
          <cell r="DP172">
            <v>26</v>
          </cell>
          <cell r="DQ172">
            <v>17</v>
          </cell>
          <cell r="DR172">
            <v>29</v>
          </cell>
          <cell r="DS172">
            <v>29</v>
          </cell>
          <cell r="DT172">
            <v>28</v>
          </cell>
          <cell r="DU172">
            <v>26</v>
          </cell>
          <cell r="DV172">
            <v>32</v>
          </cell>
          <cell r="DW172">
            <v>25</v>
          </cell>
          <cell r="DX172">
            <v>27</v>
          </cell>
          <cell r="DY172">
            <v>21</v>
          </cell>
          <cell r="DZ172">
            <v>23</v>
          </cell>
          <cell r="EA172">
            <v>29</v>
          </cell>
          <cell r="EB172">
            <v>24</v>
          </cell>
          <cell r="EC172">
            <v>20</v>
          </cell>
        </row>
        <row r="173">
          <cell r="CH173">
            <v>68</v>
          </cell>
          <cell r="CI173">
            <v>81</v>
          </cell>
          <cell r="CJ173">
            <v>71</v>
          </cell>
          <cell r="CK173">
            <v>66</v>
          </cell>
          <cell r="CL173">
            <v>71</v>
          </cell>
          <cell r="CM173">
            <v>60</v>
          </cell>
          <cell r="CN173">
            <v>60</v>
          </cell>
          <cell r="CO173">
            <v>49</v>
          </cell>
          <cell r="CP173">
            <v>61</v>
          </cell>
          <cell r="CQ173">
            <v>60</v>
          </cell>
          <cell r="CR173">
            <v>58</v>
          </cell>
          <cell r="CS173">
            <v>75</v>
          </cell>
          <cell r="CT173">
            <v>58</v>
          </cell>
          <cell r="CU173">
            <v>67</v>
          </cell>
          <cell r="CV173">
            <v>54</v>
          </cell>
          <cell r="CW173">
            <v>81</v>
          </cell>
          <cell r="CX173">
            <v>43</v>
          </cell>
          <cell r="CY173">
            <v>64</v>
          </cell>
          <cell r="CZ173">
            <v>53</v>
          </cell>
          <cell r="DA173">
            <v>57</v>
          </cell>
          <cell r="DB173">
            <v>64</v>
          </cell>
          <cell r="DC173">
            <v>43</v>
          </cell>
          <cell r="DD173">
            <v>53</v>
          </cell>
          <cell r="DE173">
            <v>69</v>
          </cell>
          <cell r="DF173">
            <v>70</v>
          </cell>
          <cell r="DG173">
            <v>51</v>
          </cell>
          <cell r="DH173">
            <v>53</v>
          </cell>
          <cell r="DI173">
            <v>60</v>
          </cell>
          <cell r="DJ173">
            <v>57</v>
          </cell>
          <cell r="DK173">
            <v>51</v>
          </cell>
          <cell r="DL173">
            <v>55</v>
          </cell>
          <cell r="DM173">
            <v>56</v>
          </cell>
          <cell r="DN173">
            <v>61</v>
          </cell>
          <cell r="DO173">
            <v>55</v>
          </cell>
          <cell r="DP173">
            <v>47</v>
          </cell>
          <cell r="DQ173">
            <v>65</v>
          </cell>
          <cell r="DR173">
            <v>58</v>
          </cell>
          <cell r="DS173">
            <v>47</v>
          </cell>
          <cell r="DT173">
            <v>53</v>
          </cell>
          <cell r="DU173">
            <v>63</v>
          </cell>
          <cell r="DV173">
            <v>56</v>
          </cell>
          <cell r="DW173">
            <v>53</v>
          </cell>
          <cell r="DX173">
            <v>55</v>
          </cell>
          <cell r="DY173">
            <v>54</v>
          </cell>
          <cell r="DZ173">
            <v>60</v>
          </cell>
          <cell r="EA173">
            <v>49</v>
          </cell>
          <cell r="EB173">
            <v>64</v>
          </cell>
          <cell r="EC173">
            <v>61</v>
          </cell>
        </row>
        <row r="175">
          <cell r="CH175">
            <v>4</v>
          </cell>
          <cell r="CI175">
            <v>5</v>
          </cell>
          <cell r="CJ175">
            <v>6</v>
          </cell>
          <cell r="CK175">
            <v>3</v>
          </cell>
          <cell r="CL175">
            <v>1</v>
          </cell>
          <cell r="CM175">
            <v>2</v>
          </cell>
          <cell r="CN175">
            <v>5</v>
          </cell>
          <cell r="CP175">
            <v>1</v>
          </cell>
          <cell r="CQ175">
            <v>4</v>
          </cell>
          <cell r="CR175">
            <v>2</v>
          </cell>
          <cell r="CS175">
            <v>2</v>
          </cell>
          <cell r="CT175">
            <v>5</v>
          </cell>
          <cell r="CU175">
            <v>0</v>
          </cell>
          <cell r="CV175">
            <v>1</v>
          </cell>
          <cell r="CW175">
            <v>1</v>
          </cell>
          <cell r="CX175">
            <v>3</v>
          </cell>
          <cell r="CY175">
            <v>3</v>
          </cell>
          <cell r="CZ175">
            <v>1</v>
          </cell>
          <cell r="DA175">
            <v>5</v>
          </cell>
          <cell r="DB175">
            <v>0</v>
          </cell>
          <cell r="DC175">
            <v>5</v>
          </cell>
          <cell r="DD175">
            <v>2</v>
          </cell>
          <cell r="DE175">
            <v>3</v>
          </cell>
          <cell r="DF175">
            <v>5</v>
          </cell>
          <cell r="DG175">
            <v>5</v>
          </cell>
          <cell r="DH175">
            <v>4</v>
          </cell>
          <cell r="DI175">
            <v>3</v>
          </cell>
          <cell r="DJ175">
            <v>9</v>
          </cell>
          <cell r="DK175">
            <v>5</v>
          </cell>
          <cell r="DL175">
            <v>1</v>
          </cell>
          <cell r="DM175">
            <v>0</v>
          </cell>
          <cell r="DN175">
            <v>2</v>
          </cell>
          <cell r="DO175">
            <v>5</v>
          </cell>
          <cell r="DP175">
            <v>7</v>
          </cell>
          <cell r="DQ175">
            <v>8</v>
          </cell>
          <cell r="DR175">
            <v>6</v>
          </cell>
          <cell r="DS175">
            <v>6</v>
          </cell>
          <cell r="DT175">
            <v>4</v>
          </cell>
          <cell r="DU175">
            <v>4</v>
          </cell>
          <cell r="DV175">
            <v>6</v>
          </cell>
          <cell r="DW175">
            <v>5</v>
          </cell>
          <cell r="DX175">
            <v>5</v>
          </cell>
          <cell r="DY175">
            <v>6</v>
          </cell>
          <cell r="DZ175">
            <v>2</v>
          </cell>
          <cell r="EA175">
            <v>5</v>
          </cell>
          <cell r="EB175">
            <v>4</v>
          </cell>
          <cell r="EC175">
            <v>4</v>
          </cell>
        </row>
        <row r="176">
          <cell r="CH176">
            <v>4</v>
          </cell>
          <cell r="CI176">
            <v>4</v>
          </cell>
          <cell r="CJ176">
            <v>4</v>
          </cell>
          <cell r="CK176">
            <v>2</v>
          </cell>
          <cell r="CM176">
            <v>1</v>
          </cell>
          <cell r="CN176">
            <v>5</v>
          </cell>
          <cell r="CO176">
            <v>1</v>
          </cell>
          <cell r="CP176">
            <v>2</v>
          </cell>
          <cell r="CQ176">
            <v>1</v>
          </cell>
          <cell r="CR176">
            <v>2</v>
          </cell>
          <cell r="CS176">
            <v>2</v>
          </cell>
          <cell r="CT176">
            <v>3</v>
          </cell>
          <cell r="CU176">
            <v>4</v>
          </cell>
          <cell r="CV176">
            <v>0</v>
          </cell>
          <cell r="CW176">
            <v>0</v>
          </cell>
          <cell r="CX176">
            <v>5</v>
          </cell>
          <cell r="CY176">
            <v>2</v>
          </cell>
          <cell r="CZ176">
            <v>2</v>
          </cell>
          <cell r="DA176">
            <v>1</v>
          </cell>
          <cell r="DB176">
            <v>3</v>
          </cell>
          <cell r="DC176">
            <v>3</v>
          </cell>
          <cell r="DD176">
            <v>3</v>
          </cell>
          <cell r="DE176">
            <v>3</v>
          </cell>
          <cell r="DF176">
            <v>2</v>
          </cell>
          <cell r="DG176">
            <v>2</v>
          </cell>
          <cell r="DH176">
            <v>2</v>
          </cell>
          <cell r="DI176">
            <v>0</v>
          </cell>
          <cell r="DJ176">
            <v>6</v>
          </cell>
          <cell r="DK176">
            <v>0</v>
          </cell>
          <cell r="DL176">
            <v>2</v>
          </cell>
          <cell r="DM176">
            <v>3</v>
          </cell>
          <cell r="DN176">
            <v>2</v>
          </cell>
          <cell r="DO176">
            <v>2</v>
          </cell>
          <cell r="DP176">
            <v>1</v>
          </cell>
          <cell r="DQ176">
            <v>2</v>
          </cell>
          <cell r="DR176">
            <v>2</v>
          </cell>
          <cell r="DS176">
            <v>4</v>
          </cell>
          <cell r="DT176">
            <v>9</v>
          </cell>
          <cell r="DU176">
            <v>4</v>
          </cell>
          <cell r="DV176">
            <v>5</v>
          </cell>
          <cell r="DW176">
            <v>1</v>
          </cell>
          <cell r="DX176">
            <v>8</v>
          </cell>
          <cell r="DY176">
            <v>2</v>
          </cell>
          <cell r="DZ176">
            <v>3</v>
          </cell>
          <cell r="EA176">
            <v>2</v>
          </cell>
          <cell r="EB176">
            <v>3</v>
          </cell>
          <cell r="EC176">
            <v>2</v>
          </cell>
        </row>
        <row r="178">
          <cell r="AL178">
            <v>0</v>
          </cell>
          <cell r="AM178">
            <v>1</v>
          </cell>
          <cell r="AN178">
            <v>1</v>
          </cell>
          <cell r="AO178">
            <v>3</v>
          </cell>
          <cell r="AP178">
            <v>2</v>
          </cell>
          <cell r="AQ178">
            <v>0</v>
          </cell>
          <cell r="AR178">
            <v>0</v>
          </cell>
          <cell r="AS178">
            <v>0</v>
          </cell>
          <cell r="AT178">
            <v>0</v>
          </cell>
          <cell r="AU178">
            <v>2</v>
          </cell>
          <cell r="AV178">
            <v>1</v>
          </cell>
          <cell r="AW178">
            <v>2</v>
          </cell>
          <cell r="AX178">
            <v>1</v>
          </cell>
          <cell r="AY178">
            <v>0</v>
          </cell>
          <cell r="AZ178">
            <v>0</v>
          </cell>
          <cell r="BA178">
            <v>0</v>
          </cell>
          <cell r="BB178">
            <v>1</v>
          </cell>
          <cell r="BC178">
            <v>0</v>
          </cell>
          <cell r="BD178">
            <v>0</v>
          </cell>
          <cell r="BE178">
            <v>1</v>
          </cell>
          <cell r="BF178">
            <v>0</v>
          </cell>
          <cell r="BG178">
            <v>0</v>
          </cell>
          <cell r="BH178">
            <v>0</v>
          </cell>
          <cell r="BI178">
            <v>0</v>
          </cell>
          <cell r="BJ178">
            <v>0</v>
          </cell>
          <cell r="BK178">
            <v>0</v>
          </cell>
          <cell r="BL178">
            <v>2</v>
          </cell>
          <cell r="BM178">
            <v>1</v>
          </cell>
          <cell r="BN178">
            <v>0</v>
          </cell>
          <cell r="BO178">
            <v>0</v>
          </cell>
          <cell r="BP178">
            <v>0</v>
          </cell>
          <cell r="BQ178">
            <v>3</v>
          </cell>
          <cell r="BR178">
            <v>1</v>
          </cell>
          <cell r="BS178">
            <v>1</v>
          </cell>
          <cell r="BT178">
            <v>1</v>
          </cell>
          <cell r="BU178">
            <v>3</v>
          </cell>
          <cell r="BV178">
            <v>1</v>
          </cell>
          <cell r="BW178">
            <v>1</v>
          </cell>
          <cell r="BX178">
            <v>0</v>
          </cell>
          <cell r="BY178">
            <v>0</v>
          </cell>
          <cell r="BZ178">
            <v>2</v>
          </cell>
          <cell r="CA178">
            <v>0</v>
          </cell>
          <cell r="CB178">
            <v>0</v>
          </cell>
          <cell r="CC178">
            <v>0</v>
          </cell>
          <cell r="CD178">
            <v>0</v>
          </cell>
          <cell r="CE178">
            <v>0</v>
          </cell>
          <cell r="CF178">
            <v>1</v>
          </cell>
          <cell r="CG178">
            <v>0</v>
          </cell>
          <cell r="CK178">
            <v>1</v>
          </cell>
          <cell r="CN178">
            <v>1</v>
          </cell>
          <cell r="CO178">
            <v>1</v>
          </cell>
          <cell r="CP178">
            <v>2</v>
          </cell>
          <cell r="CQ178">
            <v>1</v>
          </cell>
          <cell r="CR178">
            <v>1</v>
          </cell>
          <cell r="CT178">
            <v>2</v>
          </cell>
          <cell r="CU178">
            <v>0</v>
          </cell>
          <cell r="CV178">
            <v>1</v>
          </cell>
          <cell r="CW178">
            <v>0</v>
          </cell>
          <cell r="CX178">
            <v>1</v>
          </cell>
          <cell r="CY178">
            <v>1</v>
          </cell>
          <cell r="CZ178">
            <v>1</v>
          </cell>
          <cell r="DA178">
            <v>1</v>
          </cell>
          <cell r="DB178">
            <v>0</v>
          </cell>
          <cell r="DC178">
            <v>0</v>
          </cell>
          <cell r="DD178">
            <v>1</v>
          </cell>
          <cell r="DE178">
            <v>2</v>
          </cell>
          <cell r="DF178">
            <v>1</v>
          </cell>
          <cell r="DG178">
            <v>2</v>
          </cell>
          <cell r="DH178">
            <v>1</v>
          </cell>
          <cell r="DI178">
            <v>1</v>
          </cell>
          <cell r="DJ178">
            <v>0</v>
          </cell>
          <cell r="DK178">
            <v>0</v>
          </cell>
          <cell r="DL178">
            <v>1</v>
          </cell>
          <cell r="DM178">
            <v>1</v>
          </cell>
          <cell r="DN178">
            <v>1</v>
          </cell>
          <cell r="DO178">
            <v>1</v>
          </cell>
          <cell r="DP178">
            <v>1</v>
          </cell>
          <cell r="DQ178">
            <v>0</v>
          </cell>
          <cell r="DR178">
            <v>3</v>
          </cell>
          <cell r="DS178">
            <v>2</v>
          </cell>
          <cell r="DT178">
            <v>1</v>
          </cell>
          <cell r="DU178">
            <v>0</v>
          </cell>
          <cell r="DV178">
            <v>0</v>
          </cell>
          <cell r="DW178">
            <v>0</v>
          </cell>
          <cell r="DX178">
            <v>1</v>
          </cell>
          <cell r="DY178">
            <v>2</v>
          </cell>
          <cell r="DZ178">
            <v>0</v>
          </cell>
          <cell r="EA178">
            <v>0</v>
          </cell>
          <cell r="EB178">
            <v>0</v>
          </cell>
          <cell r="EC178">
            <v>1</v>
          </cell>
        </row>
        <row r="179">
          <cell r="CH179">
            <v>12</v>
          </cell>
          <cell r="CI179">
            <v>14</v>
          </cell>
          <cell r="CJ179">
            <v>15</v>
          </cell>
          <cell r="CK179">
            <v>8</v>
          </cell>
          <cell r="CL179">
            <v>13</v>
          </cell>
          <cell r="CM179">
            <v>13</v>
          </cell>
          <cell r="CN179">
            <v>12</v>
          </cell>
          <cell r="CO179">
            <v>10</v>
          </cell>
          <cell r="CP179">
            <v>7</v>
          </cell>
          <cell r="CQ179">
            <v>19</v>
          </cell>
          <cell r="CR179">
            <v>11</v>
          </cell>
          <cell r="CS179">
            <v>9</v>
          </cell>
          <cell r="CT179">
            <v>11</v>
          </cell>
          <cell r="CU179">
            <v>19</v>
          </cell>
          <cell r="CV179">
            <v>17</v>
          </cell>
          <cell r="CW179">
            <v>21</v>
          </cell>
          <cell r="CX179">
            <v>23</v>
          </cell>
          <cell r="CY179">
            <v>21</v>
          </cell>
          <cell r="CZ179">
            <v>17</v>
          </cell>
          <cell r="DA179">
            <v>19</v>
          </cell>
          <cell r="DB179">
            <v>9</v>
          </cell>
          <cell r="DC179">
            <v>24</v>
          </cell>
          <cell r="DD179">
            <v>29</v>
          </cell>
          <cell r="DE179">
            <v>25</v>
          </cell>
          <cell r="DF179">
            <v>17</v>
          </cell>
          <cell r="DG179">
            <v>21</v>
          </cell>
          <cell r="DH179">
            <v>8</v>
          </cell>
          <cell r="DI179">
            <v>11</v>
          </cell>
          <cell r="DJ179">
            <v>9</v>
          </cell>
          <cell r="DK179">
            <v>14</v>
          </cell>
          <cell r="DL179">
            <v>15</v>
          </cell>
          <cell r="DM179">
            <v>19</v>
          </cell>
          <cell r="DN179">
            <v>13</v>
          </cell>
          <cell r="DO179">
            <v>23</v>
          </cell>
          <cell r="DP179">
            <v>19</v>
          </cell>
          <cell r="DQ179">
            <v>15</v>
          </cell>
          <cell r="DR179">
            <v>12</v>
          </cell>
          <cell r="DS179">
            <v>27</v>
          </cell>
          <cell r="DT179">
            <v>7</v>
          </cell>
          <cell r="DU179">
            <v>20</v>
          </cell>
          <cell r="DV179">
            <v>9</v>
          </cell>
          <cell r="DW179">
            <v>4</v>
          </cell>
          <cell r="DX179">
            <v>12</v>
          </cell>
          <cell r="DY179">
            <v>12</v>
          </cell>
          <cell r="DZ179">
            <v>7</v>
          </cell>
          <cell r="EA179">
            <v>11</v>
          </cell>
          <cell r="EB179">
            <v>1</v>
          </cell>
          <cell r="EC179">
            <v>7</v>
          </cell>
        </row>
        <row r="180">
          <cell r="AL180">
            <v>36</v>
          </cell>
          <cell r="AM180">
            <v>40</v>
          </cell>
          <cell r="AN180">
            <v>63</v>
          </cell>
          <cell r="AO180">
            <v>72</v>
          </cell>
          <cell r="AP180">
            <v>50</v>
          </cell>
          <cell r="AQ180">
            <v>45</v>
          </cell>
          <cell r="AR180">
            <v>27</v>
          </cell>
          <cell r="AS180">
            <v>51</v>
          </cell>
          <cell r="AT180">
            <v>28</v>
          </cell>
          <cell r="AU180">
            <v>39</v>
          </cell>
          <cell r="AV180">
            <v>36</v>
          </cell>
          <cell r="AW180">
            <v>35</v>
          </cell>
          <cell r="AX180">
            <v>41</v>
          </cell>
          <cell r="AY180">
            <v>37</v>
          </cell>
          <cell r="AZ180">
            <v>38</v>
          </cell>
          <cell r="BA180">
            <v>37</v>
          </cell>
          <cell r="BB180">
            <v>32</v>
          </cell>
          <cell r="BC180">
            <v>57</v>
          </cell>
          <cell r="BD180">
            <v>45</v>
          </cell>
          <cell r="BE180">
            <v>44</v>
          </cell>
          <cell r="BF180">
            <v>48</v>
          </cell>
          <cell r="BG180">
            <v>58</v>
          </cell>
          <cell r="BH180">
            <v>50</v>
          </cell>
          <cell r="BI180">
            <v>32</v>
          </cell>
          <cell r="BJ180">
            <v>64</v>
          </cell>
          <cell r="BK180">
            <v>68</v>
          </cell>
          <cell r="BL180">
            <v>51</v>
          </cell>
          <cell r="BM180">
            <v>47</v>
          </cell>
          <cell r="BN180">
            <v>32</v>
          </cell>
          <cell r="BO180">
            <v>65</v>
          </cell>
          <cell r="BP180">
            <v>68</v>
          </cell>
          <cell r="BQ180">
            <v>45</v>
          </cell>
          <cell r="BR180">
            <v>41</v>
          </cell>
          <cell r="BS180">
            <v>65</v>
          </cell>
          <cell r="BT180">
            <v>77</v>
          </cell>
          <cell r="BU180">
            <v>43</v>
          </cell>
          <cell r="BV180">
            <v>23</v>
          </cell>
          <cell r="BW180">
            <v>25</v>
          </cell>
          <cell r="BX180">
            <v>18</v>
          </cell>
          <cell r="BY180">
            <v>34</v>
          </cell>
          <cell r="BZ180">
            <v>24</v>
          </cell>
          <cell r="CA180">
            <v>33</v>
          </cell>
          <cell r="CB180">
            <v>51</v>
          </cell>
          <cell r="CC180">
            <v>45</v>
          </cell>
          <cell r="CD180">
            <v>25</v>
          </cell>
          <cell r="CE180">
            <v>22</v>
          </cell>
          <cell r="CF180">
            <v>20</v>
          </cell>
          <cell r="CG180">
            <v>31</v>
          </cell>
          <cell r="CH180">
            <v>27</v>
          </cell>
          <cell r="CI180">
            <v>30</v>
          </cell>
          <cell r="CJ180">
            <v>23</v>
          </cell>
          <cell r="CK180">
            <v>37</v>
          </cell>
          <cell r="CL180">
            <v>53</v>
          </cell>
          <cell r="CM180">
            <v>38</v>
          </cell>
          <cell r="CN180">
            <v>41</v>
          </cell>
          <cell r="CO180">
            <v>49</v>
          </cell>
          <cell r="CP180">
            <v>26</v>
          </cell>
          <cell r="CQ180">
            <v>38</v>
          </cell>
          <cell r="CR180">
            <v>27</v>
          </cell>
          <cell r="CS180">
            <v>60</v>
          </cell>
          <cell r="CT180">
            <v>46</v>
          </cell>
          <cell r="CU180">
            <v>52</v>
          </cell>
          <cell r="CV180">
            <v>37</v>
          </cell>
          <cell r="CW180">
            <v>52</v>
          </cell>
          <cell r="CX180">
            <v>68</v>
          </cell>
          <cell r="CY180">
            <v>81</v>
          </cell>
          <cell r="CZ180">
            <v>51</v>
          </cell>
          <cell r="DA180">
            <v>61</v>
          </cell>
          <cell r="DB180">
            <v>35</v>
          </cell>
          <cell r="DC180">
            <v>69</v>
          </cell>
          <cell r="DD180">
            <v>69</v>
          </cell>
          <cell r="DE180">
            <v>48</v>
          </cell>
          <cell r="DF180">
            <v>65</v>
          </cell>
          <cell r="DG180">
            <v>63</v>
          </cell>
          <cell r="DH180">
            <v>53</v>
          </cell>
          <cell r="DI180">
            <v>59</v>
          </cell>
          <cell r="DJ180">
            <v>45</v>
          </cell>
          <cell r="DK180">
            <v>35</v>
          </cell>
          <cell r="DL180">
            <v>55</v>
          </cell>
          <cell r="DM180">
            <v>46</v>
          </cell>
          <cell r="DN180">
            <v>36</v>
          </cell>
          <cell r="DO180">
            <v>29</v>
          </cell>
          <cell r="DP180">
            <v>19</v>
          </cell>
          <cell r="DQ180">
            <v>25</v>
          </cell>
          <cell r="DR180">
            <v>30</v>
          </cell>
          <cell r="DS180">
            <v>57</v>
          </cell>
          <cell r="DT180">
            <v>52</v>
          </cell>
          <cell r="DU180">
            <v>40</v>
          </cell>
          <cell r="DV180">
            <v>28</v>
          </cell>
          <cell r="DW180">
            <v>16</v>
          </cell>
          <cell r="DX180">
            <v>56</v>
          </cell>
          <cell r="DY180">
            <v>54</v>
          </cell>
          <cell r="DZ180">
            <v>32</v>
          </cell>
          <cell r="EA180">
            <v>30</v>
          </cell>
          <cell r="EB180">
            <v>22</v>
          </cell>
          <cell r="EC180">
            <v>33</v>
          </cell>
        </row>
        <row r="181">
          <cell r="AL181">
            <v>5</v>
          </cell>
          <cell r="AM181">
            <v>14</v>
          </cell>
          <cell r="AN181">
            <v>10</v>
          </cell>
          <cell r="AO181">
            <v>16</v>
          </cell>
          <cell r="AP181">
            <v>17</v>
          </cell>
          <cell r="AQ181">
            <v>12</v>
          </cell>
          <cell r="AR181">
            <v>13</v>
          </cell>
          <cell r="AS181">
            <v>19</v>
          </cell>
          <cell r="AT181">
            <v>9</v>
          </cell>
          <cell r="AU181">
            <v>12</v>
          </cell>
          <cell r="AV181">
            <v>18</v>
          </cell>
          <cell r="AW181">
            <v>17</v>
          </cell>
          <cell r="AX181">
            <v>5</v>
          </cell>
          <cell r="AY181">
            <v>16</v>
          </cell>
          <cell r="AZ181">
            <v>7</v>
          </cell>
          <cell r="BA181">
            <v>19</v>
          </cell>
          <cell r="BB181">
            <v>16</v>
          </cell>
          <cell r="BC181">
            <v>15</v>
          </cell>
          <cell r="BD181">
            <v>11</v>
          </cell>
          <cell r="BE181">
            <v>10</v>
          </cell>
          <cell r="BF181">
            <v>19</v>
          </cell>
          <cell r="BG181">
            <v>13</v>
          </cell>
          <cell r="BH181">
            <v>9</v>
          </cell>
          <cell r="BI181">
            <v>14</v>
          </cell>
          <cell r="BJ181">
            <v>14</v>
          </cell>
          <cell r="BK181">
            <v>8</v>
          </cell>
          <cell r="BL181">
            <v>18</v>
          </cell>
          <cell r="BM181">
            <v>13</v>
          </cell>
          <cell r="BN181">
            <v>11</v>
          </cell>
          <cell r="BO181">
            <v>22</v>
          </cell>
          <cell r="BP181">
            <v>9</v>
          </cell>
          <cell r="BQ181">
            <v>8</v>
          </cell>
          <cell r="BR181">
            <v>7</v>
          </cell>
          <cell r="BS181">
            <v>11</v>
          </cell>
          <cell r="BT181">
            <v>8</v>
          </cell>
          <cell r="BU181">
            <v>7</v>
          </cell>
          <cell r="BV181">
            <v>12</v>
          </cell>
          <cell r="BW181">
            <v>8</v>
          </cell>
          <cell r="BX181">
            <v>12</v>
          </cell>
          <cell r="BY181">
            <v>12</v>
          </cell>
          <cell r="BZ181">
            <v>8</v>
          </cell>
          <cell r="CA181">
            <v>12</v>
          </cell>
          <cell r="CB181">
            <v>7</v>
          </cell>
          <cell r="CC181">
            <v>11</v>
          </cell>
          <cell r="CD181">
            <v>10</v>
          </cell>
          <cell r="CE181">
            <v>10</v>
          </cell>
          <cell r="CF181">
            <v>13</v>
          </cell>
          <cell r="CG181">
            <v>15</v>
          </cell>
          <cell r="CH181">
            <v>3</v>
          </cell>
          <cell r="CI181">
            <v>7</v>
          </cell>
          <cell r="CJ181">
            <v>5</v>
          </cell>
          <cell r="CK181">
            <v>17</v>
          </cell>
          <cell r="CL181">
            <v>11</v>
          </cell>
          <cell r="CM181">
            <v>10</v>
          </cell>
          <cell r="CN181">
            <v>17</v>
          </cell>
          <cell r="CO181">
            <v>11</v>
          </cell>
          <cell r="CP181">
            <v>16</v>
          </cell>
          <cell r="CQ181">
            <v>16</v>
          </cell>
          <cell r="CR181">
            <v>17</v>
          </cell>
          <cell r="CS181">
            <v>19</v>
          </cell>
          <cell r="CT181">
            <v>13</v>
          </cell>
          <cell r="CU181">
            <v>5</v>
          </cell>
          <cell r="CV181">
            <v>12</v>
          </cell>
          <cell r="CW181">
            <v>20</v>
          </cell>
          <cell r="CX181">
            <v>21</v>
          </cell>
          <cell r="CY181">
            <v>22</v>
          </cell>
          <cell r="CZ181">
            <v>16</v>
          </cell>
          <cell r="DA181">
            <v>15</v>
          </cell>
          <cell r="DB181">
            <v>20</v>
          </cell>
          <cell r="DC181">
            <v>15</v>
          </cell>
          <cell r="DD181">
            <v>12</v>
          </cell>
          <cell r="DE181">
            <v>17</v>
          </cell>
          <cell r="DF181">
            <v>21</v>
          </cell>
          <cell r="DG181">
            <v>22</v>
          </cell>
          <cell r="DH181">
            <v>17</v>
          </cell>
          <cell r="DI181">
            <v>12</v>
          </cell>
          <cell r="DJ181">
            <v>12</v>
          </cell>
          <cell r="DK181">
            <v>12</v>
          </cell>
          <cell r="DL181">
            <v>13</v>
          </cell>
          <cell r="DM181">
            <v>12</v>
          </cell>
          <cell r="DN181">
            <v>6</v>
          </cell>
          <cell r="DO181">
            <v>19</v>
          </cell>
          <cell r="DP181">
            <v>12</v>
          </cell>
          <cell r="DQ181">
            <v>20</v>
          </cell>
          <cell r="DR181">
            <v>10</v>
          </cell>
          <cell r="DS181">
            <v>26</v>
          </cell>
          <cell r="DT181">
            <v>16</v>
          </cell>
          <cell r="DU181">
            <v>12</v>
          </cell>
          <cell r="DV181">
            <v>12</v>
          </cell>
          <cell r="DW181">
            <v>17</v>
          </cell>
          <cell r="DX181">
            <v>19</v>
          </cell>
          <cell r="DY181">
            <v>19</v>
          </cell>
          <cell r="DZ181">
            <v>26</v>
          </cell>
          <cell r="EA181">
            <v>31</v>
          </cell>
          <cell r="EB181">
            <v>17</v>
          </cell>
          <cell r="EC181">
            <v>24</v>
          </cell>
        </row>
        <row r="182">
          <cell r="CH182">
            <v>42</v>
          </cell>
          <cell r="CI182">
            <v>51</v>
          </cell>
          <cell r="CJ182">
            <v>43</v>
          </cell>
          <cell r="CK182">
            <v>63</v>
          </cell>
          <cell r="CL182">
            <v>77</v>
          </cell>
          <cell r="CM182">
            <v>61</v>
          </cell>
          <cell r="CN182">
            <v>71</v>
          </cell>
          <cell r="CO182">
            <v>71</v>
          </cell>
          <cell r="CP182">
            <v>51</v>
          </cell>
          <cell r="CQ182">
            <v>74</v>
          </cell>
          <cell r="CR182">
            <v>56</v>
          </cell>
          <cell r="CS182">
            <v>88</v>
          </cell>
          <cell r="CT182">
            <v>72</v>
          </cell>
          <cell r="CU182">
            <v>76</v>
          </cell>
          <cell r="CV182">
            <v>67</v>
          </cell>
          <cell r="CW182">
            <v>93</v>
          </cell>
          <cell r="CX182">
            <v>113</v>
          </cell>
          <cell r="CY182">
            <v>125</v>
          </cell>
          <cell r="CZ182">
            <v>85</v>
          </cell>
          <cell r="DA182">
            <v>96</v>
          </cell>
          <cell r="DB182">
            <v>64</v>
          </cell>
          <cell r="DC182">
            <v>108</v>
          </cell>
          <cell r="DD182">
            <v>111</v>
          </cell>
          <cell r="DE182">
            <v>92</v>
          </cell>
          <cell r="DF182">
            <v>104</v>
          </cell>
          <cell r="DG182">
            <v>108</v>
          </cell>
          <cell r="DH182">
            <v>79</v>
          </cell>
          <cell r="DI182">
            <v>83</v>
          </cell>
          <cell r="DJ182">
            <v>66</v>
          </cell>
          <cell r="DK182">
            <v>61</v>
          </cell>
          <cell r="DL182">
            <v>84</v>
          </cell>
          <cell r="DM182">
            <v>78</v>
          </cell>
          <cell r="DN182">
            <v>56</v>
          </cell>
          <cell r="DO182">
            <v>72</v>
          </cell>
          <cell r="DP182">
            <v>51</v>
          </cell>
          <cell r="DQ182">
            <v>60</v>
          </cell>
          <cell r="DR182">
            <v>55</v>
          </cell>
          <cell r="DS182">
            <v>112</v>
          </cell>
          <cell r="DT182">
            <v>76</v>
          </cell>
          <cell r="DU182">
            <v>72</v>
          </cell>
          <cell r="DV182">
            <v>49</v>
          </cell>
          <cell r="DW182">
            <v>37</v>
          </cell>
          <cell r="DX182">
            <v>88</v>
          </cell>
          <cell r="DY182">
            <v>87</v>
          </cell>
          <cell r="DZ182">
            <v>65</v>
          </cell>
          <cell r="EA182">
            <v>72</v>
          </cell>
          <cell r="EB182">
            <v>40</v>
          </cell>
          <cell r="EC182">
            <v>65</v>
          </cell>
        </row>
        <row r="184">
          <cell r="CH184">
            <v>22</v>
          </cell>
          <cell r="CI184">
            <v>13</v>
          </cell>
          <cell r="CJ184">
            <v>21</v>
          </cell>
          <cell r="CK184">
            <v>15</v>
          </cell>
          <cell r="CL184">
            <v>19</v>
          </cell>
          <cell r="CM184">
            <v>11</v>
          </cell>
          <cell r="CN184">
            <v>12</v>
          </cell>
          <cell r="CO184">
            <v>16</v>
          </cell>
          <cell r="CP184">
            <v>18</v>
          </cell>
          <cell r="CQ184">
            <v>4</v>
          </cell>
          <cell r="CR184">
            <v>14</v>
          </cell>
          <cell r="CS184">
            <v>13</v>
          </cell>
          <cell r="CT184">
            <v>13</v>
          </cell>
          <cell r="CU184">
            <v>15</v>
          </cell>
          <cell r="CV184">
            <v>18</v>
          </cell>
          <cell r="CW184">
            <v>24</v>
          </cell>
          <cell r="CX184">
            <v>21</v>
          </cell>
          <cell r="CY184">
            <v>19</v>
          </cell>
          <cell r="CZ184">
            <v>15</v>
          </cell>
          <cell r="DA184">
            <v>20</v>
          </cell>
          <cell r="DB184">
            <v>10</v>
          </cell>
          <cell r="DC184">
            <v>12</v>
          </cell>
          <cell r="DD184">
            <v>12</v>
          </cell>
          <cell r="DE184">
            <v>18</v>
          </cell>
          <cell r="DF184">
            <v>13</v>
          </cell>
          <cell r="DG184">
            <v>11</v>
          </cell>
          <cell r="DH184">
            <v>10</v>
          </cell>
          <cell r="DI184">
            <v>12</v>
          </cell>
          <cell r="DJ184">
            <v>20</v>
          </cell>
          <cell r="DK184">
            <v>12</v>
          </cell>
          <cell r="DL184">
            <v>15</v>
          </cell>
          <cell r="DM184">
            <v>13</v>
          </cell>
          <cell r="DN184">
            <v>18</v>
          </cell>
          <cell r="DO184">
            <v>14</v>
          </cell>
          <cell r="DP184">
            <v>21</v>
          </cell>
          <cell r="DQ184">
            <v>17</v>
          </cell>
          <cell r="DR184">
            <v>9</v>
          </cell>
          <cell r="DS184">
            <v>18</v>
          </cell>
          <cell r="DT184">
            <v>10</v>
          </cell>
          <cell r="DU184">
            <v>15</v>
          </cell>
          <cell r="DV184">
            <v>30</v>
          </cell>
          <cell r="DW184">
            <v>14</v>
          </cell>
          <cell r="DX184">
            <v>13</v>
          </cell>
          <cell r="DY184">
            <v>14</v>
          </cell>
          <cell r="DZ184">
            <v>15</v>
          </cell>
          <cell r="EA184">
            <v>5</v>
          </cell>
          <cell r="EB184">
            <v>13</v>
          </cell>
          <cell r="EC184">
            <v>20</v>
          </cell>
        </row>
        <row r="185">
          <cell r="CH185">
            <v>184</v>
          </cell>
          <cell r="CI185">
            <v>172</v>
          </cell>
          <cell r="CJ185">
            <v>192</v>
          </cell>
          <cell r="CK185">
            <v>187</v>
          </cell>
          <cell r="CL185">
            <v>188</v>
          </cell>
          <cell r="CM185">
            <v>174</v>
          </cell>
          <cell r="CN185">
            <v>159</v>
          </cell>
          <cell r="CO185">
            <v>116</v>
          </cell>
          <cell r="CP185">
            <v>154</v>
          </cell>
          <cell r="CQ185">
            <v>157</v>
          </cell>
          <cell r="CR185">
            <v>132</v>
          </cell>
          <cell r="CS185">
            <v>178</v>
          </cell>
          <cell r="CT185">
            <v>150</v>
          </cell>
          <cell r="CU185">
            <v>184</v>
          </cell>
          <cell r="CV185">
            <v>141</v>
          </cell>
          <cell r="CW185">
            <v>202</v>
          </cell>
          <cell r="CX185">
            <v>159</v>
          </cell>
          <cell r="CY185">
            <v>162</v>
          </cell>
          <cell r="CZ185">
            <v>147</v>
          </cell>
          <cell r="DA185">
            <v>150</v>
          </cell>
          <cell r="DB185">
            <v>170</v>
          </cell>
          <cell r="DC185">
            <v>128</v>
          </cell>
          <cell r="DD185">
            <v>147</v>
          </cell>
          <cell r="DE185">
            <v>175</v>
          </cell>
          <cell r="DF185">
            <v>199</v>
          </cell>
          <cell r="DG185">
            <v>148</v>
          </cell>
          <cell r="DH185">
            <v>189</v>
          </cell>
          <cell r="DI185">
            <v>163</v>
          </cell>
          <cell r="DJ185">
            <v>166</v>
          </cell>
          <cell r="DK185">
            <v>153</v>
          </cell>
          <cell r="DL185">
            <v>150</v>
          </cell>
          <cell r="DM185">
            <v>154</v>
          </cell>
          <cell r="DN185">
            <v>172</v>
          </cell>
          <cell r="DO185">
            <v>153</v>
          </cell>
          <cell r="DP185">
            <v>159</v>
          </cell>
          <cell r="DQ185">
            <v>175</v>
          </cell>
          <cell r="DR185">
            <v>151</v>
          </cell>
          <cell r="DS185">
            <v>170</v>
          </cell>
          <cell r="DT185">
            <v>164</v>
          </cell>
          <cell r="DU185">
            <v>177</v>
          </cell>
          <cell r="DV185">
            <v>161</v>
          </cell>
          <cell r="DW185">
            <v>170</v>
          </cell>
          <cell r="DX185">
            <v>166</v>
          </cell>
          <cell r="DY185">
            <v>140</v>
          </cell>
          <cell r="DZ185">
            <v>182</v>
          </cell>
          <cell r="EA185">
            <v>146</v>
          </cell>
          <cell r="EB185">
            <v>171</v>
          </cell>
          <cell r="EC185">
            <v>180</v>
          </cell>
        </row>
        <row r="186">
          <cell r="CH186">
            <v>117</v>
          </cell>
          <cell r="CI186">
            <v>94</v>
          </cell>
          <cell r="CJ186">
            <v>89</v>
          </cell>
          <cell r="CK186">
            <v>104</v>
          </cell>
          <cell r="CL186">
            <v>93</v>
          </cell>
          <cell r="CM186">
            <v>86</v>
          </cell>
          <cell r="CN186">
            <v>85</v>
          </cell>
          <cell r="CO186">
            <v>100</v>
          </cell>
          <cell r="CP186">
            <v>78</v>
          </cell>
          <cell r="CQ186">
            <v>88</v>
          </cell>
          <cell r="CR186">
            <v>101</v>
          </cell>
          <cell r="CS186">
            <v>77</v>
          </cell>
          <cell r="CT186">
            <v>98</v>
          </cell>
          <cell r="CU186">
            <v>120</v>
          </cell>
          <cell r="CV186">
            <v>95</v>
          </cell>
          <cell r="CW186">
            <v>106</v>
          </cell>
          <cell r="CX186">
            <v>126</v>
          </cell>
          <cell r="CY186">
            <v>115</v>
          </cell>
          <cell r="CZ186">
            <v>114</v>
          </cell>
          <cell r="DA186">
            <v>110</v>
          </cell>
          <cell r="DB186">
            <v>114</v>
          </cell>
          <cell r="DC186">
            <v>100</v>
          </cell>
          <cell r="DD186">
            <v>96</v>
          </cell>
          <cell r="DE186">
            <v>120</v>
          </cell>
          <cell r="DF186">
            <v>113</v>
          </cell>
          <cell r="DG186">
            <v>130</v>
          </cell>
          <cell r="DH186">
            <v>111</v>
          </cell>
          <cell r="DI186">
            <v>115</v>
          </cell>
          <cell r="DJ186">
            <v>115</v>
          </cell>
          <cell r="DK186">
            <v>108</v>
          </cell>
          <cell r="DL186">
            <v>111</v>
          </cell>
          <cell r="DM186">
            <v>110</v>
          </cell>
          <cell r="DN186">
            <v>97</v>
          </cell>
          <cell r="DO186">
            <v>98</v>
          </cell>
          <cell r="DP186">
            <v>106</v>
          </cell>
          <cell r="DQ186">
            <v>104</v>
          </cell>
          <cell r="DR186">
            <v>90</v>
          </cell>
          <cell r="DS186">
            <v>96</v>
          </cell>
          <cell r="DT186">
            <v>89</v>
          </cell>
          <cell r="DU186">
            <v>96</v>
          </cell>
          <cell r="DV186">
            <v>85</v>
          </cell>
          <cell r="DW186">
            <v>97</v>
          </cell>
          <cell r="DX186">
            <v>92</v>
          </cell>
          <cell r="DY186">
            <v>85</v>
          </cell>
          <cell r="DZ186">
            <v>101</v>
          </cell>
          <cell r="EA186">
            <v>105</v>
          </cell>
          <cell r="EB186">
            <v>96</v>
          </cell>
          <cell r="EC186">
            <v>93</v>
          </cell>
        </row>
        <row r="187">
          <cell r="CI187">
            <v>1</v>
          </cell>
          <cell r="CL187">
            <v>1</v>
          </cell>
          <cell r="CN187">
            <v>1</v>
          </cell>
          <cell r="CQ187">
            <v>6</v>
          </cell>
          <cell r="CS187">
            <v>1</v>
          </cell>
          <cell r="CT187">
            <v>1</v>
          </cell>
          <cell r="CU187">
            <v>1</v>
          </cell>
          <cell r="CV187">
            <v>1</v>
          </cell>
          <cell r="CW187">
            <v>4</v>
          </cell>
          <cell r="CX187">
            <v>6</v>
          </cell>
          <cell r="CY187">
            <v>4</v>
          </cell>
          <cell r="CZ187">
            <v>5</v>
          </cell>
          <cell r="DA187">
            <v>1</v>
          </cell>
          <cell r="DB187">
            <v>5</v>
          </cell>
          <cell r="DC187">
            <v>10</v>
          </cell>
          <cell r="DD187">
            <v>4</v>
          </cell>
          <cell r="DE187">
            <v>9</v>
          </cell>
          <cell r="DF187">
            <v>0</v>
          </cell>
          <cell r="DG187">
            <v>3</v>
          </cell>
          <cell r="DH187">
            <v>0</v>
          </cell>
          <cell r="DI187">
            <v>0</v>
          </cell>
          <cell r="DJ187">
            <v>0</v>
          </cell>
          <cell r="DK187">
            <v>1</v>
          </cell>
          <cell r="DL187">
            <v>0</v>
          </cell>
          <cell r="DM187">
            <v>2</v>
          </cell>
          <cell r="DN187">
            <v>4</v>
          </cell>
          <cell r="DO187">
            <v>6</v>
          </cell>
          <cell r="DP187">
            <v>1</v>
          </cell>
          <cell r="DQ187">
            <v>4</v>
          </cell>
          <cell r="DR187">
            <v>6</v>
          </cell>
          <cell r="DS187">
            <v>5</v>
          </cell>
          <cell r="DT187">
            <v>1</v>
          </cell>
          <cell r="DU187">
            <v>0</v>
          </cell>
          <cell r="DV187">
            <v>2</v>
          </cell>
          <cell r="DW187">
            <v>2</v>
          </cell>
          <cell r="DX187">
            <v>5</v>
          </cell>
          <cell r="DY187">
            <v>2</v>
          </cell>
          <cell r="DZ187">
            <v>2</v>
          </cell>
          <cell r="EA187">
            <v>1</v>
          </cell>
          <cell r="EB187">
            <v>7</v>
          </cell>
          <cell r="EC187">
            <v>4</v>
          </cell>
        </row>
        <row r="189">
          <cell r="CH189">
            <v>86</v>
          </cell>
          <cell r="CI189">
            <v>78</v>
          </cell>
          <cell r="CJ189">
            <v>90</v>
          </cell>
          <cell r="CK189">
            <v>96</v>
          </cell>
          <cell r="CL189">
            <v>79</v>
          </cell>
          <cell r="CM189">
            <v>104</v>
          </cell>
          <cell r="CN189">
            <v>77</v>
          </cell>
          <cell r="CO189">
            <v>95</v>
          </cell>
          <cell r="CP189">
            <v>77</v>
          </cell>
          <cell r="CQ189">
            <v>93</v>
          </cell>
          <cell r="CR189">
            <v>75</v>
          </cell>
          <cell r="CS189">
            <v>92</v>
          </cell>
          <cell r="CT189">
            <v>97</v>
          </cell>
          <cell r="CU189">
            <v>110</v>
          </cell>
          <cell r="CV189">
            <v>92</v>
          </cell>
          <cell r="CW189">
            <v>79</v>
          </cell>
          <cell r="CX189">
            <v>113</v>
          </cell>
          <cell r="CY189">
            <v>83</v>
          </cell>
          <cell r="CZ189">
            <v>102</v>
          </cell>
          <cell r="DA189">
            <v>113</v>
          </cell>
          <cell r="DB189">
            <v>100</v>
          </cell>
          <cell r="DC189">
            <v>97</v>
          </cell>
          <cell r="DD189">
            <v>147</v>
          </cell>
          <cell r="DE189">
            <v>117</v>
          </cell>
          <cell r="DF189">
            <v>105</v>
          </cell>
          <cell r="DG189">
            <v>123</v>
          </cell>
          <cell r="DH189">
            <v>92</v>
          </cell>
          <cell r="DI189">
            <v>116</v>
          </cell>
          <cell r="DJ189">
            <v>86</v>
          </cell>
          <cell r="DK189">
            <v>90</v>
          </cell>
          <cell r="DL189">
            <v>111</v>
          </cell>
          <cell r="DM189">
            <v>121</v>
          </cell>
          <cell r="DN189">
            <v>100</v>
          </cell>
          <cell r="DO189">
            <v>136</v>
          </cell>
          <cell r="DP189">
            <v>98</v>
          </cell>
          <cell r="DQ189">
            <v>116</v>
          </cell>
          <cell r="DR189">
            <v>141</v>
          </cell>
          <cell r="DS189">
            <v>166</v>
          </cell>
          <cell r="DT189">
            <v>116</v>
          </cell>
          <cell r="DU189">
            <v>116</v>
          </cell>
          <cell r="DV189">
            <v>144</v>
          </cell>
          <cell r="DW189">
            <v>134</v>
          </cell>
          <cell r="DX189">
            <v>141</v>
          </cell>
          <cell r="DY189">
            <v>98</v>
          </cell>
          <cell r="DZ189">
            <v>83</v>
          </cell>
          <cell r="EA189">
            <v>75</v>
          </cell>
          <cell r="EB189">
            <v>83</v>
          </cell>
          <cell r="EC189">
            <v>85</v>
          </cell>
        </row>
        <row r="191">
          <cell r="CH191">
            <v>14</v>
          </cell>
          <cell r="CI191">
            <v>9</v>
          </cell>
          <cell r="CJ191">
            <v>10</v>
          </cell>
          <cell r="CK191">
            <v>20</v>
          </cell>
          <cell r="CL191">
            <v>15</v>
          </cell>
          <cell r="CM191">
            <v>23</v>
          </cell>
          <cell r="CN191">
            <v>27</v>
          </cell>
          <cell r="CO191">
            <v>31</v>
          </cell>
          <cell r="CP191">
            <v>16</v>
          </cell>
          <cell r="CQ191">
            <v>12</v>
          </cell>
          <cell r="CR191">
            <v>19</v>
          </cell>
          <cell r="CS191">
            <v>23</v>
          </cell>
          <cell r="CT191">
            <v>23</v>
          </cell>
          <cell r="CU191">
            <v>18</v>
          </cell>
          <cell r="CV191">
            <v>26</v>
          </cell>
          <cell r="CW191">
            <v>22</v>
          </cell>
          <cell r="CX191">
            <v>19</v>
          </cell>
          <cell r="CY191">
            <v>30</v>
          </cell>
          <cell r="CZ191">
            <v>23</v>
          </cell>
          <cell r="DA191">
            <v>36</v>
          </cell>
          <cell r="DB191">
            <v>19</v>
          </cell>
          <cell r="DC191">
            <v>20</v>
          </cell>
          <cell r="DD191">
            <v>18</v>
          </cell>
          <cell r="DE191">
            <v>26</v>
          </cell>
          <cell r="DF191">
            <v>34</v>
          </cell>
          <cell r="DG191">
            <v>17</v>
          </cell>
          <cell r="DH191">
            <v>25</v>
          </cell>
          <cell r="DI191">
            <v>21</v>
          </cell>
          <cell r="DJ191">
            <v>14</v>
          </cell>
          <cell r="DK191">
            <v>17</v>
          </cell>
          <cell r="DL191">
            <v>11</v>
          </cell>
          <cell r="DM191">
            <v>20</v>
          </cell>
          <cell r="DN191">
            <v>36</v>
          </cell>
          <cell r="DO191">
            <v>26</v>
          </cell>
          <cell r="DP191">
            <v>21</v>
          </cell>
          <cell r="DQ191">
            <v>15</v>
          </cell>
          <cell r="DR191">
            <v>22</v>
          </cell>
          <cell r="DS191">
            <v>25</v>
          </cell>
          <cell r="DT191">
            <v>21</v>
          </cell>
          <cell r="DU191">
            <v>40</v>
          </cell>
          <cell r="DV191">
            <v>14</v>
          </cell>
          <cell r="DW191">
            <v>32</v>
          </cell>
          <cell r="DX191">
            <v>20</v>
          </cell>
          <cell r="DY191">
            <v>24</v>
          </cell>
          <cell r="DZ191">
            <v>20</v>
          </cell>
          <cell r="EA191">
            <v>20</v>
          </cell>
          <cell r="EB191">
            <v>35</v>
          </cell>
          <cell r="EC191">
            <v>34</v>
          </cell>
        </row>
        <row r="202">
          <cell r="CH202">
            <v>630</v>
          </cell>
          <cell r="CI202">
            <v>773</v>
          </cell>
          <cell r="CJ202">
            <v>865</v>
          </cell>
          <cell r="CK202">
            <v>868</v>
          </cell>
          <cell r="CL202">
            <v>882</v>
          </cell>
          <cell r="CM202">
            <v>790</v>
          </cell>
          <cell r="CN202">
            <v>870</v>
          </cell>
          <cell r="CO202">
            <v>841</v>
          </cell>
          <cell r="CP202">
            <v>710</v>
          </cell>
          <cell r="CQ202">
            <v>797</v>
          </cell>
          <cell r="CR202">
            <v>726</v>
          </cell>
          <cell r="CS202">
            <v>793</v>
          </cell>
          <cell r="CT202">
            <v>768</v>
          </cell>
          <cell r="CU202">
            <v>861</v>
          </cell>
          <cell r="CV202">
            <v>866</v>
          </cell>
          <cell r="CW202">
            <v>917</v>
          </cell>
          <cell r="CX202">
            <v>915</v>
          </cell>
          <cell r="CY202">
            <v>867</v>
          </cell>
          <cell r="CZ202">
            <v>964</v>
          </cell>
          <cell r="DA202">
            <v>802</v>
          </cell>
          <cell r="DB202">
            <v>665</v>
          </cell>
          <cell r="DC202">
            <v>887</v>
          </cell>
          <cell r="DD202">
            <v>830</v>
          </cell>
          <cell r="DE202">
            <v>766</v>
          </cell>
          <cell r="DF202">
            <v>741</v>
          </cell>
          <cell r="DG202">
            <v>802</v>
          </cell>
          <cell r="DH202">
            <v>872</v>
          </cell>
          <cell r="DI202">
            <v>792</v>
          </cell>
          <cell r="DJ202">
            <v>731</v>
          </cell>
          <cell r="DK202">
            <v>776</v>
          </cell>
          <cell r="DL202">
            <v>755</v>
          </cell>
          <cell r="DM202">
            <v>690</v>
          </cell>
          <cell r="DN202">
            <v>736</v>
          </cell>
          <cell r="DO202">
            <v>796</v>
          </cell>
          <cell r="DP202">
            <v>754</v>
          </cell>
          <cell r="DQ202">
            <v>740</v>
          </cell>
          <cell r="DR202">
            <v>727</v>
          </cell>
          <cell r="DS202">
            <v>804</v>
          </cell>
          <cell r="DT202">
            <v>765</v>
          </cell>
          <cell r="DU202">
            <v>916</v>
          </cell>
          <cell r="DV202">
            <v>774</v>
          </cell>
          <cell r="DW202">
            <v>803</v>
          </cell>
          <cell r="DX202">
            <v>854</v>
          </cell>
          <cell r="DY202">
            <v>681</v>
          </cell>
          <cell r="DZ202">
            <v>671</v>
          </cell>
          <cell r="EA202">
            <v>749</v>
          </cell>
          <cell r="EB202">
            <v>646</v>
          </cell>
          <cell r="EC202">
            <v>820</v>
          </cell>
        </row>
        <row r="204">
          <cell r="AL204">
            <v>102</v>
          </cell>
          <cell r="AM204">
            <v>83</v>
          </cell>
          <cell r="AN204">
            <v>93</v>
          </cell>
          <cell r="AO204">
            <v>97</v>
          </cell>
          <cell r="AP204">
            <v>112</v>
          </cell>
          <cell r="AQ204">
            <v>102</v>
          </cell>
          <cell r="AR204">
            <v>94</v>
          </cell>
          <cell r="AS204">
            <v>87</v>
          </cell>
          <cell r="AT204">
            <v>90</v>
          </cell>
          <cell r="AU204">
            <v>76</v>
          </cell>
          <cell r="AV204">
            <v>63</v>
          </cell>
          <cell r="AW204">
            <v>67</v>
          </cell>
          <cell r="AX204">
            <v>72</v>
          </cell>
          <cell r="AY204">
            <v>90</v>
          </cell>
          <cell r="AZ204">
            <v>86</v>
          </cell>
          <cell r="BA204">
            <v>91</v>
          </cell>
          <cell r="BB204">
            <v>97</v>
          </cell>
          <cell r="BC204">
            <v>82</v>
          </cell>
          <cell r="BD204">
            <v>91</v>
          </cell>
          <cell r="BE204">
            <v>87</v>
          </cell>
          <cell r="BF204">
            <v>95</v>
          </cell>
          <cell r="BG204">
            <v>89</v>
          </cell>
          <cell r="BH204">
            <v>70</v>
          </cell>
          <cell r="BI204">
            <v>101</v>
          </cell>
          <cell r="BJ204">
            <v>78</v>
          </cell>
          <cell r="BK204">
            <v>105</v>
          </cell>
          <cell r="BL204">
            <v>99</v>
          </cell>
          <cell r="BM204">
            <v>88</v>
          </cell>
          <cell r="BN204">
            <v>89</v>
          </cell>
          <cell r="BO204">
            <v>87</v>
          </cell>
          <cell r="BP204">
            <v>85</v>
          </cell>
          <cell r="BQ204">
            <v>92</v>
          </cell>
          <cell r="BR204">
            <v>101</v>
          </cell>
          <cell r="BS204">
            <v>74</v>
          </cell>
          <cell r="BT204">
            <v>69</v>
          </cell>
          <cell r="BU204">
            <v>83</v>
          </cell>
          <cell r="BV204">
            <v>61</v>
          </cell>
          <cell r="BW204">
            <v>72</v>
          </cell>
          <cell r="BX204">
            <v>92</v>
          </cell>
          <cell r="BY204">
            <v>79</v>
          </cell>
          <cell r="BZ204">
            <v>100</v>
          </cell>
          <cell r="CA204">
            <v>89</v>
          </cell>
          <cell r="CB204">
            <v>65</v>
          </cell>
          <cell r="CC204">
            <v>58</v>
          </cell>
          <cell r="CD204">
            <v>64</v>
          </cell>
          <cell r="CE204">
            <v>61</v>
          </cell>
          <cell r="CF204">
            <v>56</v>
          </cell>
          <cell r="CG204">
            <v>70</v>
          </cell>
          <cell r="CH204">
            <v>50</v>
          </cell>
          <cell r="CI204">
            <v>85</v>
          </cell>
          <cell r="CJ204">
            <v>103</v>
          </cell>
          <cell r="CK204">
            <v>105</v>
          </cell>
          <cell r="CL204">
            <v>110</v>
          </cell>
          <cell r="CM204">
            <v>91</v>
          </cell>
          <cell r="CN204">
            <v>87</v>
          </cell>
          <cell r="CO204">
            <v>86</v>
          </cell>
          <cell r="CP204">
            <v>91</v>
          </cell>
          <cell r="CQ204">
            <v>88</v>
          </cell>
          <cell r="CR204">
            <v>94</v>
          </cell>
          <cell r="CS204">
            <v>78</v>
          </cell>
          <cell r="CT204">
            <v>79</v>
          </cell>
          <cell r="CU204">
            <v>110</v>
          </cell>
          <cell r="CV204">
            <v>105</v>
          </cell>
          <cell r="CW204">
            <v>99</v>
          </cell>
          <cell r="CX204">
            <v>99</v>
          </cell>
          <cell r="CY204">
            <v>91</v>
          </cell>
          <cell r="CZ204">
            <v>95</v>
          </cell>
          <cell r="DA204">
            <v>79</v>
          </cell>
          <cell r="DB204">
            <v>96</v>
          </cell>
          <cell r="DC204">
            <v>87</v>
          </cell>
          <cell r="DD204">
            <v>80</v>
          </cell>
          <cell r="DE204">
            <v>90</v>
          </cell>
          <cell r="DF204">
            <v>87</v>
          </cell>
          <cell r="DG204">
            <v>100</v>
          </cell>
          <cell r="DH204">
            <v>99</v>
          </cell>
          <cell r="DI204">
            <v>85</v>
          </cell>
          <cell r="DJ204">
            <v>66</v>
          </cell>
          <cell r="DK204">
            <v>88</v>
          </cell>
          <cell r="DL204">
            <v>85</v>
          </cell>
          <cell r="DM204">
            <v>71</v>
          </cell>
          <cell r="DN204">
            <v>87</v>
          </cell>
          <cell r="DO204">
            <v>82</v>
          </cell>
          <cell r="DP204">
            <v>68</v>
          </cell>
          <cell r="DQ204">
            <v>69</v>
          </cell>
          <cell r="DR204">
            <v>88</v>
          </cell>
          <cell r="DS204">
            <v>94</v>
          </cell>
          <cell r="DT204">
            <v>93</v>
          </cell>
          <cell r="DU204">
            <v>102</v>
          </cell>
          <cell r="DV204">
            <v>89</v>
          </cell>
          <cell r="DW204">
            <v>81</v>
          </cell>
          <cell r="DX204">
            <v>82</v>
          </cell>
          <cell r="DY204">
            <v>71</v>
          </cell>
          <cell r="DZ204">
            <v>100</v>
          </cell>
          <cell r="EA204">
            <v>81</v>
          </cell>
          <cell r="EB204">
            <v>61</v>
          </cell>
          <cell r="EC204">
            <v>108</v>
          </cell>
        </row>
        <row r="205">
          <cell r="AL205">
            <v>160</v>
          </cell>
          <cell r="AM205">
            <v>156</v>
          </cell>
          <cell r="AN205">
            <v>190</v>
          </cell>
          <cell r="AO205">
            <v>152</v>
          </cell>
          <cell r="AP205">
            <v>170</v>
          </cell>
          <cell r="AQ205">
            <v>154</v>
          </cell>
          <cell r="AR205">
            <v>157</v>
          </cell>
          <cell r="AS205">
            <v>151</v>
          </cell>
          <cell r="AT205">
            <v>122</v>
          </cell>
          <cell r="AU205">
            <v>143</v>
          </cell>
          <cell r="AV205">
            <v>121</v>
          </cell>
          <cell r="AW205">
            <v>134</v>
          </cell>
          <cell r="AX205">
            <v>171</v>
          </cell>
          <cell r="AY205">
            <v>154</v>
          </cell>
          <cell r="AZ205">
            <v>181</v>
          </cell>
          <cell r="BA205">
            <v>178</v>
          </cell>
          <cell r="BB205">
            <v>183</v>
          </cell>
          <cell r="BC205">
            <v>158</v>
          </cell>
          <cell r="BD205">
            <v>153</v>
          </cell>
          <cell r="BE205">
            <v>200</v>
          </cell>
          <cell r="BF205">
            <v>160</v>
          </cell>
          <cell r="BG205">
            <v>165</v>
          </cell>
          <cell r="BH205">
            <v>160</v>
          </cell>
          <cell r="BI205">
            <v>197</v>
          </cell>
          <cell r="BJ205">
            <v>180</v>
          </cell>
          <cell r="BK205">
            <v>160</v>
          </cell>
          <cell r="BL205">
            <v>152</v>
          </cell>
          <cell r="BM205">
            <v>202</v>
          </cell>
          <cell r="BN205">
            <v>186</v>
          </cell>
          <cell r="BO205">
            <v>213</v>
          </cell>
          <cell r="BP205">
            <v>202</v>
          </cell>
          <cell r="BQ205">
            <v>186</v>
          </cell>
          <cell r="BR205">
            <v>217</v>
          </cell>
          <cell r="BS205">
            <v>194</v>
          </cell>
          <cell r="BT205">
            <v>202</v>
          </cell>
          <cell r="BU205">
            <v>187</v>
          </cell>
          <cell r="BV205">
            <v>143</v>
          </cell>
          <cell r="BW205">
            <v>216</v>
          </cell>
          <cell r="BX205">
            <v>254</v>
          </cell>
          <cell r="BY205">
            <v>239</v>
          </cell>
          <cell r="BZ205">
            <v>246</v>
          </cell>
          <cell r="CA205">
            <v>261</v>
          </cell>
          <cell r="CB205">
            <v>240</v>
          </cell>
          <cell r="CC205">
            <v>210</v>
          </cell>
          <cell r="CD205">
            <v>181</v>
          </cell>
          <cell r="CE205">
            <v>183</v>
          </cell>
          <cell r="CF205">
            <v>150</v>
          </cell>
          <cell r="CG205">
            <v>194</v>
          </cell>
          <cell r="CH205">
            <v>189</v>
          </cell>
          <cell r="CI205">
            <v>203</v>
          </cell>
          <cell r="CJ205">
            <v>255</v>
          </cell>
          <cell r="CK205">
            <v>261</v>
          </cell>
          <cell r="CL205">
            <v>265</v>
          </cell>
          <cell r="CM205">
            <v>240</v>
          </cell>
          <cell r="CN205">
            <v>268</v>
          </cell>
          <cell r="CO205">
            <v>236</v>
          </cell>
          <cell r="CP205">
            <v>195</v>
          </cell>
          <cell r="CQ205">
            <v>227</v>
          </cell>
          <cell r="CR205">
            <v>201</v>
          </cell>
          <cell r="CS205">
            <v>228</v>
          </cell>
          <cell r="CT205">
            <v>248</v>
          </cell>
          <cell r="CU205">
            <v>231</v>
          </cell>
          <cell r="CV205">
            <v>242</v>
          </cell>
          <cell r="CW205">
            <v>228</v>
          </cell>
          <cell r="CX205">
            <v>213</v>
          </cell>
          <cell r="CY205">
            <v>233</v>
          </cell>
          <cell r="CZ205">
            <v>232</v>
          </cell>
          <cell r="DA205">
            <v>220</v>
          </cell>
          <cell r="DB205">
            <v>164</v>
          </cell>
          <cell r="DC205">
            <v>216</v>
          </cell>
          <cell r="DD205">
            <v>206</v>
          </cell>
          <cell r="DE205">
            <v>197</v>
          </cell>
          <cell r="DF205">
            <v>178</v>
          </cell>
          <cell r="DG205">
            <v>177</v>
          </cell>
          <cell r="DH205">
            <v>194</v>
          </cell>
          <cell r="DI205">
            <v>200</v>
          </cell>
          <cell r="DJ205">
            <v>185</v>
          </cell>
          <cell r="DK205">
            <v>182</v>
          </cell>
          <cell r="DL205">
            <v>182</v>
          </cell>
          <cell r="DM205">
            <v>175</v>
          </cell>
          <cell r="DN205">
            <v>164</v>
          </cell>
          <cell r="DO205">
            <v>204</v>
          </cell>
          <cell r="DP205">
            <v>179</v>
          </cell>
          <cell r="DQ205">
            <v>180</v>
          </cell>
          <cell r="DR205">
            <v>160</v>
          </cell>
          <cell r="DS205">
            <v>163</v>
          </cell>
          <cell r="DT205">
            <v>182</v>
          </cell>
          <cell r="DU205">
            <v>211</v>
          </cell>
          <cell r="DV205">
            <v>165</v>
          </cell>
          <cell r="DW205">
            <v>177</v>
          </cell>
          <cell r="DX205">
            <v>197</v>
          </cell>
          <cell r="DY205">
            <v>162</v>
          </cell>
          <cell r="DZ205">
            <v>160</v>
          </cell>
          <cell r="EA205">
            <v>185</v>
          </cell>
          <cell r="EB205">
            <v>173</v>
          </cell>
          <cell r="EC205">
            <v>180</v>
          </cell>
        </row>
        <row r="206">
          <cell r="AL206">
            <v>9</v>
          </cell>
          <cell r="AM206">
            <v>13</v>
          </cell>
          <cell r="AN206">
            <v>14</v>
          </cell>
          <cell r="AO206">
            <v>7</v>
          </cell>
          <cell r="AP206">
            <v>21</v>
          </cell>
          <cell r="AQ206">
            <v>13</v>
          </cell>
          <cell r="AR206">
            <v>9</v>
          </cell>
          <cell r="AS206">
            <v>8</v>
          </cell>
          <cell r="AT206">
            <v>16</v>
          </cell>
          <cell r="AU206">
            <v>8</v>
          </cell>
          <cell r="AV206">
            <v>9</v>
          </cell>
          <cell r="AW206">
            <v>8</v>
          </cell>
          <cell r="AX206">
            <v>8</v>
          </cell>
          <cell r="AY206">
            <v>7</v>
          </cell>
          <cell r="AZ206">
            <v>12</v>
          </cell>
          <cell r="BA206">
            <v>14</v>
          </cell>
          <cell r="BB206">
            <v>9</v>
          </cell>
          <cell r="BC206">
            <v>5</v>
          </cell>
          <cell r="BD206">
            <v>9</v>
          </cell>
          <cell r="BE206">
            <v>9</v>
          </cell>
          <cell r="BF206">
            <v>8</v>
          </cell>
          <cell r="BG206">
            <v>7</v>
          </cell>
          <cell r="BH206">
            <v>8</v>
          </cell>
          <cell r="BI206">
            <v>10</v>
          </cell>
          <cell r="BJ206">
            <v>6</v>
          </cell>
          <cell r="BK206">
            <v>17</v>
          </cell>
          <cell r="BL206">
            <v>8</v>
          </cell>
          <cell r="BM206">
            <v>9</v>
          </cell>
          <cell r="BN206">
            <v>14</v>
          </cell>
          <cell r="BO206">
            <v>15</v>
          </cell>
          <cell r="BP206">
            <v>12</v>
          </cell>
          <cell r="BQ206">
            <v>11</v>
          </cell>
          <cell r="BR206">
            <v>14</v>
          </cell>
          <cell r="BS206">
            <v>9</v>
          </cell>
          <cell r="BT206">
            <v>5</v>
          </cell>
          <cell r="BU206">
            <v>14</v>
          </cell>
          <cell r="BV206">
            <v>7</v>
          </cell>
          <cell r="BW206">
            <v>9</v>
          </cell>
          <cell r="BX206">
            <v>10</v>
          </cell>
          <cell r="BY206">
            <v>11</v>
          </cell>
          <cell r="BZ206">
            <v>5</v>
          </cell>
          <cell r="CA206">
            <v>11</v>
          </cell>
          <cell r="CB206">
            <v>5</v>
          </cell>
          <cell r="CC206">
            <v>10</v>
          </cell>
          <cell r="CD206">
            <v>9</v>
          </cell>
          <cell r="CE206">
            <v>7</v>
          </cell>
          <cell r="CF206">
            <v>6</v>
          </cell>
          <cell r="CG206">
            <v>11</v>
          </cell>
          <cell r="CH206">
            <v>13</v>
          </cell>
          <cell r="CI206">
            <v>8</v>
          </cell>
          <cell r="CJ206">
            <v>12</v>
          </cell>
          <cell r="CK206">
            <v>11</v>
          </cell>
          <cell r="CL206">
            <v>12</v>
          </cell>
          <cell r="CM206">
            <v>10</v>
          </cell>
          <cell r="CN206">
            <v>8</v>
          </cell>
          <cell r="CO206">
            <v>16</v>
          </cell>
          <cell r="CP206">
            <v>8</v>
          </cell>
          <cell r="CQ206">
            <v>12</v>
          </cell>
          <cell r="CR206">
            <v>11</v>
          </cell>
          <cell r="CS206">
            <v>7</v>
          </cell>
          <cell r="CT206">
            <v>9</v>
          </cell>
          <cell r="CU206">
            <v>9</v>
          </cell>
          <cell r="CV206">
            <v>7</v>
          </cell>
          <cell r="CW206">
            <v>14</v>
          </cell>
          <cell r="CX206">
            <v>19</v>
          </cell>
          <cell r="CY206">
            <v>11</v>
          </cell>
          <cell r="CZ206">
            <v>13</v>
          </cell>
          <cell r="DA206">
            <v>6</v>
          </cell>
          <cell r="DB206">
            <v>11</v>
          </cell>
          <cell r="DC206">
            <v>10</v>
          </cell>
          <cell r="DD206">
            <v>14</v>
          </cell>
          <cell r="DE206">
            <v>6</v>
          </cell>
          <cell r="DF206">
            <v>7</v>
          </cell>
          <cell r="DG206">
            <v>12</v>
          </cell>
          <cell r="DH206">
            <v>8</v>
          </cell>
          <cell r="DI206">
            <v>12</v>
          </cell>
          <cell r="DJ206">
            <v>17</v>
          </cell>
          <cell r="DK206">
            <v>13</v>
          </cell>
          <cell r="DL206">
            <v>15</v>
          </cell>
          <cell r="DM206">
            <v>11</v>
          </cell>
          <cell r="DN206">
            <v>8</v>
          </cell>
          <cell r="DO206">
            <v>13</v>
          </cell>
          <cell r="DP206">
            <v>9</v>
          </cell>
          <cell r="DQ206">
            <v>14</v>
          </cell>
          <cell r="DR206">
            <v>16</v>
          </cell>
          <cell r="DS206">
            <v>8</v>
          </cell>
          <cell r="DT206">
            <v>8</v>
          </cell>
          <cell r="DU206">
            <v>13</v>
          </cell>
          <cell r="DV206">
            <v>11</v>
          </cell>
          <cell r="DW206">
            <v>13</v>
          </cell>
          <cell r="DX206">
            <v>18</v>
          </cell>
          <cell r="DY206">
            <v>12</v>
          </cell>
          <cell r="DZ206">
            <v>17</v>
          </cell>
          <cell r="EA206">
            <v>16</v>
          </cell>
          <cell r="EB206">
            <v>9</v>
          </cell>
          <cell r="EC206">
            <v>6</v>
          </cell>
        </row>
        <row r="207">
          <cell r="AL207">
            <v>7</v>
          </cell>
          <cell r="AM207">
            <v>24</v>
          </cell>
          <cell r="AN207">
            <v>23</v>
          </cell>
          <cell r="AO207">
            <v>16</v>
          </cell>
          <cell r="AP207">
            <v>24</v>
          </cell>
          <cell r="AQ207">
            <v>16</v>
          </cell>
          <cell r="AR207">
            <v>17</v>
          </cell>
          <cell r="AS207">
            <v>19</v>
          </cell>
          <cell r="AT207">
            <v>25</v>
          </cell>
          <cell r="AU207">
            <v>17</v>
          </cell>
          <cell r="AV207">
            <v>14</v>
          </cell>
          <cell r="AW207">
            <v>27</v>
          </cell>
          <cell r="AX207">
            <v>21</v>
          </cell>
          <cell r="AY207">
            <v>17</v>
          </cell>
          <cell r="AZ207">
            <v>20</v>
          </cell>
          <cell r="BA207">
            <v>21</v>
          </cell>
          <cell r="BB207">
            <v>19</v>
          </cell>
          <cell r="BC207">
            <v>15</v>
          </cell>
          <cell r="BD207">
            <v>14</v>
          </cell>
          <cell r="BE207">
            <v>21</v>
          </cell>
          <cell r="BF207">
            <v>12</v>
          </cell>
          <cell r="BG207">
            <v>16</v>
          </cell>
          <cell r="BH207">
            <v>10</v>
          </cell>
          <cell r="BI207">
            <v>12</v>
          </cell>
          <cell r="BJ207">
            <v>12</v>
          </cell>
          <cell r="BK207">
            <v>16</v>
          </cell>
          <cell r="BL207">
            <v>16</v>
          </cell>
          <cell r="BM207">
            <v>25</v>
          </cell>
          <cell r="BN207">
            <v>14</v>
          </cell>
          <cell r="BO207">
            <v>24</v>
          </cell>
          <cell r="BP207">
            <v>25</v>
          </cell>
          <cell r="BQ207">
            <v>21</v>
          </cell>
          <cell r="BR207">
            <v>24</v>
          </cell>
          <cell r="BS207">
            <v>13</v>
          </cell>
          <cell r="BT207">
            <v>35</v>
          </cell>
          <cell r="BU207">
            <v>17</v>
          </cell>
          <cell r="BV207">
            <v>22</v>
          </cell>
          <cell r="BW207">
            <v>17</v>
          </cell>
          <cell r="BX207">
            <v>22</v>
          </cell>
          <cell r="BY207">
            <v>16</v>
          </cell>
          <cell r="BZ207">
            <v>14</v>
          </cell>
          <cell r="CA207">
            <v>19</v>
          </cell>
          <cell r="CB207">
            <v>11</v>
          </cell>
          <cell r="CC207">
            <v>17</v>
          </cell>
          <cell r="CD207">
            <v>19</v>
          </cell>
          <cell r="CE207">
            <v>10</v>
          </cell>
          <cell r="CF207">
            <v>18</v>
          </cell>
          <cell r="CG207">
            <v>21</v>
          </cell>
          <cell r="CH207">
            <v>13</v>
          </cell>
          <cell r="CI207">
            <v>27</v>
          </cell>
          <cell r="CJ207">
            <v>28</v>
          </cell>
          <cell r="CK207">
            <v>18</v>
          </cell>
          <cell r="CL207">
            <v>18</v>
          </cell>
          <cell r="CM207">
            <v>22</v>
          </cell>
          <cell r="CN207">
            <v>23</v>
          </cell>
          <cell r="CO207">
            <v>27</v>
          </cell>
          <cell r="CP207">
            <v>10</v>
          </cell>
          <cell r="CQ207">
            <v>14</v>
          </cell>
          <cell r="CR207">
            <v>10</v>
          </cell>
          <cell r="CS207">
            <v>22</v>
          </cell>
          <cell r="CT207">
            <v>26</v>
          </cell>
          <cell r="CU207">
            <v>18</v>
          </cell>
          <cell r="CV207">
            <v>30</v>
          </cell>
          <cell r="CW207">
            <v>31</v>
          </cell>
          <cell r="CX207">
            <v>21</v>
          </cell>
          <cell r="CY207">
            <v>17</v>
          </cell>
          <cell r="CZ207">
            <v>31</v>
          </cell>
          <cell r="DA207">
            <v>26</v>
          </cell>
          <cell r="DB207">
            <v>10</v>
          </cell>
          <cell r="DC207">
            <v>30</v>
          </cell>
          <cell r="DD207">
            <v>26</v>
          </cell>
          <cell r="DE207">
            <v>23</v>
          </cell>
          <cell r="DF207">
            <v>9</v>
          </cell>
          <cell r="DG207">
            <v>10</v>
          </cell>
          <cell r="DH207">
            <v>28</v>
          </cell>
          <cell r="DI207">
            <v>23</v>
          </cell>
          <cell r="DJ207">
            <v>15</v>
          </cell>
          <cell r="DK207">
            <v>19</v>
          </cell>
          <cell r="DL207">
            <v>26</v>
          </cell>
          <cell r="DM207">
            <v>15</v>
          </cell>
          <cell r="DN207">
            <v>36</v>
          </cell>
          <cell r="DO207">
            <v>16</v>
          </cell>
          <cell r="DP207">
            <v>39</v>
          </cell>
          <cell r="DQ207">
            <v>22</v>
          </cell>
          <cell r="DR207">
            <v>19</v>
          </cell>
          <cell r="DS207">
            <v>39</v>
          </cell>
          <cell r="DT207">
            <v>27</v>
          </cell>
          <cell r="DU207">
            <v>24</v>
          </cell>
          <cell r="DV207">
            <v>15</v>
          </cell>
          <cell r="DW207">
            <v>19</v>
          </cell>
          <cell r="DX207">
            <v>22</v>
          </cell>
          <cell r="DY207">
            <v>27</v>
          </cell>
          <cell r="DZ207">
            <v>15</v>
          </cell>
          <cell r="EA207">
            <v>23</v>
          </cell>
          <cell r="EB207">
            <v>26</v>
          </cell>
          <cell r="EC207">
            <v>27</v>
          </cell>
        </row>
        <row r="208">
          <cell r="CH208" t="str">
            <v>0</v>
          </cell>
          <cell r="CI208" t="str">
            <v>0</v>
          </cell>
          <cell r="CJ208" t="str">
            <v>0</v>
          </cell>
          <cell r="CK208" t="str">
            <v>0</v>
          </cell>
          <cell r="CL208">
            <v>1</v>
          </cell>
          <cell r="CM208" t="str">
            <v>0</v>
          </cell>
          <cell r="CN208" t="str">
            <v>0</v>
          </cell>
          <cell r="CO208">
            <v>1</v>
          </cell>
          <cell r="CP208" t="str">
            <v>0</v>
          </cell>
          <cell r="CQ208">
            <v>1</v>
          </cell>
          <cell r="CR208">
            <v>1</v>
          </cell>
          <cell r="CS208" t="str">
            <v>0</v>
          </cell>
          <cell r="CT208">
            <v>1</v>
          </cell>
          <cell r="CU208">
            <v>2</v>
          </cell>
          <cell r="CV208">
            <v>2</v>
          </cell>
          <cell r="CW208">
            <v>0</v>
          </cell>
          <cell r="CX208">
            <v>2</v>
          </cell>
          <cell r="CY208">
            <v>0</v>
          </cell>
          <cell r="CZ208">
            <v>1</v>
          </cell>
          <cell r="DA208">
            <v>0</v>
          </cell>
          <cell r="DB208">
            <v>0</v>
          </cell>
          <cell r="DC208">
            <v>1</v>
          </cell>
          <cell r="DD208">
            <v>2</v>
          </cell>
          <cell r="DE208">
            <v>1</v>
          </cell>
          <cell r="DF208">
            <v>0</v>
          </cell>
          <cell r="DG208">
            <v>1</v>
          </cell>
          <cell r="DH208">
            <v>1</v>
          </cell>
          <cell r="DI208">
            <v>1</v>
          </cell>
          <cell r="DJ208">
            <v>2</v>
          </cell>
          <cell r="DK208">
            <v>2</v>
          </cell>
          <cell r="DL208">
            <v>2</v>
          </cell>
          <cell r="DM208">
            <v>0</v>
          </cell>
          <cell r="DN208">
            <v>0</v>
          </cell>
          <cell r="DO208">
            <v>2</v>
          </cell>
          <cell r="DP208">
            <v>0</v>
          </cell>
          <cell r="DQ208">
            <v>1</v>
          </cell>
          <cell r="DR208">
            <v>1</v>
          </cell>
          <cell r="DS208">
            <v>1</v>
          </cell>
          <cell r="DT208">
            <v>1</v>
          </cell>
          <cell r="DU208">
            <v>1</v>
          </cell>
          <cell r="DV208">
            <v>0</v>
          </cell>
          <cell r="DW208">
            <v>2</v>
          </cell>
          <cell r="DX208">
            <v>2</v>
          </cell>
          <cell r="DY208">
            <v>1</v>
          </cell>
          <cell r="DZ208">
            <v>4</v>
          </cell>
          <cell r="EA208">
            <v>4</v>
          </cell>
          <cell r="EB208">
            <v>3</v>
          </cell>
          <cell r="EC208">
            <v>6</v>
          </cell>
        </row>
        <row r="209">
          <cell r="CH209">
            <v>6</v>
          </cell>
          <cell r="CI209">
            <v>3</v>
          </cell>
          <cell r="CJ209">
            <v>6</v>
          </cell>
          <cell r="CK209">
            <v>13</v>
          </cell>
          <cell r="CL209">
            <v>8</v>
          </cell>
          <cell r="CM209">
            <v>4</v>
          </cell>
          <cell r="CN209">
            <v>6</v>
          </cell>
          <cell r="CO209">
            <v>9</v>
          </cell>
          <cell r="CP209">
            <v>2</v>
          </cell>
          <cell r="CQ209">
            <v>8</v>
          </cell>
          <cell r="CR209">
            <v>2</v>
          </cell>
          <cell r="CS209">
            <v>5</v>
          </cell>
          <cell r="CT209">
            <v>9</v>
          </cell>
          <cell r="CU209">
            <v>7</v>
          </cell>
          <cell r="CV209">
            <v>8</v>
          </cell>
          <cell r="CW209">
            <v>9</v>
          </cell>
          <cell r="CX209">
            <v>9</v>
          </cell>
          <cell r="CY209">
            <v>5</v>
          </cell>
          <cell r="CZ209">
            <v>6</v>
          </cell>
          <cell r="DA209">
            <v>4</v>
          </cell>
          <cell r="DB209">
            <v>3</v>
          </cell>
          <cell r="DC209">
            <v>6</v>
          </cell>
          <cell r="DD209">
            <v>11</v>
          </cell>
          <cell r="DE209">
            <v>6</v>
          </cell>
          <cell r="DF209">
            <v>7</v>
          </cell>
          <cell r="DG209">
            <v>10</v>
          </cell>
          <cell r="DH209">
            <v>8</v>
          </cell>
          <cell r="DI209">
            <v>12</v>
          </cell>
          <cell r="DJ209">
            <v>10</v>
          </cell>
          <cell r="DK209">
            <v>3</v>
          </cell>
          <cell r="DL209">
            <v>6</v>
          </cell>
          <cell r="DM209">
            <v>3</v>
          </cell>
          <cell r="DN209">
            <v>6</v>
          </cell>
          <cell r="DO209">
            <v>9</v>
          </cell>
          <cell r="DP209">
            <v>7</v>
          </cell>
          <cell r="DQ209">
            <v>7</v>
          </cell>
          <cell r="DR209">
            <v>4</v>
          </cell>
          <cell r="DS209">
            <v>12</v>
          </cell>
          <cell r="DT209">
            <v>7</v>
          </cell>
          <cell r="DU209">
            <v>4</v>
          </cell>
          <cell r="DV209">
            <v>11</v>
          </cell>
          <cell r="DW209">
            <v>8</v>
          </cell>
          <cell r="DX209">
            <v>4</v>
          </cell>
          <cell r="DY209">
            <v>3</v>
          </cell>
          <cell r="DZ209">
            <v>6</v>
          </cell>
          <cell r="EA209">
            <v>3</v>
          </cell>
          <cell r="EB209">
            <v>3</v>
          </cell>
          <cell r="EC209">
            <v>3</v>
          </cell>
        </row>
        <row r="210">
          <cell r="AL210">
            <v>67</v>
          </cell>
          <cell r="AM210">
            <v>39</v>
          </cell>
          <cell r="AN210">
            <v>61</v>
          </cell>
          <cell r="AO210">
            <v>50</v>
          </cell>
          <cell r="AP210">
            <v>60</v>
          </cell>
          <cell r="AQ210">
            <v>100</v>
          </cell>
          <cell r="AR210">
            <v>89</v>
          </cell>
          <cell r="AS210">
            <v>121</v>
          </cell>
          <cell r="AT210">
            <v>69</v>
          </cell>
          <cell r="AU210">
            <v>76</v>
          </cell>
          <cell r="AV210">
            <v>59</v>
          </cell>
          <cell r="AW210">
            <v>55</v>
          </cell>
          <cell r="AX210">
            <v>48</v>
          </cell>
          <cell r="AY210">
            <v>55</v>
          </cell>
          <cell r="AZ210">
            <v>44</v>
          </cell>
          <cell r="BA210">
            <v>42</v>
          </cell>
          <cell r="BB210">
            <v>70</v>
          </cell>
          <cell r="BC210">
            <v>61</v>
          </cell>
          <cell r="BD210">
            <v>77</v>
          </cell>
          <cell r="BE210">
            <v>93</v>
          </cell>
          <cell r="BF210">
            <v>52</v>
          </cell>
          <cell r="BG210">
            <v>52</v>
          </cell>
          <cell r="BH210">
            <v>22</v>
          </cell>
          <cell r="BI210">
            <v>53</v>
          </cell>
          <cell r="BJ210">
            <v>69</v>
          </cell>
          <cell r="BK210">
            <v>35</v>
          </cell>
          <cell r="BL210">
            <v>48</v>
          </cell>
          <cell r="BM210">
            <v>54</v>
          </cell>
          <cell r="BN210">
            <v>57</v>
          </cell>
          <cell r="BO210">
            <v>66</v>
          </cell>
          <cell r="BP210">
            <v>56</v>
          </cell>
          <cell r="BQ210">
            <v>43</v>
          </cell>
          <cell r="BR210">
            <v>47</v>
          </cell>
          <cell r="BS210">
            <v>49</v>
          </cell>
          <cell r="BT210">
            <v>47</v>
          </cell>
          <cell r="BU210">
            <v>36</v>
          </cell>
          <cell r="BV210">
            <v>33</v>
          </cell>
          <cell r="BW210">
            <v>34</v>
          </cell>
          <cell r="BX210">
            <v>27</v>
          </cell>
          <cell r="BY210">
            <v>36</v>
          </cell>
          <cell r="BZ210">
            <v>60</v>
          </cell>
          <cell r="CA210">
            <v>31</v>
          </cell>
          <cell r="CB210">
            <v>31</v>
          </cell>
          <cell r="CC210">
            <v>28</v>
          </cell>
          <cell r="CD210">
            <v>24</v>
          </cell>
          <cell r="CE210">
            <v>15</v>
          </cell>
          <cell r="CF210">
            <v>19</v>
          </cell>
          <cell r="CG210">
            <v>14</v>
          </cell>
          <cell r="CH210">
            <v>17</v>
          </cell>
          <cell r="CI210">
            <v>21</v>
          </cell>
          <cell r="CJ210">
            <v>37</v>
          </cell>
          <cell r="CK210">
            <v>14</v>
          </cell>
          <cell r="CL210">
            <v>28</v>
          </cell>
          <cell r="CM210">
            <v>29</v>
          </cell>
          <cell r="CN210">
            <v>33</v>
          </cell>
          <cell r="CO210">
            <v>26</v>
          </cell>
          <cell r="CP210">
            <v>23</v>
          </cell>
          <cell r="CQ210">
            <v>29</v>
          </cell>
          <cell r="CR210">
            <v>32</v>
          </cell>
          <cell r="CS210">
            <v>25</v>
          </cell>
          <cell r="CT210">
            <v>35</v>
          </cell>
          <cell r="CU210">
            <v>16</v>
          </cell>
          <cell r="CV210">
            <v>26</v>
          </cell>
          <cell r="CW210">
            <v>36</v>
          </cell>
          <cell r="CX210">
            <v>32</v>
          </cell>
          <cell r="CY210">
            <v>30</v>
          </cell>
          <cell r="CZ210">
            <v>38</v>
          </cell>
          <cell r="DA210">
            <v>34</v>
          </cell>
          <cell r="DB210">
            <v>18</v>
          </cell>
          <cell r="DC210">
            <v>26</v>
          </cell>
          <cell r="DD210">
            <v>27</v>
          </cell>
          <cell r="DE210">
            <v>33</v>
          </cell>
          <cell r="DF210">
            <v>31</v>
          </cell>
          <cell r="DG210">
            <v>25</v>
          </cell>
          <cell r="DH210">
            <v>26</v>
          </cell>
          <cell r="DI210">
            <v>21</v>
          </cell>
          <cell r="DJ210">
            <v>17</v>
          </cell>
          <cell r="DK210">
            <v>29</v>
          </cell>
          <cell r="DL210">
            <v>28</v>
          </cell>
          <cell r="DM210">
            <v>24</v>
          </cell>
          <cell r="DN210">
            <v>23</v>
          </cell>
          <cell r="DO210">
            <v>29</v>
          </cell>
          <cell r="DP210">
            <v>26</v>
          </cell>
          <cell r="DQ210">
            <v>27</v>
          </cell>
          <cell r="DR210">
            <v>21</v>
          </cell>
          <cell r="DS210">
            <v>25</v>
          </cell>
          <cell r="DT210">
            <v>25</v>
          </cell>
          <cell r="DU210">
            <v>25</v>
          </cell>
          <cell r="DV210">
            <v>22</v>
          </cell>
          <cell r="DW210">
            <v>19</v>
          </cell>
          <cell r="DX210">
            <v>31</v>
          </cell>
          <cell r="DY210">
            <v>28</v>
          </cell>
          <cell r="DZ210">
            <v>24</v>
          </cell>
          <cell r="EA210">
            <v>34</v>
          </cell>
          <cell r="EB210">
            <v>18</v>
          </cell>
          <cell r="EC210">
            <v>36</v>
          </cell>
        </row>
        <row r="211">
          <cell r="CH211">
            <v>16</v>
          </cell>
          <cell r="CI211">
            <v>9</v>
          </cell>
          <cell r="CJ211">
            <v>12</v>
          </cell>
          <cell r="CK211">
            <v>8</v>
          </cell>
          <cell r="CL211">
            <v>16</v>
          </cell>
          <cell r="CM211">
            <v>4</v>
          </cell>
          <cell r="CN211">
            <v>6</v>
          </cell>
          <cell r="CO211">
            <v>15</v>
          </cell>
          <cell r="CP211">
            <v>14</v>
          </cell>
          <cell r="CQ211">
            <v>10</v>
          </cell>
          <cell r="CR211">
            <v>8</v>
          </cell>
          <cell r="CS211">
            <v>5</v>
          </cell>
          <cell r="CT211">
            <v>9</v>
          </cell>
          <cell r="CU211">
            <v>9</v>
          </cell>
          <cell r="CV211">
            <v>12</v>
          </cell>
          <cell r="CW211">
            <v>19</v>
          </cell>
          <cell r="CX211">
            <v>20</v>
          </cell>
          <cell r="CY211">
            <v>13</v>
          </cell>
          <cell r="CZ211">
            <v>19</v>
          </cell>
          <cell r="DA211">
            <v>14</v>
          </cell>
          <cell r="DB211">
            <v>11</v>
          </cell>
          <cell r="DC211">
            <v>14</v>
          </cell>
          <cell r="DD211">
            <v>23</v>
          </cell>
          <cell r="DE211">
            <v>3</v>
          </cell>
          <cell r="DF211">
            <v>12</v>
          </cell>
          <cell r="DG211">
            <v>11</v>
          </cell>
          <cell r="DH211">
            <v>9</v>
          </cell>
          <cell r="DI211">
            <v>12</v>
          </cell>
          <cell r="DJ211">
            <v>22</v>
          </cell>
          <cell r="DK211">
            <v>11</v>
          </cell>
          <cell r="DL211">
            <v>11</v>
          </cell>
          <cell r="DM211">
            <v>7</v>
          </cell>
          <cell r="DN211">
            <v>7</v>
          </cell>
          <cell r="DO211">
            <v>15</v>
          </cell>
          <cell r="DP211">
            <v>16</v>
          </cell>
          <cell r="DQ211">
            <v>17</v>
          </cell>
          <cell r="DR211">
            <v>8</v>
          </cell>
          <cell r="DS211">
            <v>20</v>
          </cell>
          <cell r="DT211">
            <v>16</v>
          </cell>
          <cell r="DU211">
            <v>22</v>
          </cell>
          <cell r="DV211">
            <v>16</v>
          </cell>
          <cell r="DW211">
            <v>18</v>
          </cell>
          <cell r="DX211">
            <v>12</v>
          </cell>
          <cell r="DY211">
            <v>16</v>
          </cell>
          <cell r="DZ211">
            <v>13</v>
          </cell>
          <cell r="EA211">
            <v>16</v>
          </cell>
          <cell r="EB211">
            <v>7</v>
          </cell>
          <cell r="EC211">
            <v>13</v>
          </cell>
        </row>
        <row r="212">
          <cell r="CH212">
            <v>56</v>
          </cell>
          <cell r="CI212">
            <v>60</v>
          </cell>
          <cell r="CJ212">
            <v>60</v>
          </cell>
          <cell r="CK212">
            <v>99</v>
          </cell>
          <cell r="CL212">
            <v>83</v>
          </cell>
          <cell r="CM212">
            <v>71</v>
          </cell>
          <cell r="CN212">
            <v>53</v>
          </cell>
          <cell r="CO212">
            <v>128</v>
          </cell>
          <cell r="CP212">
            <v>70</v>
          </cell>
          <cell r="CQ212">
            <v>76</v>
          </cell>
          <cell r="CR212">
            <v>61</v>
          </cell>
          <cell r="CS212">
            <v>112</v>
          </cell>
          <cell r="CT212">
            <v>82</v>
          </cell>
          <cell r="CU212">
            <v>97</v>
          </cell>
          <cell r="CV212">
            <v>97</v>
          </cell>
          <cell r="CW212">
            <v>109</v>
          </cell>
          <cell r="CX212">
            <v>83</v>
          </cell>
          <cell r="CY212">
            <v>101</v>
          </cell>
          <cell r="CZ212">
            <v>121</v>
          </cell>
          <cell r="DA212">
            <v>85</v>
          </cell>
          <cell r="DB212">
            <v>61</v>
          </cell>
          <cell r="DC212">
            <v>130</v>
          </cell>
          <cell r="DD212">
            <v>66</v>
          </cell>
          <cell r="DE212">
            <v>62</v>
          </cell>
          <cell r="DF212">
            <v>91</v>
          </cell>
          <cell r="DG212">
            <v>62</v>
          </cell>
          <cell r="DH212">
            <v>76</v>
          </cell>
          <cell r="DI212">
            <v>106</v>
          </cell>
          <cell r="DJ212">
            <v>74</v>
          </cell>
          <cell r="DK212">
            <v>60</v>
          </cell>
          <cell r="DL212">
            <v>90</v>
          </cell>
          <cell r="DM212">
            <v>85</v>
          </cell>
          <cell r="DN212">
            <v>101</v>
          </cell>
          <cell r="DO212">
            <v>73</v>
          </cell>
          <cell r="DP212">
            <v>52</v>
          </cell>
          <cell r="DQ212">
            <v>58</v>
          </cell>
          <cell r="DR212">
            <v>89</v>
          </cell>
          <cell r="DS212">
            <v>68</v>
          </cell>
          <cell r="DT212">
            <v>75</v>
          </cell>
          <cell r="DU212">
            <v>78</v>
          </cell>
          <cell r="DV212">
            <v>78</v>
          </cell>
          <cell r="DW212">
            <v>94</v>
          </cell>
          <cell r="DX212">
            <v>77</v>
          </cell>
          <cell r="DY212">
            <v>43</v>
          </cell>
          <cell r="DZ212">
            <v>57</v>
          </cell>
          <cell r="EA212">
            <v>79</v>
          </cell>
          <cell r="EB212">
            <v>48</v>
          </cell>
          <cell r="EC212">
            <v>54</v>
          </cell>
        </row>
        <row r="213">
          <cell r="CH213">
            <v>25</v>
          </cell>
          <cell r="CI213">
            <v>49</v>
          </cell>
          <cell r="CJ213">
            <v>44</v>
          </cell>
          <cell r="CK213">
            <v>63</v>
          </cell>
          <cell r="CL213">
            <v>71</v>
          </cell>
          <cell r="CM213">
            <v>63</v>
          </cell>
          <cell r="CN213">
            <v>61</v>
          </cell>
          <cell r="CO213">
            <v>39</v>
          </cell>
          <cell r="CP213">
            <v>29</v>
          </cell>
          <cell r="CQ213">
            <v>54</v>
          </cell>
          <cell r="CR213">
            <v>56</v>
          </cell>
          <cell r="CS213">
            <v>36</v>
          </cell>
          <cell r="CT213">
            <v>38</v>
          </cell>
          <cell r="CU213">
            <v>57</v>
          </cell>
          <cell r="CV213">
            <v>43</v>
          </cell>
          <cell r="CW213">
            <v>48</v>
          </cell>
          <cell r="CX213">
            <v>75</v>
          </cell>
          <cell r="CY213">
            <v>53</v>
          </cell>
          <cell r="CZ213">
            <v>85</v>
          </cell>
          <cell r="DA213">
            <v>60</v>
          </cell>
          <cell r="DB213">
            <v>57</v>
          </cell>
          <cell r="DC213">
            <v>60</v>
          </cell>
          <cell r="DD213">
            <v>86</v>
          </cell>
          <cell r="DE213">
            <v>83</v>
          </cell>
          <cell r="DF213">
            <v>56</v>
          </cell>
          <cell r="DG213">
            <v>71</v>
          </cell>
          <cell r="DH213">
            <v>58</v>
          </cell>
          <cell r="DI213">
            <v>49</v>
          </cell>
          <cell r="DJ213">
            <v>49</v>
          </cell>
          <cell r="DK213">
            <v>65</v>
          </cell>
          <cell r="DL213">
            <v>47</v>
          </cell>
          <cell r="DM213">
            <v>64</v>
          </cell>
          <cell r="DN213">
            <v>48</v>
          </cell>
          <cell r="DO213">
            <v>95</v>
          </cell>
          <cell r="DP213">
            <v>102</v>
          </cell>
          <cell r="DQ213">
            <v>110</v>
          </cell>
          <cell r="DR213">
            <v>81</v>
          </cell>
          <cell r="DS213">
            <v>67</v>
          </cell>
          <cell r="DT213">
            <v>66</v>
          </cell>
          <cell r="DU213">
            <v>79</v>
          </cell>
          <cell r="DV213">
            <v>77</v>
          </cell>
          <cell r="DW213">
            <v>77</v>
          </cell>
          <cell r="DX213">
            <v>101</v>
          </cell>
          <cell r="DY213">
            <v>75</v>
          </cell>
          <cell r="DZ213">
            <v>50</v>
          </cell>
          <cell r="EA213">
            <v>68</v>
          </cell>
          <cell r="EB213">
            <v>64</v>
          </cell>
          <cell r="EC213">
            <v>111</v>
          </cell>
        </row>
        <row r="214">
          <cell r="CH214">
            <v>60</v>
          </cell>
          <cell r="CI214">
            <v>102</v>
          </cell>
          <cell r="CJ214">
            <v>97</v>
          </cell>
          <cell r="CK214">
            <v>67</v>
          </cell>
          <cell r="CL214">
            <v>79</v>
          </cell>
          <cell r="CM214">
            <v>69</v>
          </cell>
          <cell r="CN214">
            <v>84</v>
          </cell>
          <cell r="CO214">
            <v>78</v>
          </cell>
          <cell r="CP214">
            <v>73</v>
          </cell>
          <cell r="CQ214">
            <v>73</v>
          </cell>
          <cell r="CR214">
            <v>55</v>
          </cell>
          <cell r="CS214">
            <v>64</v>
          </cell>
          <cell r="CT214">
            <v>58</v>
          </cell>
          <cell r="CU214">
            <v>76</v>
          </cell>
          <cell r="CV214">
            <v>70</v>
          </cell>
          <cell r="CW214">
            <v>89</v>
          </cell>
          <cell r="CX214">
            <v>94</v>
          </cell>
          <cell r="CY214">
            <v>80</v>
          </cell>
          <cell r="CZ214">
            <v>63</v>
          </cell>
          <cell r="DA214">
            <v>68</v>
          </cell>
          <cell r="DB214">
            <v>75</v>
          </cell>
          <cell r="DC214">
            <v>76</v>
          </cell>
          <cell r="DD214">
            <v>65</v>
          </cell>
          <cell r="DE214">
            <v>66</v>
          </cell>
          <cell r="DF214">
            <v>65</v>
          </cell>
          <cell r="DG214">
            <v>86</v>
          </cell>
          <cell r="DH214">
            <v>99</v>
          </cell>
          <cell r="DI214">
            <v>65</v>
          </cell>
          <cell r="DJ214">
            <v>68</v>
          </cell>
          <cell r="DK214">
            <v>72</v>
          </cell>
          <cell r="DL214">
            <v>51</v>
          </cell>
          <cell r="DM214">
            <v>43</v>
          </cell>
          <cell r="DN214">
            <v>50</v>
          </cell>
          <cell r="DO214">
            <v>64</v>
          </cell>
          <cell r="DP214">
            <v>60</v>
          </cell>
          <cell r="DQ214">
            <v>41</v>
          </cell>
          <cell r="DR214">
            <v>63</v>
          </cell>
          <cell r="DS214">
            <v>68</v>
          </cell>
          <cell r="DT214">
            <v>61</v>
          </cell>
          <cell r="DU214">
            <v>104</v>
          </cell>
          <cell r="DV214">
            <v>66</v>
          </cell>
          <cell r="DW214">
            <v>77</v>
          </cell>
          <cell r="DX214">
            <v>89</v>
          </cell>
          <cell r="DY214">
            <v>43</v>
          </cell>
          <cell r="DZ214">
            <v>59</v>
          </cell>
          <cell r="EA214">
            <v>58</v>
          </cell>
          <cell r="EB214">
            <v>49</v>
          </cell>
          <cell r="EC214">
            <v>79</v>
          </cell>
        </row>
        <row r="215">
          <cell r="CH215">
            <v>6</v>
          </cell>
          <cell r="CI215">
            <v>3</v>
          </cell>
          <cell r="CJ215">
            <v>6</v>
          </cell>
          <cell r="CK215">
            <v>13</v>
          </cell>
          <cell r="CL215">
            <v>9</v>
          </cell>
          <cell r="CM215">
            <v>4</v>
          </cell>
          <cell r="CN215">
            <v>6</v>
          </cell>
          <cell r="CO215">
            <v>10</v>
          </cell>
          <cell r="CP215">
            <v>2</v>
          </cell>
          <cell r="CQ215">
            <v>9</v>
          </cell>
          <cell r="CR215">
            <v>3</v>
          </cell>
          <cell r="CS215">
            <v>5</v>
          </cell>
          <cell r="CT215">
            <v>10</v>
          </cell>
          <cell r="CU215">
            <v>9</v>
          </cell>
          <cell r="CV215">
            <v>10</v>
          </cell>
          <cell r="CW215">
            <v>9</v>
          </cell>
          <cell r="CX215">
            <v>11</v>
          </cell>
          <cell r="CY215">
            <v>5</v>
          </cell>
          <cell r="CZ215">
            <v>7</v>
          </cell>
          <cell r="DA215">
            <v>4</v>
          </cell>
          <cell r="DB215">
            <v>3</v>
          </cell>
          <cell r="DC215">
            <v>7</v>
          </cell>
          <cell r="DD215">
            <v>13</v>
          </cell>
          <cell r="DE215">
            <v>7</v>
          </cell>
          <cell r="DF215">
            <v>7</v>
          </cell>
          <cell r="DG215">
            <v>11</v>
          </cell>
          <cell r="DH215">
            <v>9</v>
          </cell>
          <cell r="DI215">
            <v>13</v>
          </cell>
          <cell r="DJ215">
            <v>12</v>
          </cell>
          <cell r="DK215">
            <v>5</v>
          </cell>
          <cell r="DL215">
            <v>8</v>
          </cell>
          <cell r="DM215">
            <v>3</v>
          </cell>
          <cell r="DN215">
            <v>6</v>
          </cell>
          <cell r="DO215">
            <v>11</v>
          </cell>
          <cell r="DP215">
            <v>7</v>
          </cell>
          <cell r="DQ215">
            <v>8</v>
          </cell>
          <cell r="DR215">
            <v>5</v>
          </cell>
          <cell r="DS215">
            <v>13</v>
          </cell>
          <cell r="DT215">
            <v>8</v>
          </cell>
          <cell r="DU215">
            <v>5</v>
          </cell>
          <cell r="DV215">
            <v>11</v>
          </cell>
          <cell r="DW215">
            <v>10</v>
          </cell>
          <cell r="DX215">
            <v>6</v>
          </cell>
          <cell r="DY215">
            <v>4</v>
          </cell>
          <cell r="DZ215">
            <v>10</v>
          </cell>
          <cell r="EA215">
            <v>7</v>
          </cell>
          <cell r="EB215">
            <v>6</v>
          </cell>
          <cell r="EC215">
            <v>9</v>
          </cell>
        </row>
        <row r="216">
          <cell r="CH216">
            <v>265</v>
          </cell>
          <cell r="CI216">
            <v>323</v>
          </cell>
          <cell r="CJ216">
            <v>398</v>
          </cell>
          <cell r="CK216">
            <v>395</v>
          </cell>
          <cell r="CL216">
            <v>406</v>
          </cell>
          <cell r="CM216">
            <v>363</v>
          </cell>
          <cell r="CN216">
            <v>386</v>
          </cell>
          <cell r="CO216">
            <v>365</v>
          </cell>
          <cell r="CP216">
            <v>304</v>
          </cell>
          <cell r="CQ216">
            <v>341</v>
          </cell>
          <cell r="CR216">
            <v>316</v>
          </cell>
          <cell r="CS216">
            <v>335</v>
          </cell>
          <cell r="CT216">
            <v>362</v>
          </cell>
          <cell r="CU216">
            <v>368</v>
          </cell>
          <cell r="CV216">
            <v>384</v>
          </cell>
          <cell r="CW216">
            <v>372</v>
          </cell>
          <cell r="CX216">
            <v>352</v>
          </cell>
          <cell r="CY216">
            <v>352</v>
          </cell>
          <cell r="CZ216">
            <v>371</v>
          </cell>
          <cell r="DA216">
            <v>331</v>
          </cell>
          <cell r="DB216">
            <v>281</v>
          </cell>
          <cell r="DC216">
            <v>343</v>
          </cell>
          <cell r="DD216">
            <v>326</v>
          </cell>
          <cell r="DE216">
            <v>316</v>
          </cell>
          <cell r="DF216">
            <v>281</v>
          </cell>
          <cell r="DG216">
            <v>299</v>
          </cell>
          <cell r="DH216">
            <v>329</v>
          </cell>
          <cell r="DI216">
            <v>320</v>
          </cell>
          <cell r="DJ216">
            <v>283</v>
          </cell>
          <cell r="DK216">
            <v>302</v>
          </cell>
          <cell r="DL216">
            <v>308</v>
          </cell>
          <cell r="DM216">
            <v>272</v>
          </cell>
          <cell r="DN216">
            <v>295</v>
          </cell>
          <cell r="DO216">
            <v>315</v>
          </cell>
          <cell r="DP216">
            <v>295</v>
          </cell>
          <cell r="DQ216">
            <v>285</v>
          </cell>
          <cell r="DR216">
            <v>283</v>
          </cell>
          <cell r="DS216">
            <v>304</v>
          </cell>
          <cell r="DT216">
            <v>310</v>
          </cell>
          <cell r="DU216">
            <v>350</v>
          </cell>
          <cell r="DV216">
            <v>280</v>
          </cell>
          <cell r="DW216">
            <v>290</v>
          </cell>
          <cell r="DX216">
            <v>319</v>
          </cell>
          <cell r="DY216">
            <v>272</v>
          </cell>
          <cell r="DZ216">
            <v>292</v>
          </cell>
          <cell r="EA216">
            <v>305</v>
          </cell>
          <cell r="EB216">
            <v>269</v>
          </cell>
          <cell r="EC216">
            <v>321</v>
          </cell>
        </row>
        <row r="218">
          <cell r="CH218">
            <v>5</v>
          </cell>
          <cell r="CI218">
            <v>10</v>
          </cell>
          <cell r="CJ218">
            <v>18</v>
          </cell>
          <cell r="CK218">
            <v>15</v>
          </cell>
          <cell r="CL218">
            <v>12</v>
          </cell>
          <cell r="CM218">
            <v>11</v>
          </cell>
          <cell r="CN218">
            <v>11</v>
          </cell>
          <cell r="CO218">
            <v>3</v>
          </cell>
          <cell r="CP218">
            <v>17</v>
          </cell>
          <cell r="CQ218">
            <v>18</v>
          </cell>
          <cell r="CR218">
            <v>10</v>
          </cell>
          <cell r="CS218">
            <v>7</v>
          </cell>
          <cell r="CT218">
            <v>13</v>
          </cell>
          <cell r="CU218">
            <v>16</v>
          </cell>
          <cell r="CV218">
            <v>9</v>
          </cell>
          <cell r="CW218">
            <v>10</v>
          </cell>
          <cell r="CX218">
            <v>7</v>
          </cell>
          <cell r="CY218">
            <v>9</v>
          </cell>
          <cell r="CZ218">
            <v>10</v>
          </cell>
          <cell r="DA218">
            <v>8</v>
          </cell>
          <cell r="DB218">
            <v>12</v>
          </cell>
          <cell r="DC218">
            <v>10</v>
          </cell>
          <cell r="DD218">
            <v>11</v>
          </cell>
          <cell r="DE218">
            <v>15</v>
          </cell>
          <cell r="DF218">
            <v>10</v>
          </cell>
          <cell r="DG218">
            <v>13</v>
          </cell>
          <cell r="DH218">
            <v>15</v>
          </cell>
          <cell r="DI218">
            <v>8</v>
          </cell>
          <cell r="DJ218">
            <v>4</v>
          </cell>
          <cell r="DK218">
            <v>6</v>
          </cell>
          <cell r="DL218">
            <v>9</v>
          </cell>
          <cell r="DM218">
            <v>10</v>
          </cell>
          <cell r="DN218">
            <v>18</v>
          </cell>
          <cell r="DO218">
            <v>8</v>
          </cell>
          <cell r="DP218">
            <v>3</v>
          </cell>
          <cell r="DQ218">
            <v>9</v>
          </cell>
          <cell r="DR218">
            <v>6</v>
          </cell>
          <cell r="DS218">
            <v>11</v>
          </cell>
          <cell r="DT218">
            <v>12</v>
          </cell>
          <cell r="DU218">
            <v>4</v>
          </cell>
          <cell r="DV218">
            <v>2</v>
          </cell>
          <cell r="DW218">
            <v>4</v>
          </cell>
          <cell r="DX218">
            <v>12</v>
          </cell>
          <cell r="DY218">
            <v>2</v>
          </cell>
          <cell r="DZ218">
            <v>7</v>
          </cell>
          <cell r="EA218">
            <v>5</v>
          </cell>
          <cell r="EB218">
            <v>5</v>
          </cell>
          <cell r="EC218">
            <v>4</v>
          </cell>
        </row>
        <row r="219">
          <cell r="CH219">
            <v>7</v>
          </cell>
          <cell r="CI219">
            <v>14</v>
          </cell>
          <cell r="CJ219">
            <v>16</v>
          </cell>
          <cell r="CK219">
            <v>17</v>
          </cell>
          <cell r="CL219">
            <v>12</v>
          </cell>
          <cell r="CM219">
            <v>8</v>
          </cell>
          <cell r="CN219">
            <v>19</v>
          </cell>
          <cell r="CO219">
            <v>17</v>
          </cell>
          <cell r="CP219">
            <v>17</v>
          </cell>
          <cell r="CQ219">
            <v>18</v>
          </cell>
          <cell r="CR219">
            <v>7</v>
          </cell>
          <cell r="CS219">
            <v>10</v>
          </cell>
          <cell r="CT219">
            <v>13</v>
          </cell>
          <cell r="CU219">
            <v>17</v>
          </cell>
          <cell r="CV219">
            <v>17</v>
          </cell>
          <cell r="CW219">
            <v>14</v>
          </cell>
          <cell r="CX219">
            <v>10</v>
          </cell>
          <cell r="CY219">
            <v>13</v>
          </cell>
          <cell r="CZ219">
            <v>10</v>
          </cell>
          <cell r="DA219">
            <v>9</v>
          </cell>
          <cell r="DB219">
            <v>9</v>
          </cell>
          <cell r="DC219">
            <v>16</v>
          </cell>
          <cell r="DD219">
            <v>8</v>
          </cell>
          <cell r="DE219">
            <v>15</v>
          </cell>
          <cell r="DF219">
            <v>19</v>
          </cell>
          <cell r="DG219">
            <v>16</v>
          </cell>
          <cell r="DH219">
            <v>13</v>
          </cell>
          <cell r="DI219">
            <v>8</v>
          </cell>
          <cell r="DJ219">
            <v>5</v>
          </cell>
          <cell r="DK219">
            <v>7</v>
          </cell>
          <cell r="DL219">
            <v>9</v>
          </cell>
          <cell r="DM219">
            <v>14</v>
          </cell>
          <cell r="DN219">
            <v>14</v>
          </cell>
          <cell r="DO219">
            <v>8</v>
          </cell>
          <cell r="DP219">
            <v>8</v>
          </cell>
          <cell r="DQ219">
            <v>12</v>
          </cell>
          <cell r="DR219">
            <v>10</v>
          </cell>
          <cell r="DS219">
            <v>13</v>
          </cell>
          <cell r="DT219">
            <v>8</v>
          </cell>
          <cell r="DU219">
            <v>11</v>
          </cell>
          <cell r="DV219">
            <v>6</v>
          </cell>
          <cell r="DW219">
            <v>8</v>
          </cell>
          <cell r="DX219">
            <v>6</v>
          </cell>
          <cell r="DY219">
            <v>6</v>
          </cell>
          <cell r="DZ219">
            <v>9</v>
          </cell>
          <cell r="EA219">
            <v>10</v>
          </cell>
          <cell r="EB219">
            <v>6</v>
          </cell>
          <cell r="EC219">
            <v>7</v>
          </cell>
        </row>
        <row r="220">
          <cell r="CN220">
            <v>1</v>
          </cell>
          <cell r="CO220">
            <v>2</v>
          </cell>
          <cell r="CP220">
            <v>1</v>
          </cell>
          <cell r="CR220">
            <v>1</v>
          </cell>
          <cell r="CT220">
            <v>2</v>
          </cell>
          <cell r="CU220">
            <v>3</v>
          </cell>
          <cell r="CV220">
            <v>0</v>
          </cell>
          <cell r="CW220">
            <v>0</v>
          </cell>
          <cell r="CX220">
            <v>1</v>
          </cell>
          <cell r="CY220">
            <v>0</v>
          </cell>
          <cell r="CZ220">
            <v>0</v>
          </cell>
          <cell r="DA220">
            <v>2</v>
          </cell>
          <cell r="DB220">
            <v>1</v>
          </cell>
          <cell r="DC220">
            <v>0</v>
          </cell>
          <cell r="DD220">
            <v>0</v>
          </cell>
          <cell r="DE220">
            <v>1</v>
          </cell>
          <cell r="DF220">
            <v>0</v>
          </cell>
          <cell r="DG220">
            <v>3</v>
          </cell>
          <cell r="DH220">
            <v>1</v>
          </cell>
          <cell r="DI220">
            <v>1</v>
          </cell>
          <cell r="DJ220">
            <v>0</v>
          </cell>
          <cell r="DK220">
            <v>0</v>
          </cell>
          <cell r="DL220">
            <v>0</v>
          </cell>
          <cell r="DM220">
            <v>0</v>
          </cell>
          <cell r="DN220">
            <v>1</v>
          </cell>
          <cell r="DO220">
            <v>0</v>
          </cell>
          <cell r="DP220">
            <v>0</v>
          </cell>
          <cell r="DQ220">
            <v>1</v>
          </cell>
          <cell r="DR220">
            <v>1</v>
          </cell>
          <cell r="DS220">
            <v>1</v>
          </cell>
          <cell r="DT220">
            <v>2</v>
          </cell>
          <cell r="DU220">
            <v>3</v>
          </cell>
          <cell r="DV220">
            <v>0</v>
          </cell>
          <cell r="DW220">
            <v>0</v>
          </cell>
          <cell r="DX220">
            <v>1</v>
          </cell>
          <cell r="DY220">
            <v>0</v>
          </cell>
          <cell r="DZ220">
            <v>1</v>
          </cell>
          <cell r="EA220">
            <v>0</v>
          </cell>
          <cell r="EB220">
            <v>0</v>
          </cell>
          <cell r="EC220">
            <v>0</v>
          </cell>
        </row>
        <row r="221">
          <cell r="CJ221">
            <v>2</v>
          </cell>
          <cell r="CK221">
            <v>1</v>
          </cell>
          <cell r="CL221">
            <v>1</v>
          </cell>
          <cell r="CN221">
            <v>1</v>
          </cell>
          <cell r="CP221">
            <v>1</v>
          </cell>
          <cell r="CS221">
            <v>1</v>
          </cell>
          <cell r="CT221">
            <v>0</v>
          </cell>
          <cell r="CU221">
            <v>0</v>
          </cell>
          <cell r="CV221">
            <v>3</v>
          </cell>
          <cell r="CW221">
            <v>0</v>
          </cell>
          <cell r="CX221">
            <v>0</v>
          </cell>
          <cell r="CY221">
            <v>3</v>
          </cell>
          <cell r="CZ221">
            <v>0</v>
          </cell>
          <cell r="DA221">
            <v>1</v>
          </cell>
          <cell r="DB221">
            <v>0</v>
          </cell>
          <cell r="DC221">
            <v>5</v>
          </cell>
          <cell r="DD221">
            <v>0</v>
          </cell>
          <cell r="DE221">
            <v>1</v>
          </cell>
          <cell r="DF221">
            <v>0</v>
          </cell>
          <cell r="DG221">
            <v>0</v>
          </cell>
          <cell r="DH221">
            <v>1</v>
          </cell>
          <cell r="DI221">
            <v>0</v>
          </cell>
          <cell r="DJ221">
            <v>1</v>
          </cell>
          <cell r="DK221">
            <v>0</v>
          </cell>
          <cell r="DL221">
            <v>3</v>
          </cell>
          <cell r="DM221">
            <v>1</v>
          </cell>
          <cell r="DN221">
            <v>2</v>
          </cell>
          <cell r="DO221">
            <v>1</v>
          </cell>
          <cell r="DP221">
            <v>0</v>
          </cell>
          <cell r="DQ221">
            <v>0</v>
          </cell>
          <cell r="DR221">
            <v>0</v>
          </cell>
          <cell r="DS221">
            <v>0</v>
          </cell>
          <cell r="DT221">
            <v>1</v>
          </cell>
          <cell r="DU221">
            <v>2</v>
          </cell>
          <cell r="DV221">
            <v>0</v>
          </cell>
          <cell r="DW221">
            <v>1</v>
          </cell>
          <cell r="DX221">
            <v>0</v>
          </cell>
          <cell r="DY221">
            <v>2</v>
          </cell>
          <cell r="DZ221">
            <v>2</v>
          </cell>
          <cell r="EA221">
            <v>0</v>
          </cell>
          <cell r="EB221">
            <v>2</v>
          </cell>
          <cell r="EC221">
            <v>0</v>
          </cell>
        </row>
        <row r="222">
          <cell r="CH222">
            <v>20</v>
          </cell>
          <cell r="CI222">
            <v>25</v>
          </cell>
          <cell r="CJ222">
            <v>30</v>
          </cell>
          <cell r="CK222">
            <v>36</v>
          </cell>
          <cell r="CL222">
            <v>27</v>
          </cell>
          <cell r="CM222">
            <v>21</v>
          </cell>
          <cell r="CN222">
            <v>26</v>
          </cell>
          <cell r="CO222">
            <v>26</v>
          </cell>
          <cell r="CP222">
            <v>22</v>
          </cell>
          <cell r="CQ222">
            <v>27</v>
          </cell>
          <cell r="CR222">
            <v>30</v>
          </cell>
          <cell r="CS222">
            <v>22</v>
          </cell>
          <cell r="CT222">
            <v>28</v>
          </cell>
          <cell r="CU222">
            <v>33</v>
          </cell>
          <cell r="CV222">
            <v>25</v>
          </cell>
          <cell r="CW222">
            <v>21</v>
          </cell>
          <cell r="CX222">
            <v>33</v>
          </cell>
          <cell r="CY222">
            <v>27</v>
          </cell>
          <cell r="CZ222">
            <v>23</v>
          </cell>
          <cell r="DA222">
            <v>21</v>
          </cell>
          <cell r="DB222">
            <v>32</v>
          </cell>
          <cell r="DC222">
            <v>34</v>
          </cell>
          <cell r="DD222">
            <v>24</v>
          </cell>
          <cell r="DE222">
            <v>26</v>
          </cell>
          <cell r="DF222">
            <v>38</v>
          </cell>
          <cell r="DG222">
            <v>29</v>
          </cell>
          <cell r="DH222">
            <v>33</v>
          </cell>
          <cell r="DI222">
            <v>23</v>
          </cell>
          <cell r="DJ222">
            <v>27</v>
          </cell>
          <cell r="DK222">
            <v>22</v>
          </cell>
          <cell r="DL222">
            <v>18</v>
          </cell>
          <cell r="DM222">
            <v>22</v>
          </cell>
          <cell r="DN222">
            <v>20</v>
          </cell>
          <cell r="DO222">
            <v>19</v>
          </cell>
          <cell r="DP222">
            <v>21</v>
          </cell>
          <cell r="DQ222">
            <v>23</v>
          </cell>
          <cell r="DR222">
            <v>27</v>
          </cell>
          <cell r="DS222">
            <v>34</v>
          </cell>
          <cell r="DT222">
            <v>27</v>
          </cell>
          <cell r="DU222">
            <v>30</v>
          </cell>
          <cell r="DV222">
            <v>39</v>
          </cell>
          <cell r="DW222">
            <v>14</v>
          </cell>
          <cell r="DX222">
            <v>21</v>
          </cell>
          <cell r="DY222">
            <v>23</v>
          </cell>
          <cell r="DZ222">
            <v>27</v>
          </cell>
          <cell r="EA222">
            <v>27</v>
          </cell>
          <cell r="EB222">
            <v>21</v>
          </cell>
          <cell r="EC222">
            <v>22</v>
          </cell>
        </row>
        <row r="223">
          <cell r="CH223">
            <v>73</v>
          </cell>
          <cell r="CI223">
            <v>84</v>
          </cell>
          <cell r="CJ223">
            <v>113</v>
          </cell>
          <cell r="CK223">
            <v>86</v>
          </cell>
          <cell r="CL223">
            <v>101</v>
          </cell>
          <cell r="CM223">
            <v>78</v>
          </cell>
          <cell r="CN223">
            <v>88</v>
          </cell>
          <cell r="CO223">
            <v>77</v>
          </cell>
          <cell r="CP223">
            <v>63</v>
          </cell>
          <cell r="CQ223">
            <v>84</v>
          </cell>
          <cell r="CR223">
            <v>70</v>
          </cell>
          <cell r="CS223">
            <v>91</v>
          </cell>
          <cell r="CT223">
            <v>103</v>
          </cell>
          <cell r="CU223">
            <v>98</v>
          </cell>
          <cell r="CV223">
            <v>89</v>
          </cell>
          <cell r="CW223">
            <v>77</v>
          </cell>
          <cell r="CX223">
            <v>66</v>
          </cell>
          <cell r="CY223">
            <v>80</v>
          </cell>
          <cell r="CZ223">
            <v>73</v>
          </cell>
          <cell r="DA223">
            <v>75</v>
          </cell>
          <cell r="DB223">
            <v>65</v>
          </cell>
          <cell r="DC223">
            <v>77</v>
          </cell>
          <cell r="DD223">
            <v>65</v>
          </cell>
          <cell r="DE223">
            <v>67</v>
          </cell>
          <cell r="DF223">
            <v>57</v>
          </cell>
          <cell r="DG223">
            <v>69</v>
          </cell>
          <cell r="DH223">
            <v>60</v>
          </cell>
          <cell r="DI223">
            <v>80</v>
          </cell>
          <cell r="DJ223">
            <v>59</v>
          </cell>
          <cell r="DK223">
            <v>64</v>
          </cell>
          <cell r="DL223">
            <v>65</v>
          </cell>
          <cell r="DM223">
            <v>59</v>
          </cell>
          <cell r="DN223">
            <v>51</v>
          </cell>
          <cell r="DO223">
            <v>66</v>
          </cell>
          <cell r="DP223">
            <v>53</v>
          </cell>
          <cell r="DQ223">
            <v>75</v>
          </cell>
          <cell r="DR223">
            <v>59</v>
          </cell>
          <cell r="DS223">
            <v>58</v>
          </cell>
          <cell r="DT223">
            <v>68</v>
          </cell>
          <cell r="DU223">
            <v>67</v>
          </cell>
          <cell r="DV223">
            <v>67</v>
          </cell>
          <cell r="DW223">
            <v>57</v>
          </cell>
          <cell r="DX223">
            <v>62</v>
          </cell>
          <cell r="DY223">
            <v>51</v>
          </cell>
          <cell r="DZ223">
            <v>59</v>
          </cell>
          <cell r="EA223">
            <v>72</v>
          </cell>
          <cell r="EB223">
            <v>64</v>
          </cell>
          <cell r="EC223">
            <v>61</v>
          </cell>
        </row>
        <row r="225">
          <cell r="CH225">
            <v>2</v>
          </cell>
          <cell r="CI225">
            <v>5</v>
          </cell>
          <cell r="CJ225">
            <v>11</v>
          </cell>
          <cell r="CK225">
            <v>8</v>
          </cell>
          <cell r="CL225">
            <v>7</v>
          </cell>
          <cell r="CM225">
            <v>3</v>
          </cell>
          <cell r="CN225">
            <v>7</v>
          </cell>
          <cell r="CO225">
            <v>6</v>
          </cell>
          <cell r="CP225">
            <v>3</v>
          </cell>
          <cell r="CQ225">
            <v>7</v>
          </cell>
          <cell r="CR225">
            <v>11</v>
          </cell>
          <cell r="CS225">
            <v>8</v>
          </cell>
          <cell r="CT225">
            <v>4</v>
          </cell>
          <cell r="CU225">
            <v>7</v>
          </cell>
          <cell r="CV225">
            <v>5</v>
          </cell>
          <cell r="CW225">
            <v>6</v>
          </cell>
          <cell r="CX225">
            <v>7</v>
          </cell>
          <cell r="CY225">
            <v>5</v>
          </cell>
          <cell r="CZ225">
            <v>5</v>
          </cell>
          <cell r="DA225">
            <v>6</v>
          </cell>
          <cell r="DB225">
            <v>5</v>
          </cell>
          <cell r="DC225">
            <v>8</v>
          </cell>
          <cell r="DD225">
            <v>5</v>
          </cell>
          <cell r="DE225">
            <v>4</v>
          </cell>
          <cell r="DF225">
            <v>4</v>
          </cell>
          <cell r="DG225">
            <v>7</v>
          </cell>
          <cell r="DH225">
            <v>5</v>
          </cell>
          <cell r="DI225">
            <v>8</v>
          </cell>
          <cell r="DJ225">
            <v>3</v>
          </cell>
          <cell r="DK225">
            <v>9</v>
          </cell>
          <cell r="DL225">
            <v>3</v>
          </cell>
          <cell r="DM225">
            <v>6</v>
          </cell>
          <cell r="DN225">
            <v>4</v>
          </cell>
          <cell r="DO225">
            <v>3</v>
          </cell>
          <cell r="DP225">
            <v>9</v>
          </cell>
          <cell r="DQ225">
            <v>4</v>
          </cell>
          <cell r="DR225">
            <v>4</v>
          </cell>
          <cell r="DS225">
            <v>10</v>
          </cell>
          <cell r="DT225">
            <v>5</v>
          </cell>
          <cell r="DU225">
            <v>7</v>
          </cell>
          <cell r="DV225">
            <v>11</v>
          </cell>
          <cell r="DW225">
            <v>7</v>
          </cell>
          <cell r="DX225">
            <v>6</v>
          </cell>
          <cell r="DY225">
            <v>7</v>
          </cell>
          <cell r="DZ225">
            <v>10</v>
          </cell>
          <cell r="EA225">
            <v>3</v>
          </cell>
          <cell r="EB225">
            <v>2</v>
          </cell>
          <cell r="EC225">
            <v>8</v>
          </cell>
        </row>
        <row r="226">
          <cell r="CH226">
            <v>6</v>
          </cell>
          <cell r="CI226">
            <v>3</v>
          </cell>
          <cell r="CJ226">
            <v>5</v>
          </cell>
          <cell r="CK226">
            <v>5</v>
          </cell>
          <cell r="CL226">
            <v>2</v>
          </cell>
          <cell r="CN226">
            <v>2</v>
          </cell>
          <cell r="CO226">
            <v>3</v>
          </cell>
          <cell r="CP226">
            <v>3</v>
          </cell>
          <cell r="CQ226">
            <v>3</v>
          </cell>
          <cell r="CR226">
            <v>4</v>
          </cell>
          <cell r="CS226">
            <v>3</v>
          </cell>
          <cell r="CT226">
            <v>3</v>
          </cell>
          <cell r="CU226">
            <v>8</v>
          </cell>
          <cell r="CV226">
            <v>9</v>
          </cell>
          <cell r="CW226">
            <v>1</v>
          </cell>
          <cell r="CX226">
            <v>2</v>
          </cell>
          <cell r="CY226">
            <v>3</v>
          </cell>
          <cell r="CZ226">
            <v>2</v>
          </cell>
          <cell r="DA226">
            <v>1</v>
          </cell>
          <cell r="DB226">
            <v>2</v>
          </cell>
          <cell r="DC226">
            <v>2</v>
          </cell>
          <cell r="DD226">
            <v>5</v>
          </cell>
          <cell r="DE226">
            <v>6</v>
          </cell>
          <cell r="DF226">
            <v>3</v>
          </cell>
          <cell r="DG226">
            <v>1</v>
          </cell>
          <cell r="DH226">
            <v>5</v>
          </cell>
          <cell r="DI226">
            <v>3</v>
          </cell>
          <cell r="DJ226">
            <v>5</v>
          </cell>
          <cell r="DK226">
            <v>4</v>
          </cell>
          <cell r="DL226">
            <v>2</v>
          </cell>
          <cell r="DM226">
            <v>3</v>
          </cell>
          <cell r="DN226">
            <v>6</v>
          </cell>
          <cell r="DO226">
            <v>4</v>
          </cell>
          <cell r="DP226">
            <v>2</v>
          </cell>
          <cell r="DQ226">
            <v>2</v>
          </cell>
          <cell r="DR226">
            <v>3</v>
          </cell>
          <cell r="DS226">
            <v>1</v>
          </cell>
          <cell r="DT226">
            <v>4</v>
          </cell>
          <cell r="DU226">
            <v>4</v>
          </cell>
          <cell r="DV226">
            <v>4</v>
          </cell>
          <cell r="DW226">
            <v>5</v>
          </cell>
          <cell r="DX226">
            <v>5</v>
          </cell>
          <cell r="DY226">
            <v>6</v>
          </cell>
          <cell r="DZ226">
            <v>2</v>
          </cell>
          <cell r="EA226">
            <v>4</v>
          </cell>
          <cell r="EB226">
            <v>5</v>
          </cell>
          <cell r="EC226">
            <v>6</v>
          </cell>
        </row>
        <row r="228">
          <cell r="AL228">
            <v>0</v>
          </cell>
          <cell r="AM228">
            <v>2</v>
          </cell>
          <cell r="AN228">
            <v>2</v>
          </cell>
          <cell r="AO228">
            <v>0</v>
          </cell>
          <cell r="AP228">
            <v>0</v>
          </cell>
          <cell r="AQ228">
            <v>0</v>
          </cell>
          <cell r="AR228">
            <v>1</v>
          </cell>
          <cell r="AS228">
            <v>2</v>
          </cell>
          <cell r="AT228">
            <v>0</v>
          </cell>
          <cell r="AU228">
            <v>1</v>
          </cell>
          <cell r="AV228">
            <v>1</v>
          </cell>
          <cell r="AW228">
            <v>1</v>
          </cell>
          <cell r="AX228">
            <v>1</v>
          </cell>
          <cell r="AY228">
            <v>1</v>
          </cell>
          <cell r="AZ228">
            <v>1</v>
          </cell>
          <cell r="BA228">
            <v>0</v>
          </cell>
          <cell r="BB228">
            <v>0</v>
          </cell>
          <cell r="BC228">
            <v>2</v>
          </cell>
          <cell r="BD228">
            <v>1</v>
          </cell>
          <cell r="BE228">
            <v>0</v>
          </cell>
          <cell r="BF228">
            <v>0</v>
          </cell>
          <cell r="BG228">
            <v>1</v>
          </cell>
          <cell r="BH228">
            <v>0</v>
          </cell>
          <cell r="BI228">
            <v>0</v>
          </cell>
          <cell r="BJ228">
            <v>2</v>
          </cell>
          <cell r="BK228">
            <v>1</v>
          </cell>
          <cell r="BL228">
            <v>2</v>
          </cell>
          <cell r="BM228">
            <v>0</v>
          </cell>
          <cell r="BN228">
            <v>2</v>
          </cell>
          <cell r="BO228">
            <v>0</v>
          </cell>
          <cell r="BP228">
            <v>0</v>
          </cell>
          <cell r="BQ228">
            <v>1</v>
          </cell>
          <cell r="BR228">
            <v>0</v>
          </cell>
          <cell r="BS228">
            <v>0</v>
          </cell>
          <cell r="BT228">
            <v>0</v>
          </cell>
          <cell r="BU228">
            <v>1</v>
          </cell>
          <cell r="BV228">
            <v>0</v>
          </cell>
          <cell r="BW228">
            <v>0</v>
          </cell>
          <cell r="BX228">
            <v>0</v>
          </cell>
          <cell r="BY228">
            <v>0</v>
          </cell>
          <cell r="BZ228">
            <v>0</v>
          </cell>
          <cell r="CA228">
            <v>0</v>
          </cell>
          <cell r="CB228">
            <v>1</v>
          </cell>
          <cell r="CC228">
            <v>2</v>
          </cell>
          <cell r="CD228">
            <v>0</v>
          </cell>
          <cell r="CE228">
            <v>1</v>
          </cell>
          <cell r="CF228">
            <v>1</v>
          </cell>
          <cell r="CG228">
            <v>2</v>
          </cell>
          <cell r="CI228">
            <v>2</v>
          </cell>
          <cell r="CJ228">
            <v>1</v>
          </cell>
          <cell r="CK228">
            <v>1</v>
          </cell>
          <cell r="CN228">
            <v>1</v>
          </cell>
          <cell r="CO228">
            <v>1</v>
          </cell>
          <cell r="CP228">
            <v>2</v>
          </cell>
          <cell r="CS228">
            <v>1</v>
          </cell>
          <cell r="CT228">
            <v>1</v>
          </cell>
          <cell r="CU228">
            <v>1</v>
          </cell>
          <cell r="CV228">
            <v>1</v>
          </cell>
          <cell r="CW228">
            <v>1</v>
          </cell>
          <cell r="CX228">
            <v>0</v>
          </cell>
          <cell r="CY228">
            <v>1</v>
          </cell>
          <cell r="CZ228">
            <v>1</v>
          </cell>
          <cell r="DA228">
            <v>0</v>
          </cell>
          <cell r="DB228">
            <v>0</v>
          </cell>
          <cell r="DC228">
            <v>1</v>
          </cell>
          <cell r="DD228">
            <v>0</v>
          </cell>
          <cell r="DE228">
            <v>0</v>
          </cell>
          <cell r="DF228">
            <v>1</v>
          </cell>
          <cell r="DG228">
            <v>1</v>
          </cell>
          <cell r="DH228">
            <v>1</v>
          </cell>
          <cell r="DI228">
            <v>0</v>
          </cell>
          <cell r="DJ228">
            <v>2</v>
          </cell>
          <cell r="DK228">
            <v>1</v>
          </cell>
          <cell r="DL228">
            <v>2</v>
          </cell>
          <cell r="DM228">
            <v>0</v>
          </cell>
          <cell r="DN228">
            <v>3</v>
          </cell>
          <cell r="DO228">
            <v>3</v>
          </cell>
          <cell r="DP228">
            <v>0</v>
          </cell>
          <cell r="DQ228">
            <v>1</v>
          </cell>
          <cell r="DR228">
            <v>0</v>
          </cell>
          <cell r="DS228">
            <v>0</v>
          </cell>
          <cell r="DT228">
            <v>0</v>
          </cell>
          <cell r="DU228">
            <v>1</v>
          </cell>
          <cell r="DV228">
            <v>1</v>
          </cell>
          <cell r="DW228">
            <v>0</v>
          </cell>
          <cell r="DX228">
            <v>0</v>
          </cell>
          <cell r="DY228">
            <v>0</v>
          </cell>
          <cell r="DZ228">
            <v>0</v>
          </cell>
          <cell r="EA228">
            <v>0</v>
          </cell>
          <cell r="EB228">
            <v>1</v>
          </cell>
          <cell r="EC228">
            <v>1</v>
          </cell>
        </row>
        <row r="229">
          <cell r="CH229">
            <v>10</v>
          </cell>
          <cell r="CI229">
            <v>12</v>
          </cell>
          <cell r="CJ229">
            <v>14</v>
          </cell>
          <cell r="CK229">
            <v>19</v>
          </cell>
          <cell r="CL229">
            <v>21</v>
          </cell>
          <cell r="CM229">
            <v>15</v>
          </cell>
          <cell r="CN229">
            <v>13</v>
          </cell>
          <cell r="CO229">
            <v>42</v>
          </cell>
          <cell r="CP229">
            <v>15</v>
          </cell>
          <cell r="CQ229">
            <v>15</v>
          </cell>
          <cell r="CR229">
            <v>11</v>
          </cell>
          <cell r="CS229">
            <v>22</v>
          </cell>
          <cell r="CT229">
            <v>16</v>
          </cell>
          <cell r="CU229">
            <v>24</v>
          </cell>
          <cell r="CV229">
            <v>27</v>
          </cell>
          <cell r="CW229">
            <v>21</v>
          </cell>
          <cell r="CX229">
            <v>16</v>
          </cell>
          <cell r="CY229">
            <v>16</v>
          </cell>
          <cell r="CZ229">
            <v>37</v>
          </cell>
          <cell r="DA229">
            <v>15</v>
          </cell>
          <cell r="DB229">
            <v>10</v>
          </cell>
          <cell r="DC229">
            <v>57</v>
          </cell>
          <cell r="DD229">
            <v>8</v>
          </cell>
          <cell r="DE229">
            <v>11</v>
          </cell>
          <cell r="DF229">
            <v>6</v>
          </cell>
          <cell r="DG229">
            <v>14</v>
          </cell>
          <cell r="DH229">
            <v>10</v>
          </cell>
          <cell r="DI229">
            <v>16</v>
          </cell>
          <cell r="DJ229">
            <v>5</v>
          </cell>
          <cell r="DK229">
            <v>8</v>
          </cell>
          <cell r="DL229">
            <v>19</v>
          </cell>
          <cell r="DM229">
            <v>13</v>
          </cell>
          <cell r="DN229">
            <v>23</v>
          </cell>
          <cell r="DO229">
            <v>14</v>
          </cell>
          <cell r="DP229">
            <v>8</v>
          </cell>
          <cell r="DQ229">
            <v>13</v>
          </cell>
          <cell r="DR229">
            <v>23</v>
          </cell>
          <cell r="DS229">
            <v>16</v>
          </cell>
          <cell r="DT229">
            <v>23</v>
          </cell>
          <cell r="DU229">
            <v>20</v>
          </cell>
          <cell r="DV229">
            <v>17</v>
          </cell>
          <cell r="DW229">
            <v>29</v>
          </cell>
          <cell r="DX229">
            <v>21</v>
          </cell>
          <cell r="DY229">
            <v>11</v>
          </cell>
          <cell r="DZ229">
            <v>12</v>
          </cell>
          <cell r="EA229">
            <v>17</v>
          </cell>
          <cell r="EB229">
            <v>7</v>
          </cell>
          <cell r="EC229">
            <v>11</v>
          </cell>
        </row>
        <row r="230">
          <cell r="AL230">
            <v>60</v>
          </cell>
          <cell r="AM230">
            <v>56</v>
          </cell>
          <cell r="AN230">
            <v>55</v>
          </cell>
          <cell r="AO230">
            <v>74</v>
          </cell>
          <cell r="AP230">
            <v>86</v>
          </cell>
          <cell r="AQ230">
            <v>87</v>
          </cell>
          <cell r="AR230">
            <v>105</v>
          </cell>
          <cell r="AS230">
            <v>48</v>
          </cell>
          <cell r="AT230">
            <v>52</v>
          </cell>
          <cell r="AU230">
            <v>43</v>
          </cell>
          <cell r="AV230">
            <v>34</v>
          </cell>
          <cell r="AW230">
            <v>72</v>
          </cell>
          <cell r="AX230">
            <v>51</v>
          </cell>
          <cell r="AY230">
            <v>47</v>
          </cell>
          <cell r="AZ230">
            <v>40</v>
          </cell>
          <cell r="BA230">
            <v>41</v>
          </cell>
          <cell r="BB230">
            <v>67</v>
          </cell>
          <cell r="BC230">
            <v>120</v>
          </cell>
          <cell r="BD230">
            <v>89</v>
          </cell>
          <cell r="BE230">
            <v>120</v>
          </cell>
          <cell r="BF230">
            <v>65</v>
          </cell>
          <cell r="BG230">
            <v>64</v>
          </cell>
          <cell r="BH230">
            <v>59</v>
          </cell>
          <cell r="BI230">
            <v>57</v>
          </cell>
          <cell r="BJ230">
            <v>47</v>
          </cell>
          <cell r="BK230">
            <v>64</v>
          </cell>
          <cell r="BL230">
            <v>80</v>
          </cell>
          <cell r="BM230">
            <v>36</v>
          </cell>
          <cell r="BN230">
            <v>49</v>
          </cell>
          <cell r="BO230">
            <v>63</v>
          </cell>
          <cell r="BP230">
            <v>95</v>
          </cell>
          <cell r="BQ230">
            <v>69</v>
          </cell>
          <cell r="BR230">
            <v>66</v>
          </cell>
          <cell r="BS230">
            <v>95</v>
          </cell>
          <cell r="BT230">
            <v>77</v>
          </cell>
          <cell r="BU230">
            <v>47</v>
          </cell>
          <cell r="BV230">
            <v>31</v>
          </cell>
          <cell r="BW230">
            <v>17</v>
          </cell>
          <cell r="BX230">
            <v>43</v>
          </cell>
          <cell r="BY230">
            <v>54</v>
          </cell>
          <cell r="BZ230">
            <v>49</v>
          </cell>
          <cell r="CA230">
            <v>21</v>
          </cell>
          <cell r="CB230">
            <v>48</v>
          </cell>
          <cell r="CC230">
            <v>39</v>
          </cell>
          <cell r="CD230">
            <v>46</v>
          </cell>
          <cell r="CE230">
            <v>43</v>
          </cell>
          <cell r="CF230">
            <v>32</v>
          </cell>
          <cell r="CG230">
            <v>37</v>
          </cell>
          <cell r="CH230">
            <v>35</v>
          </cell>
          <cell r="CI230">
            <v>34</v>
          </cell>
          <cell r="CJ230">
            <v>35</v>
          </cell>
          <cell r="CK230">
            <v>67</v>
          </cell>
          <cell r="CL230">
            <v>48</v>
          </cell>
          <cell r="CM230">
            <v>41</v>
          </cell>
          <cell r="CN230">
            <v>31</v>
          </cell>
          <cell r="CO230">
            <v>66</v>
          </cell>
          <cell r="CP230">
            <v>40</v>
          </cell>
          <cell r="CQ230">
            <v>47</v>
          </cell>
          <cell r="CR230">
            <v>39</v>
          </cell>
          <cell r="CS230">
            <v>75</v>
          </cell>
          <cell r="CT230">
            <v>55</v>
          </cell>
          <cell r="CU230">
            <v>62</v>
          </cell>
          <cell r="CV230">
            <v>55</v>
          </cell>
          <cell r="CW230">
            <v>62</v>
          </cell>
          <cell r="CX230">
            <v>48</v>
          </cell>
          <cell r="CY230">
            <v>69</v>
          </cell>
          <cell r="CZ230">
            <v>68</v>
          </cell>
          <cell r="DA230">
            <v>60</v>
          </cell>
          <cell r="DB230">
            <v>43</v>
          </cell>
          <cell r="DC230">
            <v>59</v>
          </cell>
          <cell r="DD230">
            <v>37</v>
          </cell>
          <cell r="DE230">
            <v>25</v>
          </cell>
          <cell r="DF230">
            <v>58</v>
          </cell>
          <cell r="DG230">
            <v>34</v>
          </cell>
          <cell r="DH230">
            <v>55</v>
          </cell>
          <cell r="DI230">
            <v>73</v>
          </cell>
          <cell r="DJ230">
            <v>49</v>
          </cell>
          <cell r="DK230">
            <v>33</v>
          </cell>
          <cell r="DL230">
            <v>51</v>
          </cell>
          <cell r="DM230">
            <v>59</v>
          </cell>
          <cell r="DN230">
            <v>65</v>
          </cell>
          <cell r="DO230">
            <v>41</v>
          </cell>
          <cell r="DP230">
            <v>29</v>
          </cell>
          <cell r="DQ230">
            <v>22</v>
          </cell>
          <cell r="DR230">
            <v>48</v>
          </cell>
          <cell r="DS230">
            <v>40</v>
          </cell>
          <cell r="DT230">
            <v>33</v>
          </cell>
          <cell r="DU230">
            <v>46</v>
          </cell>
          <cell r="DV230">
            <v>44</v>
          </cell>
          <cell r="DW230">
            <v>49</v>
          </cell>
          <cell r="DX230">
            <v>40</v>
          </cell>
          <cell r="DY230">
            <v>19</v>
          </cell>
          <cell r="DZ230">
            <v>25</v>
          </cell>
          <cell r="EA230">
            <v>43</v>
          </cell>
          <cell r="EB230">
            <v>26</v>
          </cell>
          <cell r="EC230">
            <v>27</v>
          </cell>
        </row>
        <row r="231">
          <cell r="AL231">
            <v>11</v>
          </cell>
          <cell r="AM231">
            <v>19</v>
          </cell>
          <cell r="AN231">
            <v>22</v>
          </cell>
          <cell r="AO231">
            <v>28</v>
          </cell>
          <cell r="AP231">
            <v>20</v>
          </cell>
          <cell r="AQ231">
            <v>18</v>
          </cell>
          <cell r="AR231">
            <v>11</v>
          </cell>
          <cell r="AS231">
            <v>18</v>
          </cell>
          <cell r="AT231">
            <v>21</v>
          </cell>
          <cell r="AU231">
            <v>13</v>
          </cell>
          <cell r="AV231">
            <v>6</v>
          </cell>
          <cell r="AW231">
            <v>14</v>
          </cell>
          <cell r="AX231">
            <v>17</v>
          </cell>
          <cell r="AY231">
            <v>13</v>
          </cell>
          <cell r="AZ231">
            <v>16</v>
          </cell>
          <cell r="BA231">
            <v>15</v>
          </cell>
          <cell r="BB231">
            <v>26</v>
          </cell>
          <cell r="BC231">
            <v>17</v>
          </cell>
          <cell r="BD231">
            <v>23</v>
          </cell>
          <cell r="BE231">
            <v>13</v>
          </cell>
          <cell r="BF231">
            <v>12</v>
          </cell>
          <cell r="BG231">
            <v>10</v>
          </cell>
          <cell r="BH231">
            <v>11</v>
          </cell>
          <cell r="BI231">
            <v>12</v>
          </cell>
          <cell r="BJ231">
            <v>11</v>
          </cell>
          <cell r="BK231">
            <v>13</v>
          </cell>
          <cell r="BL231">
            <v>15</v>
          </cell>
          <cell r="BM231">
            <v>12</v>
          </cell>
          <cell r="BN231">
            <v>13</v>
          </cell>
          <cell r="BO231">
            <v>8</v>
          </cell>
          <cell r="BP231">
            <v>21</v>
          </cell>
          <cell r="BQ231">
            <v>18</v>
          </cell>
          <cell r="BR231">
            <v>12</v>
          </cell>
          <cell r="BS231">
            <v>10</v>
          </cell>
          <cell r="BT231">
            <v>8</v>
          </cell>
          <cell r="BU231">
            <v>11</v>
          </cell>
          <cell r="BV231">
            <v>7</v>
          </cell>
          <cell r="BW231">
            <v>10</v>
          </cell>
          <cell r="BX231">
            <v>10</v>
          </cell>
          <cell r="BY231">
            <v>15</v>
          </cell>
          <cell r="BZ231">
            <v>7</v>
          </cell>
          <cell r="CA231">
            <v>8</v>
          </cell>
          <cell r="CB231">
            <v>8</v>
          </cell>
          <cell r="CC231">
            <v>7</v>
          </cell>
          <cell r="CD231">
            <v>11</v>
          </cell>
          <cell r="CE231">
            <v>14</v>
          </cell>
          <cell r="CF231">
            <v>8</v>
          </cell>
          <cell r="CG231">
            <v>14</v>
          </cell>
          <cell r="CH231">
            <v>11</v>
          </cell>
          <cell r="CI231">
            <v>12</v>
          </cell>
          <cell r="CJ231">
            <v>10</v>
          </cell>
          <cell r="CK231">
            <v>12</v>
          </cell>
          <cell r="CL231">
            <v>14</v>
          </cell>
          <cell r="CM231">
            <v>15</v>
          </cell>
          <cell r="CN231">
            <v>8</v>
          </cell>
          <cell r="CO231">
            <v>19</v>
          </cell>
          <cell r="CP231">
            <v>13</v>
          </cell>
          <cell r="CQ231">
            <v>14</v>
          </cell>
          <cell r="CR231">
            <v>11</v>
          </cell>
          <cell r="CS231">
            <v>14</v>
          </cell>
          <cell r="CT231">
            <v>10</v>
          </cell>
          <cell r="CU231">
            <v>10</v>
          </cell>
          <cell r="CV231">
            <v>14</v>
          </cell>
          <cell r="CW231">
            <v>25</v>
          </cell>
          <cell r="CX231">
            <v>19</v>
          </cell>
          <cell r="CY231">
            <v>15</v>
          </cell>
          <cell r="CZ231">
            <v>15</v>
          </cell>
          <cell r="DA231">
            <v>10</v>
          </cell>
          <cell r="DB231">
            <v>8</v>
          </cell>
          <cell r="DC231">
            <v>13</v>
          </cell>
          <cell r="DD231">
            <v>21</v>
          </cell>
          <cell r="DE231">
            <v>26</v>
          </cell>
          <cell r="DF231">
            <v>26</v>
          </cell>
          <cell r="DG231">
            <v>13</v>
          </cell>
          <cell r="DH231">
            <v>10</v>
          </cell>
          <cell r="DI231">
            <v>17</v>
          </cell>
          <cell r="DJ231">
            <v>18</v>
          </cell>
          <cell r="DK231">
            <v>18</v>
          </cell>
          <cell r="DL231">
            <v>18</v>
          </cell>
          <cell r="DM231">
            <v>13</v>
          </cell>
          <cell r="DN231">
            <v>10</v>
          </cell>
          <cell r="DO231">
            <v>15</v>
          </cell>
          <cell r="DP231">
            <v>15</v>
          </cell>
          <cell r="DQ231">
            <v>22</v>
          </cell>
          <cell r="DR231">
            <v>18</v>
          </cell>
          <cell r="DS231">
            <v>12</v>
          </cell>
          <cell r="DT231">
            <v>19</v>
          </cell>
          <cell r="DU231">
            <v>11</v>
          </cell>
          <cell r="DV231">
            <v>16</v>
          </cell>
          <cell r="DW231">
            <v>16</v>
          </cell>
          <cell r="DX231">
            <v>16</v>
          </cell>
          <cell r="DY231">
            <v>13</v>
          </cell>
          <cell r="DZ231">
            <v>20</v>
          </cell>
          <cell r="EA231">
            <v>19</v>
          </cell>
          <cell r="EB231">
            <v>14</v>
          </cell>
          <cell r="EC231">
            <v>15</v>
          </cell>
        </row>
        <row r="232">
          <cell r="CH232">
            <v>56</v>
          </cell>
          <cell r="CI232">
            <v>60</v>
          </cell>
          <cell r="CJ232">
            <v>60</v>
          </cell>
          <cell r="CK232">
            <v>99</v>
          </cell>
          <cell r="CL232">
            <v>83</v>
          </cell>
          <cell r="CM232">
            <v>71</v>
          </cell>
          <cell r="CN232">
            <v>53</v>
          </cell>
          <cell r="CO232">
            <v>128</v>
          </cell>
          <cell r="CP232">
            <v>70</v>
          </cell>
          <cell r="CQ232">
            <v>76</v>
          </cell>
          <cell r="CR232">
            <v>61</v>
          </cell>
          <cell r="CS232">
            <v>112</v>
          </cell>
          <cell r="CT232">
            <v>82</v>
          </cell>
          <cell r="CU232">
            <v>97</v>
          </cell>
          <cell r="CV232">
            <v>97</v>
          </cell>
          <cell r="CW232">
            <v>109</v>
          </cell>
          <cell r="CX232">
            <v>83</v>
          </cell>
          <cell r="CY232">
            <v>101</v>
          </cell>
          <cell r="CZ232">
            <v>121</v>
          </cell>
          <cell r="DA232">
            <v>85</v>
          </cell>
          <cell r="DB232">
            <v>61</v>
          </cell>
          <cell r="DC232">
            <v>130</v>
          </cell>
          <cell r="DD232">
            <v>66</v>
          </cell>
          <cell r="DE232">
            <v>62</v>
          </cell>
          <cell r="DF232">
            <v>91</v>
          </cell>
          <cell r="DG232">
            <v>62</v>
          </cell>
          <cell r="DH232">
            <v>76</v>
          </cell>
          <cell r="DI232">
            <v>106</v>
          </cell>
          <cell r="DJ232">
            <v>74</v>
          </cell>
          <cell r="DK232">
            <v>60</v>
          </cell>
          <cell r="DL232">
            <v>90</v>
          </cell>
          <cell r="DM232">
            <v>85</v>
          </cell>
          <cell r="DN232">
            <v>101</v>
          </cell>
          <cell r="DO232">
            <v>73</v>
          </cell>
          <cell r="DP232">
            <v>52</v>
          </cell>
          <cell r="DQ232">
            <v>58</v>
          </cell>
          <cell r="DR232">
            <v>89</v>
          </cell>
          <cell r="DS232">
            <v>68</v>
          </cell>
          <cell r="DT232">
            <v>75</v>
          </cell>
          <cell r="DU232">
            <v>78</v>
          </cell>
          <cell r="DV232">
            <v>78</v>
          </cell>
          <cell r="DW232">
            <v>94</v>
          </cell>
          <cell r="DX232">
            <v>77</v>
          </cell>
          <cell r="DY232">
            <v>43</v>
          </cell>
          <cell r="DZ232">
            <v>57</v>
          </cell>
          <cell r="EA232">
            <v>79</v>
          </cell>
          <cell r="EB232">
            <v>48</v>
          </cell>
          <cell r="EC232">
            <v>54</v>
          </cell>
        </row>
        <row r="234">
          <cell r="CH234">
            <v>25</v>
          </cell>
          <cell r="CI234">
            <v>22</v>
          </cell>
          <cell r="CJ234">
            <v>28</v>
          </cell>
          <cell r="CK234">
            <v>25</v>
          </cell>
          <cell r="CL234">
            <v>32</v>
          </cell>
          <cell r="CM234">
            <v>34</v>
          </cell>
          <cell r="CN234">
            <v>27</v>
          </cell>
          <cell r="CO234">
            <v>24</v>
          </cell>
          <cell r="CP234">
            <v>23</v>
          </cell>
          <cell r="CQ234">
            <v>21</v>
          </cell>
          <cell r="CR234">
            <v>19</v>
          </cell>
          <cell r="CS234">
            <v>21</v>
          </cell>
          <cell r="CT234">
            <v>27</v>
          </cell>
          <cell r="CU234">
            <v>37</v>
          </cell>
          <cell r="CV234">
            <v>35</v>
          </cell>
          <cell r="CW234">
            <v>28</v>
          </cell>
          <cell r="CX234">
            <v>27</v>
          </cell>
          <cell r="CY234">
            <v>24</v>
          </cell>
          <cell r="CZ234">
            <v>25</v>
          </cell>
          <cell r="DA234">
            <v>23</v>
          </cell>
          <cell r="DB234">
            <v>17</v>
          </cell>
          <cell r="DC234">
            <v>22</v>
          </cell>
          <cell r="DD234">
            <v>23</v>
          </cell>
          <cell r="DE234">
            <v>24</v>
          </cell>
          <cell r="DF234">
            <v>24</v>
          </cell>
          <cell r="DG234">
            <v>23</v>
          </cell>
          <cell r="DH234">
            <v>28</v>
          </cell>
          <cell r="DI234">
            <v>24</v>
          </cell>
          <cell r="DJ234">
            <v>20</v>
          </cell>
          <cell r="DK234">
            <v>29</v>
          </cell>
          <cell r="DL234">
            <v>7</v>
          </cell>
          <cell r="DM234">
            <v>22</v>
          </cell>
          <cell r="DN234">
            <v>21</v>
          </cell>
          <cell r="DO234">
            <v>15</v>
          </cell>
          <cell r="DP234">
            <v>25</v>
          </cell>
          <cell r="DQ234">
            <v>15</v>
          </cell>
          <cell r="DR234">
            <v>18</v>
          </cell>
          <cell r="DS234">
            <v>20</v>
          </cell>
          <cell r="DT234">
            <v>14</v>
          </cell>
          <cell r="DU234">
            <v>33</v>
          </cell>
          <cell r="DV234">
            <v>39</v>
          </cell>
          <cell r="DW234">
            <v>17</v>
          </cell>
          <cell r="DX234">
            <v>14</v>
          </cell>
          <cell r="DY234">
            <v>16</v>
          </cell>
          <cell r="DZ234">
            <v>24</v>
          </cell>
          <cell r="EA234">
            <v>18</v>
          </cell>
          <cell r="EB234">
            <v>21</v>
          </cell>
          <cell r="EC234">
            <v>15</v>
          </cell>
        </row>
        <row r="235">
          <cell r="CH235">
            <v>175</v>
          </cell>
          <cell r="CI235">
            <v>231</v>
          </cell>
          <cell r="CJ235">
            <v>278</v>
          </cell>
          <cell r="CK235">
            <v>241</v>
          </cell>
          <cell r="CL235">
            <v>277</v>
          </cell>
          <cell r="CM235">
            <v>230</v>
          </cell>
          <cell r="CN235">
            <v>233</v>
          </cell>
          <cell r="CO235">
            <v>188</v>
          </cell>
          <cell r="CP235">
            <v>186</v>
          </cell>
          <cell r="CQ235">
            <v>203</v>
          </cell>
          <cell r="CR235">
            <v>193</v>
          </cell>
          <cell r="CS235">
            <v>222</v>
          </cell>
          <cell r="CT235">
            <v>252</v>
          </cell>
          <cell r="CU235">
            <v>239</v>
          </cell>
          <cell r="CV235">
            <v>230</v>
          </cell>
          <cell r="CW235">
            <v>230</v>
          </cell>
          <cell r="CX235">
            <v>220</v>
          </cell>
          <cell r="CY235">
            <v>208</v>
          </cell>
          <cell r="CZ235">
            <v>205</v>
          </cell>
          <cell r="DA235">
            <v>171</v>
          </cell>
          <cell r="DB235">
            <v>192</v>
          </cell>
          <cell r="DC235">
            <v>206</v>
          </cell>
          <cell r="DD235">
            <v>176</v>
          </cell>
          <cell r="DE235">
            <v>176</v>
          </cell>
          <cell r="DF235">
            <v>199</v>
          </cell>
          <cell r="DG235">
            <v>185</v>
          </cell>
          <cell r="DH235">
            <v>192</v>
          </cell>
          <cell r="DI235">
            <v>184</v>
          </cell>
          <cell r="DJ235">
            <v>179</v>
          </cell>
          <cell r="DK235">
            <v>148</v>
          </cell>
          <cell r="DL235">
            <v>168</v>
          </cell>
          <cell r="DM235">
            <v>159</v>
          </cell>
          <cell r="DN235">
            <v>168</v>
          </cell>
          <cell r="DO235">
            <v>154</v>
          </cell>
          <cell r="DP235">
            <v>167</v>
          </cell>
          <cell r="DQ235">
            <v>183</v>
          </cell>
          <cell r="DR235">
            <v>177</v>
          </cell>
          <cell r="DS235">
            <v>170</v>
          </cell>
          <cell r="DT235">
            <v>175</v>
          </cell>
          <cell r="DU235">
            <v>202</v>
          </cell>
          <cell r="DV235">
            <v>203</v>
          </cell>
          <cell r="DW235">
            <v>166</v>
          </cell>
          <cell r="DX235">
            <v>200</v>
          </cell>
          <cell r="DY235">
            <v>153</v>
          </cell>
          <cell r="DZ235">
            <v>177</v>
          </cell>
          <cell r="EA235">
            <v>195</v>
          </cell>
          <cell r="EB235">
            <v>174</v>
          </cell>
          <cell r="EC235">
            <v>192</v>
          </cell>
        </row>
        <row r="236">
          <cell r="CH236">
            <v>146</v>
          </cell>
          <cell r="CI236">
            <v>142</v>
          </cell>
          <cell r="CJ236">
            <v>128</v>
          </cell>
          <cell r="CK236">
            <v>154</v>
          </cell>
          <cell r="CL236">
            <v>110</v>
          </cell>
          <cell r="CM236">
            <v>128</v>
          </cell>
          <cell r="CN236">
            <v>144</v>
          </cell>
          <cell r="CO236">
            <v>133</v>
          </cell>
          <cell r="CP236">
            <v>125</v>
          </cell>
          <cell r="CQ236">
            <v>100</v>
          </cell>
          <cell r="CR236">
            <v>100</v>
          </cell>
          <cell r="CS236">
            <v>139</v>
          </cell>
          <cell r="CT236">
            <v>132</v>
          </cell>
          <cell r="CU236">
            <v>140</v>
          </cell>
          <cell r="CV236">
            <v>173</v>
          </cell>
          <cell r="CW236">
            <v>140</v>
          </cell>
          <cell r="CX236">
            <v>174</v>
          </cell>
          <cell r="CY236">
            <v>159</v>
          </cell>
          <cell r="CZ236">
            <v>140</v>
          </cell>
          <cell r="DA236">
            <v>134</v>
          </cell>
          <cell r="DB236">
            <v>136</v>
          </cell>
          <cell r="DC236">
            <v>136</v>
          </cell>
          <cell r="DD236">
            <v>128</v>
          </cell>
          <cell r="DE236">
            <v>135</v>
          </cell>
          <cell r="DF236">
            <v>141</v>
          </cell>
          <cell r="DG236">
            <v>121</v>
          </cell>
          <cell r="DH236">
            <v>141</v>
          </cell>
          <cell r="DI236">
            <v>136</v>
          </cell>
          <cell r="DJ236">
            <v>116</v>
          </cell>
          <cell r="DK236">
            <v>110</v>
          </cell>
          <cell r="DL236">
            <v>106</v>
          </cell>
          <cell r="DM236">
            <v>111</v>
          </cell>
          <cell r="DN236">
            <v>139</v>
          </cell>
          <cell r="DO236">
            <v>86</v>
          </cell>
          <cell r="DP236">
            <v>103</v>
          </cell>
          <cell r="DQ236">
            <v>85</v>
          </cell>
          <cell r="DR236">
            <v>100</v>
          </cell>
          <cell r="DS236">
            <v>106</v>
          </cell>
          <cell r="DT236">
            <v>117</v>
          </cell>
          <cell r="DU236">
            <v>126</v>
          </cell>
          <cell r="DV236">
            <v>111</v>
          </cell>
          <cell r="DW236">
            <v>101</v>
          </cell>
          <cell r="DX236">
            <v>124</v>
          </cell>
          <cell r="DY236">
            <v>127</v>
          </cell>
          <cell r="DZ236">
            <v>124</v>
          </cell>
          <cell r="EA236">
            <v>119</v>
          </cell>
          <cell r="EB236">
            <v>131</v>
          </cell>
          <cell r="EC236">
            <v>145</v>
          </cell>
        </row>
        <row r="237">
          <cell r="CH237">
            <v>1</v>
          </cell>
          <cell r="CI237">
            <v>2</v>
          </cell>
          <cell r="CJ237">
            <v>1</v>
          </cell>
          <cell r="CM237">
            <v>2</v>
          </cell>
          <cell r="CN237">
            <v>1</v>
          </cell>
          <cell r="CO237">
            <v>2</v>
          </cell>
          <cell r="CP237">
            <v>1</v>
          </cell>
          <cell r="CQ237">
            <v>4</v>
          </cell>
          <cell r="CT237">
            <v>3</v>
          </cell>
          <cell r="CU237">
            <v>3</v>
          </cell>
          <cell r="CV237">
            <v>4</v>
          </cell>
          <cell r="CW237">
            <v>6</v>
          </cell>
          <cell r="CX237">
            <v>4</v>
          </cell>
          <cell r="CY237">
            <v>9</v>
          </cell>
          <cell r="CZ237">
            <v>1</v>
          </cell>
          <cell r="DA237">
            <v>10</v>
          </cell>
          <cell r="DB237">
            <v>5</v>
          </cell>
          <cell r="DC237">
            <v>10</v>
          </cell>
          <cell r="DD237">
            <v>6</v>
          </cell>
          <cell r="DE237">
            <v>2</v>
          </cell>
          <cell r="DF237">
            <v>1</v>
          </cell>
          <cell r="DG237">
            <v>0</v>
          </cell>
          <cell r="DH237">
            <v>2</v>
          </cell>
          <cell r="DI237">
            <v>1</v>
          </cell>
          <cell r="DJ237">
            <v>2</v>
          </cell>
          <cell r="DK237">
            <v>1</v>
          </cell>
          <cell r="DL237">
            <v>5</v>
          </cell>
          <cell r="DM237">
            <v>3</v>
          </cell>
          <cell r="DN237">
            <v>4</v>
          </cell>
          <cell r="DO237">
            <v>10</v>
          </cell>
          <cell r="DP237">
            <v>4</v>
          </cell>
          <cell r="DQ237">
            <v>2</v>
          </cell>
          <cell r="DR237">
            <v>8</v>
          </cell>
          <cell r="DS237">
            <v>4</v>
          </cell>
          <cell r="DT237">
            <v>1</v>
          </cell>
          <cell r="DU237">
            <v>6</v>
          </cell>
          <cell r="DV237">
            <v>3</v>
          </cell>
          <cell r="DW237">
            <v>2</v>
          </cell>
          <cell r="DX237">
            <v>3</v>
          </cell>
          <cell r="DY237">
            <v>4</v>
          </cell>
          <cell r="DZ237">
            <v>3</v>
          </cell>
          <cell r="EA237">
            <v>1</v>
          </cell>
          <cell r="EB237">
            <v>7</v>
          </cell>
          <cell r="EC237">
            <v>3</v>
          </cell>
        </row>
        <row r="239">
          <cell r="CH239">
            <v>67</v>
          </cell>
          <cell r="CI239">
            <v>100</v>
          </cell>
          <cell r="CJ239">
            <v>117</v>
          </cell>
          <cell r="CK239">
            <v>120</v>
          </cell>
          <cell r="CL239">
            <v>118</v>
          </cell>
          <cell r="CM239">
            <v>95</v>
          </cell>
          <cell r="CN239">
            <v>93</v>
          </cell>
          <cell r="CO239">
            <v>90</v>
          </cell>
          <cell r="CP239">
            <v>70</v>
          </cell>
          <cell r="CQ239">
            <v>121</v>
          </cell>
          <cell r="CR239">
            <v>113</v>
          </cell>
          <cell r="CS239">
            <v>98</v>
          </cell>
          <cell r="CT239">
            <v>79</v>
          </cell>
          <cell r="CU239">
            <v>114</v>
          </cell>
          <cell r="CV239">
            <v>100</v>
          </cell>
          <cell r="CW239">
            <v>110</v>
          </cell>
          <cell r="CX239">
            <v>135</v>
          </cell>
          <cell r="CY239">
            <v>115</v>
          </cell>
          <cell r="CZ239">
            <v>162</v>
          </cell>
          <cell r="DA239">
            <v>121</v>
          </cell>
          <cell r="DB239">
            <v>108</v>
          </cell>
          <cell r="DC239">
            <v>118</v>
          </cell>
          <cell r="DD239">
            <v>152</v>
          </cell>
          <cell r="DE239">
            <v>134</v>
          </cell>
          <cell r="DF239">
            <v>115</v>
          </cell>
          <cell r="DG239">
            <v>147</v>
          </cell>
          <cell r="DH239">
            <v>122</v>
          </cell>
          <cell r="DI239">
            <v>116</v>
          </cell>
          <cell r="DJ239">
            <v>109</v>
          </cell>
          <cell r="DK239">
            <v>130</v>
          </cell>
          <cell r="DL239">
            <v>102</v>
          </cell>
          <cell r="DM239">
            <v>116</v>
          </cell>
          <cell r="DN239">
            <v>102</v>
          </cell>
          <cell r="DO239">
            <v>159</v>
          </cell>
          <cell r="DP239">
            <v>164</v>
          </cell>
          <cell r="DQ239">
            <v>168</v>
          </cell>
          <cell r="DR239">
            <v>150</v>
          </cell>
          <cell r="DS239">
            <v>148</v>
          </cell>
          <cell r="DT239">
            <v>137</v>
          </cell>
          <cell r="DU239">
            <v>175</v>
          </cell>
          <cell r="DV239">
            <v>146</v>
          </cell>
          <cell r="DW239">
            <v>156</v>
          </cell>
          <cell r="DX239">
            <v>180</v>
          </cell>
          <cell r="DY239">
            <v>124</v>
          </cell>
          <cell r="DZ239">
            <v>99</v>
          </cell>
          <cell r="EA239">
            <v>105</v>
          </cell>
          <cell r="EB239">
            <v>96</v>
          </cell>
          <cell r="EC239">
            <v>154</v>
          </cell>
        </row>
        <row r="241">
          <cell r="CH241">
            <v>13</v>
          </cell>
          <cell r="CI241">
            <v>18</v>
          </cell>
          <cell r="CJ241">
            <v>28</v>
          </cell>
          <cell r="CK241">
            <v>11</v>
          </cell>
          <cell r="CL241">
            <v>22</v>
          </cell>
          <cell r="CM241">
            <v>25</v>
          </cell>
          <cell r="CN241">
            <v>32</v>
          </cell>
          <cell r="CO241">
            <v>23</v>
          </cell>
          <cell r="CP241">
            <v>18</v>
          </cell>
          <cell r="CQ241">
            <v>22</v>
          </cell>
          <cell r="CR241">
            <v>19</v>
          </cell>
          <cell r="CS241">
            <v>20</v>
          </cell>
          <cell r="CT241">
            <v>28</v>
          </cell>
          <cell r="CU241">
            <v>14</v>
          </cell>
          <cell r="CV241">
            <v>18</v>
          </cell>
          <cell r="CW241">
            <v>33</v>
          </cell>
          <cell r="CX241">
            <v>26</v>
          </cell>
          <cell r="CY241">
            <v>24</v>
          </cell>
          <cell r="CZ241">
            <v>31</v>
          </cell>
          <cell r="DA241">
            <v>26</v>
          </cell>
          <cell r="DB241">
            <v>17</v>
          </cell>
          <cell r="DC241">
            <v>21</v>
          </cell>
          <cell r="DD241">
            <v>25</v>
          </cell>
          <cell r="DE241">
            <v>21</v>
          </cell>
          <cell r="DF241">
            <v>27</v>
          </cell>
          <cell r="DG241">
            <v>23</v>
          </cell>
          <cell r="DH241">
            <v>22</v>
          </cell>
          <cell r="DI241">
            <v>14</v>
          </cell>
          <cell r="DJ241">
            <v>15</v>
          </cell>
          <cell r="DK241">
            <v>21</v>
          </cell>
          <cell r="DL241">
            <v>21</v>
          </cell>
          <cell r="DM241">
            <v>19</v>
          </cell>
          <cell r="DN241">
            <v>20</v>
          </cell>
          <cell r="DO241">
            <v>25</v>
          </cell>
          <cell r="DP241">
            <v>21</v>
          </cell>
          <cell r="DQ241">
            <v>20</v>
          </cell>
          <cell r="DR241">
            <v>15</v>
          </cell>
          <cell r="DS241">
            <v>20</v>
          </cell>
          <cell r="DT241">
            <v>19</v>
          </cell>
          <cell r="DU241">
            <v>21</v>
          </cell>
          <cell r="DV241">
            <v>17</v>
          </cell>
          <cell r="DW241">
            <v>14</v>
          </cell>
          <cell r="DX241">
            <v>24</v>
          </cell>
          <cell r="DY241">
            <v>23</v>
          </cell>
          <cell r="DZ241">
            <v>16</v>
          </cell>
          <cell r="EA241">
            <v>18</v>
          </cell>
          <cell r="EB241">
            <v>17</v>
          </cell>
          <cell r="EC241">
            <v>24</v>
          </cell>
        </row>
        <row r="252">
          <cell r="CH252">
            <v>1217</v>
          </cell>
          <cell r="CI252">
            <v>1335</v>
          </cell>
          <cell r="CJ252">
            <v>1481</v>
          </cell>
          <cell r="CK252">
            <v>1520</v>
          </cell>
          <cell r="CL252">
            <v>1510</v>
          </cell>
          <cell r="CM252">
            <v>1383</v>
          </cell>
          <cell r="CN252">
            <v>1528</v>
          </cell>
          <cell r="CO252">
            <v>1479</v>
          </cell>
          <cell r="CP252">
            <v>1294</v>
          </cell>
          <cell r="CQ252">
            <v>1396</v>
          </cell>
          <cell r="CR252">
            <v>1250</v>
          </cell>
          <cell r="CS252">
            <v>1452</v>
          </cell>
          <cell r="CT252">
            <v>1350</v>
          </cell>
          <cell r="CU252">
            <v>1522</v>
          </cell>
          <cell r="CV252">
            <v>1477</v>
          </cell>
          <cell r="CW252">
            <v>1668</v>
          </cell>
          <cell r="CX252">
            <v>1617</v>
          </cell>
          <cell r="CY252">
            <v>1546</v>
          </cell>
          <cell r="CZ252">
            <v>1663</v>
          </cell>
          <cell r="DA252">
            <v>1473</v>
          </cell>
          <cell r="DB252">
            <v>1253</v>
          </cell>
          <cell r="DC252">
            <v>1522</v>
          </cell>
          <cell r="DD252">
            <v>1476</v>
          </cell>
          <cell r="DE252">
            <v>1472</v>
          </cell>
          <cell r="DF252">
            <v>1433</v>
          </cell>
          <cell r="DG252">
            <v>1460</v>
          </cell>
          <cell r="DH252">
            <v>1598</v>
          </cell>
          <cell r="DI252">
            <v>1473</v>
          </cell>
          <cell r="DJ252">
            <v>1375</v>
          </cell>
          <cell r="DK252">
            <v>1422</v>
          </cell>
          <cell r="DL252">
            <v>1422</v>
          </cell>
          <cell r="DM252">
            <v>1345</v>
          </cell>
          <cell r="DN252">
            <v>1349</v>
          </cell>
          <cell r="DO252">
            <v>1419</v>
          </cell>
          <cell r="DP252">
            <v>1349</v>
          </cell>
          <cell r="DQ252">
            <v>1339</v>
          </cell>
          <cell r="DR252">
            <v>1379</v>
          </cell>
          <cell r="DS252">
            <v>1570</v>
          </cell>
          <cell r="DT252">
            <v>1435</v>
          </cell>
          <cell r="DU252">
            <v>1631</v>
          </cell>
          <cell r="DV252">
            <v>1412</v>
          </cell>
          <cell r="DW252">
            <v>1436</v>
          </cell>
          <cell r="DX252">
            <v>1557</v>
          </cell>
          <cell r="DY252">
            <v>1304</v>
          </cell>
          <cell r="DZ252">
            <v>1253</v>
          </cell>
          <cell r="EA252">
            <v>1319</v>
          </cell>
          <cell r="EB252">
            <v>1220</v>
          </cell>
          <cell r="EC252">
            <v>1446</v>
          </cell>
        </row>
        <row r="254">
          <cell r="AL254">
            <v>153</v>
          </cell>
          <cell r="AM254">
            <v>140</v>
          </cell>
          <cell r="AN254">
            <v>134</v>
          </cell>
          <cell r="AO254">
            <v>175</v>
          </cell>
          <cell r="AP254">
            <v>168</v>
          </cell>
          <cell r="AQ254">
            <v>155</v>
          </cell>
          <cell r="AR254">
            <v>136</v>
          </cell>
          <cell r="AS254">
            <v>130</v>
          </cell>
          <cell r="AT254">
            <v>153</v>
          </cell>
          <cell r="AU254">
            <v>125</v>
          </cell>
          <cell r="AV254">
            <v>105</v>
          </cell>
          <cell r="AW254">
            <v>102</v>
          </cell>
          <cell r="AX254">
            <v>109</v>
          </cell>
          <cell r="AY254">
            <v>157</v>
          </cell>
          <cell r="AZ254">
            <v>138</v>
          </cell>
          <cell r="BA254">
            <v>159</v>
          </cell>
          <cell r="BB254">
            <v>154</v>
          </cell>
          <cell r="BC254">
            <v>125</v>
          </cell>
          <cell r="BD254">
            <v>154</v>
          </cell>
          <cell r="BE254">
            <v>128</v>
          </cell>
          <cell r="BF254">
            <v>162</v>
          </cell>
          <cell r="BG254">
            <v>138</v>
          </cell>
          <cell r="BH254">
            <v>105</v>
          </cell>
          <cell r="BI254">
            <v>143</v>
          </cell>
          <cell r="BJ254">
            <v>145</v>
          </cell>
          <cell r="BK254">
            <v>164</v>
          </cell>
          <cell r="BL254">
            <v>167</v>
          </cell>
          <cell r="BM254">
            <v>159</v>
          </cell>
          <cell r="BN254">
            <v>148</v>
          </cell>
          <cell r="BO254">
            <v>142</v>
          </cell>
          <cell r="BP254">
            <v>144</v>
          </cell>
          <cell r="BQ254">
            <v>151</v>
          </cell>
          <cell r="BR254">
            <v>183</v>
          </cell>
          <cell r="BS254">
            <v>122</v>
          </cell>
          <cell r="BT254">
            <v>111</v>
          </cell>
          <cell r="BU254">
            <v>137</v>
          </cell>
          <cell r="BV254">
            <v>105</v>
          </cell>
          <cell r="BW254">
            <v>136</v>
          </cell>
          <cell r="BX254">
            <v>156</v>
          </cell>
          <cell r="BY254">
            <v>147</v>
          </cell>
          <cell r="BZ254">
            <v>144</v>
          </cell>
          <cell r="CA254">
            <v>147</v>
          </cell>
          <cell r="CB254">
            <v>135</v>
          </cell>
          <cell r="CC254">
            <v>95</v>
          </cell>
          <cell r="CD254">
            <v>106</v>
          </cell>
          <cell r="CE254">
            <v>97</v>
          </cell>
          <cell r="CF254">
            <v>113</v>
          </cell>
          <cell r="CG254">
            <v>121</v>
          </cell>
          <cell r="CH254">
            <v>106</v>
          </cell>
          <cell r="CI254">
            <v>128</v>
          </cell>
          <cell r="CJ254">
            <v>170</v>
          </cell>
          <cell r="CK254">
            <v>168</v>
          </cell>
          <cell r="CL254">
            <v>180</v>
          </cell>
          <cell r="CM254">
            <v>153</v>
          </cell>
          <cell r="CN254">
            <v>148</v>
          </cell>
          <cell r="CO254">
            <v>137</v>
          </cell>
          <cell r="CP254">
            <v>151</v>
          </cell>
          <cell r="CQ254">
            <v>146</v>
          </cell>
          <cell r="CR254">
            <v>138</v>
          </cell>
          <cell r="CS254">
            <v>132</v>
          </cell>
          <cell r="CT254">
            <v>148</v>
          </cell>
          <cell r="CU254">
            <v>174</v>
          </cell>
          <cell r="CV254">
            <v>169</v>
          </cell>
          <cell r="CW254">
            <v>168</v>
          </cell>
          <cell r="CX254">
            <v>193</v>
          </cell>
          <cell r="CY254">
            <v>157</v>
          </cell>
          <cell r="CZ254">
            <v>151</v>
          </cell>
          <cell r="DA254">
            <v>137</v>
          </cell>
          <cell r="DB254">
            <v>157</v>
          </cell>
          <cell r="DC254">
            <v>145</v>
          </cell>
          <cell r="DD254">
            <v>148</v>
          </cell>
          <cell r="DE254">
            <v>148</v>
          </cell>
          <cell r="DF254">
            <v>164</v>
          </cell>
          <cell r="DG254">
            <v>174</v>
          </cell>
          <cell r="DH254">
            <v>196</v>
          </cell>
          <cell r="DI254">
            <v>166</v>
          </cell>
          <cell r="DJ254">
            <v>145</v>
          </cell>
          <cell r="DK254">
            <v>158</v>
          </cell>
          <cell r="DL254">
            <v>157</v>
          </cell>
          <cell r="DM254">
            <v>141</v>
          </cell>
          <cell r="DN254">
            <v>156</v>
          </cell>
          <cell r="DO254">
            <v>140</v>
          </cell>
          <cell r="DP254">
            <v>151</v>
          </cell>
          <cell r="DQ254">
            <v>138</v>
          </cell>
          <cell r="DR254">
            <v>160</v>
          </cell>
          <cell r="DS254">
            <v>175</v>
          </cell>
          <cell r="DT254">
            <v>169</v>
          </cell>
          <cell r="DU254">
            <v>197</v>
          </cell>
          <cell r="DV254">
            <v>160</v>
          </cell>
          <cell r="DW254">
            <v>146</v>
          </cell>
          <cell r="DX254">
            <v>165</v>
          </cell>
          <cell r="DY254">
            <v>140</v>
          </cell>
          <cell r="DZ254">
            <v>165</v>
          </cell>
          <cell r="EA254">
            <v>163</v>
          </cell>
          <cell r="EB254">
            <v>116</v>
          </cell>
          <cell r="EC254">
            <v>163</v>
          </cell>
        </row>
        <row r="255">
          <cell r="AL255">
            <v>258</v>
          </cell>
          <cell r="AM255">
            <v>264</v>
          </cell>
          <cell r="AN255">
            <v>301</v>
          </cell>
          <cell r="AO255">
            <v>260</v>
          </cell>
          <cell r="AP255">
            <v>268</v>
          </cell>
          <cell r="AQ255">
            <v>250</v>
          </cell>
          <cell r="AR255">
            <v>243</v>
          </cell>
          <cell r="AS255">
            <v>253</v>
          </cell>
          <cell r="AT255">
            <v>227</v>
          </cell>
          <cell r="AU255">
            <v>239</v>
          </cell>
          <cell r="AV255">
            <v>215</v>
          </cell>
          <cell r="AW255">
            <v>241</v>
          </cell>
          <cell r="AX255">
            <v>276</v>
          </cell>
          <cell r="AY255">
            <v>255</v>
          </cell>
          <cell r="AZ255">
            <v>287</v>
          </cell>
          <cell r="BA255">
            <v>332</v>
          </cell>
          <cell r="BB255">
            <v>305</v>
          </cell>
          <cell r="BC255">
            <v>272</v>
          </cell>
          <cell r="BD255">
            <v>249</v>
          </cell>
          <cell r="BE255">
            <v>329</v>
          </cell>
          <cell r="BF255">
            <v>277</v>
          </cell>
          <cell r="BG255">
            <v>277</v>
          </cell>
          <cell r="BH255">
            <v>260</v>
          </cell>
          <cell r="BI255">
            <v>333</v>
          </cell>
          <cell r="BJ255">
            <v>310</v>
          </cell>
          <cell r="BK255">
            <v>278</v>
          </cell>
          <cell r="BL255">
            <v>301</v>
          </cell>
          <cell r="BM255">
            <v>345</v>
          </cell>
          <cell r="BN255">
            <v>326</v>
          </cell>
          <cell r="BO255">
            <v>349</v>
          </cell>
          <cell r="BP255">
            <v>332</v>
          </cell>
          <cell r="BQ255">
            <v>321</v>
          </cell>
          <cell r="BR255">
            <v>354</v>
          </cell>
          <cell r="BS255">
            <v>326</v>
          </cell>
          <cell r="BT255">
            <v>331</v>
          </cell>
          <cell r="BU255">
            <v>344</v>
          </cell>
          <cell r="BV255">
            <v>263</v>
          </cell>
          <cell r="BW255">
            <v>354</v>
          </cell>
          <cell r="BX255">
            <v>432</v>
          </cell>
          <cell r="BY255">
            <v>383</v>
          </cell>
          <cell r="BZ255">
            <v>406</v>
          </cell>
          <cell r="CA255">
            <v>414</v>
          </cell>
          <cell r="CB255">
            <v>428</v>
          </cell>
          <cell r="CC255">
            <v>368</v>
          </cell>
          <cell r="CD255">
            <v>301</v>
          </cell>
          <cell r="CE255">
            <v>307</v>
          </cell>
          <cell r="CF255">
            <v>294</v>
          </cell>
          <cell r="CG255">
            <v>331</v>
          </cell>
          <cell r="CH255">
            <v>351</v>
          </cell>
          <cell r="CI255">
            <v>368</v>
          </cell>
          <cell r="CJ255">
            <v>415</v>
          </cell>
          <cell r="CK255">
            <v>466</v>
          </cell>
          <cell r="CL255">
            <v>437</v>
          </cell>
          <cell r="CM255">
            <v>393</v>
          </cell>
          <cell r="CN255">
            <v>438</v>
          </cell>
          <cell r="CO255">
            <v>378</v>
          </cell>
          <cell r="CP255">
            <v>357</v>
          </cell>
          <cell r="CQ255">
            <v>367</v>
          </cell>
          <cell r="CR255">
            <v>334</v>
          </cell>
          <cell r="CS255">
            <v>404</v>
          </cell>
          <cell r="CT255">
            <v>383</v>
          </cell>
          <cell r="CU255">
            <v>393</v>
          </cell>
          <cell r="CV255">
            <v>396</v>
          </cell>
          <cell r="CW255">
            <v>416</v>
          </cell>
          <cell r="CX255">
            <v>347</v>
          </cell>
          <cell r="CY255">
            <v>380</v>
          </cell>
          <cell r="CZ255">
            <v>405</v>
          </cell>
          <cell r="DA255">
            <v>372</v>
          </cell>
          <cell r="DB255">
            <v>309</v>
          </cell>
          <cell r="DC255">
            <v>355</v>
          </cell>
          <cell r="DD255">
            <v>342</v>
          </cell>
          <cell r="DE255">
            <v>384</v>
          </cell>
          <cell r="DF255">
            <v>326</v>
          </cell>
          <cell r="DG255">
            <v>302</v>
          </cell>
          <cell r="DH255">
            <v>367</v>
          </cell>
          <cell r="DI255">
            <v>345</v>
          </cell>
          <cell r="DJ255">
            <v>333</v>
          </cell>
          <cell r="DK255">
            <v>357</v>
          </cell>
          <cell r="DL255">
            <v>354</v>
          </cell>
          <cell r="DM255">
            <v>334</v>
          </cell>
          <cell r="DN255">
            <v>326</v>
          </cell>
          <cell r="DO255">
            <v>361</v>
          </cell>
          <cell r="DP255">
            <v>336</v>
          </cell>
          <cell r="DQ255">
            <v>323</v>
          </cell>
          <cell r="DR255">
            <v>313</v>
          </cell>
          <cell r="DS255">
            <v>323</v>
          </cell>
          <cell r="DT255">
            <v>345</v>
          </cell>
          <cell r="DU255">
            <v>375</v>
          </cell>
          <cell r="DV255">
            <v>312</v>
          </cell>
          <cell r="DW255">
            <v>312</v>
          </cell>
          <cell r="DX255">
            <v>353</v>
          </cell>
          <cell r="DY255">
            <v>314</v>
          </cell>
          <cell r="DZ255">
            <v>298</v>
          </cell>
          <cell r="EA255">
            <v>312</v>
          </cell>
          <cell r="EB255">
            <v>343</v>
          </cell>
          <cell r="EC255">
            <v>338</v>
          </cell>
        </row>
        <row r="256">
          <cell r="AL256">
            <v>15</v>
          </cell>
          <cell r="AM256">
            <v>31</v>
          </cell>
          <cell r="AN256">
            <v>22</v>
          </cell>
          <cell r="AO256">
            <v>17</v>
          </cell>
          <cell r="AP256">
            <v>28</v>
          </cell>
          <cell r="AQ256">
            <v>19</v>
          </cell>
          <cell r="AR256">
            <v>16</v>
          </cell>
          <cell r="AS256">
            <v>17</v>
          </cell>
          <cell r="AT256">
            <v>20</v>
          </cell>
          <cell r="AU256">
            <v>13</v>
          </cell>
          <cell r="AV256">
            <v>15</v>
          </cell>
          <cell r="AW256">
            <v>16</v>
          </cell>
          <cell r="AX256">
            <v>13</v>
          </cell>
          <cell r="AY256">
            <v>16</v>
          </cell>
          <cell r="AZ256">
            <v>22</v>
          </cell>
          <cell r="BA256">
            <v>19</v>
          </cell>
          <cell r="BB256">
            <v>15</v>
          </cell>
          <cell r="BC256">
            <v>9</v>
          </cell>
          <cell r="BD256">
            <v>12</v>
          </cell>
          <cell r="BE256">
            <v>10</v>
          </cell>
          <cell r="BF256">
            <v>13</v>
          </cell>
          <cell r="BG256">
            <v>11</v>
          </cell>
          <cell r="BH256">
            <v>12</v>
          </cell>
          <cell r="BI256">
            <v>17</v>
          </cell>
          <cell r="BJ256">
            <v>13</v>
          </cell>
          <cell r="BK256">
            <v>26</v>
          </cell>
          <cell r="BL256">
            <v>15</v>
          </cell>
          <cell r="BM256">
            <v>17</v>
          </cell>
          <cell r="BN256">
            <v>28</v>
          </cell>
          <cell r="BO256">
            <v>26</v>
          </cell>
          <cell r="BP256">
            <v>22</v>
          </cell>
          <cell r="BQ256">
            <v>15</v>
          </cell>
          <cell r="BR256">
            <v>21</v>
          </cell>
          <cell r="BS256">
            <v>13</v>
          </cell>
          <cell r="BT256">
            <v>14</v>
          </cell>
          <cell r="BU256">
            <v>17</v>
          </cell>
          <cell r="BV256">
            <v>9</v>
          </cell>
          <cell r="BW256">
            <v>11</v>
          </cell>
          <cell r="BX256">
            <v>15</v>
          </cell>
          <cell r="BY256">
            <v>16</v>
          </cell>
          <cell r="BZ256">
            <v>12</v>
          </cell>
          <cell r="CA256">
            <v>13</v>
          </cell>
          <cell r="CB256">
            <v>12</v>
          </cell>
          <cell r="CC256">
            <v>17</v>
          </cell>
          <cell r="CD256">
            <v>15</v>
          </cell>
          <cell r="CE256">
            <v>13</v>
          </cell>
          <cell r="CF256">
            <v>10</v>
          </cell>
          <cell r="CG256">
            <v>18</v>
          </cell>
          <cell r="CH256">
            <v>22</v>
          </cell>
          <cell r="CI256">
            <v>10</v>
          </cell>
          <cell r="CJ256">
            <v>18</v>
          </cell>
          <cell r="CK256">
            <v>25</v>
          </cell>
          <cell r="CL256">
            <v>25</v>
          </cell>
          <cell r="CM256">
            <v>17</v>
          </cell>
          <cell r="CN256">
            <v>11</v>
          </cell>
          <cell r="CO256">
            <v>23</v>
          </cell>
          <cell r="CP256">
            <v>13</v>
          </cell>
          <cell r="CQ256">
            <v>21</v>
          </cell>
          <cell r="CR256">
            <v>18</v>
          </cell>
          <cell r="CS256">
            <v>17</v>
          </cell>
          <cell r="CT256">
            <v>15</v>
          </cell>
          <cell r="CU256">
            <v>14</v>
          </cell>
          <cell r="CV256">
            <v>14</v>
          </cell>
          <cell r="CW256">
            <v>15</v>
          </cell>
          <cell r="CX256">
            <v>23</v>
          </cell>
          <cell r="CY256">
            <v>16</v>
          </cell>
          <cell r="CZ256">
            <v>21</v>
          </cell>
          <cell r="DA256">
            <v>15</v>
          </cell>
          <cell r="DB256">
            <v>29</v>
          </cell>
          <cell r="DC256">
            <v>16</v>
          </cell>
          <cell r="DD256">
            <v>22</v>
          </cell>
          <cell r="DE256">
            <v>23</v>
          </cell>
          <cell r="DF256">
            <v>11</v>
          </cell>
          <cell r="DG256">
            <v>16</v>
          </cell>
          <cell r="DH256">
            <v>16</v>
          </cell>
          <cell r="DI256">
            <v>18</v>
          </cell>
          <cell r="DJ256">
            <v>29</v>
          </cell>
          <cell r="DK256">
            <v>26</v>
          </cell>
          <cell r="DL256">
            <v>23</v>
          </cell>
          <cell r="DM256">
            <v>23</v>
          </cell>
          <cell r="DN256">
            <v>15</v>
          </cell>
          <cell r="DO256">
            <v>21</v>
          </cell>
          <cell r="DP256">
            <v>17</v>
          </cell>
          <cell r="DQ256">
            <v>22</v>
          </cell>
          <cell r="DR256">
            <v>22</v>
          </cell>
          <cell r="DS256">
            <v>17</v>
          </cell>
          <cell r="DT256">
            <v>16</v>
          </cell>
          <cell r="DU256">
            <v>19</v>
          </cell>
          <cell r="DV256">
            <v>19</v>
          </cell>
          <cell r="DW256">
            <v>15</v>
          </cell>
          <cell r="DX256">
            <v>33</v>
          </cell>
          <cell r="DY256">
            <v>21</v>
          </cell>
          <cell r="DZ256">
            <v>26</v>
          </cell>
          <cell r="EA256">
            <v>27</v>
          </cell>
          <cell r="EB256">
            <v>14</v>
          </cell>
          <cell r="EC256">
            <v>11</v>
          </cell>
        </row>
        <row r="257">
          <cell r="AL257">
            <v>27</v>
          </cell>
          <cell r="AM257">
            <v>44</v>
          </cell>
          <cell r="AN257">
            <v>37</v>
          </cell>
          <cell r="AO257">
            <v>33</v>
          </cell>
          <cell r="AP257">
            <v>39</v>
          </cell>
          <cell r="AQ257">
            <v>31</v>
          </cell>
          <cell r="AR257">
            <v>34</v>
          </cell>
          <cell r="AS257">
            <v>38</v>
          </cell>
          <cell r="AT257">
            <v>36</v>
          </cell>
          <cell r="AU257">
            <v>35</v>
          </cell>
          <cell r="AV257">
            <v>27</v>
          </cell>
          <cell r="AW257">
            <v>44</v>
          </cell>
          <cell r="AX257">
            <v>35</v>
          </cell>
          <cell r="AY257">
            <v>27</v>
          </cell>
          <cell r="AZ257">
            <v>32</v>
          </cell>
          <cell r="BA257">
            <v>37</v>
          </cell>
          <cell r="BB257">
            <v>36</v>
          </cell>
          <cell r="BC257">
            <v>37</v>
          </cell>
          <cell r="BD257">
            <v>30</v>
          </cell>
          <cell r="BE257">
            <v>30</v>
          </cell>
          <cell r="BF257">
            <v>27</v>
          </cell>
          <cell r="BG257">
            <v>28</v>
          </cell>
          <cell r="BH257">
            <v>22</v>
          </cell>
          <cell r="BI257">
            <v>21</v>
          </cell>
          <cell r="BJ257">
            <v>27</v>
          </cell>
          <cell r="BK257">
            <v>31</v>
          </cell>
          <cell r="BL257">
            <v>23</v>
          </cell>
          <cell r="BM257">
            <v>45</v>
          </cell>
          <cell r="BN257">
            <v>26</v>
          </cell>
          <cell r="BO257">
            <v>36</v>
          </cell>
          <cell r="BP257">
            <v>34</v>
          </cell>
          <cell r="BQ257">
            <v>33</v>
          </cell>
          <cell r="BR257">
            <v>30</v>
          </cell>
          <cell r="BS257">
            <v>28</v>
          </cell>
          <cell r="BT257">
            <v>53</v>
          </cell>
          <cell r="BU257">
            <v>29</v>
          </cell>
          <cell r="BV257">
            <v>29</v>
          </cell>
          <cell r="BW257">
            <v>32</v>
          </cell>
          <cell r="BX257">
            <v>34</v>
          </cell>
          <cell r="BY257">
            <v>27</v>
          </cell>
          <cell r="BZ257">
            <v>28</v>
          </cell>
          <cell r="CA257">
            <v>33</v>
          </cell>
          <cell r="CB257">
            <v>21</v>
          </cell>
          <cell r="CC257">
            <v>29</v>
          </cell>
          <cell r="CD257">
            <v>29</v>
          </cell>
          <cell r="CE257">
            <v>21</v>
          </cell>
          <cell r="CF257">
            <v>24</v>
          </cell>
          <cell r="CG257">
            <v>35</v>
          </cell>
          <cell r="CH257">
            <v>24</v>
          </cell>
          <cell r="CI257">
            <v>39</v>
          </cell>
          <cell r="CJ257">
            <v>39</v>
          </cell>
          <cell r="CK257">
            <v>31</v>
          </cell>
          <cell r="CL257">
            <v>30</v>
          </cell>
          <cell r="CM257">
            <v>32</v>
          </cell>
          <cell r="CN257">
            <v>32</v>
          </cell>
          <cell r="CO257">
            <v>41</v>
          </cell>
          <cell r="CP257">
            <v>18</v>
          </cell>
          <cell r="CQ257">
            <v>32</v>
          </cell>
          <cell r="CR257">
            <v>25</v>
          </cell>
          <cell r="CS257">
            <v>41</v>
          </cell>
          <cell r="CT257">
            <v>36</v>
          </cell>
          <cell r="CU257">
            <v>40</v>
          </cell>
          <cell r="CV257">
            <v>42</v>
          </cell>
          <cell r="CW257">
            <v>51</v>
          </cell>
          <cell r="CX257">
            <v>38</v>
          </cell>
          <cell r="CY257">
            <v>29</v>
          </cell>
          <cell r="CZ257">
            <v>46</v>
          </cell>
          <cell r="DA257">
            <v>41</v>
          </cell>
          <cell r="DB257">
            <v>28</v>
          </cell>
          <cell r="DC257">
            <v>47</v>
          </cell>
          <cell r="DD257">
            <v>45</v>
          </cell>
          <cell r="DE257">
            <v>43</v>
          </cell>
          <cell r="DF257">
            <v>23</v>
          </cell>
          <cell r="DG257">
            <v>27</v>
          </cell>
          <cell r="DH257">
            <v>43</v>
          </cell>
          <cell r="DI257">
            <v>37</v>
          </cell>
          <cell r="DJ257">
            <v>33</v>
          </cell>
          <cell r="DK257">
            <v>39</v>
          </cell>
          <cell r="DL257">
            <v>49</v>
          </cell>
          <cell r="DM257">
            <v>34</v>
          </cell>
          <cell r="DN257">
            <v>54</v>
          </cell>
          <cell r="DO257">
            <v>31</v>
          </cell>
          <cell r="DP257">
            <v>55</v>
          </cell>
          <cell r="DQ257">
            <v>41</v>
          </cell>
          <cell r="DR257">
            <v>35</v>
          </cell>
          <cell r="DS257">
            <v>54</v>
          </cell>
          <cell r="DT257">
            <v>49</v>
          </cell>
          <cell r="DU257">
            <v>38</v>
          </cell>
          <cell r="DV257">
            <v>34</v>
          </cell>
          <cell r="DW257">
            <v>32</v>
          </cell>
          <cell r="DX257">
            <v>43</v>
          </cell>
          <cell r="DY257">
            <v>44</v>
          </cell>
          <cell r="DZ257">
            <v>40</v>
          </cell>
          <cell r="EA257">
            <v>44</v>
          </cell>
          <cell r="EB257">
            <v>41</v>
          </cell>
          <cell r="EC257">
            <v>56</v>
          </cell>
        </row>
        <row r="258">
          <cell r="CH258">
            <v>1</v>
          </cell>
          <cell r="CI258">
            <v>0</v>
          </cell>
          <cell r="CJ258">
            <v>0</v>
          </cell>
          <cell r="CK258">
            <v>6</v>
          </cell>
          <cell r="CL258">
            <v>1</v>
          </cell>
          <cell r="CM258">
            <v>0</v>
          </cell>
          <cell r="CN258">
            <v>0</v>
          </cell>
          <cell r="CO258">
            <v>1</v>
          </cell>
          <cell r="CP258">
            <v>1</v>
          </cell>
          <cell r="CQ258">
            <v>1</v>
          </cell>
          <cell r="CR258">
            <v>1</v>
          </cell>
          <cell r="CS258">
            <v>1</v>
          </cell>
          <cell r="CT258">
            <v>1</v>
          </cell>
          <cell r="CU258">
            <v>2</v>
          </cell>
          <cell r="CV258">
            <v>2</v>
          </cell>
          <cell r="CW258">
            <v>0</v>
          </cell>
          <cell r="CX258">
            <v>2</v>
          </cell>
          <cell r="CY258">
            <v>0</v>
          </cell>
          <cell r="CZ258">
            <v>1</v>
          </cell>
          <cell r="DA258">
            <v>2</v>
          </cell>
          <cell r="DB258">
            <v>0</v>
          </cell>
          <cell r="DC258">
            <v>1</v>
          </cell>
          <cell r="DD258">
            <v>4</v>
          </cell>
          <cell r="DE258">
            <v>2</v>
          </cell>
          <cell r="DF258">
            <v>1</v>
          </cell>
          <cell r="DG258">
            <v>1</v>
          </cell>
          <cell r="DH258">
            <v>2</v>
          </cell>
          <cell r="DI258">
            <v>1</v>
          </cell>
          <cell r="DJ258">
            <v>2</v>
          </cell>
          <cell r="DK258">
            <v>2</v>
          </cell>
          <cell r="DL258">
            <v>2</v>
          </cell>
          <cell r="DM258">
            <v>1</v>
          </cell>
          <cell r="DN258">
            <v>0</v>
          </cell>
          <cell r="DO258">
            <v>2</v>
          </cell>
          <cell r="DP258">
            <v>0</v>
          </cell>
          <cell r="DQ258">
            <v>1</v>
          </cell>
          <cell r="DR258">
            <v>2</v>
          </cell>
          <cell r="DS258">
            <v>1</v>
          </cell>
          <cell r="DT258">
            <v>3</v>
          </cell>
          <cell r="DU258">
            <v>1</v>
          </cell>
          <cell r="DV258">
            <v>0</v>
          </cell>
          <cell r="DW258">
            <v>3</v>
          </cell>
          <cell r="DX258">
            <v>2</v>
          </cell>
          <cell r="DY258">
            <v>2</v>
          </cell>
          <cell r="DZ258">
            <v>6</v>
          </cell>
          <cell r="EA258">
            <v>5</v>
          </cell>
          <cell r="EB258">
            <v>5</v>
          </cell>
          <cell r="EC258">
            <v>9</v>
          </cell>
        </row>
        <row r="259">
          <cell r="CH259">
            <v>6</v>
          </cell>
          <cell r="CI259">
            <v>4</v>
          </cell>
          <cell r="CJ259">
            <v>12</v>
          </cell>
          <cell r="CK259">
            <v>15</v>
          </cell>
          <cell r="CL259">
            <v>15</v>
          </cell>
          <cell r="CM259">
            <v>6</v>
          </cell>
          <cell r="CN259">
            <v>11</v>
          </cell>
          <cell r="CO259">
            <v>16</v>
          </cell>
          <cell r="CP259">
            <v>2</v>
          </cell>
          <cell r="CQ259">
            <v>11</v>
          </cell>
          <cell r="CR259">
            <v>4</v>
          </cell>
          <cell r="CS259">
            <v>9</v>
          </cell>
          <cell r="CT259">
            <v>11</v>
          </cell>
          <cell r="CU259">
            <v>12</v>
          </cell>
          <cell r="CV259">
            <v>9</v>
          </cell>
          <cell r="CW259">
            <v>13</v>
          </cell>
          <cell r="CX259">
            <v>11</v>
          </cell>
          <cell r="CY259">
            <v>8</v>
          </cell>
          <cell r="CZ259">
            <v>9</v>
          </cell>
          <cell r="DA259">
            <v>9</v>
          </cell>
          <cell r="DB259">
            <v>8</v>
          </cell>
          <cell r="DC259">
            <v>16</v>
          </cell>
          <cell r="DD259">
            <v>13</v>
          </cell>
          <cell r="DE259">
            <v>10</v>
          </cell>
          <cell r="DF259">
            <v>11</v>
          </cell>
          <cell r="DG259">
            <v>17</v>
          </cell>
          <cell r="DH259">
            <v>12</v>
          </cell>
          <cell r="DI259">
            <v>17</v>
          </cell>
          <cell r="DJ259">
            <v>14</v>
          </cell>
          <cell r="DK259">
            <v>8</v>
          </cell>
          <cell r="DL259">
            <v>9</v>
          </cell>
          <cell r="DM259">
            <v>4</v>
          </cell>
          <cell r="DN259">
            <v>9</v>
          </cell>
          <cell r="DO259">
            <v>12</v>
          </cell>
          <cell r="DP259">
            <v>10</v>
          </cell>
          <cell r="DQ259">
            <v>12</v>
          </cell>
          <cell r="DR259">
            <v>4</v>
          </cell>
          <cell r="DS259">
            <v>15</v>
          </cell>
          <cell r="DT259">
            <v>15</v>
          </cell>
          <cell r="DU259">
            <v>11</v>
          </cell>
          <cell r="DV259">
            <v>20</v>
          </cell>
          <cell r="DW259">
            <v>12</v>
          </cell>
          <cell r="DX259">
            <v>9</v>
          </cell>
          <cell r="DY259">
            <v>6</v>
          </cell>
          <cell r="DZ259">
            <v>8</v>
          </cell>
          <cell r="EA259">
            <v>4</v>
          </cell>
          <cell r="EB259">
            <v>10</v>
          </cell>
          <cell r="EC259">
            <v>7</v>
          </cell>
        </row>
        <row r="260">
          <cell r="AL260">
            <v>118</v>
          </cell>
          <cell r="AM260">
            <v>104</v>
          </cell>
          <cell r="AN260">
            <v>120</v>
          </cell>
          <cell r="AO260">
            <v>108</v>
          </cell>
          <cell r="AP260">
            <v>108</v>
          </cell>
          <cell r="AQ260">
            <v>168</v>
          </cell>
          <cell r="AR260">
            <v>184</v>
          </cell>
          <cell r="AS260">
            <v>179</v>
          </cell>
          <cell r="AT260">
            <v>118</v>
          </cell>
          <cell r="AU260">
            <v>145</v>
          </cell>
          <cell r="AV260">
            <v>89</v>
          </cell>
          <cell r="AW260">
            <v>91</v>
          </cell>
          <cell r="AX260">
            <v>110</v>
          </cell>
          <cell r="AY260">
            <v>119</v>
          </cell>
          <cell r="AZ260">
            <v>93</v>
          </cell>
          <cell r="BA260">
            <v>92</v>
          </cell>
          <cell r="BB260">
            <v>157</v>
          </cell>
          <cell r="BC260">
            <v>102</v>
          </cell>
          <cell r="BD260">
            <v>134</v>
          </cell>
          <cell r="BE260">
            <v>165</v>
          </cell>
          <cell r="BF260">
            <v>121</v>
          </cell>
          <cell r="BG260">
            <v>114</v>
          </cell>
          <cell r="BH260">
            <v>62</v>
          </cell>
          <cell r="BI260">
            <v>105</v>
          </cell>
          <cell r="BJ260">
            <v>120</v>
          </cell>
          <cell r="BK260">
            <v>79</v>
          </cell>
          <cell r="BL260">
            <v>110</v>
          </cell>
          <cell r="BM260">
            <v>125</v>
          </cell>
          <cell r="BN260">
            <v>110</v>
          </cell>
          <cell r="BO260">
            <v>107</v>
          </cell>
          <cell r="BP260">
            <v>123</v>
          </cell>
          <cell r="BQ260">
            <v>88</v>
          </cell>
          <cell r="BR260">
            <v>98</v>
          </cell>
          <cell r="BS260">
            <v>112</v>
          </cell>
          <cell r="BT260">
            <v>91</v>
          </cell>
          <cell r="BU260">
            <v>77</v>
          </cell>
          <cell r="BV260">
            <v>72</v>
          </cell>
          <cell r="BW260">
            <v>57</v>
          </cell>
          <cell r="BX260">
            <v>54</v>
          </cell>
          <cell r="BY260">
            <v>63</v>
          </cell>
          <cell r="BZ260">
            <v>100</v>
          </cell>
          <cell r="CA260">
            <v>60</v>
          </cell>
          <cell r="CB260">
            <v>52</v>
          </cell>
          <cell r="CC260">
            <v>59</v>
          </cell>
          <cell r="CD260">
            <v>59</v>
          </cell>
          <cell r="CE260">
            <v>34</v>
          </cell>
          <cell r="CF260">
            <v>36</v>
          </cell>
          <cell r="CG260">
            <v>40</v>
          </cell>
          <cell r="CH260">
            <v>37</v>
          </cell>
          <cell r="CI260">
            <v>46</v>
          </cell>
          <cell r="CJ260">
            <v>63</v>
          </cell>
          <cell r="CK260">
            <v>43</v>
          </cell>
          <cell r="CL260">
            <v>55</v>
          </cell>
          <cell r="CM260">
            <v>61</v>
          </cell>
          <cell r="CN260">
            <v>77</v>
          </cell>
          <cell r="CO260">
            <v>75</v>
          </cell>
          <cell r="CP260">
            <v>61</v>
          </cell>
          <cell r="CQ260">
            <v>65</v>
          </cell>
          <cell r="CR260">
            <v>65</v>
          </cell>
          <cell r="CS260">
            <v>70</v>
          </cell>
          <cell r="CT260">
            <v>78</v>
          </cell>
          <cell r="CU260">
            <v>43</v>
          </cell>
          <cell r="CV260">
            <v>60</v>
          </cell>
          <cell r="CW260">
            <v>64</v>
          </cell>
          <cell r="CX260">
            <v>58</v>
          </cell>
          <cell r="CY260">
            <v>73</v>
          </cell>
          <cell r="CZ260">
            <v>79</v>
          </cell>
          <cell r="DA260">
            <v>82</v>
          </cell>
          <cell r="DB260">
            <v>47</v>
          </cell>
          <cell r="DC260">
            <v>67</v>
          </cell>
          <cell r="DD260">
            <v>52</v>
          </cell>
          <cell r="DE260">
            <v>66</v>
          </cell>
          <cell r="DF260">
            <v>75</v>
          </cell>
          <cell r="DG260">
            <v>48</v>
          </cell>
          <cell r="DH260">
            <v>64</v>
          </cell>
          <cell r="DI260">
            <v>56</v>
          </cell>
          <cell r="DJ260">
            <v>37</v>
          </cell>
          <cell r="DK260">
            <v>55</v>
          </cell>
          <cell r="DL260">
            <v>66</v>
          </cell>
          <cell r="DM260">
            <v>65</v>
          </cell>
          <cell r="DN260">
            <v>66</v>
          </cell>
          <cell r="DO260">
            <v>63</v>
          </cell>
          <cell r="DP260">
            <v>55</v>
          </cell>
          <cell r="DQ260">
            <v>48</v>
          </cell>
          <cell r="DR260">
            <v>56</v>
          </cell>
          <cell r="DS260">
            <v>74</v>
          </cell>
          <cell r="DT260">
            <v>60</v>
          </cell>
          <cell r="DU260">
            <v>73</v>
          </cell>
          <cell r="DV260">
            <v>45</v>
          </cell>
          <cell r="DW260">
            <v>63</v>
          </cell>
          <cell r="DX260">
            <v>63</v>
          </cell>
          <cell r="DY260">
            <v>59</v>
          </cell>
          <cell r="DZ260">
            <v>59</v>
          </cell>
          <cell r="EA260">
            <v>80</v>
          </cell>
          <cell r="EB260">
            <v>59</v>
          </cell>
          <cell r="EC260">
            <v>86</v>
          </cell>
        </row>
        <row r="261">
          <cell r="CH261">
            <v>35</v>
          </cell>
          <cell r="CI261">
            <v>23</v>
          </cell>
          <cell r="CJ261">
            <v>23</v>
          </cell>
          <cell r="CK261">
            <v>20</v>
          </cell>
          <cell r="CL261">
            <v>25</v>
          </cell>
          <cell r="CM261">
            <v>16</v>
          </cell>
          <cell r="CN261">
            <v>18</v>
          </cell>
          <cell r="CO261">
            <v>35</v>
          </cell>
          <cell r="CP261">
            <v>32</v>
          </cell>
          <cell r="CQ261">
            <v>31</v>
          </cell>
          <cell r="CR261">
            <v>31</v>
          </cell>
          <cell r="CS261">
            <v>18</v>
          </cell>
          <cell r="CT261">
            <v>36</v>
          </cell>
          <cell r="CU261">
            <v>25</v>
          </cell>
          <cell r="CV261">
            <v>22</v>
          </cell>
          <cell r="CW261">
            <v>33</v>
          </cell>
          <cell r="CX261">
            <v>50</v>
          </cell>
          <cell r="CY261">
            <v>21</v>
          </cell>
          <cell r="CZ261">
            <v>34</v>
          </cell>
          <cell r="DA261">
            <v>31</v>
          </cell>
          <cell r="DB261">
            <v>26</v>
          </cell>
          <cell r="DC261">
            <v>30</v>
          </cell>
          <cell r="DD261">
            <v>38</v>
          </cell>
          <cell r="DE261">
            <v>19</v>
          </cell>
          <cell r="DF261">
            <v>31</v>
          </cell>
          <cell r="DG261">
            <v>28</v>
          </cell>
          <cell r="DH261">
            <v>22</v>
          </cell>
          <cell r="DI261">
            <v>25</v>
          </cell>
          <cell r="DJ261">
            <v>39</v>
          </cell>
          <cell r="DK261">
            <v>37</v>
          </cell>
          <cell r="DL261">
            <v>31</v>
          </cell>
          <cell r="DM261">
            <v>23</v>
          </cell>
          <cell r="DN261">
            <v>16</v>
          </cell>
          <cell r="DO261">
            <v>30</v>
          </cell>
          <cell r="DP261">
            <v>23</v>
          </cell>
          <cell r="DQ261">
            <v>27</v>
          </cell>
          <cell r="DR261">
            <v>19</v>
          </cell>
          <cell r="DS261">
            <v>45</v>
          </cell>
          <cell r="DT261">
            <v>32</v>
          </cell>
          <cell r="DU261">
            <v>43</v>
          </cell>
          <cell r="DV261">
            <v>32</v>
          </cell>
          <cell r="DW261">
            <v>29</v>
          </cell>
          <cell r="DX261">
            <v>28</v>
          </cell>
          <cell r="DY261">
            <v>30</v>
          </cell>
          <cell r="DZ261">
            <v>27</v>
          </cell>
          <cell r="EA261">
            <v>29</v>
          </cell>
          <cell r="EB261">
            <v>15</v>
          </cell>
          <cell r="EC261">
            <v>30</v>
          </cell>
        </row>
        <row r="262">
          <cell r="CH262">
            <v>98</v>
          </cell>
          <cell r="CI262">
            <v>111</v>
          </cell>
          <cell r="CJ262">
            <v>103</v>
          </cell>
          <cell r="CK262">
            <v>162</v>
          </cell>
          <cell r="CL262">
            <v>160</v>
          </cell>
          <cell r="CM262">
            <v>132</v>
          </cell>
          <cell r="CN262">
            <v>124</v>
          </cell>
          <cell r="CO262">
            <v>199</v>
          </cell>
          <cell r="CP262">
            <v>121</v>
          </cell>
          <cell r="CQ262">
            <v>150</v>
          </cell>
          <cell r="CR262">
            <v>117</v>
          </cell>
          <cell r="CS262">
            <v>200</v>
          </cell>
          <cell r="CT262">
            <v>154</v>
          </cell>
          <cell r="CU262">
            <v>173</v>
          </cell>
          <cell r="CV262">
            <v>164</v>
          </cell>
          <cell r="CW262">
            <v>202</v>
          </cell>
          <cell r="CX262">
            <v>196</v>
          </cell>
          <cell r="CY262">
            <v>226</v>
          </cell>
          <cell r="CZ262">
            <v>206</v>
          </cell>
          <cell r="DA262">
            <v>181</v>
          </cell>
          <cell r="DB262">
            <v>125</v>
          </cell>
          <cell r="DC262">
            <v>238</v>
          </cell>
          <cell r="DD262">
            <v>177</v>
          </cell>
          <cell r="DE262">
            <v>154</v>
          </cell>
          <cell r="DF262">
            <v>195</v>
          </cell>
          <cell r="DG262">
            <v>170</v>
          </cell>
          <cell r="DH262">
            <v>155</v>
          </cell>
          <cell r="DI262">
            <v>189</v>
          </cell>
          <cell r="DJ262">
            <v>140</v>
          </cell>
          <cell r="DK262">
            <v>121</v>
          </cell>
          <cell r="DL262">
            <v>174</v>
          </cell>
          <cell r="DM262">
            <v>163</v>
          </cell>
          <cell r="DN262">
            <v>157</v>
          </cell>
          <cell r="DO262">
            <v>145</v>
          </cell>
          <cell r="DP262">
            <v>103</v>
          </cell>
          <cell r="DQ262">
            <v>118</v>
          </cell>
          <cell r="DR262">
            <v>144</v>
          </cell>
          <cell r="DS262">
            <v>180</v>
          </cell>
          <cell r="DT262">
            <v>151</v>
          </cell>
          <cell r="DU262">
            <v>150</v>
          </cell>
          <cell r="DV262">
            <v>127</v>
          </cell>
          <cell r="DW262">
            <v>131</v>
          </cell>
          <cell r="DX262">
            <v>165</v>
          </cell>
          <cell r="DY262">
            <v>130</v>
          </cell>
          <cell r="DZ262">
            <v>122</v>
          </cell>
          <cell r="EA262">
            <v>151</v>
          </cell>
          <cell r="EB262">
            <v>88</v>
          </cell>
          <cell r="EC262">
            <v>119</v>
          </cell>
        </row>
        <row r="263">
          <cell r="CH263">
            <v>55</v>
          </cell>
          <cell r="CI263">
            <v>84</v>
          </cell>
          <cell r="CJ263">
            <v>80</v>
          </cell>
          <cell r="CK263">
            <v>100</v>
          </cell>
          <cell r="CL263">
            <v>106</v>
          </cell>
          <cell r="CM263">
            <v>105</v>
          </cell>
          <cell r="CN263">
            <v>106</v>
          </cell>
          <cell r="CO263">
            <v>87</v>
          </cell>
          <cell r="CP263">
            <v>68</v>
          </cell>
          <cell r="CQ263">
            <v>93</v>
          </cell>
          <cell r="CR263">
            <v>86</v>
          </cell>
          <cell r="CS263">
            <v>82</v>
          </cell>
          <cell r="CT263">
            <v>73</v>
          </cell>
          <cell r="CU263">
            <v>104</v>
          </cell>
          <cell r="CV263">
            <v>69</v>
          </cell>
          <cell r="CW263">
            <v>75</v>
          </cell>
          <cell r="CX263">
            <v>116</v>
          </cell>
          <cell r="CY263">
            <v>83</v>
          </cell>
          <cell r="CZ263">
            <v>124</v>
          </cell>
          <cell r="DA263">
            <v>98</v>
          </cell>
          <cell r="DB263">
            <v>90</v>
          </cell>
          <cell r="DC263">
            <v>92</v>
          </cell>
          <cell r="DD263">
            <v>146</v>
          </cell>
          <cell r="DE263">
            <v>128</v>
          </cell>
          <cell r="DF263">
            <v>99</v>
          </cell>
          <cell r="DG263">
            <v>117</v>
          </cell>
          <cell r="DH263">
            <v>96</v>
          </cell>
          <cell r="DI263">
            <v>94</v>
          </cell>
          <cell r="DJ263">
            <v>79</v>
          </cell>
          <cell r="DK263">
            <v>102</v>
          </cell>
          <cell r="DL263">
            <v>93</v>
          </cell>
          <cell r="DM263">
            <v>109</v>
          </cell>
          <cell r="DN263">
            <v>101</v>
          </cell>
          <cell r="DO263">
            <v>147</v>
          </cell>
          <cell r="DP263">
            <v>145</v>
          </cell>
          <cell r="DQ263">
            <v>169</v>
          </cell>
          <cell r="DR263">
            <v>150</v>
          </cell>
          <cell r="DS263">
            <v>143</v>
          </cell>
          <cell r="DT263">
            <v>115</v>
          </cell>
          <cell r="DU263">
            <v>131</v>
          </cell>
          <cell r="DV263">
            <v>153</v>
          </cell>
          <cell r="DW263">
            <v>152</v>
          </cell>
          <cell r="DX263">
            <v>182</v>
          </cell>
          <cell r="DY263">
            <v>118</v>
          </cell>
          <cell r="DZ263">
            <v>88</v>
          </cell>
          <cell r="EA263">
            <v>97</v>
          </cell>
          <cell r="EB263">
            <v>100</v>
          </cell>
          <cell r="EC263">
            <v>152</v>
          </cell>
        </row>
        <row r="264">
          <cell r="CH264">
            <v>136</v>
          </cell>
          <cell r="CI264">
            <v>170</v>
          </cell>
          <cell r="CJ264">
            <v>151</v>
          </cell>
          <cell r="CK264">
            <v>125</v>
          </cell>
          <cell r="CL264">
            <v>132</v>
          </cell>
          <cell r="CM264">
            <v>121</v>
          </cell>
          <cell r="CN264">
            <v>153</v>
          </cell>
          <cell r="CO264">
            <v>127</v>
          </cell>
          <cell r="CP264">
            <v>121</v>
          </cell>
          <cell r="CQ264">
            <v>124</v>
          </cell>
          <cell r="CR264">
            <v>95</v>
          </cell>
          <cell r="CS264">
            <v>106</v>
          </cell>
          <cell r="CT264">
            <v>99</v>
          </cell>
          <cell r="CU264">
            <v>137</v>
          </cell>
          <cell r="CV264">
            <v>130</v>
          </cell>
          <cell r="CW264">
            <v>173</v>
          </cell>
          <cell r="CX264">
            <v>170</v>
          </cell>
          <cell r="CY264">
            <v>130</v>
          </cell>
          <cell r="CZ264">
            <v>138</v>
          </cell>
          <cell r="DA264">
            <v>119</v>
          </cell>
          <cell r="DB264">
            <v>130</v>
          </cell>
          <cell r="DC264">
            <v>124</v>
          </cell>
          <cell r="DD264">
            <v>115</v>
          </cell>
          <cell r="DE264">
            <v>117</v>
          </cell>
          <cell r="DF264">
            <v>123</v>
          </cell>
          <cell r="DG264">
            <v>130</v>
          </cell>
          <cell r="DH264">
            <v>161</v>
          </cell>
          <cell r="DI264">
            <v>135</v>
          </cell>
          <cell r="DJ264">
            <v>129</v>
          </cell>
          <cell r="DK264">
            <v>130</v>
          </cell>
          <cell r="DL264">
            <v>101</v>
          </cell>
          <cell r="DM264">
            <v>87</v>
          </cell>
          <cell r="DN264">
            <v>100</v>
          </cell>
          <cell r="DO264">
            <v>111</v>
          </cell>
          <cell r="DP264">
            <v>99</v>
          </cell>
          <cell r="DQ264">
            <v>87</v>
          </cell>
          <cell r="DR264">
            <v>128</v>
          </cell>
          <cell r="DS264">
            <v>132</v>
          </cell>
          <cell r="DT264">
            <v>114</v>
          </cell>
          <cell r="DU264">
            <v>166</v>
          </cell>
          <cell r="DV264">
            <v>127</v>
          </cell>
          <cell r="DW264">
            <v>145</v>
          </cell>
          <cell r="DX264">
            <v>134</v>
          </cell>
          <cell r="DY264">
            <v>95</v>
          </cell>
          <cell r="DZ264">
            <v>122</v>
          </cell>
          <cell r="EA264">
            <v>107</v>
          </cell>
          <cell r="EB264">
            <v>101</v>
          </cell>
          <cell r="EC264">
            <v>118</v>
          </cell>
        </row>
        <row r="265">
          <cell r="CH265">
            <v>7</v>
          </cell>
          <cell r="CI265">
            <v>4</v>
          </cell>
          <cell r="CJ265">
            <v>12</v>
          </cell>
          <cell r="CK265">
            <v>21</v>
          </cell>
          <cell r="CL265">
            <v>16</v>
          </cell>
          <cell r="CM265">
            <v>6</v>
          </cell>
          <cell r="CN265">
            <v>11</v>
          </cell>
          <cell r="CO265">
            <v>17</v>
          </cell>
          <cell r="CP265">
            <v>3</v>
          </cell>
          <cell r="CQ265">
            <v>12</v>
          </cell>
          <cell r="CR265">
            <v>5</v>
          </cell>
          <cell r="CS265">
            <v>10</v>
          </cell>
          <cell r="CT265">
            <v>12</v>
          </cell>
          <cell r="CU265">
            <v>14</v>
          </cell>
          <cell r="CV265">
            <v>11</v>
          </cell>
          <cell r="CW265">
            <v>13</v>
          </cell>
          <cell r="CX265">
            <v>13</v>
          </cell>
          <cell r="CY265">
            <v>8</v>
          </cell>
          <cell r="CZ265">
            <v>10</v>
          </cell>
          <cell r="DA265">
            <v>11</v>
          </cell>
          <cell r="DB265">
            <v>8</v>
          </cell>
          <cell r="DC265">
            <v>17</v>
          </cell>
          <cell r="DD265">
            <v>17</v>
          </cell>
          <cell r="DE265">
            <v>12</v>
          </cell>
          <cell r="DF265">
            <v>12</v>
          </cell>
          <cell r="DG265">
            <v>18</v>
          </cell>
          <cell r="DH265">
            <v>14</v>
          </cell>
          <cell r="DI265">
            <v>18</v>
          </cell>
          <cell r="DJ265">
            <v>16</v>
          </cell>
          <cell r="DK265">
            <v>10</v>
          </cell>
          <cell r="DL265">
            <v>11</v>
          </cell>
          <cell r="DM265">
            <v>5</v>
          </cell>
          <cell r="DN265">
            <v>9</v>
          </cell>
          <cell r="DO265">
            <v>14</v>
          </cell>
          <cell r="DP265">
            <v>10</v>
          </cell>
          <cell r="DQ265">
            <v>13</v>
          </cell>
          <cell r="DR265">
            <v>6</v>
          </cell>
          <cell r="DS265">
            <v>16</v>
          </cell>
          <cell r="DT265">
            <v>18</v>
          </cell>
          <cell r="DU265">
            <v>12</v>
          </cell>
          <cell r="DV265">
            <v>20</v>
          </cell>
          <cell r="DW265">
            <v>15</v>
          </cell>
          <cell r="DX265">
            <v>11</v>
          </cell>
          <cell r="DY265">
            <v>8</v>
          </cell>
          <cell r="DZ265">
            <v>14</v>
          </cell>
          <cell r="EA265">
            <v>9</v>
          </cell>
          <cell r="EB265">
            <v>15</v>
          </cell>
          <cell r="EC265">
            <v>16</v>
          </cell>
        </row>
        <row r="266">
          <cell r="CH266">
            <v>503</v>
          </cell>
          <cell r="CI266">
            <v>545</v>
          </cell>
          <cell r="CJ266">
            <v>642</v>
          </cell>
          <cell r="CK266">
            <v>690</v>
          </cell>
          <cell r="CL266">
            <v>673</v>
          </cell>
          <cell r="CM266">
            <v>595</v>
          </cell>
          <cell r="CN266">
            <v>629</v>
          </cell>
          <cell r="CO266">
            <v>579</v>
          </cell>
          <cell r="CP266">
            <v>539</v>
          </cell>
          <cell r="CQ266">
            <v>566</v>
          </cell>
          <cell r="CR266">
            <v>515</v>
          </cell>
          <cell r="CS266">
            <v>594</v>
          </cell>
          <cell r="CT266">
            <v>582</v>
          </cell>
          <cell r="CU266">
            <v>621</v>
          </cell>
          <cell r="CV266">
            <v>621</v>
          </cell>
          <cell r="CW266">
            <v>650</v>
          </cell>
          <cell r="CX266">
            <v>601</v>
          </cell>
          <cell r="CY266">
            <v>582</v>
          </cell>
          <cell r="CZ266">
            <v>623</v>
          </cell>
          <cell r="DA266">
            <v>565</v>
          </cell>
          <cell r="DB266">
            <v>523</v>
          </cell>
          <cell r="DC266">
            <v>563</v>
          </cell>
          <cell r="DD266">
            <v>557</v>
          </cell>
          <cell r="DE266">
            <v>598</v>
          </cell>
          <cell r="DF266">
            <v>524</v>
          </cell>
          <cell r="DG266">
            <v>519</v>
          </cell>
          <cell r="DH266">
            <v>622</v>
          </cell>
          <cell r="DI266">
            <v>566</v>
          </cell>
          <cell r="DJ266">
            <v>540</v>
          </cell>
          <cell r="DK266">
            <v>580</v>
          </cell>
          <cell r="DL266">
            <v>583</v>
          </cell>
          <cell r="DM266">
            <v>532</v>
          </cell>
          <cell r="DN266">
            <v>551</v>
          </cell>
          <cell r="DO266">
            <v>553</v>
          </cell>
          <cell r="DP266">
            <v>559</v>
          </cell>
          <cell r="DQ266">
            <v>524</v>
          </cell>
          <cell r="DR266">
            <v>530</v>
          </cell>
          <cell r="DS266">
            <v>569</v>
          </cell>
          <cell r="DT266">
            <v>579</v>
          </cell>
          <cell r="DU266">
            <v>629</v>
          </cell>
          <cell r="DV266">
            <v>525</v>
          </cell>
          <cell r="DW266">
            <v>505</v>
          </cell>
          <cell r="DX266">
            <v>594</v>
          </cell>
          <cell r="DY266">
            <v>519</v>
          </cell>
          <cell r="DZ266">
            <v>529</v>
          </cell>
          <cell r="EA266">
            <v>546</v>
          </cell>
          <cell r="EB266">
            <v>514</v>
          </cell>
          <cell r="EC266">
            <v>568</v>
          </cell>
        </row>
        <row r="268">
          <cell r="CH268">
            <v>12</v>
          </cell>
          <cell r="CI268">
            <v>12</v>
          </cell>
          <cell r="CJ268">
            <v>27</v>
          </cell>
          <cell r="CK268">
            <v>22</v>
          </cell>
          <cell r="CL268">
            <v>19</v>
          </cell>
          <cell r="CM268">
            <v>17</v>
          </cell>
          <cell r="CN268">
            <v>18</v>
          </cell>
          <cell r="CO268">
            <v>8</v>
          </cell>
          <cell r="CP268">
            <v>22</v>
          </cell>
          <cell r="CQ268">
            <v>26</v>
          </cell>
          <cell r="CR268">
            <v>13</v>
          </cell>
          <cell r="CS268">
            <v>9</v>
          </cell>
          <cell r="CT268">
            <v>21</v>
          </cell>
          <cell r="CU268">
            <v>22</v>
          </cell>
          <cell r="CV268">
            <v>15</v>
          </cell>
          <cell r="CW268">
            <v>19</v>
          </cell>
          <cell r="CX268">
            <v>20</v>
          </cell>
          <cell r="CY268">
            <v>13</v>
          </cell>
          <cell r="CZ268">
            <v>16</v>
          </cell>
          <cell r="DA268">
            <v>12</v>
          </cell>
          <cell r="DB268">
            <v>18</v>
          </cell>
          <cell r="DC268">
            <v>13</v>
          </cell>
          <cell r="DD268">
            <v>18</v>
          </cell>
          <cell r="DE268">
            <v>16</v>
          </cell>
          <cell r="DF268">
            <v>14</v>
          </cell>
          <cell r="DG268">
            <v>23</v>
          </cell>
          <cell r="DH268">
            <v>22</v>
          </cell>
          <cell r="DI268">
            <v>13</v>
          </cell>
          <cell r="DJ268">
            <v>10</v>
          </cell>
          <cell r="DK268">
            <v>12</v>
          </cell>
          <cell r="DL268">
            <v>11</v>
          </cell>
          <cell r="DM268">
            <v>20</v>
          </cell>
          <cell r="DN268">
            <v>25</v>
          </cell>
          <cell r="DO268">
            <v>10</v>
          </cell>
          <cell r="DP268">
            <v>13</v>
          </cell>
          <cell r="DQ268">
            <v>19</v>
          </cell>
          <cell r="DR268">
            <v>14</v>
          </cell>
          <cell r="DS268">
            <v>23</v>
          </cell>
          <cell r="DT268">
            <v>19</v>
          </cell>
          <cell r="DU268">
            <v>12</v>
          </cell>
          <cell r="DV268">
            <v>6</v>
          </cell>
          <cell r="DW268">
            <v>10</v>
          </cell>
          <cell r="DX268">
            <v>21</v>
          </cell>
          <cell r="DY268">
            <v>10</v>
          </cell>
          <cell r="DZ268">
            <v>12</v>
          </cell>
          <cell r="EA268">
            <v>9</v>
          </cell>
          <cell r="EB268">
            <v>13</v>
          </cell>
          <cell r="EC268">
            <v>7</v>
          </cell>
        </row>
        <row r="269">
          <cell r="CH269">
            <v>15</v>
          </cell>
          <cell r="CI269">
            <v>25</v>
          </cell>
          <cell r="CJ269">
            <v>29</v>
          </cell>
          <cell r="CK269">
            <v>34</v>
          </cell>
          <cell r="CL269">
            <v>27</v>
          </cell>
          <cell r="CM269">
            <v>15</v>
          </cell>
          <cell r="CN269">
            <v>25</v>
          </cell>
          <cell r="CO269">
            <v>28</v>
          </cell>
          <cell r="CP269">
            <v>26</v>
          </cell>
          <cell r="CQ269">
            <v>26</v>
          </cell>
          <cell r="CR269">
            <v>17</v>
          </cell>
          <cell r="CS269">
            <v>22</v>
          </cell>
          <cell r="CT269">
            <v>24</v>
          </cell>
          <cell r="CU269">
            <v>27</v>
          </cell>
          <cell r="CV269">
            <v>23</v>
          </cell>
          <cell r="CW269">
            <v>29</v>
          </cell>
          <cell r="CX269">
            <v>16</v>
          </cell>
          <cell r="CY269">
            <v>18</v>
          </cell>
          <cell r="CZ269">
            <v>18</v>
          </cell>
          <cell r="DA269">
            <v>19</v>
          </cell>
          <cell r="DB269">
            <v>23</v>
          </cell>
          <cell r="DC269">
            <v>25</v>
          </cell>
          <cell r="DD269">
            <v>16</v>
          </cell>
          <cell r="DE269">
            <v>26</v>
          </cell>
          <cell r="DF269">
            <v>26</v>
          </cell>
          <cell r="DG269">
            <v>24</v>
          </cell>
          <cell r="DH269">
            <v>20</v>
          </cell>
          <cell r="DI269">
            <v>14</v>
          </cell>
          <cell r="DJ269">
            <v>21</v>
          </cell>
          <cell r="DK269">
            <v>26</v>
          </cell>
          <cell r="DL269">
            <v>19</v>
          </cell>
          <cell r="DM269">
            <v>22</v>
          </cell>
          <cell r="DN269">
            <v>22</v>
          </cell>
          <cell r="DO269">
            <v>21</v>
          </cell>
          <cell r="DP269">
            <v>12</v>
          </cell>
          <cell r="DQ269">
            <v>19</v>
          </cell>
          <cell r="DR269">
            <v>16</v>
          </cell>
          <cell r="DS269">
            <v>18</v>
          </cell>
          <cell r="DT269">
            <v>19</v>
          </cell>
          <cell r="DU269">
            <v>20</v>
          </cell>
          <cell r="DV269">
            <v>9</v>
          </cell>
          <cell r="DW269">
            <v>13</v>
          </cell>
          <cell r="DX269">
            <v>15</v>
          </cell>
          <cell r="DY269">
            <v>12</v>
          </cell>
          <cell r="DZ269">
            <v>17</v>
          </cell>
          <cell r="EA269">
            <v>18</v>
          </cell>
          <cell r="EB269">
            <v>15</v>
          </cell>
          <cell r="EC269">
            <v>13</v>
          </cell>
        </row>
        <row r="270">
          <cell r="CH270">
            <v>0</v>
          </cell>
          <cell r="CI270">
            <v>0</v>
          </cell>
          <cell r="CJ270">
            <v>1</v>
          </cell>
          <cell r="CK270">
            <v>0</v>
          </cell>
          <cell r="CL270">
            <v>0</v>
          </cell>
          <cell r="CM270">
            <v>0</v>
          </cell>
          <cell r="CN270">
            <v>1</v>
          </cell>
          <cell r="CO270">
            <v>2</v>
          </cell>
          <cell r="CP270">
            <v>1</v>
          </cell>
          <cell r="CQ270">
            <v>0</v>
          </cell>
          <cell r="CR270">
            <v>1</v>
          </cell>
          <cell r="CS270">
            <v>0</v>
          </cell>
          <cell r="CT270">
            <v>2</v>
          </cell>
          <cell r="CU270">
            <v>4</v>
          </cell>
          <cell r="CV270">
            <v>1</v>
          </cell>
          <cell r="CW270">
            <v>0</v>
          </cell>
          <cell r="CX270">
            <v>1</v>
          </cell>
          <cell r="CY270">
            <v>0</v>
          </cell>
          <cell r="CZ270">
            <v>0</v>
          </cell>
          <cell r="DA270">
            <v>2</v>
          </cell>
          <cell r="DB270">
            <v>3</v>
          </cell>
          <cell r="DC270">
            <v>0</v>
          </cell>
          <cell r="DD270">
            <v>1</v>
          </cell>
          <cell r="DE270">
            <v>2</v>
          </cell>
          <cell r="DF270">
            <v>1</v>
          </cell>
          <cell r="DG270">
            <v>3</v>
          </cell>
          <cell r="DH270">
            <v>1</v>
          </cell>
          <cell r="DI270">
            <v>2</v>
          </cell>
          <cell r="DJ270">
            <v>0</v>
          </cell>
          <cell r="DK270">
            <v>0</v>
          </cell>
          <cell r="DL270">
            <v>0</v>
          </cell>
          <cell r="DM270">
            <v>0</v>
          </cell>
          <cell r="DN270">
            <v>1</v>
          </cell>
          <cell r="DO270">
            <v>0</v>
          </cell>
          <cell r="DP270">
            <v>0</v>
          </cell>
          <cell r="DQ270">
            <v>1</v>
          </cell>
          <cell r="DR270">
            <v>2</v>
          </cell>
          <cell r="DS270">
            <v>1</v>
          </cell>
          <cell r="DT270">
            <v>3</v>
          </cell>
          <cell r="DU270">
            <v>4</v>
          </cell>
          <cell r="DV270">
            <v>0</v>
          </cell>
          <cell r="DW270">
            <v>0</v>
          </cell>
          <cell r="DX270">
            <v>1</v>
          </cell>
          <cell r="DY270">
            <v>1</v>
          </cell>
          <cell r="DZ270">
            <v>2</v>
          </cell>
          <cell r="EA270">
            <v>0</v>
          </cell>
          <cell r="EB270">
            <v>0</v>
          </cell>
          <cell r="EC270">
            <v>0</v>
          </cell>
        </row>
        <row r="271">
          <cell r="CH271">
            <v>1</v>
          </cell>
          <cell r="CI271">
            <v>0</v>
          </cell>
          <cell r="CJ271">
            <v>2</v>
          </cell>
          <cell r="CK271">
            <v>2</v>
          </cell>
          <cell r="CL271">
            <v>1</v>
          </cell>
          <cell r="CM271">
            <v>0</v>
          </cell>
          <cell r="CN271">
            <v>1</v>
          </cell>
          <cell r="CO271">
            <v>0</v>
          </cell>
          <cell r="CP271">
            <v>1</v>
          </cell>
          <cell r="CQ271">
            <v>0</v>
          </cell>
          <cell r="CR271">
            <v>0</v>
          </cell>
          <cell r="CS271">
            <v>1</v>
          </cell>
          <cell r="CT271">
            <v>0</v>
          </cell>
          <cell r="CU271">
            <v>2</v>
          </cell>
          <cell r="CV271">
            <v>4</v>
          </cell>
          <cell r="CW271">
            <v>0</v>
          </cell>
          <cell r="CX271">
            <v>0</v>
          </cell>
          <cell r="CY271">
            <v>3</v>
          </cell>
          <cell r="CZ271">
            <v>0</v>
          </cell>
          <cell r="DA271">
            <v>1</v>
          </cell>
          <cell r="DB271">
            <v>0</v>
          </cell>
          <cell r="DC271">
            <v>5</v>
          </cell>
          <cell r="DD271">
            <v>0</v>
          </cell>
          <cell r="DE271">
            <v>2</v>
          </cell>
          <cell r="DF271">
            <v>0</v>
          </cell>
          <cell r="DG271">
            <v>0</v>
          </cell>
          <cell r="DH271">
            <v>2</v>
          </cell>
          <cell r="DI271">
            <v>3</v>
          </cell>
          <cell r="DJ271">
            <v>2</v>
          </cell>
          <cell r="DK271">
            <v>5</v>
          </cell>
          <cell r="DL271">
            <v>3</v>
          </cell>
          <cell r="DM271">
            <v>1</v>
          </cell>
          <cell r="DN271">
            <v>2</v>
          </cell>
          <cell r="DO271">
            <v>2</v>
          </cell>
          <cell r="DP271">
            <v>0</v>
          </cell>
          <cell r="DQ271">
            <v>0</v>
          </cell>
          <cell r="DR271">
            <v>0</v>
          </cell>
          <cell r="DS271">
            <v>0</v>
          </cell>
          <cell r="DT271">
            <v>1</v>
          </cell>
          <cell r="DU271">
            <v>2</v>
          </cell>
          <cell r="DV271">
            <v>0</v>
          </cell>
          <cell r="DW271">
            <v>1</v>
          </cell>
          <cell r="DX271">
            <v>0</v>
          </cell>
          <cell r="DY271">
            <v>2</v>
          </cell>
          <cell r="DZ271">
            <v>2</v>
          </cell>
          <cell r="EA271">
            <v>0</v>
          </cell>
          <cell r="EB271">
            <v>2</v>
          </cell>
          <cell r="EC271">
            <v>1</v>
          </cell>
        </row>
        <row r="272">
          <cell r="CH272">
            <v>40</v>
          </cell>
          <cell r="CI272">
            <v>38</v>
          </cell>
          <cell r="CJ272">
            <v>52</v>
          </cell>
          <cell r="CK272">
            <v>59</v>
          </cell>
          <cell r="CL272">
            <v>45</v>
          </cell>
          <cell r="CM272">
            <v>41</v>
          </cell>
          <cell r="CN272">
            <v>43</v>
          </cell>
          <cell r="CO272">
            <v>44</v>
          </cell>
          <cell r="CP272">
            <v>46</v>
          </cell>
          <cell r="CQ272">
            <v>48</v>
          </cell>
          <cell r="CR272">
            <v>41</v>
          </cell>
          <cell r="CS272">
            <v>38</v>
          </cell>
          <cell r="CT272">
            <v>61</v>
          </cell>
          <cell r="CU272">
            <v>60</v>
          </cell>
          <cell r="CV272">
            <v>46</v>
          </cell>
          <cell r="CW272">
            <v>52</v>
          </cell>
          <cell r="CX272">
            <v>59</v>
          </cell>
          <cell r="CY272">
            <v>48</v>
          </cell>
          <cell r="CZ272">
            <v>49</v>
          </cell>
          <cell r="DA272">
            <v>44</v>
          </cell>
          <cell r="DB272">
            <v>63</v>
          </cell>
          <cell r="DC272">
            <v>52</v>
          </cell>
          <cell r="DD272">
            <v>52</v>
          </cell>
          <cell r="DE272">
            <v>53</v>
          </cell>
          <cell r="DF272">
            <v>68</v>
          </cell>
          <cell r="DG272">
            <v>45</v>
          </cell>
          <cell r="DH272">
            <v>71</v>
          </cell>
          <cell r="DI272">
            <v>48</v>
          </cell>
          <cell r="DJ272">
            <v>59</v>
          </cell>
          <cell r="DK272">
            <v>45</v>
          </cell>
          <cell r="DL272">
            <v>31</v>
          </cell>
          <cell r="DM272">
            <v>42</v>
          </cell>
          <cell r="DN272">
            <v>41</v>
          </cell>
          <cell r="DO272">
            <v>45</v>
          </cell>
          <cell r="DP272">
            <v>47</v>
          </cell>
          <cell r="DQ272">
            <v>40</v>
          </cell>
          <cell r="DR272">
            <v>56</v>
          </cell>
          <cell r="DS272">
            <v>63</v>
          </cell>
          <cell r="DT272">
            <v>55</v>
          </cell>
          <cell r="DU272">
            <v>56</v>
          </cell>
          <cell r="DV272">
            <v>71</v>
          </cell>
          <cell r="DW272">
            <v>39</v>
          </cell>
          <cell r="DX272">
            <v>48</v>
          </cell>
          <cell r="DY272">
            <v>44</v>
          </cell>
          <cell r="DZ272">
            <v>50</v>
          </cell>
          <cell r="EA272">
            <v>56</v>
          </cell>
          <cell r="EB272">
            <v>45</v>
          </cell>
          <cell r="EC272">
            <v>42</v>
          </cell>
        </row>
        <row r="273">
          <cell r="CH273">
            <v>141</v>
          </cell>
          <cell r="CI273">
            <v>165</v>
          </cell>
          <cell r="CJ273">
            <v>184</v>
          </cell>
          <cell r="CK273">
            <v>152</v>
          </cell>
          <cell r="CL273">
            <v>172</v>
          </cell>
          <cell r="CM273">
            <v>138</v>
          </cell>
          <cell r="CN273">
            <v>148</v>
          </cell>
          <cell r="CO273">
            <v>126</v>
          </cell>
          <cell r="CP273">
            <v>124</v>
          </cell>
          <cell r="CQ273">
            <v>144</v>
          </cell>
          <cell r="CR273">
            <v>128</v>
          </cell>
          <cell r="CS273">
            <v>166</v>
          </cell>
          <cell r="CT273">
            <v>161</v>
          </cell>
          <cell r="CU273">
            <v>165</v>
          </cell>
          <cell r="CV273">
            <v>143</v>
          </cell>
          <cell r="CW273">
            <v>158</v>
          </cell>
          <cell r="CX273">
            <v>109</v>
          </cell>
          <cell r="CY273">
            <v>144</v>
          </cell>
          <cell r="CZ273">
            <v>126</v>
          </cell>
          <cell r="DA273">
            <v>132</v>
          </cell>
          <cell r="DB273">
            <v>129</v>
          </cell>
          <cell r="DC273">
            <v>120</v>
          </cell>
          <cell r="DD273">
            <v>118</v>
          </cell>
          <cell r="DE273">
            <v>136</v>
          </cell>
          <cell r="DF273">
            <v>127</v>
          </cell>
          <cell r="DG273">
            <v>120</v>
          </cell>
          <cell r="DH273">
            <v>113</v>
          </cell>
          <cell r="DI273">
            <v>140</v>
          </cell>
          <cell r="DJ273">
            <v>116</v>
          </cell>
          <cell r="DK273">
            <v>115</v>
          </cell>
          <cell r="DL273">
            <v>120</v>
          </cell>
          <cell r="DM273">
            <v>115</v>
          </cell>
          <cell r="DN273">
            <v>112</v>
          </cell>
          <cell r="DO273">
            <v>121</v>
          </cell>
          <cell r="DP273">
            <v>100</v>
          </cell>
          <cell r="DQ273">
            <v>140</v>
          </cell>
          <cell r="DR273">
            <v>117</v>
          </cell>
          <cell r="DS273">
            <v>105</v>
          </cell>
          <cell r="DT273">
            <v>121</v>
          </cell>
          <cell r="DU273">
            <v>130</v>
          </cell>
          <cell r="DV273">
            <v>123</v>
          </cell>
          <cell r="DW273">
            <v>110</v>
          </cell>
          <cell r="DX273">
            <v>117</v>
          </cell>
          <cell r="DY273">
            <v>105</v>
          </cell>
          <cell r="DZ273">
            <v>119</v>
          </cell>
          <cell r="EA273">
            <v>121</v>
          </cell>
          <cell r="EB273">
            <v>128</v>
          </cell>
          <cell r="EC273">
            <v>122</v>
          </cell>
        </row>
        <row r="275">
          <cell r="CH275">
            <v>6</v>
          </cell>
          <cell r="CI275">
            <v>10</v>
          </cell>
          <cell r="CJ275">
            <v>17</v>
          </cell>
          <cell r="CK275">
            <v>11</v>
          </cell>
          <cell r="CL275">
            <v>8</v>
          </cell>
          <cell r="CM275">
            <v>5</v>
          </cell>
          <cell r="CN275">
            <v>12</v>
          </cell>
          <cell r="CO275">
            <v>6</v>
          </cell>
          <cell r="CP275">
            <v>4</v>
          </cell>
          <cell r="CQ275">
            <v>11</v>
          </cell>
          <cell r="CR275">
            <v>13</v>
          </cell>
          <cell r="CS275">
            <v>10</v>
          </cell>
          <cell r="CT275">
            <v>9</v>
          </cell>
          <cell r="CU275">
            <v>7</v>
          </cell>
          <cell r="CV275">
            <v>6</v>
          </cell>
          <cell r="CW275">
            <v>7</v>
          </cell>
          <cell r="CX275">
            <v>10</v>
          </cell>
          <cell r="CY275">
            <v>8</v>
          </cell>
          <cell r="CZ275">
            <v>6</v>
          </cell>
          <cell r="DA275">
            <v>11</v>
          </cell>
          <cell r="DB275">
            <v>5</v>
          </cell>
          <cell r="DC275">
            <v>13</v>
          </cell>
          <cell r="DD275">
            <v>7</v>
          </cell>
          <cell r="DE275">
            <v>7</v>
          </cell>
          <cell r="DF275">
            <v>9</v>
          </cell>
          <cell r="DG275">
            <v>12</v>
          </cell>
          <cell r="DH275">
            <v>9</v>
          </cell>
          <cell r="DI275">
            <v>11</v>
          </cell>
          <cell r="DJ275">
            <v>12</v>
          </cell>
          <cell r="DK275">
            <v>14</v>
          </cell>
          <cell r="DL275">
            <v>4</v>
          </cell>
          <cell r="DM275">
            <v>6</v>
          </cell>
          <cell r="DN275">
            <v>6</v>
          </cell>
          <cell r="DO275">
            <v>8</v>
          </cell>
          <cell r="DP275">
            <v>16</v>
          </cell>
          <cell r="DQ275">
            <v>12</v>
          </cell>
          <cell r="DR275">
            <v>10</v>
          </cell>
          <cell r="DS275">
            <v>16</v>
          </cell>
          <cell r="DT275">
            <v>9</v>
          </cell>
          <cell r="DU275">
            <v>11</v>
          </cell>
          <cell r="DV275">
            <v>17</v>
          </cell>
          <cell r="DW275">
            <v>12</v>
          </cell>
          <cell r="DX275">
            <v>11</v>
          </cell>
          <cell r="DY275">
            <v>13</v>
          </cell>
          <cell r="DZ275">
            <v>12</v>
          </cell>
          <cell r="EA275">
            <v>8</v>
          </cell>
          <cell r="EB275">
            <v>6</v>
          </cell>
          <cell r="EC275">
            <v>12</v>
          </cell>
        </row>
        <row r="276">
          <cell r="CH276">
            <v>10</v>
          </cell>
          <cell r="CI276">
            <v>7</v>
          </cell>
          <cell r="CJ276">
            <v>9</v>
          </cell>
          <cell r="CK276">
            <v>7</v>
          </cell>
          <cell r="CL276">
            <v>2</v>
          </cell>
          <cell r="CM276">
            <v>1</v>
          </cell>
          <cell r="CN276">
            <v>7</v>
          </cell>
          <cell r="CO276">
            <v>4</v>
          </cell>
          <cell r="CP276">
            <v>5</v>
          </cell>
          <cell r="CQ276">
            <v>4</v>
          </cell>
          <cell r="CR276">
            <v>6</v>
          </cell>
          <cell r="CS276">
            <v>5</v>
          </cell>
          <cell r="CT276">
            <v>6</v>
          </cell>
          <cell r="CU276">
            <v>12</v>
          </cell>
          <cell r="CV276">
            <v>9</v>
          </cell>
          <cell r="CW276">
            <v>1</v>
          </cell>
          <cell r="CX276">
            <v>7</v>
          </cell>
          <cell r="CY276">
            <v>5</v>
          </cell>
          <cell r="CZ276">
            <v>4</v>
          </cell>
          <cell r="DA276">
            <v>2</v>
          </cell>
          <cell r="DB276">
            <v>5</v>
          </cell>
          <cell r="DC276">
            <v>5</v>
          </cell>
          <cell r="DD276">
            <v>8</v>
          </cell>
          <cell r="DE276">
            <v>9</v>
          </cell>
          <cell r="DF276">
            <v>5</v>
          </cell>
          <cell r="DG276">
            <v>3</v>
          </cell>
          <cell r="DH276">
            <v>7</v>
          </cell>
          <cell r="DI276">
            <v>3</v>
          </cell>
          <cell r="DJ276">
            <v>11</v>
          </cell>
          <cell r="DK276">
            <v>4</v>
          </cell>
          <cell r="DL276">
            <v>4</v>
          </cell>
          <cell r="DM276">
            <v>6</v>
          </cell>
          <cell r="DN276">
            <v>8</v>
          </cell>
          <cell r="DO276">
            <v>6</v>
          </cell>
          <cell r="DP276">
            <v>3</v>
          </cell>
          <cell r="DQ276">
            <v>4</v>
          </cell>
          <cell r="DR276">
            <v>5</v>
          </cell>
          <cell r="DS276">
            <v>5</v>
          </cell>
          <cell r="DT276">
            <v>13</v>
          </cell>
          <cell r="DU276">
            <v>8</v>
          </cell>
          <cell r="DV276">
            <v>9</v>
          </cell>
          <cell r="DW276">
            <v>6</v>
          </cell>
          <cell r="DX276">
            <v>13</v>
          </cell>
          <cell r="DY276">
            <v>8</v>
          </cell>
          <cell r="DZ276">
            <v>5</v>
          </cell>
          <cell r="EA276">
            <v>6</v>
          </cell>
          <cell r="EB276">
            <v>8</v>
          </cell>
          <cell r="EC276">
            <v>8</v>
          </cell>
        </row>
        <row r="278">
          <cell r="AL278">
            <v>0</v>
          </cell>
          <cell r="AM278">
            <v>3</v>
          </cell>
          <cell r="AN278">
            <v>3</v>
          </cell>
          <cell r="AO278">
            <v>3</v>
          </cell>
          <cell r="AP278">
            <v>2</v>
          </cell>
          <cell r="AQ278">
            <v>0</v>
          </cell>
          <cell r="AR278">
            <v>1</v>
          </cell>
          <cell r="AS278">
            <v>2</v>
          </cell>
          <cell r="AT278">
            <v>0</v>
          </cell>
          <cell r="AU278">
            <v>3</v>
          </cell>
          <cell r="AV278">
            <v>2</v>
          </cell>
          <cell r="AW278">
            <v>3</v>
          </cell>
          <cell r="AX278">
            <v>2</v>
          </cell>
          <cell r="AY278">
            <v>1</v>
          </cell>
          <cell r="AZ278">
            <v>1</v>
          </cell>
          <cell r="BA278">
            <v>0</v>
          </cell>
          <cell r="BB278">
            <v>1</v>
          </cell>
          <cell r="BC278">
            <v>2</v>
          </cell>
          <cell r="BD278">
            <v>1</v>
          </cell>
          <cell r="BE278">
            <v>1</v>
          </cell>
          <cell r="BF278">
            <v>0</v>
          </cell>
          <cell r="BG278">
            <v>1</v>
          </cell>
          <cell r="BH278">
            <v>0</v>
          </cell>
          <cell r="BI278">
            <v>0</v>
          </cell>
          <cell r="BJ278">
            <v>2</v>
          </cell>
          <cell r="BK278">
            <v>1</v>
          </cell>
          <cell r="BL278">
            <v>4</v>
          </cell>
          <cell r="BM278">
            <v>1</v>
          </cell>
          <cell r="BN278">
            <v>2</v>
          </cell>
          <cell r="BO278">
            <v>0</v>
          </cell>
          <cell r="BP278">
            <v>0</v>
          </cell>
          <cell r="BQ278">
            <v>4</v>
          </cell>
          <cell r="BR278">
            <v>1</v>
          </cell>
          <cell r="BS278">
            <v>1</v>
          </cell>
          <cell r="BT278">
            <v>1</v>
          </cell>
          <cell r="BU278">
            <v>4</v>
          </cell>
          <cell r="BV278">
            <v>1</v>
          </cell>
          <cell r="BW278">
            <v>1</v>
          </cell>
          <cell r="BX278">
            <v>0</v>
          </cell>
          <cell r="BY278">
            <v>0</v>
          </cell>
          <cell r="BZ278">
            <v>2</v>
          </cell>
          <cell r="CA278">
            <v>0</v>
          </cell>
          <cell r="CB278">
            <v>1</v>
          </cell>
          <cell r="CC278">
            <v>2</v>
          </cell>
          <cell r="CD278">
            <v>0</v>
          </cell>
          <cell r="CE278">
            <v>1</v>
          </cell>
          <cell r="CF278">
            <v>2</v>
          </cell>
          <cell r="CG278">
            <v>2</v>
          </cell>
          <cell r="CH278">
            <v>0</v>
          </cell>
          <cell r="CI278">
            <v>2</v>
          </cell>
          <cell r="CJ278">
            <v>1</v>
          </cell>
          <cell r="CK278">
            <v>2</v>
          </cell>
          <cell r="CL278">
            <v>0</v>
          </cell>
          <cell r="CM278">
            <v>0</v>
          </cell>
          <cell r="CN278">
            <v>2</v>
          </cell>
          <cell r="CO278">
            <v>2</v>
          </cell>
          <cell r="CP278">
            <v>4</v>
          </cell>
          <cell r="CQ278">
            <v>1</v>
          </cell>
          <cell r="CR278">
            <v>1</v>
          </cell>
          <cell r="CS278">
            <v>1</v>
          </cell>
          <cell r="CT278">
            <v>3</v>
          </cell>
          <cell r="CU278">
            <v>1</v>
          </cell>
          <cell r="CV278">
            <v>2</v>
          </cell>
          <cell r="CW278">
            <v>1</v>
          </cell>
          <cell r="CX278">
            <v>1</v>
          </cell>
          <cell r="CY278">
            <v>2</v>
          </cell>
          <cell r="CZ278">
            <v>2</v>
          </cell>
          <cell r="DA278">
            <v>1</v>
          </cell>
          <cell r="DB278">
            <v>0</v>
          </cell>
          <cell r="DC278">
            <v>1</v>
          </cell>
          <cell r="DD278">
            <v>1</v>
          </cell>
          <cell r="DE278">
            <v>2</v>
          </cell>
          <cell r="DF278">
            <v>2</v>
          </cell>
          <cell r="DG278">
            <v>3</v>
          </cell>
          <cell r="DH278">
            <v>2</v>
          </cell>
          <cell r="DI278">
            <v>1</v>
          </cell>
          <cell r="DJ278">
            <v>2</v>
          </cell>
          <cell r="DK278">
            <v>1</v>
          </cell>
          <cell r="DL278">
            <v>3</v>
          </cell>
          <cell r="DM278">
            <v>1</v>
          </cell>
          <cell r="DN278">
            <v>4</v>
          </cell>
          <cell r="DO278">
            <v>4</v>
          </cell>
          <cell r="DP278">
            <v>1</v>
          </cell>
          <cell r="DQ278">
            <v>1</v>
          </cell>
          <cell r="DR278">
            <v>3</v>
          </cell>
          <cell r="DS278">
            <v>2</v>
          </cell>
          <cell r="DT278">
            <v>1</v>
          </cell>
          <cell r="DU278">
            <v>1</v>
          </cell>
          <cell r="DV278">
            <v>1</v>
          </cell>
          <cell r="DW278">
            <v>0</v>
          </cell>
          <cell r="DX278">
            <v>1</v>
          </cell>
          <cell r="DY278">
            <v>2</v>
          </cell>
          <cell r="DZ278">
            <v>0</v>
          </cell>
          <cell r="EA278">
            <v>0</v>
          </cell>
          <cell r="EB278">
            <v>1</v>
          </cell>
          <cell r="EC278">
            <v>2</v>
          </cell>
        </row>
        <row r="279">
          <cell r="CH279">
            <v>22</v>
          </cell>
          <cell r="CI279">
            <v>26</v>
          </cell>
          <cell r="CJ279">
            <v>29</v>
          </cell>
          <cell r="CK279">
            <v>27</v>
          </cell>
          <cell r="CL279">
            <v>34</v>
          </cell>
          <cell r="CM279">
            <v>28</v>
          </cell>
          <cell r="CN279">
            <v>25</v>
          </cell>
          <cell r="CO279">
            <v>52</v>
          </cell>
          <cell r="CP279">
            <v>22</v>
          </cell>
          <cell r="CQ279">
            <v>34</v>
          </cell>
          <cell r="CR279">
            <v>22</v>
          </cell>
          <cell r="CS279">
            <v>31</v>
          </cell>
          <cell r="CT279">
            <v>27</v>
          </cell>
          <cell r="CU279">
            <v>43</v>
          </cell>
          <cell r="CV279">
            <v>44</v>
          </cell>
          <cell r="CW279">
            <v>42</v>
          </cell>
          <cell r="CX279">
            <v>39</v>
          </cell>
          <cell r="CY279">
            <v>37</v>
          </cell>
          <cell r="CZ279">
            <v>54</v>
          </cell>
          <cell r="DA279">
            <v>34</v>
          </cell>
          <cell r="DB279">
            <v>19</v>
          </cell>
          <cell r="DC279">
            <v>81</v>
          </cell>
          <cell r="DD279">
            <v>37</v>
          </cell>
          <cell r="DE279">
            <v>36</v>
          </cell>
          <cell r="DF279">
            <v>23</v>
          </cell>
          <cell r="DG279">
            <v>35</v>
          </cell>
          <cell r="DH279">
            <v>18</v>
          </cell>
          <cell r="DI279">
            <v>27</v>
          </cell>
          <cell r="DJ279">
            <v>14</v>
          </cell>
          <cell r="DK279">
            <v>22</v>
          </cell>
          <cell r="DL279">
            <v>34</v>
          </cell>
          <cell r="DM279">
            <v>32</v>
          </cell>
          <cell r="DN279">
            <v>36</v>
          </cell>
          <cell r="DO279">
            <v>37</v>
          </cell>
          <cell r="DP279">
            <v>27</v>
          </cell>
          <cell r="DQ279">
            <v>28</v>
          </cell>
          <cell r="DR279">
            <v>35</v>
          </cell>
          <cell r="DS279">
            <v>43</v>
          </cell>
          <cell r="DT279">
            <v>30</v>
          </cell>
          <cell r="DU279">
            <v>40</v>
          </cell>
          <cell r="DV279">
            <v>26</v>
          </cell>
          <cell r="DW279">
            <v>33</v>
          </cell>
          <cell r="DX279">
            <v>33</v>
          </cell>
          <cell r="DY279">
            <v>23</v>
          </cell>
          <cell r="DZ279">
            <v>19</v>
          </cell>
          <cell r="EA279">
            <v>28</v>
          </cell>
          <cell r="EB279">
            <v>8</v>
          </cell>
          <cell r="EC279">
            <v>18</v>
          </cell>
        </row>
        <row r="280">
          <cell r="AL280">
            <v>96</v>
          </cell>
          <cell r="AM280">
            <v>96</v>
          </cell>
          <cell r="AN280">
            <v>118</v>
          </cell>
          <cell r="AO280">
            <v>146</v>
          </cell>
          <cell r="AP280">
            <v>136</v>
          </cell>
          <cell r="AQ280">
            <v>132</v>
          </cell>
          <cell r="AR280">
            <v>132</v>
          </cell>
          <cell r="AS280">
            <v>99</v>
          </cell>
          <cell r="AT280">
            <v>79</v>
          </cell>
          <cell r="AU280">
            <v>82</v>
          </cell>
          <cell r="AV280">
            <v>70</v>
          </cell>
          <cell r="AW280">
            <v>107</v>
          </cell>
          <cell r="AX280">
            <v>92</v>
          </cell>
          <cell r="AY280">
            <v>84</v>
          </cell>
          <cell r="AZ280">
            <v>78</v>
          </cell>
          <cell r="BA280">
            <v>78</v>
          </cell>
          <cell r="BB280">
            <v>99</v>
          </cell>
          <cell r="BC280">
            <v>177</v>
          </cell>
          <cell r="BD280">
            <v>134</v>
          </cell>
          <cell r="BE280">
            <v>164</v>
          </cell>
          <cell r="BF280">
            <v>113</v>
          </cell>
          <cell r="BG280">
            <v>122</v>
          </cell>
          <cell r="BH280">
            <v>109</v>
          </cell>
          <cell r="BI280">
            <v>89</v>
          </cell>
          <cell r="BJ280">
            <v>111</v>
          </cell>
          <cell r="BK280">
            <v>132</v>
          </cell>
          <cell r="BL280">
            <v>131</v>
          </cell>
          <cell r="BM280">
            <v>83</v>
          </cell>
          <cell r="BN280">
            <v>81</v>
          </cell>
          <cell r="BO280">
            <v>128</v>
          </cell>
          <cell r="BP280">
            <v>163</v>
          </cell>
          <cell r="BQ280">
            <v>114</v>
          </cell>
          <cell r="BR280">
            <v>107</v>
          </cell>
          <cell r="BS280">
            <v>160</v>
          </cell>
          <cell r="BT280">
            <v>154</v>
          </cell>
          <cell r="BU280">
            <v>90</v>
          </cell>
          <cell r="BV280">
            <v>54</v>
          </cell>
          <cell r="BW280">
            <v>42</v>
          </cell>
          <cell r="BX280">
            <v>61</v>
          </cell>
          <cell r="BY280">
            <v>88</v>
          </cell>
          <cell r="BZ280">
            <v>73</v>
          </cell>
          <cell r="CA280">
            <v>54</v>
          </cell>
          <cell r="CB280">
            <v>99</v>
          </cell>
          <cell r="CC280">
            <v>84</v>
          </cell>
          <cell r="CD280">
            <v>71</v>
          </cell>
          <cell r="CE280">
            <v>65</v>
          </cell>
          <cell r="CF280">
            <v>52</v>
          </cell>
          <cell r="CG280">
            <v>68</v>
          </cell>
          <cell r="CH280">
            <v>62</v>
          </cell>
          <cell r="CI280">
            <v>64</v>
          </cell>
          <cell r="CJ280">
            <v>58</v>
          </cell>
          <cell r="CK280">
            <v>104</v>
          </cell>
          <cell r="CL280">
            <v>101</v>
          </cell>
          <cell r="CM280">
            <v>79</v>
          </cell>
          <cell r="CN280">
            <v>72</v>
          </cell>
          <cell r="CO280">
            <v>115</v>
          </cell>
          <cell r="CP280">
            <v>66</v>
          </cell>
          <cell r="CQ280">
            <v>85</v>
          </cell>
          <cell r="CR280">
            <v>66</v>
          </cell>
          <cell r="CS280">
            <v>135</v>
          </cell>
          <cell r="CT280">
            <v>101</v>
          </cell>
          <cell r="CU280">
            <v>114</v>
          </cell>
          <cell r="CV280">
            <v>92</v>
          </cell>
          <cell r="CW280">
            <v>114</v>
          </cell>
          <cell r="CX280">
            <v>116</v>
          </cell>
          <cell r="CY280">
            <v>150</v>
          </cell>
          <cell r="CZ280">
            <v>119</v>
          </cell>
          <cell r="DA280">
            <v>121</v>
          </cell>
          <cell r="DB280">
            <v>78</v>
          </cell>
          <cell r="DC280">
            <v>128</v>
          </cell>
          <cell r="DD280">
            <v>106</v>
          </cell>
          <cell r="DE280">
            <v>73</v>
          </cell>
          <cell r="DF280">
            <v>123</v>
          </cell>
          <cell r="DG280">
            <v>97</v>
          </cell>
          <cell r="DH280">
            <v>108</v>
          </cell>
          <cell r="DI280">
            <v>132</v>
          </cell>
          <cell r="DJ280">
            <v>94</v>
          </cell>
          <cell r="DK280">
            <v>68</v>
          </cell>
          <cell r="DL280">
            <v>106</v>
          </cell>
          <cell r="DM280">
            <v>105</v>
          </cell>
          <cell r="DN280">
            <v>101</v>
          </cell>
          <cell r="DO280">
            <v>70</v>
          </cell>
          <cell r="DP280">
            <v>48</v>
          </cell>
          <cell r="DQ280">
            <v>47</v>
          </cell>
          <cell r="DR280">
            <v>78</v>
          </cell>
          <cell r="DS280">
            <v>97</v>
          </cell>
          <cell r="DT280">
            <v>85</v>
          </cell>
          <cell r="DU280">
            <v>86</v>
          </cell>
          <cell r="DV280">
            <v>72</v>
          </cell>
          <cell r="DW280">
            <v>65</v>
          </cell>
          <cell r="DX280">
            <v>96</v>
          </cell>
          <cell r="DY280">
            <v>73</v>
          </cell>
          <cell r="DZ280">
            <v>57</v>
          </cell>
          <cell r="EA280">
            <v>73</v>
          </cell>
          <cell r="EB280">
            <v>48</v>
          </cell>
          <cell r="EC280">
            <v>60</v>
          </cell>
        </row>
        <row r="281">
          <cell r="AL281">
            <v>16</v>
          </cell>
          <cell r="AM281">
            <v>33</v>
          </cell>
          <cell r="AN281">
            <v>32</v>
          </cell>
          <cell r="AO281">
            <v>44</v>
          </cell>
          <cell r="AP281">
            <v>37</v>
          </cell>
          <cell r="AQ281">
            <v>30</v>
          </cell>
          <cell r="AR281">
            <v>24</v>
          </cell>
          <cell r="AS281">
            <v>37</v>
          </cell>
          <cell r="AT281">
            <v>30</v>
          </cell>
          <cell r="AU281">
            <v>25</v>
          </cell>
          <cell r="AV281">
            <v>24</v>
          </cell>
          <cell r="AW281">
            <v>32</v>
          </cell>
          <cell r="AX281">
            <v>22</v>
          </cell>
          <cell r="AY281">
            <v>29</v>
          </cell>
          <cell r="AZ281">
            <v>23</v>
          </cell>
          <cell r="BA281">
            <v>34</v>
          </cell>
          <cell r="BB281">
            <v>42</v>
          </cell>
          <cell r="BC281">
            <v>32</v>
          </cell>
          <cell r="BD281">
            <v>34</v>
          </cell>
          <cell r="BE281">
            <v>23</v>
          </cell>
          <cell r="BF281">
            <v>31</v>
          </cell>
          <cell r="BG281">
            <v>23</v>
          </cell>
          <cell r="BH281">
            <v>20</v>
          </cell>
          <cell r="BI281">
            <v>26</v>
          </cell>
          <cell r="BJ281">
            <v>25</v>
          </cell>
          <cell r="BK281">
            <v>21</v>
          </cell>
          <cell r="BL281">
            <v>33</v>
          </cell>
          <cell r="BM281">
            <v>25</v>
          </cell>
          <cell r="BN281">
            <v>24</v>
          </cell>
          <cell r="BO281">
            <v>30</v>
          </cell>
          <cell r="BP281">
            <v>30</v>
          </cell>
          <cell r="BQ281">
            <v>26</v>
          </cell>
          <cell r="BR281">
            <v>19</v>
          </cell>
          <cell r="BS281">
            <v>21</v>
          </cell>
          <cell r="BT281">
            <v>16</v>
          </cell>
          <cell r="BU281">
            <v>18</v>
          </cell>
          <cell r="BV281">
            <v>19</v>
          </cell>
          <cell r="BW281">
            <v>18</v>
          </cell>
          <cell r="BX281">
            <v>22</v>
          </cell>
          <cell r="BY281">
            <v>27</v>
          </cell>
          <cell r="BZ281">
            <v>15</v>
          </cell>
          <cell r="CA281">
            <v>20</v>
          </cell>
          <cell r="CB281">
            <v>15</v>
          </cell>
          <cell r="CC281">
            <v>18</v>
          </cell>
          <cell r="CD281">
            <v>21</v>
          </cell>
          <cell r="CE281">
            <v>24</v>
          </cell>
          <cell r="CF281">
            <v>21</v>
          </cell>
          <cell r="CG281">
            <v>29</v>
          </cell>
          <cell r="CH281">
            <v>14</v>
          </cell>
          <cell r="CI281">
            <v>19</v>
          </cell>
          <cell r="CJ281">
            <v>15</v>
          </cell>
          <cell r="CK281">
            <v>29</v>
          </cell>
          <cell r="CL281">
            <v>25</v>
          </cell>
          <cell r="CM281">
            <v>25</v>
          </cell>
          <cell r="CN281">
            <v>25</v>
          </cell>
          <cell r="CO281">
            <v>30</v>
          </cell>
          <cell r="CP281">
            <v>29</v>
          </cell>
          <cell r="CQ281">
            <v>30</v>
          </cell>
          <cell r="CR281">
            <v>28</v>
          </cell>
          <cell r="CS281">
            <v>33</v>
          </cell>
          <cell r="CT281">
            <v>23</v>
          </cell>
          <cell r="CU281">
            <v>15</v>
          </cell>
          <cell r="CV281">
            <v>26</v>
          </cell>
          <cell r="CW281">
            <v>45</v>
          </cell>
          <cell r="CX281">
            <v>40</v>
          </cell>
          <cell r="CY281">
            <v>37</v>
          </cell>
          <cell r="CZ281">
            <v>31</v>
          </cell>
          <cell r="DA281">
            <v>25</v>
          </cell>
          <cell r="DB281">
            <v>28</v>
          </cell>
          <cell r="DC281">
            <v>28</v>
          </cell>
          <cell r="DD281">
            <v>33</v>
          </cell>
          <cell r="DE281">
            <v>43</v>
          </cell>
          <cell r="DF281">
            <v>47</v>
          </cell>
          <cell r="DG281">
            <v>35</v>
          </cell>
          <cell r="DH281">
            <v>27</v>
          </cell>
          <cell r="DI281">
            <v>29</v>
          </cell>
          <cell r="DJ281">
            <v>30</v>
          </cell>
          <cell r="DK281">
            <v>30</v>
          </cell>
          <cell r="DL281">
            <v>31</v>
          </cell>
          <cell r="DM281">
            <v>25</v>
          </cell>
          <cell r="DN281">
            <v>16</v>
          </cell>
          <cell r="DO281">
            <v>34</v>
          </cell>
          <cell r="DP281">
            <v>27</v>
          </cell>
          <cell r="DQ281">
            <v>42</v>
          </cell>
          <cell r="DR281">
            <v>28</v>
          </cell>
          <cell r="DS281">
            <v>38</v>
          </cell>
          <cell r="DT281">
            <v>35</v>
          </cell>
          <cell r="DU281">
            <v>23</v>
          </cell>
          <cell r="DV281">
            <v>28</v>
          </cell>
          <cell r="DW281">
            <v>33</v>
          </cell>
          <cell r="DX281">
            <v>35</v>
          </cell>
          <cell r="DY281">
            <v>32</v>
          </cell>
          <cell r="DZ281">
            <v>46</v>
          </cell>
          <cell r="EA281">
            <v>50</v>
          </cell>
          <cell r="EB281">
            <v>31</v>
          </cell>
          <cell r="EC281">
            <v>39</v>
          </cell>
        </row>
        <row r="282">
          <cell r="CH282">
            <v>98</v>
          </cell>
          <cell r="CI282">
            <v>111</v>
          </cell>
          <cell r="CJ282">
            <v>103</v>
          </cell>
          <cell r="CK282">
            <v>162</v>
          </cell>
          <cell r="CL282">
            <v>160</v>
          </cell>
          <cell r="CM282">
            <v>132</v>
          </cell>
          <cell r="CN282">
            <v>124</v>
          </cell>
          <cell r="CO282">
            <v>199</v>
          </cell>
          <cell r="CP282">
            <v>121</v>
          </cell>
          <cell r="CQ282">
            <v>150</v>
          </cell>
          <cell r="CR282">
            <v>117</v>
          </cell>
          <cell r="CS282">
            <v>200</v>
          </cell>
          <cell r="CT282">
            <v>154</v>
          </cell>
          <cell r="CU282">
            <v>173</v>
          </cell>
          <cell r="CV282">
            <v>164</v>
          </cell>
          <cell r="CW282">
            <v>202</v>
          </cell>
          <cell r="CX282">
            <v>196</v>
          </cell>
          <cell r="CY282">
            <v>226</v>
          </cell>
          <cell r="CZ282">
            <v>206</v>
          </cell>
          <cell r="DA282">
            <v>181</v>
          </cell>
          <cell r="DB282">
            <v>125</v>
          </cell>
          <cell r="DC282">
            <v>238</v>
          </cell>
          <cell r="DD282">
            <v>177</v>
          </cell>
          <cell r="DE282">
            <v>154</v>
          </cell>
          <cell r="DF282">
            <v>195</v>
          </cell>
          <cell r="DG282">
            <v>170</v>
          </cell>
          <cell r="DH282">
            <v>155</v>
          </cell>
          <cell r="DI282">
            <v>189</v>
          </cell>
          <cell r="DJ282">
            <v>140</v>
          </cell>
          <cell r="DK282">
            <v>121</v>
          </cell>
          <cell r="DL282">
            <v>174</v>
          </cell>
          <cell r="DM282">
            <v>163</v>
          </cell>
          <cell r="DN282">
            <v>157</v>
          </cell>
          <cell r="DO282">
            <v>145</v>
          </cell>
          <cell r="DP282">
            <v>103</v>
          </cell>
          <cell r="DQ282">
            <v>118</v>
          </cell>
          <cell r="DR282">
            <v>144</v>
          </cell>
          <cell r="DS282">
            <v>180</v>
          </cell>
          <cell r="DT282">
            <v>151</v>
          </cell>
          <cell r="DU282">
            <v>150</v>
          </cell>
          <cell r="DV282">
            <v>127</v>
          </cell>
          <cell r="DW282">
            <v>131</v>
          </cell>
          <cell r="DX282">
            <v>165</v>
          </cell>
          <cell r="DY282">
            <v>130</v>
          </cell>
          <cell r="DZ282">
            <v>122</v>
          </cell>
          <cell r="EA282">
            <v>151</v>
          </cell>
          <cell r="EB282">
            <v>88</v>
          </cell>
          <cell r="EC282">
            <v>119</v>
          </cell>
        </row>
        <row r="284">
          <cell r="CH284">
            <v>47</v>
          </cell>
          <cell r="CI284">
            <v>35</v>
          </cell>
          <cell r="CJ284">
            <v>49</v>
          </cell>
          <cell r="CK284">
            <v>40</v>
          </cell>
          <cell r="CL284">
            <v>51</v>
          </cell>
          <cell r="CM284">
            <v>45</v>
          </cell>
          <cell r="CN284">
            <v>39</v>
          </cell>
          <cell r="CO284">
            <v>40</v>
          </cell>
          <cell r="CP284">
            <v>41</v>
          </cell>
          <cell r="CQ284">
            <v>25</v>
          </cell>
          <cell r="CR284">
            <v>33</v>
          </cell>
          <cell r="CS284">
            <v>34</v>
          </cell>
          <cell r="CT284">
            <v>40</v>
          </cell>
          <cell r="CU284">
            <v>52</v>
          </cell>
          <cell r="CV284">
            <v>53</v>
          </cell>
          <cell r="CW284">
            <v>52</v>
          </cell>
          <cell r="CX284">
            <v>48</v>
          </cell>
          <cell r="CY284">
            <v>43</v>
          </cell>
          <cell r="CZ284">
            <v>40</v>
          </cell>
          <cell r="DA284">
            <v>43</v>
          </cell>
          <cell r="DB284">
            <v>27</v>
          </cell>
          <cell r="DC284">
            <v>34</v>
          </cell>
          <cell r="DD284">
            <v>35</v>
          </cell>
          <cell r="DE284">
            <v>42</v>
          </cell>
          <cell r="DF284">
            <v>37</v>
          </cell>
          <cell r="DG284">
            <v>34</v>
          </cell>
          <cell r="DH284">
            <v>38</v>
          </cell>
          <cell r="DI284">
            <v>36</v>
          </cell>
          <cell r="DJ284">
            <v>40</v>
          </cell>
          <cell r="DK284">
            <v>41</v>
          </cell>
          <cell r="DL284">
            <v>22</v>
          </cell>
          <cell r="DM284">
            <v>35</v>
          </cell>
          <cell r="DN284">
            <v>39</v>
          </cell>
          <cell r="DO284">
            <v>29</v>
          </cell>
          <cell r="DP284">
            <v>46</v>
          </cell>
          <cell r="DQ284">
            <v>32</v>
          </cell>
          <cell r="DR284">
            <v>27</v>
          </cell>
          <cell r="DS284">
            <v>38</v>
          </cell>
          <cell r="DT284">
            <v>24</v>
          </cell>
          <cell r="DU284">
            <v>48</v>
          </cell>
          <cell r="DV284">
            <v>69</v>
          </cell>
          <cell r="DW284">
            <v>31</v>
          </cell>
          <cell r="DX284">
            <v>27</v>
          </cell>
          <cell r="DY284">
            <v>30</v>
          </cell>
          <cell r="DZ284">
            <v>39</v>
          </cell>
          <cell r="EA284">
            <v>23</v>
          </cell>
          <cell r="EB284">
            <v>34</v>
          </cell>
          <cell r="EC284">
            <v>35</v>
          </cell>
        </row>
        <row r="285">
          <cell r="CH285">
            <v>359</v>
          </cell>
          <cell r="CI285">
            <v>403</v>
          </cell>
          <cell r="CJ285">
            <v>470</v>
          </cell>
          <cell r="CK285">
            <v>428</v>
          </cell>
          <cell r="CL285">
            <v>465</v>
          </cell>
          <cell r="CM285">
            <v>404</v>
          </cell>
          <cell r="CN285">
            <v>392</v>
          </cell>
          <cell r="CO285">
            <v>304</v>
          </cell>
          <cell r="CP285">
            <v>340</v>
          </cell>
          <cell r="CQ285">
            <v>360</v>
          </cell>
          <cell r="CR285">
            <v>325</v>
          </cell>
          <cell r="CS285">
            <v>400</v>
          </cell>
          <cell r="CT285">
            <v>402</v>
          </cell>
          <cell r="CU285">
            <v>423</v>
          </cell>
          <cell r="CV285">
            <v>371</v>
          </cell>
          <cell r="CW285">
            <v>432</v>
          </cell>
          <cell r="CX285">
            <v>379</v>
          </cell>
          <cell r="CY285">
            <v>370</v>
          </cell>
          <cell r="CZ285">
            <v>352</v>
          </cell>
          <cell r="DA285">
            <v>321</v>
          </cell>
          <cell r="DB285">
            <v>362</v>
          </cell>
          <cell r="DC285">
            <v>334</v>
          </cell>
          <cell r="DD285">
            <v>323</v>
          </cell>
          <cell r="DE285">
            <v>351</v>
          </cell>
          <cell r="DF285">
            <v>398</v>
          </cell>
          <cell r="DG285">
            <v>333</v>
          </cell>
          <cell r="DH285">
            <v>381</v>
          </cell>
          <cell r="DI285">
            <v>347</v>
          </cell>
          <cell r="DJ285">
            <v>345</v>
          </cell>
          <cell r="DK285">
            <v>301</v>
          </cell>
          <cell r="DL285">
            <v>318</v>
          </cell>
          <cell r="DM285">
            <v>313</v>
          </cell>
          <cell r="DN285">
            <v>340</v>
          </cell>
          <cell r="DO285">
            <v>307</v>
          </cell>
          <cell r="DP285">
            <v>326</v>
          </cell>
          <cell r="DQ285">
            <v>358</v>
          </cell>
          <cell r="DR285">
            <v>328</v>
          </cell>
          <cell r="DS285">
            <v>340</v>
          </cell>
          <cell r="DT285">
            <v>339</v>
          </cell>
          <cell r="DU285">
            <v>379</v>
          </cell>
          <cell r="DV285">
            <v>364</v>
          </cell>
          <cell r="DW285">
            <v>336</v>
          </cell>
          <cell r="DX285">
            <v>366</v>
          </cell>
          <cell r="DY285">
            <v>293</v>
          </cell>
          <cell r="DZ285">
            <v>359</v>
          </cell>
          <cell r="EA285">
            <v>341</v>
          </cell>
          <cell r="EB285">
            <v>345</v>
          </cell>
          <cell r="EC285">
            <v>372</v>
          </cell>
        </row>
        <row r="286">
          <cell r="CH286">
            <v>263</v>
          </cell>
          <cell r="CI286">
            <v>236</v>
          </cell>
          <cell r="CJ286">
            <v>217</v>
          </cell>
          <cell r="CK286">
            <v>258</v>
          </cell>
          <cell r="CL286">
            <v>203</v>
          </cell>
          <cell r="CM286">
            <v>214</v>
          </cell>
          <cell r="CN286">
            <v>229</v>
          </cell>
          <cell r="CO286">
            <v>233</v>
          </cell>
          <cell r="CP286">
            <v>203</v>
          </cell>
          <cell r="CQ286">
            <v>188</v>
          </cell>
          <cell r="CR286">
            <v>201</v>
          </cell>
          <cell r="CS286">
            <v>216</v>
          </cell>
          <cell r="CT286">
            <v>230</v>
          </cell>
          <cell r="CU286">
            <v>260</v>
          </cell>
          <cell r="CV286">
            <v>268</v>
          </cell>
          <cell r="CW286">
            <v>246</v>
          </cell>
          <cell r="CX286">
            <v>300</v>
          </cell>
          <cell r="CY286">
            <v>274</v>
          </cell>
          <cell r="CZ286">
            <v>254</v>
          </cell>
          <cell r="DA286">
            <v>244</v>
          </cell>
          <cell r="DB286">
            <v>250</v>
          </cell>
          <cell r="DC286">
            <v>236</v>
          </cell>
          <cell r="DD286">
            <v>224</v>
          </cell>
          <cell r="DE286">
            <v>255</v>
          </cell>
          <cell r="DF286">
            <v>254</v>
          </cell>
          <cell r="DG286">
            <v>251</v>
          </cell>
          <cell r="DH286">
            <v>252</v>
          </cell>
          <cell r="DI286">
            <v>251</v>
          </cell>
          <cell r="DJ286">
            <v>231</v>
          </cell>
          <cell r="DK286">
            <v>218</v>
          </cell>
          <cell r="DL286">
            <v>217</v>
          </cell>
          <cell r="DM286">
            <v>221</v>
          </cell>
          <cell r="DN286">
            <v>236</v>
          </cell>
          <cell r="DO286">
            <v>184</v>
          </cell>
          <cell r="DP286">
            <v>209</v>
          </cell>
          <cell r="DQ286">
            <v>189</v>
          </cell>
          <cell r="DR286">
            <v>190</v>
          </cell>
          <cell r="DS286">
            <v>202</v>
          </cell>
          <cell r="DT286">
            <v>206</v>
          </cell>
          <cell r="DU286">
            <v>222</v>
          </cell>
          <cell r="DV286">
            <v>196</v>
          </cell>
          <cell r="DW286">
            <v>198</v>
          </cell>
          <cell r="DX286">
            <v>216</v>
          </cell>
          <cell r="DY286">
            <v>212</v>
          </cell>
          <cell r="DZ286">
            <v>225</v>
          </cell>
          <cell r="EA286">
            <v>224</v>
          </cell>
          <cell r="EB286">
            <v>227</v>
          </cell>
          <cell r="EC286">
            <v>238</v>
          </cell>
        </row>
        <row r="287">
          <cell r="CH287">
            <v>1</v>
          </cell>
          <cell r="CI287">
            <v>3</v>
          </cell>
          <cell r="CJ287">
            <v>1</v>
          </cell>
          <cell r="CK287">
            <v>0</v>
          </cell>
          <cell r="CL287">
            <v>1</v>
          </cell>
          <cell r="CM287">
            <v>2</v>
          </cell>
          <cell r="CN287">
            <v>2</v>
          </cell>
          <cell r="CO287">
            <v>2</v>
          </cell>
          <cell r="CP287">
            <v>1</v>
          </cell>
          <cell r="CQ287">
            <v>10</v>
          </cell>
          <cell r="CR287">
            <v>0</v>
          </cell>
          <cell r="CS287">
            <v>1</v>
          </cell>
          <cell r="CT287">
            <v>4</v>
          </cell>
          <cell r="CU287">
            <v>4</v>
          </cell>
          <cell r="CV287">
            <v>5</v>
          </cell>
          <cell r="CW287">
            <v>10</v>
          </cell>
          <cell r="CX287">
            <v>10</v>
          </cell>
          <cell r="CY287">
            <v>13</v>
          </cell>
          <cell r="CZ287">
            <v>6</v>
          </cell>
          <cell r="DA287">
            <v>11</v>
          </cell>
          <cell r="DB287">
            <v>10</v>
          </cell>
          <cell r="DC287">
            <v>20</v>
          </cell>
          <cell r="DD287">
            <v>10</v>
          </cell>
          <cell r="DE287">
            <v>11</v>
          </cell>
          <cell r="DF287">
            <v>1</v>
          </cell>
          <cell r="DG287">
            <v>3</v>
          </cell>
          <cell r="DH287">
            <v>2</v>
          </cell>
          <cell r="DI287">
            <v>1</v>
          </cell>
          <cell r="DJ287">
            <v>2</v>
          </cell>
          <cell r="DK287">
            <v>2</v>
          </cell>
          <cell r="DL287">
            <v>5</v>
          </cell>
          <cell r="DM287">
            <v>5</v>
          </cell>
          <cell r="DN287">
            <v>8</v>
          </cell>
          <cell r="DO287">
            <v>16</v>
          </cell>
          <cell r="DP287">
            <v>5</v>
          </cell>
          <cell r="DQ287">
            <v>6</v>
          </cell>
          <cell r="DR287">
            <v>14</v>
          </cell>
          <cell r="DS287">
            <v>9</v>
          </cell>
          <cell r="DT287">
            <v>2</v>
          </cell>
          <cell r="DU287">
            <v>6</v>
          </cell>
          <cell r="DV287">
            <v>5</v>
          </cell>
          <cell r="DW287">
            <v>4</v>
          </cell>
          <cell r="DX287">
            <v>8</v>
          </cell>
          <cell r="DY287">
            <v>6</v>
          </cell>
          <cell r="DZ287">
            <v>5</v>
          </cell>
          <cell r="EA287">
            <v>2</v>
          </cell>
          <cell r="EB287">
            <v>14</v>
          </cell>
          <cell r="EC287">
            <v>7</v>
          </cell>
        </row>
        <row r="289">
          <cell r="CH289">
            <v>153</v>
          </cell>
          <cell r="CI289">
            <v>178</v>
          </cell>
          <cell r="CJ289">
            <v>207</v>
          </cell>
          <cell r="CK289">
            <v>216</v>
          </cell>
          <cell r="CL289">
            <v>197</v>
          </cell>
          <cell r="CM289">
            <v>199</v>
          </cell>
          <cell r="CN289">
            <v>170</v>
          </cell>
          <cell r="CO289">
            <v>185</v>
          </cell>
          <cell r="CP289">
            <v>147</v>
          </cell>
          <cell r="CQ289">
            <v>214</v>
          </cell>
          <cell r="CR289">
            <v>188</v>
          </cell>
          <cell r="CS289">
            <v>190</v>
          </cell>
          <cell r="CT289">
            <v>176</v>
          </cell>
          <cell r="CU289">
            <v>224</v>
          </cell>
          <cell r="CV289">
            <v>192</v>
          </cell>
          <cell r="CW289">
            <v>189</v>
          </cell>
          <cell r="CX289">
            <v>248</v>
          </cell>
          <cell r="CY289">
            <v>198</v>
          </cell>
          <cell r="CZ289">
            <v>264</v>
          </cell>
          <cell r="DA289">
            <v>234</v>
          </cell>
          <cell r="DB289">
            <v>208</v>
          </cell>
          <cell r="DC289">
            <v>215</v>
          </cell>
          <cell r="DD289">
            <v>299</v>
          </cell>
          <cell r="DE289">
            <v>251</v>
          </cell>
          <cell r="DF289">
            <v>220</v>
          </cell>
          <cell r="DG289">
            <v>270</v>
          </cell>
          <cell r="DH289">
            <v>214</v>
          </cell>
          <cell r="DI289">
            <v>232</v>
          </cell>
          <cell r="DJ289">
            <v>195</v>
          </cell>
          <cell r="DK289">
            <v>220</v>
          </cell>
          <cell r="DL289">
            <v>213</v>
          </cell>
          <cell r="DM289">
            <v>237</v>
          </cell>
          <cell r="DN289">
            <v>202</v>
          </cell>
          <cell r="DO289">
            <v>295</v>
          </cell>
          <cell r="DP289">
            <v>262</v>
          </cell>
          <cell r="DQ289">
            <v>284</v>
          </cell>
          <cell r="DR289">
            <v>291</v>
          </cell>
          <cell r="DS289">
            <v>314</v>
          </cell>
          <cell r="DT289">
            <v>253</v>
          </cell>
          <cell r="DU289">
            <v>291</v>
          </cell>
          <cell r="DV289">
            <v>290</v>
          </cell>
          <cell r="DW289">
            <v>290</v>
          </cell>
          <cell r="DX289">
            <v>321</v>
          </cell>
          <cell r="DY289">
            <v>222</v>
          </cell>
          <cell r="DZ289">
            <v>182</v>
          </cell>
          <cell r="EA289">
            <v>180</v>
          </cell>
          <cell r="EB289">
            <v>179</v>
          </cell>
          <cell r="EC289">
            <v>239</v>
          </cell>
        </row>
        <row r="291">
          <cell r="CH291">
            <v>27</v>
          </cell>
          <cell r="CI291">
            <v>27</v>
          </cell>
          <cell r="CJ291">
            <v>38</v>
          </cell>
          <cell r="CK291">
            <v>31</v>
          </cell>
          <cell r="CL291">
            <v>37</v>
          </cell>
          <cell r="CM291">
            <v>48</v>
          </cell>
          <cell r="CN291">
            <v>59</v>
          </cell>
          <cell r="CO291">
            <v>54</v>
          </cell>
          <cell r="CP291">
            <v>34</v>
          </cell>
          <cell r="CQ291">
            <v>34</v>
          </cell>
          <cell r="CR291">
            <v>38</v>
          </cell>
          <cell r="CS291">
            <v>43</v>
          </cell>
          <cell r="CT291">
            <v>51</v>
          </cell>
          <cell r="CU291">
            <v>32</v>
          </cell>
          <cell r="CV291">
            <v>44</v>
          </cell>
          <cell r="CW291">
            <v>55</v>
          </cell>
          <cell r="CX291">
            <v>45</v>
          </cell>
          <cell r="CY291">
            <v>54</v>
          </cell>
          <cell r="CZ291">
            <v>54</v>
          </cell>
          <cell r="DA291">
            <v>62</v>
          </cell>
          <cell r="DB291">
            <v>36</v>
          </cell>
          <cell r="DC291">
            <v>41</v>
          </cell>
          <cell r="DD291">
            <v>43</v>
          </cell>
          <cell r="DE291">
            <v>47</v>
          </cell>
          <cell r="DF291">
            <v>61</v>
          </cell>
          <cell r="DG291">
            <v>40</v>
          </cell>
          <cell r="DH291">
            <v>47</v>
          </cell>
          <cell r="DI291">
            <v>35</v>
          </cell>
          <cell r="DJ291">
            <v>29</v>
          </cell>
          <cell r="DK291">
            <v>38</v>
          </cell>
          <cell r="DL291">
            <v>32</v>
          </cell>
          <cell r="DM291">
            <v>39</v>
          </cell>
          <cell r="DN291">
            <v>56</v>
          </cell>
          <cell r="DO291">
            <v>51</v>
          </cell>
          <cell r="DP291">
            <v>42</v>
          </cell>
          <cell r="DQ291">
            <v>35</v>
          </cell>
          <cell r="DR291">
            <v>37</v>
          </cell>
          <cell r="DS291">
            <v>45</v>
          </cell>
          <cell r="DT291">
            <v>40</v>
          </cell>
          <cell r="DU291">
            <v>61</v>
          </cell>
          <cell r="DV291">
            <v>31</v>
          </cell>
          <cell r="DW291">
            <v>46</v>
          </cell>
          <cell r="DX291">
            <v>44</v>
          </cell>
          <cell r="DY291">
            <v>47</v>
          </cell>
          <cell r="DZ291">
            <v>36</v>
          </cell>
          <cell r="EA291">
            <v>38</v>
          </cell>
          <cell r="EB291">
            <v>52</v>
          </cell>
          <cell r="EC291">
            <v>58</v>
          </cell>
        </row>
      </sheetData>
      <sheetData sheetId="4"/>
      <sheetData sheetId="5"/>
      <sheetData sheetId="6"/>
      <sheetData sheetId="7">
        <row r="2">
          <cell r="CH2">
            <v>2939</v>
          </cell>
          <cell r="CI2">
            <v>3307</v>
          </cell>
          <cell r="CJ2">
            <v>3418</v>
          </cell>
          <cell r="CK2">
            <v>3571</v>
          </cell>
          <cell r="CL2">
            <v>3354</v>
          </cell>
          <cell r="CM2">
            <v>3364</v>
          </cell>
          <cell r="CN2">
            <v>3544</v>
          </cell>
          <cell r="CO2">
            <v>3525</v>
          </cell>
          <cell r="CP2">
            <v>3152</v>
          </cell>
          <cell r="CQ2">
            <v>3124</v>
          </cell>
          <cell r="CR2">
            <v>2962</v>
          </cell>
          <cell r="CS2">
            <v>3582</v>
          </cell>
          <cell r="CT2">
            <v>3516</v>
          </cell>
          <cell r="CU2">
            <v>3527</v>
          </cell>
          <cell r="CV2">
            <v>3487</v>
          </cell>
          <cell r="CW2">
            <v>3822</v>
          </cell>
          <cell r="CX2">
            <v>3673</v>
          </cell>
          <cell r="CY2">
            <v>3409</v>
          </cell>
          <cell r="CZ2">
            <v>3630</v>
          </cell>
          <cell r="DA2">
            <v>3369</v>
          </cell>
          <cell r="DB2">
            <v>2969</v>
          </cell>
          <cell r="DC2">
            <v>3347</v>
          </cell>
          <cell r="DD2">
            <v>3258</v>
          </cell>
          <cell r="DE2">
            <v>3546</v>
          </cell>
          <cell r="DF2">
            <v>3261</v>
          </cell>
          <cell r="DG2">
            <v>3370</v>
          </cell>
          <cell r="DH2">
            <v>3564</v>
          </cell>
          <cell r="DI2">
            <v>3534</v>
          </cell>
          <cell r="DJ2">
            <v>3196</v>
          </cell>
          <cell r="DK2">
            <v>3356</v>
          </cell>
          <cell r="DL2">
            <v>3405</v>
          </cell>
          <cell r="DM2">
            <v>3144</v>
          </cell>
          <cell r="DN2">
            <v>3183</v>
          </cell>
          <cell r="DO2">
            <v>3277</v>
          </cell>
          <cell r="DP2">
            <v>3098</v>
          </cell>
          <cell r="DQ2">
            <v>3302</v>
          </cell>
          <cell r="DR2">
            <v>3367</v>
          </cell>
          <cell r="DS2">
            <v>3549</v>
          </cell>
          <cell r="DT2">
            <v>3370</v>
          </cell>
          <cell r="DU2">
            <v>3695</v>
          </cell>
          <cell r="DV2">
            <v>3320</v>
          </cell>
          <cell r="DW2">
            <v>3297</v>
          </cell>
          <cell r="DX2">
            <v>3450</v>
          </cell>
          <cell r="DY2">
            <v>3068</v>
          </cell>
          <cell r="DZ2">
            <v>3107</v>
          </cell>
          <cell r="EA2">
            <v>3036</v>
          </cell>
          <cell r="EB2">
            <v>2833</v>
          </cell>
          <cell r="EC2">
            <v>3276</v>
          </cell>
        </row>
        <row r="4">
          <cell r="AL4">
            <v>394</v>
          </cell>
          <cell r="AM4">
            <v>383</v>
          </cell>
          <cell r="AN4">
            <v>381</v>
          </cell>
          <cell r="AO4">
            <v>442</v>
          </cell>
          <cell r="AP4">
            <v>378</v>
          </cell>
          <cell r="AQ4">
            <v>385</v>
          </cell>
          <cell r="AR4">
            <v>370</v>
          </cell>
          <cell r="AS4">
            <v>379</v>
          </cell>
          <cell r="AT4">
            <v>369</v>
          </cell>
          <cell r="AU4">
            <v>316</v>
          </cell>
          <cell r="AV4">
            <v>290</v>
          </cell>
          <cell r="AW4">
            <v>336</v>
          </cell>
          <cell r="AX4">
            <v>319</v>
          </cell>
          <cell r="AY4">
            <v>379</v>
          </cell>
          <cell r="AZ4">
            <v>412</v>
          </cell>
          <cell r="BA4">
            <v>432</v>
          </cell>
          <cell r="BB4">
            <v>387</v>
          </cell>
          <cell r="BC4">
            <v>356</v>
          </cell>
          <cell r="BD4">
            <v>436</v>
          </cell>
          <cell r="BE4">
            <v>370</v>
          </cell>
          <cell r="BF4">
            <v>449</v>
          </cell>
          <cell r="BG4">
            <v>370</v>
          </cell>
          <cell r="BH4">
            <v>301</v>
          </cell>
          <cell r="BI4">
            <v>399</v>
          </cell>
          <cell r="BJ4">
            <v>383</v>
          </cell>
          <cell r="BK4">
            <v>379</v>
          </cell>
          <cell r="BL4">
            <v>422</v>
          </cell>
          <cell r="BM4">
            <v>401</v>
          </cell>
          <cell r="BN4">
            <v>368</v>
          </cell>
          <cell r="BO4">
            <v>379</v>
          </cell>
          <cell r="BP4">
            <v>394</v>
          </cell>
          <cell r="BQ4">
            <v>398</v>
          </cell>
          <cell r="BR4">
            <v>453</v>
          </cell>
          <cell r="BS4">
            <v>392</v>
          </cell>
          <cell r="BT4">
            <v>370</v>
          </cell>
          <cell r="BU4">
            <v>344</v>
          </cell>
          <cell r="BV4">
            <v>278</v>
          </cell>
          <cell r="BW4">
            <v>342</v>
          </cell>
          <cell r="BX4">
            <v>355</v>
          </cell>
          <cell r="BY4">
            <v>406</v>
          </cell>
          <cell r="BZ4">
            <v>393</v>
          </cell>
          <cell r="CA4">
            <v>403</v>
          </cell>
          <cell r="CB4">
            <v>352</v>
          </cell>
          <cell r="CC4">
            <v>268</v>
          </cell>
          <cell r="CD4">
            <v>296</v>
          </cell>
          <cell r="CE4">
            <v>253</v>
          </cell>
          <cell r="CF4">
            <v>259</v>
          </cell>
          <cell r="CG4">
            <v>321</v>
          </cell>
          <cell r="CH4">
            <v>349</v>
          </cell>
          <cell r="CI4">
            <v>349</v>
          </cell>
          <cell r="CJ4">
            <v>387</v>
          </cell>
          <cell r="CK4">
            <v>407</v>
          </cell>
          <cell r="CL4">
            <v>422</v>
          </cell>
          <cell r="CM4">
            <v>410</v>
          </cell>
          <cell r="CN4">
            <v>397</v>
          </cell>
          <cell r="CO4">
            <v>349</v>
          </cell>
          <cell r="CP4">
            <v>359</v>
          </cell>
          <cell r="CQ4">
            <v>332</v>
          </cell>
          <cell r="CR4">
            <v>319</v>
          </cell>
          <cell r="CS4">
            <v>399</v>
          </cell>
          <cell r="CT4">
            <v>398</v>
          </cell>
          <cell r="CU4">
            <v>431</v>
          </cell>
          <cell r="CV4">
            <v>430</v>
          </cell>
          <cell r="CW4">
            <v>451</v>
          </cell>
          <cell r="CX4">
            <v>433</v>
          </cell>
          <cell r="CY4">
            <v>374</v>
          </cell>
          <cell r="CZ4">
            <v>394</v>
          </cell>
          <cell r="DA4">
            <v>351</v>
          </cell>
          <cell r="DB4">
            <v>356</v>
          </cell>
          <cell r="DC4">
            <v>358</v>
          </cell>
          <cell r="DD4">
            <v>347</v>
          </cell>
          <cell r="DE4">
            <v>396</v>
          </cell>
          <cell r="DF4">
            <v>383</v>
          </cell>
          <cell r="DG4">
            <v>430</v>
          </cell>
          <cell r="DH4">
            <v>490</v>
          </cell>
          <cell r="DI4">
            <v>432</v>
          </cell>
          <cell r="DJ4">
            <v>411</v>
          </cell>
          <cell r="DK4">
            <v>400</v>
          </cell>
          <cell r="DL4">
            <v>417</v>
          </cell>
          <cell r="DM4">
            <v>365</v>
          </cell>
          <cell r="DN4">
            <v>425</v>
          </cell>
          <cell r="DO4">
            <v>372</v>
          </cell>
          <cell r="DP4">
            <v>359</v>
          </cell>
          <cell r="DQ4">
            <v>374</v>
          </cell>
          <cell r="DR4">
            <v>408</v>
          </cell>
          <cell r="DS4">
            <v>429</v>
          </cell>
          <cell r="DT4">
            <v>432</v>
          </cell>
          <cell r="DU4">
            <v>479</v>
          </cell>
          <cell r="DV4">
            <v>435</v>
          </cell>
          <cell r="DW4">
            <v>351</v>
          </cell>
          <cell r="DX4">
            <v>387</v>
          </cell>
          <cell r="DY4">
            <v>346</v>
          </cell>
          <cell r="DZ4">
            <v>424</v>
          </cell>
          <cell r="EA4">
            <v>369</v>
          </cell>
          <cell r="EB4">
            <v>332</v>
          </cell>
          <cell r="EC4">
            <v>418</v>
          </cell>
        </row>
        <row r="5">
          <cell r="AL5">
            <v>622</v>
          </cell>
          <cell r="AM5">
            <v>652</v>
          </cell>
          <cell r="AN5">
            <v>692</v>
          </cell>
          <cell r="AO5">
            <v>688</v>
          </cell>
          <cell r="AP5">
            <v>650</v>
          </cell>
          <cell r="AQ5">
            <v>577</v>
          </cell>
          <cell r="AR5">
            <v>609</v>
          </cell>
          <cell r="AS5">
            <v>648</v>
          </cell>
          <cell r="AT5">
            <v>594</v>
          </cell>
          <cell r="AU5">
            <v>603</v>
          </cell>
          <cell r="AV5">
            <v>556</v>
          </cell>
          <cell r="AW5">
            <v>626</v>
          </cell>
          <cell r="AX5">
            <v>664</v>
          </cell>
          <cell r="AY5">
            <v>686</v>
          </cell>
          <cell r="AZ5">
            <v>757</v>
          </cell>
          <cell r="BA5">
            <v>804</v>
          </cell>
          <cell r="BB5">
            <v>715</v>
          </cell>
          <cell r="BC5">
            <v>679</v>
          </cell>
          <cell r="BD5">
            <v>743</v>
          </cell>
          <cell r="BE5">
            <v>789</v>
          </cell>
          <cell r="BF5">
            <v>796</v>
          </cell>
          <cell r="BG5">
            <v>739</v>
          </cell>
          <cell r="BH5">
            <v>692</v>
          </cell>
          <cell r="BI5">
            <v>788</v>
          </cell>
          <cell r="BJ5">
            <v>744</v>
          </cell>
          <cell r="BK5">
            <v>757</v>
          </cell>
          <cell r="BL5">
            <v>697</v>
          </cell>
          <cell r="BM5">
            <v>829</v>
          </cell>
          <cell r="BN5">
            <v>814</v>
          </cell>
          <cell r="BO5">
            <v>868</v>
          </cell>
          <cell r="BP5">
            <v>934</v>
          </cell>
          <cell r="BQ5">
            <v>873</v>
          </cell>
          <cell r="BR5">
            <v>913</v>
          </cell>
          <cell r="BS5">
            <v>828</v>
          </cell>
          <cell r="BT5">
            <v>823</v>
          </cell>
          <cell r="BU5">
            <v>854</v>
          </cell>
          <cell r="BV5">
            <v>731</v>
          </cell>
          <cell r="BW5">
            <v>867</v>
          </cell>
          <cell r="BX5">
            <v>999</v>
          </cell>
          <cell r="BY5">
            <v>999</v>
          </cell>
          <cell r="BZ5">
            <v>1040</v>
          </cell>
          <cell r="CA5">
            <v>940</v>
          </cell>
          <cell r="CB5">
            <v>1014</v>
          </cell>
          <cell r="CC5">
            <v>902</v>
          </cell>
          <cell r="CD5">
            <v>806</v>
          </cell>
          <cell r="CE5">
            <v>754</v>
          </cell>
          <cell r="CF5">
            <v>755</v>
          </cell>
          <cell r="CG5">
            <v>850</v>
          </cell>
          <cell r="CH5">
            <v>893</v>
          </cell>
          <cell r="CI5">
            <v>1034</v>
          </cell>
          <cell r="CJ5">
            <v>1039</v>
          </cell>
          <cell r="CK5">
            <v>1105</v>
          </cell>
          <cell r="CL5">
            <v>973</v>
          </cell>
          <cell r="CM5">
            <v>1023</v>
          </cell>
          <cell r="CN5">
            <v>1031</v>
          </cell>
          <cell r="CO5">
            <v>976</v>
          </cell>
          <cell r="CP5">
            <v>914</v>
          </cell>
          <cell r="CQ5">
            <v>893</v>
          </cell>
          <cell r="CR5">
            <v>861</v>
          </cell>
          <cell r="CS5">
            <v>1003</v>
          </cell>
          <cell r="CT5">
            <v>882</v>
          </cell>
          <cell r="CU5">
            <v>958</v>
          </cell>
          <cell r="CV5">
            <v>947</v>
          </cell>
          <cell r="CW5">
            <v>1023</v>
          </cell>
          <cell r="CX5">
            <v>875</v>
          </cell>
          <cell r="CY5">
            <v>879</v>
          </cell>
          <cell r="CZ5">
            <v>871</v>
          </cell>
          <cell r="DA5">
            <v>901</v>
          </cell>
          <cell r="DB5">
            <v>778</v>
          </cell>
          <cell r="DC5">
            <v>774</v>
          </cell>
          <cell r="DD5">
            <v>857</v>
          </cell>
          <cell r="DE5">
            <v>957</v>
          </cell>
          <cell r="DF5">
            <v>854</v>
          </cell>
          <cell r="DG5">
            <v>814</v>
          </cell>
          <cell r="DH5">
            <v>880</v>
          </cell>
          <cell r="DI5">
            <v>840</v>
          </cell>
          <cell r="DJ5">
            <v>794</v>
          </cell>
          <cell r="DK5">
            <v>847</v>
          </cell>
          <cell r="DL5">
            <v>881</v>
          </cell>
          <cell r="DM5">
            <v>852</v>
          </cell>
          <cell r="DN5">
            <v>816</v>
          </cell>
          <cell r="DO5">
            <v>826</v>
          </cell>
          <cell r="DP5">
            <v>823</v>
          </cell>
          <cell r="DQ5">
            <v>795</v>
          </cell>
          <cell r="DR5">
            <v>801</v>
          </cell>
          <cell r="DS5">
            <v>819</v>
          </cell>
          <cell r="DT5">
            <v>820</v>
          </cell>
          <cell r="DU5">
            <v>902</v>
          </cell>
          <cell r="DV5">
            <v>733</v>
          </cell>
          <cell r="DW5">
            <v>771</v>
          </cell>
          <cell r="DX5">
            <v>773</v>
          </cell>
          <cell r="DY5">
            <v>742</v>
          </cell>
          <cell r="DZ5">
            <v>803</v>
          </cell>
          <cell r="EA5">
            <v>785</v>
          </cell>
          <cell r="EB5">
            <v>764</v>
          </cell>
          <cell r="EC5">
            <v>792</v>
          </cell>
        </row>
        <row r="6">
          <cell r="AL6">
            <v>37</v>
          </cell>
          <cell r="AM6">
            <v>78</v>
          </cell>
          <cell r="AN6">
            <v>52</v>
          </cell>
          <cell r="AO6">
            <v>28</v>
          </cell>
          <cell r="AP6">
            <v>47</v>
          </cell>
          <cell r="AQ6">
            <v>49</v>
          </cell>
          <cell r="AR6">
            <v>33</v>
          </cell>
          <cell r="AS6">
            <v>46</v>
          </cell>
          <cell r="AT6">
            <v>38</v>
          </cell>
          <cell r="AU6">
            <v>30</v>
          </cell>
          <cell r="AV6">
            <v>34</v>
          </cell>
          <cell r="AW6">
            <v>45</v>
          </cell>
          <cell r="AX6">
            <v>31</v>
          </cell>
          <cell r="AY6">
            <v>34</v>
          </cell>
          <cell r="AZ6">
            <v>41</v>
          </cell>
          <cell r="BA6">
            <v>43</v>
          </cell>
          <cell r="BB6">
            <v>34</v>
          </cell>
          <cell r="BC6">
            <v>28</v>
          </cell>
          <cell r="BD6">
            <v>26</v>
          </cell>
          <cell r="BE6">
            <v>26</v>
          </cell>
          <cell r="BF6">
            <v>41</v>
          </cell>
          <cell r="BG6">
            <v>31</v>
          </cell>
          <cell r="BH6">
            <v>30</v>
          </cell>
          <cell r="BI6">
            <v>39</v>
          </cell>
          <cell r="BJ6">
            <v>34</v>
          </cell>
          <cell r="BK6">
            <v>46</v>
          </cell>
          <cell r="BL6">
            <v>36</v>
          </cell>
          <cell r="BM6">
            <v>44</v>
          </cell>
          <cell r="BN6">
            <v>54</v>
          </cell>
          <cell r="BO6">
            <v>47</v>
          </cell>
          <cell r="BP6">
            <v>51</v>
          </cell>
          <cell r="BQ6">
            <v>49</v>
          </cell>
          <cell r="BR6">
            <v>55</v>
          </cell>
          <cell r="BS6">
            <v>48</v>
          </cell>
          <cell r="BT6">
            <v>45</v>
          </cell>
          <cell r="BU6">
            <v>48</v>
          </cell>
          <cell r="BV6">
            <v>20</v>
          </cell>
          <cell r="BW6">
            <v>34</v>
          </cell>
          <cell r="BX6">
            <v>32</v>
          </cell>
          <cell r="BY6">
            <v>37</v>
          </cell>
          <cell r="BZ6">
            <v>47</v>
          </cell>
          <cell r="CA6">
            <v>38</v>
          </cell>
          <cell r="CB6">
            <v>34</v>
          </cell>
          <cell r="CC6">
            <v>36</v>
          </cell>
          <cell r="CD6">
            <v>36</v>
          </cell>
          <cell r="CE6">
            <v>35</v>
          </cell>
          <cell r="CF6">
            <v>22</v>
          </cell>
          <cell r="CG6">
            <v>42</v>
          </cell>
          <cell r="CH6">
            <v>43</v>
          </cell>
          <cell r="CI6">
            <v>33</v>
          </cell>
          <cell r="CJ6">
            <v>61</v>
          </cell>
          <cell r="CK6">
            <v>82</v>
          </cell>
          <cell r="CL6">
            <v>45</v>
          </cell>
          <cell r="CM6">
            <v>51</v>
          </cell>
          <cell r="CN6">
            <v>47</v>
          </cell>
          <cell r="CO6">
            <v>54</v>
          </cell>
          <cell r="CP6">
            <v>41</v>
          </cell>
          <cell r="CQ6">
            <v>38</v>
          </cell>
          <cell r="CR6">
            <v>55</v>
          </cell>
          <cell r="CS6">
            <v>55</v>
          </cell>
          <cell r="CT6">
            <v>46</v>
          </cell>
          <cell r="CU6">
            <v>33</v>
          </cell>
          <cell r="CV6">
            <v>36</v>
          </cell>
          <cell r="CW6">
            <v>41</v>
          </cell>
          <cell r="CX6">
            <v>41</v>
          </cell>
          <cell r="CY6">
            <v>34</v>
          </cell>
          <cell r="CZ6">
            <v>43</v>
          </cell>
          <cell r="DA6">
            <v>35</v>
          </cell>
          <cell r="DB6">
            <v>54</v>
          </cell>
          <cell r="DC6">
            <v>46</v>
          </cell>
          <cell r="DD6">
            <v>39</v>
          </cell>
          <cell r="DE6">
            <v>46</v>
          </cell>
          <cell r="DF6">
            <v>30</v>
          </cell>
          <cell r="DG6">
            <v>50</v>
          </cell>
          <cell r="DH6">
            <v>40</v>
          </cell>
          <cell r="DI6">
            <v>33</v>
          </cell>
          <cell r="DJ6">
            <v>38</v>
          </cell>
          <cell r="DK6">
            <v>50</v>
          </cell>
          <cell r="DL6">
            <v>45</v>
          </cell>
          <cell r="DM6">
            <v>44</v>
          </cell>
          <cell r="DN6">
            <v>46</v>
          </cell>
          <cell r="DO6">
            <v>48</v>
          </cell>
          <cell r="DP6">
            <v>34</v>
          </cell>
          <cell r="DQ6">
            <v>45</v>
          </cell>
          <cell r="DR6">
            <v>45</v>
          </cell>
          <cell r="DS6">
            <v>39</v>
          </cell>
          <cell r="DT6">
            <v>38</v>
          </cell>
          <cell r="DU6">
            <v>47</v>
          </cell>
          <cell r="DV6">
            <v>44</v>
          </cell>
          <cell r="DW6">
            <v>41</v>
          </cell>
          <cell r="DX6">
            <v>53</v>
          </cell>
          <cell r="DY6">
            <v>45</v>
          </cell>
          <cell r="DZ6">
            <v>48</v>
          </cell>
          <cell r="EA6">
            <v>66</v>
          </cell>
          <cell r="EB6">
            <v>40</v>
          </cell>
          <cell r="EC6">
            <v>44</v>
          </cell>
        </row>
        <row r="7">
          <cell r="AL7">
            <v>66</v>
          </cell>
          <cell r="AM7">
            <v>99</v>
          </cell>
          <cell r="AN7">
            <v>92</v>
          </cell>
          <cell r="AO7">
            <v>83</v>
          </cell>
          <cell r="AP7">
            <v>71</v>
          </cell>
          <cell r="AQ7">
            <v>86</v>
          </cell>
          <cell r="AR7">
            <v>87</v>
          </cell>
          <cell r="AS7">
            <v>71</v>
          </cell>
          <cell r="AT7">
            <v>68</v>
          </cell>
          <cell r="AU7">
            <v>70</v>
          </cell>
          <cell r="AV7">
            <v>77</v>
          </cell>
          <cell r="AW7">
            <v>79</v>
          </cell>
          <cell r="AX7">
            <v>73</v>
          </cell>
          <cell r="AY7">
            <v>61</v>
          </cell>
          <cell r="AZ7">
            <v>83</v>
          </cell>
          <cell r="BA7">
            <v>88</v>
          </cell>
          <cell r="BB7">
            <v>61</v>
          </cell>
          <cell r="BC7">
            <v>74</v>
          </cell>
          <cell r="BD7">
            <v>82</v>
          </cell>
          <cell r="BE7">
            <v>70</v>
          </cell>
          <cell r="BF7">
            <v>79</v>
          </cell>
          <cell r="BG7">
            <v>89</v>
          </cell>
          <cell r="BH7">
            <v>65</v>
          </cell>
          <cell r="BI7">
            <v>65</v>
          </cell>
          <cell r="BJ7">
            <v>73</v>
          </cell>
          <cell r="BK7">
            <v>79</v>
          </cell>
          <cell r="BL7">
            <v>69</v>
          </cell>
          <cell r="BM7">
            <v>90</v>
          </cell>
          <cell r="BN7">
            <v>67</v>
          </cell>
          <cell r="BO7">
            <v>83</v>
          </cell>
          <cell r="BP7">
            <v>66</v>
          </cell>
          <cell r="BQ7">
            <v>79</v>
          </cell>
          <cell r="BR7">
            <v>75</v>
          </cell>
          <cell r="BS7">
            <v>87</v>
          </cell>
          <cell r="BT7">
            <v>96</v>
          </cell>
          <cell r="BU7">
            <v>82</v>
          </cell>
          <cell r="BV7">
            <v>54</v>
          </cell>
          <cell r="BW7">
            <v>67</v>
          </cell>
          <cell r="BX7">
            <v>84</v>
          </cell>
          <cell r="BY7">
            <v>80</v>
          </cell>
          <cell r="BZ7">
            <v>75</v>
          </cell>
          <cell r="CA7">
            <v>81</v>
          </cell>
          <cell r="CB7">
            <v>67</v>
          </cell>
          <cell r="CC7">
            <v>64</v>
          </cell>
          <cell r="CD7">
            <v>74</v>
          </cell>
          <cell r="CE7">
            <v>42</v>
          </cell>
          <cell r="CF7">
            <v>70</v>
          </cell>
          <cell r="CG7">
            <v>86</v>
          </cell>
          <cell r="CH7">
            <v>66</v>
          </cell>
          <cell r="CI7">
            <v>97</v>
          </cell>
          <cell r="CJ7">
            <v>109</v>
          </cell>
          <cell r="CK7">
            <v>86</v>
          </cell>
          <cell r="CL7">
            <v>63</v>
          </cell>
          <cell r="CM7">
            <v>84</v>
          </cell>
          <cell r="CN7">
            <v>91</v>
          </cell>
          <cell r="CO7">
            <v>93</v>
          </cell>
          <cell r="CP7">
            <v>67</v>
          </cell>
          <cell r="CQ7">
            <v>81</v>
          </cell>
          <cell r="CR7">
            <v>73</v>
          </cell>
          <cell r="CS7">
            <v>97</v>
          </cell>
          <cell r="CT7">
            <v>94</v>
          </cell>
          <cell r="CU7">
            <v>85</v>
          </cell>
          <cell r="CV7">
            <v>98</v>
          </cell>
          <cell r="CW7">
            <v>117</v>
          </cell>
          <cell r="CX7">
            <v>86</v>
          </cell>
          <cell r="CY7">
            <v>87</v>
          </cell>
          <cell r="CZ7">
            <v>100</v>
          </cell>
          <cell r="DA7">
            <v>101</v>
          </cell>
          <cell r="DB7">
            <v>61</v>
          </cell>
          <cell r="DC7">
            <v>95</v>
          </cell>
          <cell r="DD7">
            <v>84</v>
          </cell>
          <cell r="DE7">
            <v>112</v>
          </cell>
          <cell r="DF7">
            <v>68</v>
          </cell>
          <cell r="DG7">
            <v>84</v>
          </cell>
          <cell r="DH7">
            <v>112</v>
          </cell>
          <cell r="DI7">
            <v>88</v>
          </cell>
          <cell r="DJ7">
            <v>86</v>
          </cell>
          <cell r="DK7">
            <v>89</v>
          </cell>
          <cell r="DL7">
            <v>136</v>
          </cell>
          <cell r="DM7">
            <v>82</v>
          </cell>
          <cell r="DN7">
            <v>102</v>
          </cell>
          <cell r="DO7">
            <v>95</v>
          </cell>
          <cell r="DP7">
            <v>97</v>
          </cell>
          <cell r="DQ7">
            <v>87</v>
          </cell>
          <cell r="DR7">
            <v>107</v>
          </cell>
          <cell r="DS7">
            <v>147</v>
          </cell>
          <cell r="DT7">
            <v>117</v>
          </cell>
          <cell r="DU7">
            <v>94</v>
          </cell>
          <cell r="DV7">
            <v>90</v>
          </cell>
          <cell r="DW7">
            <v>82</v>
          </cell>
          <cell r="DX7">
            <v>127</v>
          </cell>
          <cell r="DY7">
            <v>102</v>
          </cell>
          <cell r="DZ7">
            <v>106</v>
          </cell>
          <cell r="EA7">
            <v>93</v>
          </cell>
          <cell r="EB7">
            <v>108</v>
          </cell>
          <cell r="EC7">
            <v>129</v>
          </cell>
        </row>
        <row r="8">
          <cell r="CH8">
            <v>3</v>
          </cell>
          <cell r="CI8">
            <v>3</v>
          </cell>
          <cell r="CJ8">
            <v>2</v>
          </cell>
          <cell r="CK8">
            <v>6</v>
          </cell>
          <cell r="CL8">
            <v>1</v>
          </cell>
          <cell r="CM8">
            <v>1</v>
          </cell>
          <cell r="CN8" t="str">
            <v>0</v>
          </cell>
          <cell r="CO8">
            <v>5</v>
          </cell>
          <cell r="CP8">
            <v>1</v>
          </cell>
          <cell r="CQ8">
            <v>4</v>
          </cell>
          <cell r="CR8">
            <v>1</v>
          </cell>
          <cell r="CS8">
            <v>4</v>
          </cell>
          <cell r="CT8">
            <v>1</v>
          </cell>
          <cell r="CU8">
            <v>6</v>
          </cell>
          <cell r="CV8">
            <v>4</v>
          </cell>
          <cell r="CX8">
            <v>3</v>
          </cell>
          <cell r="CZ8">
            <v>2</v>
          </cell>
          <cell r="DA8">
            <v>3</v>
          </cell>
          <cell r="DB8">
            <v>2</v>
          </cell>
          <cell r="DC8">
            <v>4</v>
          </cell>
          <cell r="DD8">
            <v>5</v>
          </cell>
          <cell r="DE8">
            <v>4</v>
          </cell>
          <cell r="DF8">
            <v>3</v>
          </cell>
          <cell r="DG8">
            <v>5</v>
          </cell>
          <cell r="DH8">
            <v>5</v>
          </cell>
          <cell r="DI8">
            <v>1</v>
          </cell>
          <cell r="DJ8">
            <v>3</v>
          </cell>
          <cell r="DK8">
            <v>2</v>
          </cell>
          <cell r="DL8">
            <v>10</v>
          </cell>
          <cell r="DM8">
            <v>5</v>
          </cell>
          <cell r="DN8">
            <v>4</v>
          </cell>
          <cell r="DO8">
            <v>2</v>
          </cell>
          <cell r="DP8">
            <v>1</v>
          </cell>
          <cell r="DQ8">
            <v>2</v>
          </cell>
          <cell r="DR8">
            <v>7</v>
          </cell>
          <cell r="DS8">
            <v>3</v>
          </cell>
          <cell r="DT8">
            <v>3</v>
          </cell>
          <cell r="DU8">
            <v>3</v>
          </cell>
          <cell r="DV8">
            <v>2</v>
          </cell>
          <cell r="DW8">
            <v>7</v>
          </cell>
          <cell r="DX8">
            <v>6</v>
          </cell>
          <cell r="DY8">
            <v>4</v>
          </cell>
          <cell r="DZ8">
            <v>12</v>
          </cell>
          <cell r="EA8">
            <v>13</v>
          </cell>
          <cell r="EB8">
            <v>15</v>
          </cell>
          <cell r="EC8">
            <v>18</v>
          </cell>
        </row>
        <row r="9">
          <cell r="CH9">
            <v>21</v>
          </cell>
          <cell r="CI9">
            <v>17</v>
          </cell>
          <cell r="CJ9">
            <v>34</v>
          </cell>
          <cell r="CK9">
            <v>33</v>
          </cell>
          <cell r="CL9">
            <v>33</v>
          </cell>
          <cell r="CM9">
            <v>20</v>
          </cell>
          <cell r="CN9">
            <v>27</v>
          </cell>
          <cell r="CO9">
            <v>33</v>
          </cell>
          <cell r="CP9">
            <v>22</v>
          </cell>
          <cell r="CQ9">
            <v>26</v>
          </cell>
          <cell r="CR9">
            <v>31</v>
          </cell>
          <cell r="CS9">
            <v>28</v>
          </cell>
          <cell r="CT9">
            <v>25</v>
          </cell>
          <cell r="CU9">
            <v>28</v>
          </cell>
          <cell r="CV9">
            <v>35</v>
          </cell>
          <cell r="CW9">
            <v>30</v>
          </cell>
          <cell r="CX9">
            <v>30</v>
          </cell>
          <cell r="CY9">
            <v>22</v>
          </cell>
          <cell r="CZ9">
            <v>23</v>
          </cell>
          <cell r="DA9">
            <v>25</v>
          </cell>
          <cell r="DB9">
            <v>26</v>
          </cell>
          <cell r="DC9">
            <v>26</v>
          </cell>
          <cell r="DD9">
            <v>36</v>
          </cell>
          <cell r="DE9">
            <v>24</v>
          </cell>
          <cell r="DF9">
            <v>24</v>
          </cell>
          <cell r="DG9">
            <v>31</v>
          </cell>
          <cell r="DH9">
            <v>27</v>
          </cell>
          <cell r="DI9">
            <v>43</v>
          </cell>
          <cell r="DJ9">
            <v>38</v>
          </cell>
          <cell r="DK9">
            <v>28</v>
          </cell>
          <cell r="DL9">
            <v>17</v>
          </cell>
          <cell r="DM9">
            <v>19</v>
          </cell>
          <cell r="DN9">
            <v>27</v>
          </cell>
          <cell r="DO9">
            <v>30</v>
          </cell>
          <cell r="DP9">
            <v>24</v>
          </cell>
          <cell r="DQ9">
            <v>38</v>
          </cell>
          <cell r="DR9">
            <v>30</v>
          </cell>
          <cell r="DS9">
            <v>30</v>
          </cell>
          <cell r="DT9">
            <v>42</v>
          </cell>
          <cell r="DU9">
            <v>34</v>
          </cell>
          <cell r="DV9">
            <v>34</v>
          </cell>
          <cell r="DW9">
            <v>36</v>
          </cell>
          <cell r="DX9">
            <v>20</v>
          </cell>
          <cell r="DY9">
            <v>22</v>
          </cell>
          <cell r="DZ9">
            <v>18</v>
          </cell>
          <cell r="EA9">
            <v>12</v>
          </cell>
          <cell r="EB9">
            <v>21</v>
          </cell>
          <cell r="EC9">
            <v>27</v>
          </cell>
        </row>
        <row r="10">
          <cell r="CH10">
            <v>80</v>
          </cell>
          <cell r="CI10">
            <v>108</v>
          </cell>
          <cell r="CJ10">
            <v>119</v>
          </cell>
          <cell r="CK10">
            <v>109</v>
          </cell>
          <cell r="CL10">
            <v>93</v>
          </cell>
          <cell r="CM10">
            <v>136</v>
          </cell>
          <cell r="CN10">
            <v>141</v>
          </cell>
          <cell r="CO10">
            <v>128</v>
          </cell>
          <cell r="CP10">
            <v>112</v>
          </cell>
          <cell r="CQ10">
            <v>112</v>
          </cell>
          <cell r="CR10">
            <v>120</v>
          </cell>
          <cell r="CS10">
            <v>143</v>
          </cell>
          <cell r="CT10">
            <v>141</v>
          </cell>
          <cell r="CU10">
            <v>102</v>
          </cell>
          <cell r="CV10">
            <v>120</v>
          </cell>
          <cell r="CW10">
            <v>117</v>
          </cell>
          <cell r="CX10">
            <v>120</v>
          </cell>
          <cell r="CY10">
            <v>119</v>
          </cell>
          <cell r="CZ10">
            <v>149</v>
          </cell>
          <cell r="DA10">
            <v>129</v>
          </cell>
          <cell r="DB10">
            <v>112</v>
          </cell>
          <cell r="DC10">
            <v>139</v>
          </cell>
          <cell r="DD10">
            <v>107</v>
          </cell>
          <cell r="DE10">
            <v>138</v>
          </cell>
          <cell r="DF10">
            <v>147</v>
          </cell>
          <cell r="DG10">
            <v>118</v>
          </cell>
          <cell r="DH10">
            <v>116</v>
          </cell>
          <cell r="DI10">
            <v>127</v>
          </cell>
          <cell r="DJ10">
            <v>99</v>
          </cell>
          <cell r="DK10">
            <v>116</v>
          </cell>
          <cell r="DL10">
            <v>132</v>
          </cell>
          <cell r="DM10">
            <v>127</v>
          </cell>
          <cell r="DN10">
            <v>111</v>
          </cell>
          <cell r="DO10">
            <v>124</v>
          </cell>
          <cell r="DP10">
            <v>120</v>
          </cell>
          <cell r="DQ10">
            <v>120</v>
          </cell>
          <cell r="DR10">
            <v>137</v>
          </cell>
          <cell r="DS10">
            <v>118</v>
          </cell>
          <cell r="DT10">
            <v>121</v>
          </cell>
          <cell r="DU10">
            <v>150</v>
          </cell>
          <cell r="DV10">
            <v>134</v>
          </cell>
          <cell r="DW10">
            <v>139</v>
          </cell>
          <cell r="DX10">
            <v>146</v>
          </cell>
          <cell r="DY10">
            <v>120</v>
          </cell>
          <cell r="DZ10">
            <v>145</v>
          </cell>
          <cell r="EA10">
            <v>136</v>
          </cell>
          <cell r="EB10">
            <v>113</v>
          </cell>
          <cell r="EC10">
            <v>133</v>
          </cell>
        </row>
        <row r="11">
          <cell r="CH11">
            <v>54</v>
          </cell>
          <cell r="CI11">
            <v>35</v>
          </cell>
          <cell r="CJ11">
            <v>42</v>
          </cell>
          <cell r="CK11">
            <v>50</v>
          </cell>
          <cell r="CL11">
            <v>52</v>
          </cell>
          <cell r="CM11">
            <v>35</v>
          </cell>
          <cell r="CN11">
            <v>37</v>
          </cell>
          <cell r="CO11">
            <v>63</v>
          </cell>
          <cell r="CP11">
            <v>53</v>
          </cell>
          <cell r="CQ11">
            <v>67</v>
          </cell>
          <cell r="CR11">
            <v>55</v>
          </cell>
          <cell r="CS11">
            <v>56</v>
          </cell>
          <cell r="CT11">
            <v>69</v>
          </cell>
          <cell r="CU11">
            <v>57</v>
          </cell>
          <cell r="CV11">
            <v>40</v>
          </cell>
          <cell r="CW11">
            <v>59</v>
          </cell>
          <cell r="CX11">
            <v>89</v>
          </cell>
          <cell r="CY11">
            <v>54</v>
          </cell>
          <cell r="CZ11">
            <v>68</v>
          </cell>
          <cell r="DA11">
            <v>70</v>
          </cell>
          <cell r="DB11">
            <v>71</v>
          </cell>
          <cell r="DC11">
            <v>95</v>
          </cell>
          <cell r="DD11">
            <v>79</v>
          </cell>
          <cell r="DE11">
            <v>62</v>
          </cell>
          <cell r="DF11">
            <v>58</v>
          </cell>
          <cell r="DG11">
            <v>51</v>
          </cell>
          <cell r="DH11">
            <v>51</v>
          </cell>
          <cell r="DI11">
            <v>58</v>
          </cell>
          <cell r="DJ11">
            <v>76</v>
          </cell>
          <cell r="DK11">
            <v>82</v>
          </cell>
          <cell r="DL11">
            <v>76</v>
          </cell>
          <cell r="DM11">
            <v>70</v>
          </cell>
          <cell r="DN11">
            <v>61</v>
          </cell>
          <cell r="DO11">
            <v>80</v>
          </cell>
          <cell r="DP11">
            <v>50</v>
          </cell>
          <cell r="DQ11">
            <v>67</v>
          </cell>
          <cell r="DR11">
            <v>39</v>
          </cell>
          <cell r="DS11">
            <v>87</v>
          </cell>
          <cell r="DT11">
            <v>56</v>
          </cell>
          <cell r="DU11">
            <v>69</v>
          </cell>
          <cell r="DV11">
            <v>81</v>
          </cell>
          <cell r="DW11">
            <v>60</v>
          </cell>
          <cell r="DX11">
            <v>46</v>
          </cell>
          <cell r="DY11">
            <v>58</v>
          </cell>
          <cell r="DZ11">
            <v>53</v>
          </cell>
          <cell r="EA11">
            <v>60</v>
          </cell>
          <cell r="EB11">
            <v>39</v>
          </cell>
          <cell r="EC11">
            <v>51</v>
          </cell>
        </row>
        <row r="12">
          <cell r="CH12">
            <v>206</v>
          </cell>
          <cell r="CI12">
            <v>236</v>
          </cell>
          <cell r="CJ12">
            <v>210</v>
          </cell>
          <cell r="CK12">
            <v>277</v>
          </cell>
          <cell r="CL12">
            <v>297</v>
          </cell>
          <cell r="CM12">
            <v>250</v>
          </cell>
          <cell r="CN12">
            <v>254</v>
          </cell>
          <cell r="CO12">
            <v>413</v>
          </cell>
          <cell r="CP12">
            <v>299</v>
          </cell>
          <cell r="CQ12">
            <v>314</v>
          </cell>
          <cell r="CR12">
            <v>279</v>
          </cell>
          <cell r="CS12">
            <v>386</v>
          </cell>
          <cell r="CT12">
            <v>384</v>
          </cell>
          <cell r="CU12">
            <v>369</v>
          </cell>
          <cell r="CV12">
            <v>371</v>
          </cell>
          <cell r="CW12">
            <v>402</v>
          </cell>
          <cell r="CX12">
            <v>399</v>
          </cell>
          <cell r="CY12">
            <v>437</v>
          </cell>
          <cell r="CZ12">
            <v>464</v>
          </cell>
          <cell r="DA12">
            <v>403</v>
          </cell>
          <cell r="DB12">
            <v>305</v>
          </cell>
          <cell r="DC12">
            <v>473</v>
          </cell>
          <cell r="DD12">
            <v>354</v>
          </cell>
          <cell r="DE12">
            <v>345</v>
          </cell>
          <cell r="DF12">
            <v>362</v>
          </cell>
          <cell r="DG12">
            <v>333</v>
          </cell>
          <cell r="DH12">
            <v>323</v>
          </cell>
          <cell r="DI12">
            <v>402</v>
          </cell>
          <cell r="DJ12">
            <v>324</v>
          </cell>
          <cell r="DK12">
            <v>323</v>
          </cell>
          <cell r="DL12">
            <v>318</v>
          </cell>
          <cell r="DM12">
            <v>339</v>
          </cell>
          <cell r="DN12">
            <v>343</v>
          </cell>
          <cell r="DO12">
            <v>335</v>
          </cell>
          <cell r="DP12">
            <v>292</v>
          </cell>
          <cell r="DQ12">
            <v>380</v>
          </cell>
          <cell r="DR12">
            <v>389</v>
          </cell>
          <cell r="DS12">
            <v>370</v>
          </cell>
          <cell r="DT12">
            <v>353</v>
          </cell>
          <cell r="DU12">
            <v>306</v>
          </cell>
          <cell r="DV12">
            <v>321</v>
          </cell>
          <cell r="DW12">
            <v>353</v>
          </cell>
          <cell r="DX12">
            <v>425</v>
          </cell>
          <cell r="DY12">
            <v>322</v>
          </cell>
          <cell r="DZ12">
            <v>295</v>
          </cell>
          <cell r="EA12">
            <v>320</v>
          </cell>
          <cell r="EB12">
            <v>233</v>
          </cell>
          <cell r="EC12">
            <v>278</v>
          </cell>
        </row>
        <row r="13">
          <cell r="CH13">
            <v>134</v>
          </cell>
          <cell r="CI13">
            <v>178</v>
          </cell>
          <cell r="CJ13">
            <v>161</v>
          </cell>
          <cell r="CK13">
            <v>182</v>
          </cell>
          <cell r="CL13">
            <v>188</v>
          </cell>
          <cell r="CM13">
            <v>177</v>
          </cell>
          <cell r="CN13">
            <v>192</v>
          </cell>
          <cell r="CO13">
            <v>208</v>
          </cell>
          <cell r="CP13">
            <v>175</v>
          </cell>
          <cell r="CQ13">
            <v>155</v>
          </cell>
          <cell r="CR13">
            <v>175</v>
          </cell>
          <cell r="CS13">
            <v>199</v>
          </cell>
          <cell r="CT13">
            <v>180</v>
          </cell>
          <cell r="CU13">
            <v>190</v>
          </cell>
          <cell r="CV13">
            <v>164</v>
          </cell>
          <cell r="CW13">
            <v>147</v>
          </cell>
          <cell r="CX13">
            <v>258</v>
          </cell>
          <cell r="CY13">
            <v>177</v>
          </cell>
          <cell r="CZ13">
            <v>224</v>
          </cell>
          <cell r="DA13">
            <v>194</v>
          </cell>
          <cell r="DB13">
            <v>192</v>
          </cell>
          <cell r="DC13">
            <v>218</v>
          </cell>
          <cell r="DD13">
            <v>278</v>
          </cell>
          <cell r="DE13">
            <v>249</v>
          </cell>
          <cell r="DF13">
            <v>211</v>
          </cell>
          <cell r="DG13">
            <v>217</v>
          </cell>
          <cell r="DH13">
            <v>224</v>
          </cell>
          <cell r="DI13">
            <v>230</v>
          </cell>
          <cell r="DJ13">
            <v>193</v>
          </cell>
          <cell r="DK13">
            <v>242</v>
          </cell>
          <cell r="DL13">
            <v>251</v>
          </cell>
          <cell r="DM13">
            <v>267</v>
          </cell>
          <cell r="DN13">
            <v>229</v>
          </cell>
          <cell r="DO13">
            <v>292</v>
          </cell>
          <cell r="DP13">
            <v>291</v>
          </cell>
          <cell r="DQ13">
            <v>326</v>
          </cell>
          <cell r="DR13">
            <v>345</v>
          </cell>
          <cell r="DS13">
            <v>303</v>
          </cell>
          <cell r="DT13">
            <v>257</v>
          </cell>
          <cell r="DU13">
            <v>304</v>
          </cell>
          <cell r="DV13">
            <v>322</v>
          </cell>
          <cell r="DW13">
            <v>318</v>
          </cell>
          <cell r="DX13">
            <v>359</v>
          </cell>
          <cell r="DY13">
            <v>251</v>
          </cell>
          <cell r="DZ13">
            <v>217</v>
          </cell>
          <cell r="EA13">
            <v>240</v>
          </cell>
          <cell r="EB13">
            <v>266</v>
          </cell>
          <cell r="EC13">
            <v>340</v>
          </cell>
        </row>
        <row r="14">
          <cell r="CH14">
            <v>312</v>
          </cell>
          <cell r="CI14">
            <v>356</v>
          </cell>
          <cell r="CJ14">
            <v>331</v>
          </cell>
          <cell r="CK14">
            <v>311</v>
          </cell>
          <cell r="CL14">
            <v>328</v>
          </cell>
          <cell r="CM14">
            <v>339</v>
          </cell>
          <cell r="CN14">
            <v>388</v>
          </cell>
          <cell r="CO14">
            <v>336</v>
          </cell>
          <cell r="CP14">
            <v>322</v>
          </cell>
          <cell r="CQ14">
            <v>324</v>
          </cell>
          <cell r="CR14">
            <v>241</v>
          </cell>
          <cell r="CS14">
            <v>353</v>
          </cell>
          <cell r="CT14">
            <v>375</v>
          </cell>
          <cell r="CU14">
            <v>330</v>
          </cell>
          <cell r="CV14">
            <v>337</v>
          </cell>
          <cell r="CW14">
            <v>388</v>
          </cell>
          <cell r="CX14">
            <v>389</v>
          </cell>
          <cell r="CY14">
            <v>317</v>
          </cell>
          <cell r="CZ14">
            <v>329</v>
          </cell>
          <cell r="DA14">
            <v>300</v>
          </cell>
          <cell r="DB14">
            <v>318</v>
          </cell>
          <cell r="DC14">
            <v>285</v>
          </cell>
          <cell r="DD14">
            <v>276</v>
          </cell>
          <cell r="DE14">
            <v>319</v>
          </cell>
          <cell r="DF14">
            <v>310</v>
          </cell>
          <cell r="DG14">
            <v>317</v>
          </cell>
          <cell r="DH14">
            <v>347</v>
          </cell>
          <cell r="DI14">
            <v>364</v>
          </cell>
          <cell r="DJ14">
            <v>298</v>
          </cell>
          <cell r="DK14">
            <v>311</v>
          </cell>
          <cell r="DL14">
            <v>280</v>
          </cell>
          <cell r="DM14">
            <v>224</v>
          </cell>
          <cell r="DN14">
            <v>268</v>
          </cell>
          <cell r="DO14">
            <v>240</v>
          </cell>
          <cell r="DP14">
            <v>222</v>
          </cell>
          <cell r="DQ14">
            <v>248</v>
          </cell>
          <cell r="DR14">
            <v>267</v>
          </cell>
          <cell r="DS14">
            <v>288</v>
          </cell>
          <cell r="DT14">
            <v>276</v>
          </cell>
          <cell r="DU14">
            <v>339</v>
          </cell>
          <cell r="DV14">
            <v>291</v>
          </cell>
          <cell r="DW14">
            <v>279</v>
          </cell>
          <cell r="DX14">
            <v>305</v>
          </cell>
          <cell r="DY14">
            <v>265</v>
          </cell>
          <cell r="DZ14">
            <v>271</v>
          </cell>
          <cell r="EA14">
            <v>234</v>
          </cell>
          <cell r="EB14">
            <v>216</v>
          </cell>
          <cell r="EC14">
            <v>267</v>
          </cell>
        </row>
        <row r="15">
          <cell r="CH15">
            <v>24</v>
          </cell>
          <cell r="CI15">
            <v>20</v>
          </cell>
          <cell r="CJ15">
            <v>36</v>
          </cell>
          <cell r="CK15">
            <v>39</v>
          </cell>
          <cell r="CL15">
            <v>34</v>
          </cell>
          <cell r="CM15">
            <v>21</v>
          </cell>
          <cell r="CN15">
            <v>27</v>
          </cell>
          <cell r="CO15">
            <v>38</v>
          </cell>
          <cell r="CP15">
            <v>23</v>
          </cell>
          <cell r="CQ15">
            <v>30</v>
          </cell>
          <cell r="CR15">
            <v>32</v>
          </cell>
          <cell r="CS15">
            <v>32</v>
          </cell>
          <cell r="CT15">
            <v>26</v>
          </cell>
          <cell r="CU15">
            <v>34</v>
          </cell>
          <cell r="CV15">
            <v>39</v>
          </cell>
          <cell r="CW15">
            <v>30</v>
          </cell>
          <cell r="CX15">
            <v>33</v>
          </cell>
          <cell r="CY15">
            <v>22</v>
          </cell>
          <cell r="CZ15">
            <v>25</v>
          </cell>
          <cell r="DA15">
            <v>28</v>
          </cell>
          <cell r="DB15">
            <v>28</v>
          </cell>
          <cell r="DC15">
            <v>30</v>
          </cell>
          <cell r="DD15">
            <v>41</v>
          </cell>
          <cell r="DE15">
            <v>28</v>
          </cell>
          <cell r="DF15">
            <v>27</v>
          </cell>
          <cell r="DG15">
            <v>36</v>
          </cell>
          <cell r="DH15">
            <v>32</v>
          </cell>
          <cell r="DI15">
            <v>44</v>
          </cell>
          <cell r="DJ15">
            <v>41</v>
          </cell>
          <cell r="DK15">
            <v>30</v>
          </cell>
          <cell r="DL15">
            <v>27</v>
          </cell>
          <cell r="DM15">
            <v>24</v>
          </cell>
          <cell r="DN15">
            <v>31</v>
          </cell>
          <cell r="DO15">
            <v>32</v>
          </cell>
          <cell r="DP15">
            <v>25</v>
          </cell>
          <cell r="DQ15">
            <v>40</v>
          </cell>
          <cell r="DR15">
            <v>37</v>
          </cell>
          <cell r="DS15">
            <v>33</v>
          </cell>
          <cell r="DT15">
            <v>45</v>
          </cell>
          <cell r="DU15">
            <v>37</v>
          </cell>
          <cell r="DV15">
            <v>36</v>
          </cell>
          <cell r="DW15">
            <v>43</v>
          </cell>
          <cell r="DX15">
            <v>26</v>
          </cell>
          <cell r="DY15">
            <v>26</v>
          </cell>
          <cell r="DZ15">
            <v>30</v>
          </cell>
          <cell r="EA15">
            <v>25</v>
          </cell>
          <cell r="EB15">
            <v>36</v>
          </cell>
          <cell r="EC15">
            <v>45</v>
          </cell>
        </row>
        <row r="16">
          <cell r="CH16">
            <v>1353</v>
          </cell>
          <cell r="CI16">
            <v>1514</v>
          </cell>
          <cell r="CJ16">
            <v>1597</v>
          </cell>
          <cell r="CK16">
            <v>1682</v>
          </cell>
          <cell r="CL16">
            <v>1504</v>
          </cell>
          <cell r="CM16">
            <v>1570</v>
          </cell>
          <cell r="CN16">
            <v>1566</v>
          </cell>
          <cell r="CO16">
            <v>1473</v>
          </cell>
          <cell r="CP16">
            <v>1381</v>
          </cell>
          <cell r="CQ16">
            <v>1345</v>
          </cell>
          <cell r="CR16">
            <v>1308</v>
          </cell>
          <cell r="CS16">
            <v>1554</v>
          </cell>
          <cell r="CT16">
            <v>1420</v>
          </cell>
          <cell r="CU16">
            <v>1507</v>
          </cell>
          <cell r="CV16">
            <v>1511</v>
          </cell>
          <cell r="CW16">
            <v>1632</v>
          </cell>
          <cell r="CX16">
            <v>1435</v>
          </cell>
          <cell r="CY16">
            <v>1374</v>
          </cell>
          <cell r="CZ16">
            <v>1408</v>
          </cell>
          <cell r="DA16">
            <v>1388</v>
          </cell>
          <cell r="DB16">
            <v>1249</v>
          </cell>
          <cell r="DC16">
            <v>1273</v>
          </cell>
          <cell r="DD16">
            <v>1327</v>
          </cell>
          <cell r="DE16">
            <v>1511</v>
          </cell>
          <cell r="DF16">
            <v>1335</v>
          </cell>
          <cell r="DG16">
            <v>1378</v>
          </cell>
          <cell r="DH16">
            <v>1522</v>
          </cell>
          <cell r="DI16">
            <v>1393</v>
          </cell>
          <cell r="DJ16">
            <v>1329</v>
          </cell>
          <cell r="DK16">
            <v>1386</v>
          </cell>
          <cell r="DL16">
            <v>1479</v>
          </cell>
          <cell r="DM16">
            <v>1343</v>
          </cell>
          <cell r="DN16">
            <v>1389</v>
          </cell>
          <cell r="DO16">
            <v>1341</v>
          </cell>
          <cell r="DP16">
            <v>1313</v>
          </cell>
          <cell r="DQ16">
            <v>1301</v>
          </cell>
          <cell r="DR16">
            <v>1361</v>
          </cell>
          <cell r="DS16">
            <v>1434</v>
          </cell>
          <cell r="DT16">
            <v>1407</v>
          </cell>
          <cell r="DU16">
            <v>1522</v>
          </cell>
          <cell r="DV16">
            <v>1302</v>
          </cell>
          <cell r="DW16">
            <v>1245</v>
          </cell>
          <cell r="DX16">
            <v>1340</v>
          </cell>
          <cell r="DY16">
            <v>1235</v>
          </cell>
          <cell r="DZ16">
            <v>1381</v>
          </cell>
          <cell r="EA16">
            <v>1313</v>
          </cell>
          <cell r="EB16">
            <v>1244</v>
          </cell>
          <cell r="EC16">
            <v>1383</v>
          </cell>
        </row>
        <row r="18">
          <cell r="CH18">
            <v>39</v>
          </cell>
          <cell r="CI18">
            <v>33</v>
          </cell>
          <cell r="CJ18">
            <v>54</v>
          </cell>
          <cell r="CK18">
            <v>54</v>
          </cell>
          <cell r="CL18">
            <v>51</v>
          </cell>
          <cell r="CM18">
            <v>54</v>
          </cell>
          <cell r="CN18">
            <v>45</v>
          </cell>
          <cell r="CO18">
            <v>39</v>
          </cell>
          <cell r="CP18">
            <v>54</v>
          </cell>
          <cell r="CQ18">
            <v>47</v>
          </cell>
          <cell r="CR18">
            <v>43</v>
          </cell>
          <cell r="CS18">
            <v>31</v>
          </cell>
          <cell r="CT18">
            <v>42</v>
          </cell>
          <cell r="CU18">
            <v>54</v>
          </cell>
          <cell r="CV18">
            <v>42</v>
          </cell>
          <cell r="CW18">
            <v>56</v>
          </cell>
          <cell r="CX18">
            <v>46</v>
          </cell>
          <cell r="CY18">
            <v>34</v>
          </cell>
          <cell r="CZ18">
            <v>47</v>
          </cell>
          <cell r="DA18">
            <v>23</v>
          </cell>
          <cell r="DB18">
            <v>45</v>
          </cell>
          <cell r="DC18">
            <v>27</v>
          </cell>
          <cell r="DD18">
            <v>34</v>
          </cell>
          <cell r="DE18">
            <v>39</v>
          </cell>
          <cell r="DF18">
            <v>30</v>
          </cell>
          <cell r="DG18">
            <v>56</v>
          </cell>
          <cell r="DH18">
            <v>46</v>
          </cell>
          <cell r="DI18">
            <v>53</v>
          </cell>
          <cell r="DJ18">
            <v>42</v>
          </cell>
          <cell r="DK18">
            <v>39</v>
          </cell>
          <cell r="DL18">
            <v>38</v>
          </cell>
          <cell r="DM18">
            <v>50</v>
          </cell>
          <cell r="DN18">
            <v>58</v>
          </cell>
          <cell r="DO18">
            <v>35</v>
          </cell>
          <cell r="DP18">
            <v>26</v>
          </cell>
          <cell r="DQ18">
            <v>50</v>
          </cell>
          <cell r="DR18">
            <v>42</v>
          </cell>
          <cell r="DS18">
            <v>48</v>
          </cell>
          <cell r="DT18">
            <v>38</v>
          </cell>
          <cell r="DU18">
            <v>31</v>
          </cell>
          <cell r="DV18">
            <v>25</v>
          </cell>
          <cell r="DW18">
            <v>15</v>
          </cell>
          <cell r="DX18">
            <v>38</v>
          </cell>
          <cell r="DY18">
            <v>36</v>
          </cell>
          <cell r="DZ18">
            <v>27</v>
          </cell>
          <cell r="EA18">
            <v>31</v>
          </cell>
          <cell r="EB18">
            <v>29</v>
          </cell>
          <cell r="EC18">
            <v>15</v>
          </cell>
        </row>
        <row r="19">
          <cell r="CH19">
            <v>47</v>
          </cell>
          <cell r="CI19">
            <v>56</v>
          </cell>
          <cell r="CJ19">
            <v>75</v>
          </cell>
          <cell r="CK19">
            <v>73</v>
          </cell>
          <cell r="CL19">
            <v>57</v>
          </cell>
          <cell r="CM19">
            <v>51</v>
          </cell>
          <cell r="CN19">
            <v>63</v>
          </cell>
          <cell r="CO19">
            <v>65</v>
          </cell>
          <cell r="CP19">
            <v>73</v>
          </cell>
          <cell r="CQ19">
            <v>57</v>
          </cell>
          <cell r="CR19">
            <v>54</v>
          </cell>
          <cell r="CS19">
            <v>66</v>
          </cell>
          <cell r="CT19">
            <v>61</v>
          </cell>
          <cell r="CU19">
            <v>63</v>
          </cell>
          <cell r="CV19">
            <v>61</v>
          </cell>
          <cell r="CW19">
            <v>82</v>
          </cell>
          <cell r="CX19">
            <v>38</v>
          </cell>
          <cell r="CY19">
            <v>50</v>
          </cell>
          <cell r="CZ19">
            <v>57</v>
          </cell>
          <cell r="DA19">
            <v>39</v>
          </cell>
          <cell r="DB19">
            <v>52</v>
          </cell>
          <cell r="DC19">
            <v>50</v>
          </cell>
          <cell r="DD19">
            <v>44</v>
          </cell>
          <cell r="DE19">
            <v>59</v>
          </cell>
          <cell r="DF19">
            <v>50</v>
          </cell>
          <cell r="DG19">
            <v>47</v>
          </cell>
          <cell r="DH19">
            <v>61</v>
          </cell>
          <cell r="DI19">
            <v>50</v>
          </cell>
          <cell r="DJ19">
            <v>43</v>
          </cell>
          <cell r="DK19">
            <v>47</v>
          </cell>
          <cell r="DL19">
            <v>42</v>
          </cell>
          <cell r="DM19">
            <v>44</v>
          </cell>
          <cell r="DN19">
            <v>58</v>
          </cell>
          <cell r="DO19">
            <v>49</v>
          </cell>
          <cell r="DP19">
            <v>28</v>
          </cell>
          <cell r="DQ19">
            <v>44</v>
          </cell>
          <cell r="DR19">
            <v>36</v>
          </cell>
          <cell r="DS19">
            <v>63</v>
          </cell>
          <cell r="DT19">
            <v>47</v>
          </cell>
          <cell r="DU19">
            <v>52</v>
          </cell>
          <cell r="DV19">
            <v>28</v>
          </cell>
          <cell r="DW19">
            <v>34</v>
          </cell>
          <cell r="DX19">
            <v>35</v>
          </cell>
          <cell r="DY19">
            <v>35</v>
          </cell>
          <cell r="DZ19">
            <v>36</v>
          </cell>
          <cell r="EA19">
            <v>39</v>
          </cell>
          <cell r="EB19">
            <v>31</v>
          </cell>
          <cell r="EC19">
            <v>38</v>
          </cell>
        </row>
        <row r="20">
          <cell r="CH20">
            <v>3</v>
          </cell>
          <cell r="CJ20">
            <v>3</v>
          </cell>
          <cell r="CK20">
            <v>3</v>
          </cell>
          <cell r="CL20">
            <v>1</v>
          </cell>
          <cell r="CM20">
            <v>4</v>
          </cell>
          <cell r="CN20">
            <v>3</v>
          </cell>
          <cell r="CO20">
            <v>6</v>
          </cell>
          <cell r="CP20">
            <v>6</v>
          </cell>
          <cell r="CQ20">
            <v>1</v>
          </cell>
          <cell r="CR20">
            <v>2</v>
          </cell>
          <cell r="CT20">
            <v>3</v>
          </cell>
          <cell r="CU20">
            <v>5</v>
          </cell>
          <cell r="CV20">
            <v>1</v>
          </cell>
          <cell r="CW20">
            <v>3</v>
          </cell>
          <cell r="CX20">
            <v>3</v>
          </cell>
          <cell r="CY20">
            <v>0</v>
          </cell>
          <cell r="CZ20">
            <v>3</v>
          </cell>
          <cell r="DA20">
            <v>3</v>
          </cell>
          <cell r="DB20">
            <v>4</v>
          </cell>
          <cell r="DC20">
            <v>2</v>
          </cell>
          <cell r="DD20">
            <v>1</v>
          </cell>
          <cell r="DE20">
            <v>3</v>
          </cell>
          <cell r="DF20">
            <v>1</v>
          </cell>
          <cell r="DG20">
            <v>4</v>
          </cell>
          <cell r="DH20">
            <v>3</v>
          </cell>
          <cell r="DI20">
            <v>6</v>
          </cell>
          <cell r="DJ20">
            <v>4</v>
          </cell>
          <cell r="DK20">
            <v>2</v>
          </cell>
          <cell r="DL20">
            <v>2</v>
          </cell>
          <cell r="DM20">
            <v>1</v>
          </cell>
          <cell r="DN20">
            <v>5</v>
          </cell>
          <cell r="DO20">
            <v>2</v>
          </cell>
          <cell r="DP20">
            <v>1</v>
          </cell>
          <cell r="DQ20">
            <v>2</v>
          </cell>
          <cell r="DR20">
            <v>5</v>
          </cell>
          <cell r="DS20">
            <v>7</v>
          </cell>
          <cell r="DT20">
            <v>6</v>
          </cell>
          <cell r="DU20">
            <v>4</v>
          </cell>
          <cell r="DV20">
            <v>2</v>
          </cell>
          <cell r="DW20">
            <v>0</v>
          </cell>
          <cell r="DX20">
            <v>1</v>
          </cell>
          <cell r="DY20">
            <v>1</v>
          </cell>
          <cell r="DZ20">
            <v>2</v>
          </cell>
          <cell r="EA20">
            <v>1</v>
          </cell>
          <cell r="EB20">
            <v>1</v>
          </cell>
          <cell r="EC20">
            <v>0</v>
          </cell>
        </row>
        <row r="21">
          <cell r="CH21">
            <v>6</v>
          </cell>
          <cell r="CI21">
            <v>3</v>
          </cell>
          <cell r="CJ21">
            <v>4</v>
          </cell>
          <cell r="CK21">
            <v>3</v>
          </cell>
          <cell r="CL21">
            <v>1</v>
          </cell>
          <cell r="CM21">
            <v>1</v>
          </cell>
          <cell r="CN21">
            <v>9</v>
          </cell>
          <cell r="CP21">
            <v>1</v>
          </cell>
          <cell r="CQ21">
            <v>1</v>
          </cell>
          <cell r="CR21">
            <v>1</v>
          </cell>
          <cell r="CS21">
            <v>2</v>
          </cell>
          <cell r="CT21">
            <v>2</v>
          </cell>
          <cell r="CU21">
            <v>4</v>
          </cell>
          <cell r="CV21">
            <v>10</v>
          </cell>
          <cell r="CW21">
            <v>1</v>
          </cell>
          <cell r="CX21">
            <v>3</v>
          </cell>
          <cell r="CY21">
            <v>4</v>
          </cell>
          <cell r="CZ21">
            <v>1</v>
          </cell>
          <cell r="DA21">
            <v>3</v>
          </cell>
          <cell r="DB21">
            <v>2</v>
          </cell>
          <cell r="DC21">
            <v>11</v>
          </cell>
          <cell r="DD21">
            <v>4</v>
          </cell>
          <cell r="DE21">
            <v>4</v>
          </cell>
          <cell r="DF21">
            <v>4</v>
          </cell>
          <cell r="DG21">
            <v>2</v>
          </cell>
          <cell r="DH21">
            <v>5</v>
          </cell>
          <cell r="DI21">
            <v>4</v>
          </cell>
          <cell r="DJ21">
            <v>3</v>
          </cell>
          <cell r="DK21">
            <v>7</v>
          </cell>
          <cell r="DL21">
            <v>8</v>
          </cell>
          <cell r="DM21">
            <v>3</v>
          </cell>
          <cell r="DN21">
            <v>3</v>
          </cell>
          <cell r="DO21">
            <v>5</v>
          </cell>
          <cell r="DP21">
            <v>0</v>
          </cell>
          <cell r="DQ21">
            <v>2</v>
          </cell>
          <cell r="DR21">
            <v>3</v>
          </cell>
          <cell r="DS21">
            <v>4</v>
          </cell>
          <cell r="DT21">
            <v>2</v>
          </cell>
          <cell r="DU21">
            <v>7</v>
          </cell>
          <cell r="DV21">
            <v>2</v>
          </cell>
          <cell r="DW21">
            <v>4</v>
          </cell>
          <cell r="DX21">
            <v>1</v>
          </cell>
          <cell r="DY21">
            <v>3</v>
          </cell>
          <cell r="DZ21">
            <v>4</v>
          </cell>
          <cell r="EA21">
            <v>3</v>
          </cell>
          <cell r="EB21">
            <v>2</v>
          </cell>
          <cell r="EC21">
            <v>2</v>
          </cell>
        </row>
        <row r="22">
          <cell r="CH22">
            <v>136</v>
          </cell>
          <cell r="CI22">
            <v>124</v>
          </cell>
          <cell r="CJ22">
            <v>123</v>
          </cell>
          <cell r="CK22">
            <v>148</v>
          </cell>
          <cell r="CL22">
            <v>126</v>
          </cell>
          <cell r="CM22">
            <v>144</v>
          </cell>
          <cell r="CN22">
            <v>137</v>
          </cell>
          <cell r="CO22">
            <v>109</v>
          </cell>
          <cell r="CP22">
            <v>116</v>
          </cell>
          <cell r="CQ22">
            <v>112</v>
          </cell>
          <cell r="CR22">
            <v>102</v>
          </cell>
          <cell r="CS22">
            <v>122</v>
          </cell>
          <cell r="CT22">
            <v>155</v>
          </cell>
          <cell r="CU22">
            <v>149</v>
          </cell>
          <cell r="CV22">
            <v>126</v>
          </cell>
          <cell r="CW22">
            <v>153</v>
          </cell>
          <cell r="CX22">
            <v>159</v>
          </cell>
          <cell r="CY22">
            <v>125</v>
          </cell>
          <cell r="CZ22">
            <v>130</v>
          </cell>
          <cell r="DA22">
            <v>120</v>
          </cell>
          <cell r="DB22">
            <v>146</v>
          </cell>
          <cell r="DC22">
            <v>127</v>
          </cell>
          <cell r="DD22">
            <v>123</v>
          </cell>
          <cell r="DE22">
            <v>135</v>
          </cell>
          <cell r="DF22">
            <v>142</v>
          </cell>
          <cell r="DG22">
            <v>136</v>
          </cell>
          <cell r="DH22">
            <v>163</v>
          </cell>
          <cell r="DI22">
            <v>154</v>
          </cell>
          <cell r="DJ22">
            <v>154</v>
          </cell>
          <cell r="DK22">
            <v>129</v>
          </cell>
          <cell r="DL22">
            <v>118</v>
          </cell>
          <cell r="DM22">
            <v>137</v>
          </cell>
          <cell r="DN22">
            <v>143</v>
          </cell>
          <cell r="DO22">
            <v>134</v>
          </cell>
          <cell r="DP22">
            <v>111</v>
          </cell>
          <cell r="DQ22">
            <v>120</v>
          </cell>
          <cell r="DR22">
            <v>133</v>
          </cell>
          <cell r="DS22">
            <v>142</v>
          </cell>
          <cell r="DT22">
            <v>143</v>
          </cell>
          <cell r="DU22">
            <v>154</v>
          </cell>
          <cell r="DV22">
            <v>145</v>
          </cell>
          <cell r="DW22">
            <v>100</v>
          </cell>
          <cell r="DX22">
            <v>108</v>
          </cell>
          <cell r="DY22">
            <v>119</v>
          </cell>
          <cell r="DZ22">
            <v>139</v>
          </cell>
          <cell r="EA22">
            <v>127</v>
          </cell>
          <cell r="EB22">
            <v>134</v>
          </cell>
          <cell r="EC22">
            <v>128</v>
          </cell>
        </row>
        <row r="23">
          <cell r="CH23">
            <v>350</v>
          </cell>
          <cell r="CI23">
            <v>430</v>
          </cell>
          <cell r="CJ23">
            <v>394</v>
          </cell>
          <cell r="CK23">
            <v>376</v>
          </cell>
          <cell r="CL23">
            <v>374</v>
          </cell>
          <cell r="CM23">
            <v>388</v>
          </cell>
          <cell r="CN23">
            <v>396</v>
          </cell>
          <cell r="CO23">
            <v>358</v>
          </cell>
          <cell r="CP23">
            <v>347</v>
          </cell>
          <cell r="CQ23">
            <v>356</v>
          </cell>
          <cell r="CR23">
            <v>322</v>
          </cell>
          <cell r="CS23">
            <v>379</v>
          </cell>
          <cell r="CT23">
            <v>322</v>
          </cell>
          <cell r="CU23">
            <v>361</v>
          </cell>
          <cell r="CV23">
            <v>351</v>
          </cell>
          <cell r="CW23">
            <v>375</v>
          </cell>
          <cell r="CX23">
            <v>311</v>
          </cell>
          <cell r="CY23">
            <v>342</v>
          </cell>
          <cell r="CZ23">
            <v>297</v>
          </cell>
          <cell r="DA23">
            <v>331</v>
          </cell>
          <cell r="DB23">
            <v>318</v>
          </cell>
          <cell r="DC23">
            <v>263</v>
          </cell>
          <cell r="DD23">
            <v>337</v>
          </cell>
          <cell r="DE23">
            <v>352</v>
          </cell>
          <cell r="DF23">
            <v>306</v>
          </cell>
          <cell r="DG23">
            <v>315</v>
          </cell>
          <cell r="DH23">
            <v>266</v>
          </cell>
          <cell r="DI23">
            <v>330</v>
          </cell>
          <cell r="DJ23">
            <v>290</v>
          </cell>
          <cell r="DK23">
            <v>292</v>
          </cell>
          <cell r="DL23">
            <v>314</v>
          </cell>
          <cell r="DM23">
            <v>302</v>
          </cell>
          <cell r="DN23">
            <v>300</v>
          </cell>
          <cell r="DO23">
            <v>308</v>
          </cell>
          <cell r="DP23">
            <v>267</v>
          </cell>
          <cell r="DQ23">
            <v>300</v>
          </cell>
          <cell r="DR23">
            <v>313</v>
          </cell>
          <cell r="DS23">
            <v>280</v>
          </cell>
          <cell r="DT23">
            <v>289</v>
          </cell>
          <cell r="DU23">
            <v>320</v>
          </cell>
          <cell r="DV23">
            <v>318</v>
          </cell>
          <cell r="DW23">
            <v>279</v>
          </cell>
          <cell r="DX23">
            <v>269</v>
          </cell>
          <cell r="DY23">
            <v>268</v>
          </cell>
          <cell r="DZ23">
            <v>325</v>
          </cell>
          <cell r="EA23">
            <v>293</v>
          </cell>
          <cell r="EB23">
            <v>311</v>
          </cell>
          <cell r="EC23">
            <v>306</v>
          </cell>
        </row>
        <row r="25">
          <cell r="CH25">
            <v>15</v>
          </cell>
          <cell r="CI25">
            <v>22</v>
          </cell>
          <cell r="CJ25">
            <v>44</v>
          </cell>
          <cell r="CK25">
            <v>34</v>
          </cell>
          <cell r="CL25">
            <v>29</v>
          </cell>
          <cell r="CM25">
            <v>24</v>
          </cell>
          <cell r="CN25">
            <v>26</v>
          </cell>
          <cell r="CO25">
            <v>23</v>
          </cell>
          <cell r="CP25">
            <v>21</v>
          </cell>
          <cell r="CQ25">
            <v>23</v>
          </cell>
          <cell r="CR25">
            <v>31</v>
          </cell>
          <cell r="CS25">
            <v>19</v>
          </cell>
          <cell r="CT25">
            <v>25</v>
          </cell>
          <cell r="CU25">
            <v>29</v>
          </cell>
          <cell r="CV25">
            <v>35</v>
          </cell>
          <cell r="CW25">
            <v>24</v>
          </cell>
          <cell r="CX25">
            <v>28</v>
          </cell>
          <cell r="CY25">
            <v>21</v>
          </cell>
          <cell r="CZ25">
            <v>23</v>
          </cell>
          <cell r="DA25">
            <v>20</v>
          </cell>
          <cell r="DB25">
            <v>19</v>
          </cell>
          <cell r="DC25">
            <v>36</v>
          </cell>
          <cell r="DD25">
            <v>17</v>
          </cell>
          <cell r="DE25">
            <v>28</v>
          </cell>
          <cell r="DF25">
            <v>28</v>
          </cell>
          <cell r="DG25">
            <v>32</v>
          </cell>
          <cell r="DH25">
            <v>28</v>
          </cell>
          <cell r="DI25">
            <v>31</v>
          </cell>
          <cell r="DJ25">
            <v>28</v>
          </cell>
          <cell r="DK25">
            <v>36</v>
          </cell>
          <cell r="DL25">
            <v>19</v>
          </cell>
          <cell r="DM25">
            <v>13</v>
          </cell>
          <cell r="DN25">
            <v>25</v>
          </cell>
          <cell r="DO25">
            <v>18</v>
          </cell>
          <cell r="DP25">
            <v>31</v>
          </cell>
          <cell r="DQ25">
            <v>28</v>
          </cell>
          <cell r="DR25">
            <v>21</v>
          </cell>
          <cell r="DS25">
            <v>29</v>
          </cell>
          <cell r="DT25">
            <v>20</v>
          </cell>
          <cell r="DU25">
            <v>24</v>
          </cell>
          <cell r="DV25">
            <v>35</v>
          </cell>
          <cell r="DW25">
            <v>28</v>
          </cell>
          <cell r="DX25">
            <v>22</v>
          </cell>
          <cell r="DY25">
            <v>29</v>
          </cell>
          <cell r="DZ25">
            <v>28</v>
          </cell>
          <cell r="EA25">
            <v>22</v>
          </cell>
          <cell r="EB25">
            <v>17</v>
          </cell>
          <cell r="EC25">
            <v>23</v>
          </cell>
        </row>
        <row r="26">
          <cell r="CH26">
            <v>22</v>
          </cell>
          <cell r="CI26">
            <v>12</v>
          </cell>
          <cell r="CJ26">
            <v>18</v>
          </cell>
          <cell r="CK26">
            <v>23</v>
          </cell>
          <cell r="CL26">
            <v>17</v>
          </cell>
          <cell r="CM26">
            <v>10</v>
          </cell>
          <cell r="CN26">
            <v>18</v>
          </cell>
          <cell r="CO26">
            <v>13</v>
          </cell>
          <cell r="CP26">
            <v>17</v>
          </cell>
          <cell r="CQ26">
            <v>11</v>
          </cell>
          <cell r="CR26">
            <v>12</v>
          </cell>
          <cell r="CS26">
            <v>18</v>
          </cell>
          <cell r="CT26">
            <v>9</v>
          </cell>
          <cell r="CU26">
            <v>19</v>
          </cell>
          <cell r="CV26">
            <v>15</v>
          </cell>
          <cell r="CW26">
            <v>6</v>
          </cell>
          <cell r="CX26">
            <v>14</v>
          </cell>
          <cell r="CY26">
            <v>11</v>
          </cell>
          <cell r="CZ26">
            <v>17</v>
          </cell>
          <cell r="DA26">
            <v>14</v>
          </cell>
          <cell r="DB26">
            <v>14</v>
          </cell>
          <cell r="DC26">
            <v>6</v>
          </cell>
          <cell r="DD26">
            <v>14</v>
          </cell>
          <cell r="DE26">
            <v>16</v>
          </cell>
          <cell r="DF26">
            <v>18</v>
          </cell>
          <cell r="DG26">
            <v>12</v>
          </cell>
          <cell r="DH26">
            <v>17</v>
          </cell>
          <cell r="DI26">
            <v>18</v>
          </cell>
          <cell r="DJ26">
            <v>19</v>
          </cell>
          <cell r="DK26">
            <v>12</v>
          </cell>
          <cell r="DL26">
            <v>13</v>
          </cell>
          <cell r="DM26">
            <v>16</v>
          </cell>
          <cell r="DN26">
            <v>17</v>
          </cell>
          <cell r="DO26">
            <v>12</v>
          </cell>
          <cell r="DP26">
            <v>12</v>
          </cell>
          <cell r="DQ26">
            <v>13</v>
          </cell>
          <cell r="DR26">
            <v>13</v>
          </cell>
          <cell r="DS26">
            <v>19</v>
          </cell>
          <cell r="DT26">
            <v>23</v>
          </cell>
          <cell r="DU26">
            <v>14</v>
          </cell>
          <cell r="DV26">
            <v>14</v>
          </cell>
          <cell r="DW26">
            <v>15</v>
          </cell>
          <cell r="DX26">
            <v>25</v>
          </cell>
          <cell r="DY26">
            <v>14</v>
          </cell>
          <cell r="DZ26">
            <v>20</v>
          </cell>
          <cell r="EA26">
            <v>8</v>
          </cell>
          <cell r="EB26">
            <v>14</v>
          </cell>
          <cell r="EC26">
            <v>21</v>
          </cell>
        </row>
        <row r="28">
          <cell r="AL28">
            <v>2</v>
          </cell>
          <cell r="AM28">
            <v>9</v>
          </cell>
          <cell r="AN28">
            <v>5</v>
          </cell>
          <cell r="AO28">
            <v>7</v>
          </cell>
          <cell r="AP28">
            <v>10</v>
          </cell>
          <cell r="AQ28">
            <v>2</v>
          </cell>
          <cell r="AR28">
            <v>1</v>
          </cell>
          <cell r="AS28">
            <v>6</v>
          </cell>
          <cell r="AT28">
            <v>5</v>
          </cell>
          <cell r="AU28">
            <v>5</v>
          </cell>
          <cell r="AV28">
            <v>8</v>
          </cell>
          <cell r="AW28">
            <v>10</v>
          </cell>
          <cell r="AX28">
            <v>5</v>
          </cell>
          <cell r="AY28">
            <v>6</v>
          </cell>
          <cell r="AZ28">
            <v>4</v>
          </cell>
          <cell r="BA28">
            <v>3</v>
          </cell>
          <cell r="BB28">
            <v>5</v>
          </cell>
          <cell r="BC28">
            <v>6</v>
          </cell>
          <cell r="BD28">
            <v>3</v>
          </cell>
          <cell r="BE28">
            <v>4</v>
          </cell>
          <cell r="BF28">
            <v>4</v>
          </cell>
          <cell r="BG28">
            <v>6</v>
          </cell>
          <cell r="BH28">
            <v>1</v>
          </cell>
          <cell r="BI28">
            <v>4</v>
          </cell>
          <cell r="BJ28">
            <v>6</v>
          </cell>
          <cell r="BK28">
            <v>2</v>
          </cell>
          <cell r="BL28">
            <v>8</v>
          </cell>
          <cell r="BM28">
            <v>4</v>
          </cell>
          <cell r="BN28">
            <v>5</v>
          </cell>
          <cell r="BO28">
            <v>2</v>
          </cell>
          <cell r="BP28">
            <v>3</v>
          </cell>
          <cell r="BQ28">
            <v>9</v>
          </cell>
          <cell r="BR28">
            <v>4</v>
          </cell>
          <cell r="BS28">
            <v>5</v>
          </cell>
          <cell r="BT28">
            <v>7</v>
          </cell>
          <cell r="BU28">
            <v>9</v>
          </cell>
          <cell r="BV28">
            <v>2</v>
          </cell>
          <cell r="BW28">
            <v>6</v>
          </cell>
          <cell r="BX28">
            <v>1</v>
          </cell>
          <cell r="BY28">
            <v>5</v>
          </cell>
          <cell r="BZ28">
            <v>5</v>
          </cell>
          <cell r="CB28">
            <v>4</v>
          </cell>
          <cell r="CC28">
            <v>6</v>
          </cell>
          <cell r="CD28">
            <v>3</v>
          </cell>
          <cell r="CE28">
            <v>6</v>
          </cell>
          <cell r="CF28">
            <v>6</v>
          </cell>
          <cell r="CG28">
            <v>3</v>
          </cell>
          <cell r="CH28">
            <v>3</v>
          </cell>
          <cell r="CI28">
            <v>3</v>
          </cell>
          <cell r="CJ28">
            <v>9</v>
          </cell>
          <cell r="CK28">
            <v>5</v>
          </cell>
          <cell r="CL28">
            <v>3</v>
          </cell>
          <cell r="CM28">
            <v>5</v>
          </cell>
          <cell r="CN28">
            <v>3</v>
          </cell>
          <cell r="CO28">
            <v>2</v>
          </cell>
          <cell r="CP28">
            <v>10</v>
          </cell>
          <cell r="CQ28">
            <v>3</v>
          </cell>
          <cell r="CR28">
            <v>5</v>
          </cell>
          <cell r="CS28">
            <v>5</v>
          </cell>
          <cell r="CT28">
            <v>4</v>
          </cell>
          <cell r="CU28">
            <v>7</v>
          </cell>
          <cell r="CV28">
            <v>4</v>
          </cell>
          <cell r="CW28">
            <v>3</v>
          </cell>
          <cell r="CX28">
            <v>4</v>
          </cell>
          <cell r="CY28">
            <v>4</v>
          </cell>
          <cell r="CZ28">
            <v>3</v>
          </cell>
          <cell r="DA28">
            <v>7</v>
          </cell>
          <cell r="DB28">
            <v>4</v>
          </cell>
          <cell r="DC28">
            <v>11</v>
          </cell>
          <cell r="DD28">
            <v>3</v>
          </cell>
          <cell r="DE28">
            <v>6</v>
          </cell>
          <cell r="DF28">
            <v>6</v>
          </cell>
          <cell r="DG28">
            <v>8</v>
          </cell>
          <cell r="DH28">
            <v>2</v>
          </cell>
          <cell r="DI28">
            <v>6</v>
          </cell>
          <cell r="DJ28">
            <v>4</v>
          </cell>
          <cell r="DK28">
            <v>8</v>
          </cell>
          <cell r="DL28">
            <v>6</v>
          </cell>
          <cell r="DM28">
            <v>3</v>
          </cell>
          <cell r="DN28">
            <v>6</v>
          </cell>
          <cell r="DO28">
            <v>8</v>
          </cell>
          <cell r="DP28">
            <v>4</v>
          </cell>
          <cell r="DQ28">
            <v>3</v>
          </cell>
          <cell r="DR28">
            <v>5</v>
          </cell>
          <cell r="DS28">
            <v>5</v>
          </cell>
          <cell r="DT28">
            <v>3</v>
          </cell>
          <cell r="DU28">
            <v>5</v>
          </cell>
          <cell r="DV28">
            <v>2</v>
          </cell>
          <cell r="DW28">
            <v>1</v>
          </cell>
          <cell r="DX28">
            <v>5</v>
          </cell>
          <cell r="DY28">
            <v>6</v>
          </cell>
          <cell r="DZ28">
            <v>3</v>
          </cell>
          <cell r="EA28">
            <v>3</v>
          </cell>
          <cell r="EB28">
            <v>5</v>
          </cell>
          <cell r="EC28">
            <v>6</v>
          </cell>
        </row>
        <row r="29">
          <cell r="CH29">
            <v>49</v>
          </cell>
          <cell r="CI29">
            <v>50</v>
          </cell>
          <cell r="CJ29">
            <v>47</v>
          </cell>
          <cell r="CK29">
            <v>40</v>
          </cell>
          <cell r="CL29">
            <v>56</v>
          </cell>
          <cell r="CM29">
            <v>52</v>
          </cell>
          <cell r="CN29">
            <v>58</v>
          </cell>
          <cell r="CO29">
            <v>106</v>
          </cell>
          <cell r="CP29">
            <v>55</v>
          </cell>
          <cell r="CQ29">
            <v>65</v>
          </cell>
          <cell r="CR29">
            <v>49</v>
          </cell>
          <cell r="CS29">
            <v>49</v>
          </cell>
          <cell r="CT29">
            <v>77</v>
          </cell>
          <cell r="CU29">
            <v>66</v>
          </cell>
          <cell r="CV29">
            <v>75</v>
          </cell>
          <cell r="CW29">
            <v>85</v>
          </cell>
          <cell r="CX29">
            <v>76</v>
          </cell>
          <cell r="CY29">
            <v>75</v>
          </cell>
          <cell r="CZ29">
            <v>110</v>
          </cell>
          <cell r="DA29">
            <v>72</v>
          </cell>
          <cell r="DB29">
            <v>59</v>
          </cell>
          <cell r="DC29">
            <v>128</v>
          </cell>
          <cell r="DD29">
            <v>70</v>
          </cell>
          <cell r="DE29">
            <v>88</v>
          </cell>
          <cell r="DF29">
            <v>59</v>
          </cell>
          <cell r="DG29">
            <v>68</v>
          </cell>
          <cell r="DH29">
            <v>56</v>
          </cell>
          <cell r="DI29">
            <v>74</v>
          </cell>
          <cell r="DJ29">
            <v>48</v>
          </cell>
          <cell r="DK29">
            <v>56</v>
          </cell>
          <cell r="DL29">
            <v>69</v>
          </cell>
          <cell r="DM29">
            <v>77</v>
          </cell>
          <cell r="DN29">
            <v>82</v>
          </cell>
          <cell r="DO29">
            <v>105</v>
          </cell>
          <cell r="DP29">
            <v>81</v>
          </cell>
          <cell r="DQ29">
            <v>92</v>
          </cell>
          <cell r="DR29">
            <v>93</v>
          </cell>
          <cell r="DS29">
            <v>96</v>
          </cell>
          <cell r="DT29">
            <v>57</v>
          </cell>
          <cell r="DU29">
            <v>74</v>
          </cell>
          <cell r="DV29">
            <v>66</v>
          </cell>
          <cell r="DW29">
            <v>88</v>
          </cell>
          <cell r="DX29">
            <v>109</v>
          </cell>
          <cell r="DY29">
            <v>67</v>
          </cell>
          <cell r="DZ29">
            <v>54</v>
          </cell>
          <cell r="EA29">
            <v>61</v>
          </cell>
          <cell r="EB29">
            <v>45</v>
          </cell>
          <cell r="EC29">
            <v>41</v>
          </cell>
        </row>
        <row r="30">
          <cell r="AL30">
            <v>233</v>
          </cell>
          <cell r="AM30">
            <v>202</v>
          </cell>
          <cell r="AN30">
            <v>226</v>
          </cell>
          <cell r="AO30">
            <v>259</v>
          </cell>
          <cell r="AP30">
            <v>334</v>
          </cell>
          <cell r="AQ30">
            <v>292</v>
          </cell>
          <cell r="AR30">
            <v>338</v>
          </cell>
          <cell r="AS30">
            <v>262</v>
          </cell>
          <cell r="AT30">
            <v>195</v>
          </cell>
          <cell r="AU30">
            <v>210</v>
          </cell>
          <cell r="AV30">
            <v>185</v>
          </cell>
          <cell r="AW30">
            <v>270</v>
          </cell>
          <cell r="AX30">
            <v>248</v>
          </cell>
          <cell r="AY30">
            <v>278</v>
          </cell>
          <cell r="AZ30">
            <v>193</v>
          </cell>
          <cell r="BA30">
            <v>195</v>
          </cell>
          <cell r="BB30">
            <v>219</v>
          </cell>
          <cell r="BC30">
            <v>328</v>
          </cell>
          <cell r="BD30">
            <v>295</v>
          </cell>
          <cell r="BE30">
            <v>298</v>
          </cell>
          <cell r="BF30">
            <v>233</v>
          </cell>
          <cell r="BG30">
            <v>253</v>
          </cell>
          <cell r="BH30">
            <v>229</v>
          </cell>
          <cell r="BI30">
            <v>218</v>
          </cell>
          <cell r="BJ30">
            <v>234</v>
          </cell>
          <cell r="BK30">
            <v>232</v>
          </cell>
          <cell r="BL30">
            <v>230</v>
          </cell>
          <cell r="BM30">
            <v>189</v>
          </cell>
          <cell r="BN30">
            <v>175</v>
          </cell>
          <cell r="BO30">
            <v>256</v>
          </cell>
          <cell r="BP30">
            <v>320</v>
          </cell>
          <cell r="BQ30">
            <v>238</v>
          </cell>
          <cell r="BR30">
            <v>268</v>
          </cell>
          <cell r="BS30">
            <v>320</v>
          </cell>
          <cell r="BT30">
            <v>346</v>
          </cell>
          <cell r="BU30">
            <v>202</v>
          </cell>
          <cell r="BV30">
            <v>143</v>
          </cell>
          <cell r="BW30">
            <v>137</v>
          </cell>
          <cell r="BX30">
            <v>122</v>
          </cell>
          <cell r="BY30">
            <v>165</v>
          </cell>
          <cell r="BZ30">
            <v>180</v>
          </cell>
          <cell r="CA30">
            <v>131</v>
          </cell>
          <cell r="CB30">
            <v>173</v>
          </cell>
          <cell r="CC30">
            <v>165</v>
          </cell>
          <cell r="CD30">
            <v>128</v>
          </cell>
          <cell r="CE30">
            <v>124</v>
          </cell>
          <cell r="CF30">
            <v>84</v>
          </cell>
          <cell r="CG30">
            <v>153</v>
          </cell>
          <cell r="CH30">
            <v>117</v>
          </cell>
          <cell r="CI30">
            <v>127</v>
          </cell>
          <cell r="CJ30">
            <v>112</v>
          </cell>
          <cell r="CK30">
            <v>170</v>
          </cell>
          <cell r="CL30">
            <v>174</v>
          </cell>
          <cell r="CM30">
            <v>131</v>
          </cell>
          <cell r="CN30">
            <v>126</v>
          </cell>
          <cell r="CO30">
            <v>225</v>
          </cell>
          <cell r="CP30">
            <v>150</v>
          </cell>
          <cell r="CQ30">
            <v>166</v>
          </cell>
          <cell r="CR30">
            <v>142</v>
          </cell>
          <cell r="CS30">
            <v>229</v>
          </cell>
          <cell r="CT30">
            <v>218</v>
          </cell>
          <cell r="CU30">
            <v>212</v>
          </cell>
          <cell r="CV30">
            <v>187</v>
          </cell>
          <cell r="CW30">
            <v>195</v>
          </cell>
          <cell r="CX30">
            <v>222</v>
          </cell>
          <cell r="CY30">
            <v>245</v>
          </cell>
          <cell r="CZ30">
            <v>237</v>
          </cell>
          <cell r="DA30">
            <v>228</v>
          </cell>
          <cell r="DB30">
            <v>150</v>
          </cell>
          <cell r="DC30">
            <v>233</v>
          </cell>
          <cell r="DD30">
            <v>175</v>
          </cell>
          <cell r="DE30">
            <v>158</v>
          </cell>
          <cell r="DF30">
            <v>193</v>
          </cell>
          <cell r="DG30">
            <v>156</v>
          </cell>
          <cell r="DH30">
            <v>178</v>
          </cell>
          <cell r="DI30">
            <v>228</v>
          </cell>
          <cell r="DJ30">
            <v>168</v>
          </cell>
          <cell r="DK30">
            <v>163</v>
          </cell>
          <cell r="DL30">
            <v>169</v>
          </cell>
          <cell r="DM30">
            <v>178</v>
          </cell>
          <cell r="DN30">
            <v>190</v>
          </cell>
          <cell r="DO30">
            <v>141</v>
          </cell>
          <cell r="DP30">
            <v>121</v>
          </cell>
          <cell r="DQ30">
            <v>172</v>
          </cell>
          <cell r="DR30">
            <v>179</v>
          </cell>
          <cell r="DS30">
            <v>175</v>
          </cell>
          <cell r="DT30">
            <v>187</v>
          </cell>
          <cell r="DU30">
            <v>161</v>
          </cell>
          <cell r="DV30">
            <v>165</v>
          </cell>
          <cell r="DW30">
            <v>174</v>
          </cell>
          <cell r="DX30">
            <v>199</v>
          </cell>
          <cell r="DY30">
            <v>171</v>
          </cell>
          <cell r="DZ30">
            <v>126</v>
          </cell>
          <cell r="EA30">
            <v>148</v>
          </cell>
          <cell r="EB30">
            <v>117</v>
          </cell>
          <cell r="EC30">
            <v>116</v>
          </cell>
        </row>
        <row r="31">
          <cell r="AL31">
            <v>50</v>
          </cell>
          <cell r="AM31">
            <v>85</v>
          </cell>
          <cell r="AN31">
            <v>85</v>
          </cell>
          <cell r="AO31">
            <v>94</v>
          </cell>
          <cell r="AP31">
            <v>73</v>
          </cell>
          <cell r="AQ31">
            <v>91</v>
          </cell>
          <cell r="AR31">
            <v>97</v>
          </cell>
          <cell r="AS31">
            <v>89</v>
          </cell>
          <cell r="AT31">
            <v>81</v>
          </cell>
          <cell r="AU31">
            <v>86</v>
          </cell>
          <cell r="AV31">
            <v>59</v>
          </cell>
          <cell r="AW31">
            <v>74</v>
          </cell>
          <cell r="AX31">
            <v>75</v>
          </cell>
          <cell r="AY31">
            <v>86</v>
          </cell>
          <cell r="AZ31">
            <v>68</v>
          </cell>
          <cell r="BA31">
            <v>93</v>
          </cell>
          <cell r="BB31">
            <v>104</v>
          </cell>
          <cell r="BC31">
            <v>97</v>
          </cell>
          <cell r="BD31">
            <v>88</v>
          </cell>
          <cell r="BE31">
            <v>68</v>
          </cell>
          <cell r="BF31">
            <v>78</v>
          </cell>
          <cell r="BG31">
            <v>63</v>
          </cell>
          <cell r="BH31">
            <v>55</v>
          </cell>
          <cell r="BI31">
            <v>72</v>
          </cell>
          <cell r="BJ31">
            <v>59</v>
          </cell>
          <cell r="BK31">
            <v>68</v>
          </cell>
          <cell r="BL31">
            <v>89</v>
          </cell>
          <cell r="BM31">
            <v>72</v>
          </cell>
          <cell r="BN31">
            <v>79</v>
          </cell>
          <cell r="BO31">
            <v>82</v>
          </cell>
          <cell r="BP31">
            <v>90</v>
          </cell>
          <cell r="BQ31">
            <v>90</v>
          </cell>
          <cell r="BR31">
            <v>87</v>
          </cell>
          <cell r="BS31">
            <v>76</v>
          </cell>
          <cell r="BT31">
            <v>70</v>
          </cell>
          <cell r="BU31">
            <v>56</v>
          </cell>
          <cell r="BV31">
            <v>58</v>
          </cell>
          <cell r="BW31">
            <v>61</v>
          </cell>
          <cell r="BX31">
            <v>67</v>
          </cell>
          <cell r="BY31">
            <v>55</v>
          </cell>
          <cell r="BZ31">
            <v>52</v>
          </cell>
          <cell r="CA31">
            <v>67</v>
          </cell>
          <cell r="CB31">
            <v>67</v>
          </cell>
          <cell r="CC31">
            <v>66</v>
          </cell>
          <cell r="CD31">
            <v>74</v>
          </cell>
          <cell r="CE31">
            <v>66</v>
          </cell>
          <cell r="CF31">
            <v>41</v>
          </cell>
          <cell r="CG31">
            <v>66</v>
          </cell>
          <cell r="CH31">
            <v>37</v>
          </cell>
          <cell r="CI31">
            <v>56</v>
          </cell>
          <cell r="CJ31">
            <v>42</v>
          </cell>
          <cell r="CK31">
            <v>62</v>
          </cell>
          <cell r="CL31">
            <v>64</v>
          </cell>
          <cell r="CM31">
            <v>62</v>
          </cell>
          <cell r="CN31">
            <v>67</v>
          </cell>
          <cell r="CO31">
            <v>80</v>
          </cell>
          <cell r="CP31">
            <v>84</v>
          </cell>
          <cell r="CQ31">
            <v>80</v>
          </cell>
          <cell r="CR31">
            <v>83</v>
          </cell>
          <cell r="CS31">
            <v>103</v>
          </cell>
          <cell r="CT31">
            <v>85</v>
          </cell>
          <cell r="CU31">
            <v>84</v>
          </cell>
          <cell r="CV31">
            <v>105</v>
          </cell>
          <cell r="CW31">
            <v>119</v>
          </cell>
          <cell r="CX31">
            <v>97</v>
          </cell>
          <cell r="CY31">
            <v>113</v>
          </cell>
          <cell r="CZ31">
            <v>114</v>
          </cell>
          <cell r="DA31">
            <v>96</v>
          </cell>
          <cell r="DB31">
            <v>92</v>
          </cell>
          <cell r="DC31">
            <v>101</v>
          </cell>
          <cell r="DD31">
            <v>106</v>
          </cell>
          <cell r="DE31">
            <v>93</v>
          </cell>
          <cell r="DF31">
            <v>104</v>
          </cell>
          <cell r="DG31">
            <v>101</v>
          </cell>
          <cell r="DH31">
            <v>87</v>
          </cell>
          <cell r="DI31">
            <v>94</v>
          </cell>
          <cell r="DJ31">
            <v>104</v>
          </cell>
          <cell r="DK31">
            <v>96</v>
          </cell>
          <cell r="DL31">
            <v>74</v>
          </cell>
          <cell r="DM31">
            <v>81</v>
          </cell>
          <cell r="DN31">
            <v>65</v>
          </cell>
          <cell r="DO31">
            <v>81</v>
          </cell>
          <cell r="DP31">
            <v>86</v>
          </cell>
          <cell r="DQ31">
            <v>113</v>
          </cell>
          <cell r="DR31">
            <v>112</v>
          </cell>
          <cell r="DS31">
            <v>94</v>
          </cell>
          <cell r="DT31">
            <v>106</v>
          </cell>
          <cell r="DU31">
            <v>66</v>
          </cell>
          <cell r="DV31">
            <v>88</v>
          </cell>
          <cell r="DW31">
            <v>90</v>
          </cell>
          <cell r="DX31">
            <v>112</v>
          </cell>
          <cell r="DY31">
            <v>78</v>
          </cell>
          <cell r="DZ31">
            <v>112</v>
          </cell>
          <cell r="EA31">
            <v>108</v>
          </cell>
          <cell r="EB31">
            <v>66</v>
          </cell>
          <cell r="EC31">
            <v>115</v>
          </cell>
        </row>
        <row r="32">
          <cell r="CH32">
            <v>206</v>
          </cell>
          <cell r="CI32">
            <v>236</v>
          </cell>
          <cell r="CJ32">
            <v>210</v>
          </cell>
          <cell r="CK32">
            <v>277</v>
          </cell>
          <cell r="CL32">
            <v>297</v>
          </cell>
          <cell r="CM32">
            <v>250</v>
          </cell>
          <cell r="CN32">
            <v>254</v>
          </cell>
          <cell r="CO32">
            <v>413</v>
          </cell>
          <cell r="CP32">
            <v>299</v>
          </cell>
          <cell r="CQ32">
            <v>314</v>
          </cell>
          <cell r="CR32">
            <v>279</v>
          </cell>
          <cell r="CS32">
            <v>386</v>
          </cell>
          <cell r="CT32">
            <v>384</v>
          </cell>
          <cell r="CU32">
            <v>369</v>
          </cell>
          <cell r="CV32">
            <v>371</v>
          </cell>
          <cell r="CW32">
            <v>402</v>
          </cell>
          <cell r="CX32">
            <v>399</v>
          </cell>
          <cell r="CY32">
            <v>437</v>
          </cell>
          <cell r="CZ32">
            <v>464</v>
          </cell>
          <cell r="DA32">
            <v>403</v>
          </cell>
          <cell r="DB32">
            <v>305</v>
          </cell>
          <cell r="DC32">
            <v>473</v>
          </cell>
          <cell r="DD32">
            <v>354</v>
          </cell>
          <cell r="DE32">
            <v>345</v>
          </cell>
          <cell r="DF32">
            <v>362</v>
          </cell>
          <cell r="DG32">
            <v>333</v>
          </cell>
          <cell r="DH32">
            <v>323</v>
          </cell>
          <cell r="DI32">
            <v>402</v>
          </cell>
          <cell r="DJ32">
            <v>324</v>
          </cell>
          <cell r="DK32">
            <v>323</v>
          </cell>
          <cell r="DL32">
            <v>318</v>
          </cell>
          <cell r="DM32">
            <v>339</v>
          </cell>
          <cell r="DN32">
            <v>343</v>
          </cell>
          <cell r="DO32">
            <v>335</v>
          </cell>
          <cell r="DP32">
            <v>292</v>
          </cell>
          <cell r="DQ32">
            <v>380</v>
          </cell>
          <cell r="DR32">
            <v>389</v>
          </cell>
          <cell r="DS32">
            <v>370</v>
          </cell>
          <cell r="DT32">
            <v>353</v>
          </cell>
          <cell r="DU32">
            <v>306</v>
          </cell>
          <cell r="DV32">
            <v>321</v>
          </cell>
          <cell r="DW32">
            <v>353</v>
          </cell>
          <cell r="DX32">
            <v>425</v>
          </cell>
          <cell r="DY32">
            <v>322</v>
          </cell>
          <cell r="DZ32">
            <v>295</v>
          </cell>
          <cell r="EA32">
            <v>320</v>
          </cell>
          <cell r="EB32">
            <v>233</v>
          </cell>
          <cell r="EC32">
            <v>278</v>
          </cell>
        </row>
        <row r="34">
          <cell r="CH34">
            <v>113</v>
          </cell>
          <cell r="CI34">
            <v>105</v>
          </cell>
          <cell r="CJ34">
            <v>115</v>
          </cell>
          <cell r="CK34">
            <v>114</v>
          </cell>
          <cell r="CL34">
            <v>117</v>
          </cell>
          <cell r="CM34">
            <v>106</v>
          </cell>
          <cell r="CN34">
            <v>100</v>
          </cell>
          <cell r="CO34">
            <v>101</v>
          </cell>
          <cell r="CP34">
            <v>91</v>
          </cell>
          <cell r="CQ34">
            <v>86</v>
          </cell>
          <cell r="CR34">
            <v>75</v>
          </cell>
          <cell r="CS34">
            <v>96</v>
          </cell>
          <cell r="CT34">
            <v>90</v>
          </cell>
          <cell r="CU34">
            <v>107</v>
          </cell>
          <cell r="CV34">
            <v>118</v>
          </cell>
          <cell r="CW34">
            <v>123</v>
          </cell>
          <cell r="CX34">
            <v>102</v>
          </cell>
          <cell r="CY34">
            <v>87</v>
          </cell>
          <cell r="CZ34">
            <v>80</v>
          </cell>
          <cell r="DA34">
            <v>86</v>
          </cell>
          <cell r="DB34">
            <v>77</v>
          </cell>
          <cell r="DC34">
            <v>82</v>
          </cell>
          <cell r="DD34">
            <v>69</v>
          </cell>
          <cell r="DE34">
            <v>97</v>
          </cell>
          <cell r="DF34">
            <v>95</v>
          </cell>
          <cell r="DG34">
            <v>76</v>
          </cell>
          <cell r="DH34">
            <v>83</v>
          </cell>
          <cell r="DI34">
            <v>95</v>
          </cell>
          <cell r="DJ34">
            <v>82</v>
          </cell>
          <cell r="DK34">
            <v>86</v>
          </cell>
          <cell r="DL34">
            <v>94</v>
          </cell>
          <cell r="DM34">
            <v>92</v>
          </cell>
          <cell r="DN34">
            <v>66</v>
          </cell>
          <cell r="DO34">
            <v>63</v>
          </cell>
          <cell r="DP34">
            <v>85</v>
          </cell>
          <cell r="DQ34">
            <v>78</v>
          </cell>
          <cell r="DR34">
            <v>60</v>
          </cell>
          <cell r="DS34">
            <v>87</v>
          </cell>
          <cell r="DT34">
            <v>93</v>
          </cell>
          <cell r="DU34">
            <v>110</v>
          </cell>
          <cell r="DV34">
            <v>124</v>
          </cell>
          <cell r="DW34">
            <v>91</v>
          </cell>
          <cell r="DX34">
            <v>76</v>
          </cell>
          <cell r="DY34">
            <v>75</v>
          </cell>
          <cell r="DZ34">
            <v>76</v>
          </cell>
          <cell r="EA34">
            <v>78</v>
          </cell>
          <cell r="EB34">
            <v>69</v>
          </cell>
          <cell r="EC34">
            <v>76</v>
          </cell>
        </row>
        <row r="35">
          <cell r="AL35">
            <v>435</v>
          </cell>
          <cell r="AM35">
            <v>496</v>
          </cell>
          <cell r="AN35">
            <v>514</v>
          </cell>
          <cell r="AO35">
            <v>570</v>
          </cell>
          <cell r="AP35">
            <v>545</v>
          </cell>
          <cell r="AQ35">
            <v>575</v>
          </cell>
          <cell r="AR35">
            <v>595</v>
          </cell>
          <cell r="AS35">
            <v>646</v>
          </cell>
          <cell r="AT35">
            <v>700</v>
          </cell>
          <cell r="AU35">
            <v>755</v>
          </cell>
          <cell r="AV35">
            <v>677</v>
          </cell>
          <cell r="AW35">
            <v>764</v>
          </cell>
          <cell r="AX35">
            <v>800</v>
          </cell>
          <cell r="AY35">
            <v>861</v>
          </cell>
          <cell r="AZ35">
            <v>972</v>
          </cell>
          <cell r="BA35">
            <v>1042</v>
          </cell>
          <cell r="BB35">
            <v>906</v>
          </cell>
          <cell r="BC35">
            <v>834</v>
          </cell>
          <cell r="BD35">
            <v>900</v>
          </cell>
          <cell r="BE35">
            <v>926</v>
          </cell>
          <cell r="BF35">
            <v>964</v>
          </cell>
          <cell r="BG35">
            <v>856</v>
          </cell>
          <cell r="BH35">
            <v>810</v>
          </cell>
          <cell r="BI35">
            <v>883</v>
          </cell>
          <cell r="BJ35">
            <v>855</v>
          </cell>
          <cell r="BK35">
            <v>918</v>
          </cell>
          <cell r="BL35">
            <v>919</v>
          </cell>
          <cell r="BM35">
            <v>1002</v>
          </cell>
          <cell r="BN35">
            <v>963</v>
          </cell>
          <cell r="BO35">
            <v>948</v>
          </cell>
          <cell r="BP35">
            <v>902</v>
          </cell>
          <cell r="BQ35">
            <v>929</v>
          </cell>
          <cell r="BR35">
            <v>1034</v>
          </cell>
          <cell r="BS35">
            <v>873</v>
          </cell>
          <cell r="BT35">
            <v>877</v>
          </cell>
          <cell r="BU35">
            <v>978</v>
          </cell>
          <cell r="BV35">
            <v>951</v>
          </cell>
          <cell r="BW35">
            <v>1032</v>
          </cell>
          <cell r="BX35">
            <v>1022</v>
          </cell>
          <cell r="BY35">
            <v>1065</v>
          </cell>
          <cell r="BZ35">
            <v>1045</v>
          </cell>
          <cell r="CA35">
            <v>1022</v>
          </cell>
          <cell r="CB35">
            <v>972</v>
          </cell>
          <cell r="CC35">
            <v>859</v>
          </cell>
          <cell r="CD35">
            <v>870</v>
          </cell>
          <cell r="CE35">
            <v>888</v>
          </cell>
          <cell r="CF35">
            <v>775</v>
          </cell>
          <cell r="CG35">
            <v>838</v>
          </cell>
          <cell r="CH35">
            <v>943</v>
          </cell>
          <cell r="CI35">
            <v>1067</v>
          </cell>
          <cell r="CJ35">
            <v>1087</v>
          </cell>
          <cell r="CK35">
            <v>1086</v>
          </cell>
          <cell r="CL35">
            <v>1053</v>
          </cell>
          <cell r="CM35">
            <v>1125</v>
          </cell>
          <cell r="CN35">
            <v>1023</v>
          </cell>
          <cell r="CO35">
            <v>886</v>
          </cell>
          <cell r="CP35">
            <v>913</v>
          </cell>
          <cell r="CQ35">
            <v>942</v>
          </cell>
          <cell r="CR35">
            <v>833</v>
          </cell>
          <cell r="CS35">
            <v>989</v>
          </cell>
          <cell r="CT35">
            <v>957</v>
          </cell>
          <cell r="CU35">
            <v>977</v>
          </cell>
          <cell r="CV35">
            <v>932</v>
          </cell>
          <cell r="CW35">
            <v>1039</v>
          </cell>
          <cell r="CX35">
            <v>939</v>
          </cell>
          <cell r="CY35">
            <v>909</v>
          </cell>
          <cell r="CZ35">
            <v>870</v>
          </cell>
          <cell r="DA35">
            <v>831</v>
          </cell>
          <cell r="DB35">
            <v>898</v>
          </cell>
          <cell r="DC35">
            <v>830</v>
          </cell>
          <cell r="DD35">
            <v>830</v>
          </cell>
          <cell r="DE35">
            <v>918</v>
          </cell>
          <cell r="DF35">
            <v>906</v>
          </cell>
          <cell r="DG35">
            <v>897</v>
          </cell>
          <cell r="DH35">
            <v>908</v>
          </cell>
          <cell r="DI35">
            <v>906</v>
          </cell>
          <cell r="DJ35">
            <v>877</v>
          </cell>
          <cell r="DK35">
            <v>788</v>
          </cell>
          <cell r="DL35">
            <v>857</v>
          </cell>
          <cell r="DM35">
            <v>833</v>
          </cell>
          <cell r="DN35">
            <v>908</v>
          </cell>
          <cell r="DO35">
            <v>834</v>
          </cell>
          <cell r="DP35">
            <v>804</v>
          </cell>
          <cell r="DQ35">
            <v>860</v>
          </cell>
          <cell r="DR35">
            <v>856</v>
          </cell>
          <cell r="DS35">
            <v>836</v>
          </cell>
          <cell r="DT35">
            <v>858</v>
          </cell>
          <cell r="DU35">
            <v>927</v>
          </cell>
          <cell r="DV35">
            <v>892</v>
          </cell>
          <cell r="DW35">
            <v>825</v>
          </cell>
          <cell r="DX35">
            <v>830</v>
          </cell>
          <cell r="DY35">
            <v>774</v>
          </cell>
          <cell r="DZ35">
            <v>910</v>
          </cell>
          <cell r="EA35">
            <v>823</v>
          </cell>
          <cell r="EB35">
            <v>821</v>
          </cell>
          <cell r="EC35">
            <v>901</v>
          </cell>
        </row>
        <row r="36">
          <cell r="CH36">
            <v>552</v>
          </cell>
          <cell r="CI36">
            <v>543</v>
          </cell>
          <cell r="CJ36">
            <v>550</v>
          </cell>
          <cell r="CK36">
            <v>581</v>
          </cell>
          <cell r="CL36">
            <v>494</v>
          </cell>
          <cell r="CM36">
            <v>532</v>
          </cell>
          <cell r="CN36">
            <v>544</v>
          </cell>
          <cell r="CO36">
            <v>498</v>
          </cell>
          <cell r="CP36">
            <v>493</v>
          </cell>
          <cell r="CQ36">
            <v>450</v>
          </cell>
          <cell r="CR36">
            <v>405</v>
          </cell>
          <cell r="CS36">
            <v>453</v>
          </cell>
          <cell r="CT36">
            <v>523</v>
          </cell>
          <cell r="CU36">
            <v>532</v>
          </cell>
          <cell r="CV36">
            <v>564</v>
          </cell>
          <cell r="CW36">
            <v>566</v>
          </cell>
          <cell r="CX36">
            <v>654</v>
          </cell>
          <cell r="CY36">
            <v>579</v>
          </cell>
          <cell r="CZ36">
            <v>558</v>
          </cell>
          <cell r="DA36">
            <v>551</v>
          </cell>
          <cell r="DB36">
            <v>513</v>
          </cell>
          <cell r="DC36">
            <v>483</v>
          </cell>
          <cell r="DD36">
            <v>513</v>
          </cell>
          <cell r="DE36">
            <v>557</v>
          </cell>
          <cell r="DF36">
            <v>555</v>
          </cell>
          <cell r="DG36">
            <v>594</v>
          </cell>
          <cell r="DH36">
            <v>580</v>
          </cell>
          <cell r="DI36">
            <v>571</v>
          </cell>
          <cell r="DJ36">
            <v>511</v>
          </cell>
          <cell r="DK36">
            <v>499</v>
          </cell>
          <cell r="DL36">
            <v>541</v>
          </cell>
          <cell r="DM36">
            <v>503</v>
          </cell>
          <cell r="DN36">
            <v>547</v>
          </cell>
          <cell r="DO36">
            <v>480</v>
          </cell>
          <cell r="DP36">
            <v>500</v>
          </cell>
          <cell r="DQ36">
            <v>472</v>
          </cell>
          <cell r="DR36">
            <v>483</v>
          </cell>
          <cell r="DS36">
            <v>478</v>
          </cell>
          <cell r="DT36">
            <v>518</v>
          </cell>
          <cell r="DU36">
            <v>511</v>
          </cell>
          <cell r="DV36">
            <v>474</v>
          </cell>
          <cell r="DW36">
            <v>442</v>
          </cell>
          <cell r="DX36">
            <v>493</v>
          </cell>
          <cell r="DY36">
            <v>455</v>
          </cell>
          <cell r="DZ36">
            <v>485</v>
          </cell>
          <cell r="EA36">
            <v>476</v>
          </cell>
          <cell r="EB36">
            <v>476</v>
          </cell>
          <cell r="EC36">
            <v>504</v>
          </cell>
        </row>
        <row r="37">
          <cell r="CH37">
            <v>6</v>
          </cell>
          <cell r="CI37">
            <v>19</v>
          </cell>
          <cell r="CJ37">
            <v>12</v>
          </cell>
          <cell r="CK37">
            <v>43</v>
          </cell>
          <cell r="CL37">
            <v>12</v>
          </cell>
          <cell r="CM37">
            <v>7</v>
          </cell>
          <cell r="CN37">
            <v>10</v>
          </cell>
          <cell r="CO37">
            <v>10</v>
          </cell>
          <cell r="CP37">
            <v>4</v>
          </cell>
          <cell r="CQ37">
            <v>16</v>
          </cell>
          <cell r="CR37">
            <v>5</v>
          </cell>
          <cell r="CS37">
            <v>2</v>
          </cell>
          <cell r="CT37">
            <v>19</v>
          </cell>
          <cell r="CU37">
            <v>12</v>
          </cell>
          <cell r="CV37">
            <v>11</v>
          </cell>
          <cell r="CW37">
            <v>29</v>
          </cell>
          <cell r="CX37">
            <v>16</v>
          </cell>
          <cell r="CY37">
            <v>27</v>
          </cell>
          <cell r="CZ37">
            <v>16</v>
          </cell>
          <cell r="DA37">
            <v>26</v>
          </cell>
          <cell r="DB37">
            <v>17</v>
          </cell>
          <cell r="DC37">
            <v>49</v>
          </cell>
          <cell r="DD37">
            <v>25</v>
          </cell>
          <cell r="DE37">
            <v>24</v>
          </cell>
          <cell r="DF37">
            <v>9</v>
          </cell>
          <cell r="DG37">
            <v>11</v>
          </cell>
          <cell r="DH37">
            <v>6</v>
          </cell>
          <cell r="DI37">
            <v>7</v>
          </cell>
          <cell r="DJ37">
            <v>6</v>
          </cell>
          <cell r="DK37">
            <v>12</v>
          </cell>
          <cell r="DL37">
            <v>16</v>
          </cell>
          <cell r="DM37">
            <v>8</v>
          </cell>
          <cell r="DN37">
            <v>12</v>
          </cell>
          <cell r="DO37">
            <v>28</v>
          </cell>
          <cell r="DP37">
            <v>10</v>
          </cell>
          <cell r="DQ37">
            <v>8</v>
          </cell>
          <cell r="DR37">
            <v>26</v>
          </cell>
          <cell r="DS37">
            <v>19</v>
          </cell>
          <cell r="DT37">
            <v>11</v>
          </cell>
          <cell r="DU37">
            <v>10</v>
          </cell>
          <cell r="DV37">
            <v>21</v>
          </cell>
          <cell r="DW37">
            <v>10</v>
          </cell>
          <cell r="DX37">
            <v>13</v>
          </cell>
          <cell r="DY37">
            <v>11</v>
          </cell>
          <cell r="DZ37">
            <v>8</v>
          </cell>
          <cell r="EA37">
            <v>9</v>
          </cell>
          <cell r="EB37">
            <v>26</v>
          </cell>
          <cell r="EC37">
            <v>21</v>
          </cell>
        </row>
        <row r="39">
          <cell r="CH39">
            <v>344</v>
          </cell>
          <cell r="CI39">
            <v>406</v>
          </cell>
          <cell r="CJ39">
            <v>402</v>
          </cell>
          <cell r="CK39">
            <v>436</v>
          </cell>
          <cell r="CL39">
            <v>412</v>
          </cell>
          <cell r="CM39">
            <v>396</v>
          </cell>
          <cell r="CN39">
            <v>370</v>
          </cell>
          <cell r="CO39">
            <v>481</v>
          </cell>
          <cell r="CP39">
            <v>380</v>
          </cell>
          <cell r="CQ39">
            <v>406</v>
          </cell>
          <cell r="CR39">
            <v>369</v>
          </cell>
          <cell r="CS39">
            <v>459</v>
          </cell>
          <cell r="CT39">
            <v>487</v>
          </cell>
          <cell r="CU39">
            <v>457</v>
          </cell>
          <cell r="CV39">
            <v>456</v>
          </cell>
          <cell r="CW39">
            <v>417</v>
          </cell>
          <cell r="CX39">
            <v>557</v>
          </cell>
          <cell r="CY39">
            <v>443</v>
          </cell>
          <cell r="CZ39">
            <v>538</v>
          </cell>
          <cell r="DA39">
            <v>491</v>
          </cell>
          <cell r="DB39">
            <v>464</v>
          </cell>
          <cell r="DC39">
            <v>541</v>
          </cell>
          <cell r="DD39">
            <v>590</v>
          </cell>
          <cell r="DE39">
            <v>574</v>
          </cell>
          <cell r="DF39">
            <v>470</v>
          </cell>
          <cell r="DG39">
            <v>528</v>
          </cell>
          <cell r="DH39">
            <v>480</v>
          </cell>
          <cell r="DI39">
            <v>547</v>
          </cell>
          <cell r="DJ39">
            <v>459</v>
          </cell>
          <cell r="DK39">
            <v>541</v>
          </cell>
          <cell r="DL39">
            <v>552</v>
          </cell>
          <cell r="DM39">
            <v>591</v>
          </cell>
          <cell r="DN39">
            <v>509</v>
          </cell>
          <cell r="DO39">
            <v>644</v>
          </cell>
          <cell r="DP39">
            <v>567</v>
          </cell>
          <cell r="DQ39">
            <v>618</v>
          </cell>
          <cell r="DR39">
            <v>647</v>
          </cell>
          <cell r="DS39">
            <v>636</v>
          </cell>
          <cell r="DT39">
            <v>552</v>
          </cell>
          <cell r="DU39">
            <v>631</v>
          </cell>
          <cell r="DV39">
            <v>615</v>
          </cell>
          <cell r="DW39">
            <v>631</v>
          </cell>
          <cell r="DX39">
            <v>633</v>
          </cell>
          <cell r="DY39">
            <v>485</v>
          </cell>
          <cell r="DZ39">
            <v>436</v>
          </cell>
          <cell r="EA39">
            <v>443</v>
          </cell>
          <cell r="EB39">
            <v>437</v>
          </cell>
          <cell r="EC39">
            <v>509</v>
          </cell>
        </row>
        <row r="41">
          <cell r="CH41">
            <v>60</v>
          </cell>
          <cell r="CI41">
            <v>72</v>
          </cell>
          <cell r="CJ41">
            <v>82</v>
          </cell>
          <cell r="CK41">
            <v>73</v>
          </cell>
          <cell r="CL41">
            <v>71</v>
          </cell>
          <cell r="CM41">
            <v>101</v>
          </cell>
          <cell r="CN41">
            <v>108</v>
          </cell>
          <cell r="CO41">
            <v>91</v>
          </cell>
          <cell r="CP41">
            <v>70</v>
          </cell>
          <cell r="CQ41">
            <v>71</v>
          </cell>
          <cell r="CR41">
            <v>67</v>
          </cell>
          <cell r="CS41">
            <v>95</v>
          </cell>
          <cell r="CT41">
            <v>100</v>
          </cell>
          <cell r="CU41">
            <v>78</v>
          </cell>
          <cell r="CV41">
            <v>82</v>
          </cell>
          <cell r="CW41">
            <v>97</v>
          </cell>
          <cell r="CX41">
            <v>97</v>
          </cell>
          <cell r="CY41">
            <v>94</v>
          </cell>
          <cell r="CZ41">
            <v>107</v>
          </cell>
          <cell r="DA41">
            <v>105</v>
          </cell>
          <cell r="DB41">
            <v>91</v>
          </cell>
          <cell r="DC41">
            <v>100</v>
          </cell>
          <cell r="DD41">
            <v>84</v>
          </cell>
          <cell r="DE41">
            <v>98</v>
          </cell>
          <cell r="DF41">
            <v>115</v>
          </cell>
          <cell r="DG41">
            <v>91</v>
          </cell>
          <cell r="DH41">
            <v>83</v>
          </cell>
          <cell r="DI41">
            <v>95</v>
          </cell>
          <cell r="DJ41">
            <v>68</v>
          </cell>
          <cell r="DK41">
            <v>89</v>
          </cell>
          <cell r="DL41">
            <v>87</v>
          </cell>
          <cell r="DM41">
            <v>86</v>
          </cell>
          <cell r="DN41">
            <v>89</v>
          </cell>
          <cell r="DO41">
            <v>106</v>
          </cell>
          <cell r="DP41">
            <v>98</v>
          </cell>
          <cell r="DQ41">
            <v>94</v>
          </cell>
          <cell r="DR41">
            <v>99</v>
          </cell>
          <cell r="DS41">
            <v>81</v>
          </cell>
          <cell r="DT41">
            <v>87</v>
          </cell>
          <cell r="DU41">
            <v>123</v>
          </cell>
          <cell r="DV41">
            <v>111</v>
          </cell>
          <cell r="DW41">
            <v>110</v>
          </cell>
          <cell r="DX41">
            <v>119</v>
          </cell>
          <cell r="DY41">
            <v>99</v>
          </cell>
          <cell r="DZ41">
            <v>107</v>
          </cell>
          <cell r="EA41">
            <v>85</v>
          </cell>
          <cell r="EB41">
            <v>94</v>
          </cell>
          <cell r="EC41">
            <v>93</v>
          </cell>
        </row>
      </sheetData>
      <sheetData sheetId="8">
        <row r="5">
          <cell r="CH5">
            <v>1326</v>
          </cell>
          <cell r="CI5">
            <v>1007</v>
          </cell>
          <cell r="CJ5">
            <v>1213</v>
          </cell>
          <cell r="CK5">
            <v>1162</v>
          </cell>
          <cell r="CL5">
            <v>955</v>
          </cell>
          <cell r="CM5">
            <v>954</v>
          </cell>
          <cell r="CN5">
            <v>957</v>
          </cell>
          <cell r="CO5">
            <v>840</v>
          </cell>
          <cell r="CP5">
            <v>789</v>
          </cell>
          <cell r="CQ5">
            <v>856</v>
          </cell>
          <cell r="CR5">
            <v>754</v>
          </cell>
          <cell r="CS5">
            <v>854</v>
          </cell>
          <cell r="CT5">
            <v>872</v>
          </cell>
          <cell r="CU5">
            <v>908</v>
          </cell>
          <cell r="CV5">
            <v>877</v>
          </cell>
          <cell r="CW5">
            <v>952</v>
          </cell>
          <cell r="CX5">
            <v>971</v>
          </cell>
          <cell r="CY5">
            <v>784</v>
          </cell>
          <cell r="CZ5">
            <v>784</v>
          </cell>
          <cell r="DA5">
            <v>668</v>
          </cell>
          <cell r="DB5">
            <v>548</v>
          </cell>
          <cell r="DC5">
            <v>610</v>
          </cell>
          <cell r="DD5">
            <v>687</v>
          </cell>
          <cell r="DE5">
            <v>650</v>
          </cell>
          <cell r="DF5">
            <v>736</v>
          </cell>
          <cell r="DG5">
            <v>779</v>
          </cell>
          <cell r="DH5">
            <v>747</v>
          </cell>
          <cell r="DI5">
            <v>675</v>
          </cell>
          <cell r="DJ5">
            <v>794</v>
          </cell>
          <cell r="DK5">
            <v>730</v>
          </cell>
          <cell r="DL5">
            <v>546</v>
          </cell>
          <cell r="DM5">
            <v>512</v>
          </cell>
          <cell r="DN5">
            <v>491</v>
          </cell>
          <cell r="DO5">
            <v>529</v>
          </cell>
          <cell r="DP5">
            <v>592</v>
          </cell>
          <cell r="DQ5">
            <v>625</v>
          </cell>
          <cell r="DR5">
            <v>716</v>
          </cell>
          <cell r="DS5">
            <v>816</v>
          </cell>
          <cell r="DT5">
            <v>772</v>
          </cell>
          <cell r="DU5">
            <v>804</v>
          </cell>
          <cell r="DV5">
            <v>790</v>
          </cell>
          <cell r="DW5">
            <v>699</v>
          </cell>
          <cell r="DX5">
            <v>733</v>
          </cell>
          <cell r="DY5">
            <v>615</v>
          </cell>
          <cell r="DZ5">
            <v>522</v>
          </cell>
          <cell r="EA5">
            <v>581</v>
          </cell>
          <cell r="EB5">
            <v>615</v>
          </cell>
          <cell r="EC5">
            <v>513</v>
          </cell>
        </row>
        <row r="6">
          <cell r="AL6">
            <v>236</v>
          </cell>
          <cell r="AM6">
            <v>255</v>
          </cell>
          <cell r="AN6">
            <v>240</v>
          </cell>
          <cell r="AO6">
            <v>261</v>
          </cell>
          <cell r="AP6">
            <v>216</v>
          </cell>
          <cell r="AQ6">
            <v>198</v>
          </cell>
          <cell r="AR6">
            <v>188</v>
          </cell>
          <cell r="AS6">
            <v>167</v>
          </cell>
          <cell r="AT6">
            <v>166</v>
          </cell>
          <cell r="AU6">
            <v>173</v>
          </cell>
          <cell r="AV6">
            <v>141</v>
          </cell>
          <cell r="AW6">
            <v>193</v>
          </cell>
          <cell r="AX6">
            <v>184</v>
          </cell>
          <cell r="AY6">
            <v>243</v>
          </cell>
          <cell r="AZ6">
            <v>229</v>
          </cell>
          <cell r="BA6">
            <v>254</v>
          </cell>
          <cell r="BB6">
            <v>206</v>
          </cell>
          <cell r="BC6">
            <v>233</v>
          </cell>
          <cell r="BD6">
            <v>183</v>
          </cell>
          <cell r="BE6">
            <v>153</v>
          </cell>
          <cell r="BF6">
            <v>120</v>
          </cell>
          <cell r="BG6">
            <v>127</v>
          </cell>
          <cell r="BH6">
            <v>148</v>
          </cell>
          <cell r="BI6">
            <v>174</v>
          </cell>
          <cell r="BJ6">
            <v>159</v>
          </cell>
          <cell r="BK6">
            <v>176</v>
          </cell>
          <cell r="BL6">
            <v>175</v>
          </cell>
          <cell r="BM6">
            <v>179</v>
          </cell>
          <cell r="BN6">
            <v>152</v>
          </cell>
          <cell r="BO6">
            <v>181</v>
          </cell>
          <cell r="BP6">
            <v>141</v>
          </cell>
          <cell r="BQ6">
            <v>103</v>
          </cell>
          <cell r="BR6">
            <v>104</v>
          </cell>
          <cell r="BS6">
            <v>142</v>
          </cell>
          <cell r="BT6">
            <v>113</v>
          </cell>
          <cell r="BU6">
            <v>156</v>
          </cell>
          <cell r="BV6">
            <v>395</v>
          </cell>
          <cell r="BW6">
            <v>263</v>
          </cell>
          <cell r="BX6">
            <v>203</v>
          </cell>
          <cell r="BY6">
            <v>220</v>
          </cell>
          <cell r="BZ6">
            <v>220</v>
          </cell>
          <cell r="CA6">
            <v>192</v>
          </cell>
          <cell r="CB6">
            <v>138</v>
          </cell>
          <cell r="CC6">
            <v>141</v>
          </cell>
          <cell r="CD6">
            <v>110</v>
          </cell>
          <cell r="CE6">
            <v>143</v>
          </cell>
          <cell r="CF6">
            <v>147</v>
          </cell>
          <cell r="CG6">
            <v>141</v>
          </cell>
          <cell r="CH6">
            <v>194</v>
          </cell>
          <cell r="CI6">
            <v>160</v>
          </cell>
          <cell r="CJ6">
            <v>202</v>
          </cell>
          <cell r="CK6">
            <v>195</v>
          </cell>
          <cell r="CL6">
            <v>161</v>
          </cell>
          <cell r="CM6">
            <v>171</v>
          </cell>
          <cell r="CN6">
            <v>177</v>
          </cell>
          <cell r="CO6">
            <v>174</v>
          </cell>
          <cell r="CP6">
            <v>159</v>
          </cell>
          <cell r="CQ6">
            <v>135</v>
          </cell>
          <cell r="CR6">
            <v>130</v>
          </cell>
          <cell r="CS6">
            <v>164</v>
          </cell>
          <cell r="CT6">
            <v>126</v>
          </cell>
          <cell r="CU6">
            <v>150</v>
          </cell>
          <cell r="CV6">
            <v>167</v>
          </cell>
          <cell r="CW6">
            <v>134</v>
          </cell>
          <cell r="CX6">
            <v>199</v>
          </cell>
          <cell r="CY6">
            <v>153</v>
          </cell>
          <cell r="CZ6">
            <v>123</v>
          </cell>
          <cell r="DA6">
            <v>124</v>
          </cell>
          <cell r="DB6">
            <v>110</v>
          </cell>
          <cell r="DC6">
            <v>94</v>
          </cell>
          <cell r="DD6">
            <v>111</v>
          </cell>
          <cell r="DE6">
            <v>115</v>
          </cell>
          <cell r="DF6">
            <v>99</v>
          </cell>
          <cell r="DG6">
            <v>117</v>
          </cell>
          <cell r="DH6">
            <v>127</v>
          </cell>
          <cell r="DI6">
            <v>123</v>
          </cell>
          <cell r="DJ6">
            <v>162</v>
          </cell>
          <cell r="DK6">
            <v>189</v>
          </cell>
          <cell r="DL6">
            <v>143</v>
          </cell>
          <cell r="DM6">
            <v>155</v>
          </cell>
          <cell r="DN6">
            <v>133</v>
          </cell>
          <cell r="DO6">
            <v>156</v>
          </cell>
          <cell r="DP6">
            <v>177</v>
          </cell>
          <cell r="DQ6">
            <v>205</v>
          </cell>
          <cell r="DR6">
            <v>232</v>
          </cell>
          <cell r="DS6">
            <v>242</v>
          </cell>
          <cell r="DT6">
            <v>231</v>
          </cell>
          <cell r="DU6">
            <v>232</v>
          </cell>
          <cell r="DV6">
            <v>204</v>
          </cell>
          <cell r="DW6">
            <v>218</v>
          </cell>
          <cell r="DX6">
            <v>212</v>
          </cell>
          <cell r="DY6">
            <v>196</v>
          </cell>
          <cell r="DZ6">
            <v>148</v>
          </cell>
          <cell r="EA6">
            <v>161</v>
          </cell>
          <cell r="EB6">
            <v>151</v>
          </cell>
          <cell r="EC6">
            <v>118</v>
          </cell>
        </row>
        <row r="7">
          <cell r="CH7">
            <v>960</v>
          </cell>
          <cell r="CI7">
            <v>743</v>
          </cell>
          <cell r="CJ7">
            <v>878</v>
          </cell>
          <cell r="CK7">
            <v>848</v>
          </cell>
          <cell r="CL7">
            <v>717</v>
          </cell>
          <cell r="CM7">
            <v>689</v>
          </cell>
          <cell r="CN7">
            <v>685</v>
          </cell>
          <cell r="CO7">
            <v>608</v>
          </cell>
          <cell r="CP7">
            <v>552</v>
          </cell>
          <cell r="CQ7">
            <v>631</v>
          </cell>
          <cell r="CR7">
            <v>549</v>
          </cell>
          <cell r="CS7">
            <v>618</v>
          </cell>
          <cell r="CT7">
            <v>664</v>
          </cell>
          <cell r="CU7">
            <v>663</v>
          </cell>
          <cell r="CV7">
            <v>629</v>
          </cell>
          <cell r="CW7">
            <v>748</v>
          </cell>
          <cell r="CX7">
            <v>673</v>
          </cell>
          <cell r="CY7">
            <v>570</v>
          </cell>
          <cell r="CZ7">
            <v>596</v>
          </cell>
          <cell r="DA7">
            <v>485</v>
          </cell>
          <cell r="DB7">
            <v>391</v>
          </cell>
          <cell r="DC7">
            <v>437</v>
          </cell>
          <cell r="DD7">
            <v>508</v>
          </cell>
          <cell r="DE7">
            <v>480</v>
          </cell>
          <cell r="DF7">
            <v>551</v>
          </cell>
          <cell r="DG7">
            <v>589</v>
          </cell>
          <cell r="DH7">
            <v>543</v>
          </cell>
          <cell r="DI7">
            <v>493</v>
          </cell>
          <cell r="DJ7">
            <v>581</v>
          </cell>
          <cell r="DK7">
            <v>464</v>
          </cell>
          <cell r="DL7">
            <v>354</v>
          </cell>
          <cell r="DM7">
            <v>260</v>
          </cell>
          <cell r="DN7">
            <v>310</v>
          </cell>
          <cell r="DO7">
            <v>319</v>
          </cell>
          <cell r="DP7">
            <v>353</v>
          </cell>
          <cell r="DQ7">
            <v>360</v>
          </cell>
          <cell r="DR7">
            <v>423</v>
          </cell>
          <cell r="DS7">
            <v>500</v>
          </cell>
          <cell r="DT7">
            <v>486</v>
          </cell>
          <cell r="DU7">
            <v>497</v>
          </cell>
          <cell r="DV7">
            <v>515</v>
          </cell>
          <cell r="DW7">
            <v>445</v>
          </cell>
          <cell r="DX7">
            <v>457</v>
          </cell>
          <cell r="DY7">
            <v>379</v>
          </cell>
          <cell r="DZ7">
            <v>338</v>
          </cell>
          <cell r="EA7">
            <v>379</v>
          </cell>
          <cell r="EB7">
            <v>415</v>
          </cell>
          <cell r="EC7">
            <v>361</v>
          </cell>
        </row>
        <row r="8">
          <cell r="CH8">
            <v>172</v>
          </cell>
          <cell r="CI8">
            <v>104</v>
          </cell>
          <cell r="CJ8">
            <v>133</v>
          </cell>
          <cell r="CK8">
            <v>119</v>
          </cell>
          <cell r="CL8">
            <v>77</v>
          </cell>
          <cell r="CM8">
            <v>94</v>
          </cell>
          <cell r="CN8">
            <v>95</v>
          </cell>
          <cell r="CO8">
            <v>58</v>
          </cell>
          <cell r="CP8">
            <v>78</v>
          </cell>
          <cell r="CQ8">
            <v>90</v>
          </cell>
          <cell r="CR8">
            <v>75</v>
          </cell>
          <cell r="CS8">
            <v>72</v>
          </cell>
          <cell r="CT8">
            <v>82</v>
          </cell>
          <cell r="CU8">
            <v>95</v>
          </cell>
          <cell r="CV8">
            <v>81</v>
          </cell>
          <cell r="CW8">
            <v>70</v>
          </cell>
          <cell r="CX8">
            <v>99</v>
          </cell>
          <cell r="CY8">
            <v>61</v>
          </cell>
          <cell r="CZ8">
            <v>65</v>
          </cell>
          <cell r="DA8">
            <v>59</v>
          </cell>
          <cell r="DB8">
            <v>47</v>
          </cell>
          <cell r="DC8">
            <v>79</v>
          </cell>
          <cell r="DD8">
            <v>68</v>
          </cell>
          <cell r="DE8">
            <v>55</v>
          </cell>
          <cell r="DF8">
            <v>86</v>
          </cell>
          <cell r="DG8">
            <v>73</v>
          </cell>
          <cell r="DH8">
            <v>77</v>
          </cell>
          <cell r="DI8">
            <v>59</v>
          </cell>
          <cell r="DJ8">
            <v>51</v>
          </cell>
          <cell r="DK8">
            <v>77</v>
          </cell>
          <cell r="DL8">
            <v>49</v>
          </cell>
          <cell r="DM8">
            <v>97</v>
          </cell>
          <cell r="DN8">
            <v>48</v>
          </cell>
          <cell r="DO8">
            <v>54</v>
          </cell>
          <cell r="DP8">
            <v>62</v>
          </cell>
          <cell r="DQ8">
            <v>60</v>
          </cell>
          <cell r="DR8">
            <v>61</v>
          </cell>
          <cell r="DS8">
            <v>74</v>
          </cell>
          <cell r="DT8">
            <v>55</v>
          </cell>
          <cell r="DU8">
            <v>75</v>
          </cell>
          <cell r="DV8">
            <v>71</v>
          </cell>
          <cell r="DW8">
            <v>36</v>
          </cell>
          <cell r="DX8">
            <v>64</v>
          </cell>
          <cell r="DY8">
            <v>40</v>
          </cell>
          <cell r="DZ8">
            <v>36</v>
          </cell>
          <cell r="EA8">
            <v>41</v>
          </cell>
          <cell r="EB8">
            <v>49</v>
          </cell>
          <cell r="EC8">
            <v>34</v>
          </cell>
        </row>
        <row r="13">
          <cell r="CH13">
            <v>174</v>
          </cell>
          <cell r="CI13">
            <v>122</v>
          </cell>
          <cell r="CJ13">
            <v>151</v>
          </cell>
          <cell r="CK13">
            <v>108</v>
          </cell>
          <cell r="CL13">
            <v>97</v>
          </cell>
          <cell r="CM13">
            <v>93</v>
          </cell>
          <cell r="CN13">
            <v>110</v>
          </cell>
          <cell r="CO13">
            <v>107</v>
          </cell>
          <cell r="CP13">
            <v>90</v>
          </cell>
          <cell r="CQ13">
            <v>106</v>
          </cell>
          <cell r="CR13">
            <v>91</v>
          </cell>
          <cell r="CS13">
            <v>99</v>
          </cell>
          <cell r="CT13">
            <v>118</v>
          </cell>
          <cell r="CU13">
            <v>99</v>
          </cell>
          <cell r="CV13">
            <v>100</v>
          </cell>
          <cell r="CW13">
            <v>120</v>
          </cell>
          <cell r="CX13">
            <v>110</v>
          </cell>
          <cell r="CY13">
            <v>91</v>
          </cell>
          <cell r="CZ13">
            <v>88</v>
          </cell>
          <cell r="DA13">
            <v>57</v>
          </cell>
          <cell r="DB13">
            <v>45</v>
          </cell>
          <cell r="DC13">
            <v>60</v>
          </cell>
          <cell r="DD13">
            <v>77</v>
          </cell>
          <cell r="DE13">
            <v>81</v>
          </cell>
          <cell r="DF13">
            <v>81</v>
          </cell>
          <cell r="DG13">
            <v>71</v>
          </cell>
          <cell r="DH13">
            <v>72</v>
          </cell>
          <cell r="DI13">
            <v>81</v>
          </cell>
          <cell r="DJ13">
            <v>103</v>
          </cell>
          <cell r="DK13">
            <v>95</v>
          </cell>
          <cell r="DL13">
            <v>76</v>
          </cell>
          <cell r="DM13">
            <v>58</v>
          </cell>
          <cell r="DN13">
            <v>60</v>
          </cell>
          <cell r="DO13">
            <v>60</v>
          </cell>
          <cell r="DP13">
            <v>77</v>
          </cell>
          <cell r="DQ13">
            <v>85</v>
          </cell>
          <cell r="DR13">
            <v>95</v>
          </cell>
          <cell r="DS13">
            <v>89</v>
          </cell>
          <cell r="DT13">
            <v>91</v>
          </cell>
          <cell r="DU13">
            <v>101</v>
          </cell>
          <cell r="DV13">
            <v>77</v>
          </cell>
          <cell r="DW13">
            <v>50</v>
          </cell>
          <cell r="DX13">
            <v>92</v>
          </cell>
          <cell r="DY13">
            <v>74</v>
          </cell>
          <cell r="DZ13">
            <v>53</v>
          </cell>
          <cell r="EA13">
            <v>55</v>
          </cell>
          <cell r="EB13">
            <v>58</v>
          </cell>
          <cell r="EC13">
            <v>89</v>
          </cell>
        </row>
        <row r="14">
          <cell r="AL14">
            <v>30</v>
          </cell>
          <cell r="AM14">
            <v>37</v>
          </cell>
          <cell r="AN14">
            <v>30</v>
          </cell>
          <cell r="AO14">
            <v>35</v>
          </cell>
          <cell r="AP14">
            <v>28</v>
          </cell>
          <cell r="AQ14">
            <v>21</v>
          </cell>
          <cell r="AR14">
            <v>24</v>
          </cell>
          <cell r="AS14">
            <v>21</v>
          </cell>
          <cell r="AT14">
            <v>17</v>
          </cell>
          <cell r="AU14">
            <v>16</v>
          </cell>
          <cell r="AV14">
            <v>15</v>
          </cell>
          <cell r="AW14">
            <v>23</v>
          </cell>
          <cell r="AX14">
            <v>20</v>
          </cell>
          <cell r="AY14">
            <v>32</v>
          </cell>
          <cell r="AZ14">
            <v>21</v>
          </cell>
          <cell r="BA14">
            <v>38</v>
          </cell>
          <cell r="BB14">
            <v>23</v>
          </cell>
          <cell r="BC14">
            <v>32</v>
          </cell>
          <cell r="BD14">
            <v>20</v>
          </cell>
          <cell r="BE14">
            <v>15</v>
          </cell>
          <cell r="BF14">
            <v>14</v>
          </cell>
          <cell r="BG14">
            <v>19</v>
          </cell>
          <cell r="BH14">
            <v>18</v>
          </cell>
          <cell r="BI14">
            <v>12</v>
          </cell>
          <cell r="BJ14">
            <v>10</v>
          </cell>
          <cell r="BK14">
            <v>8</v>
          </cell>
          <cell r="BL14">
            <v>12</v>
          </cell>
          <cell r="BM14">
            <v>18</v>
          </cell>
          <cell r="BN14">
            <v>23</v>
          </cell>
          <cell r="BO14">
            <v>22</v>
          </cell>
          <cell r="BP14">
            <v>20</v>
          </cell>
          <cell r="BQ14">
            <v>11</v>
          </cell>
          <cell r="BR14">
            <v>12</v>
          </cell>
          <cell r="BS14">
            <v>17</v>
          </cell>
          <cell r="BT14">
            <v>19</v>
          </cell>
          <cell r="BU14">
            <v>21</v>
          </cell>
          <cell r="BV14">
            <v>63</v>
          </cell>
          <cell r="BW14">
            <v>31</v>
          </cell>
          <cell r="BX14">
            <v>32</v>
          </cell>
          <cell r="BY14">
            <v>32</v>
          </cell>
          <cell r="BZ14">
            <v>30</v>
          </cell>
          <cell r="CA14">
            <v>21</v>
          </cell>
          <cell r="CB14">
            <v>14</v>
          </cell>
          <cell r="CC14">
            <v>14</v>
          </cell>
          <cell r="CD14">
            <v>14</v>
          </cell>
          <cell r="CE14">
            <v>18</v>
          </cell>
          <cell r="CF14">
            <v>13</v>
          </cell>
          <cell r="CG14">
            <v>16</v>
          </cell>
          <cell r="CH14">
            <v>25</v>
          </cell>
          <cell r="CI14">
            <v>19</v>
          </cell>
          <cell r="CJ14">
            <v>29</v>
          </cell>
          <cell r="CK14">
            <v>23</v>
          </cell>
          <cell r="CL14">
            <v>17</v>
          </cell>
          <cell r="CM14">
            <v>19</v>
          </cell>
          <cell r="CN14">
            <v>24</v>
          </cell>
          <cell r="CO14">
            <v>19</v>
          </cell>
          <cell r="CP14">
            <v>19</v>
          </cell>
          <cell r="CQ14">
            <v>20</v>
          </cell>
          <cell r="CR14">
            <v>11</v>
          </cell>
          <cell r="CS14">
            <v>25</v>
          </cell>
          <cell r="CT14">
            <v>15</v>
          </cell>
          <cell r="CU14">
            <v>14</v>
          </cell>
          <cell r="CV14">
            <v>25</v>
          </cell>
          <cell r="CW14">
            <v>21</v>
          </cell>
          <cell r="CX14">
            <v>24</v>
          </cell>
          <cell r="CY14">
            <v>17</v>
          </cell>
          <cell r="CZ14">
            <v>12</v>
          </cell>
          <cell r="DA14">
            <v>12</v>
          </cell>
          <cell r="DB14">
            <v>15</v>
          </cell>
          <cell r="DC14">
            <v>11</v>
          </cell>
          <cell r="DD14">
            <v>14</v>
          </cell>
          <cell r="DE14">
            <v>13</v>
          </cell>
          <cell r="DF14">
            <v>12</v>
          </cell>
          <cell r="DG14">
            <v>9</v>
          </cell>
          <cell r="DH14">
            <v>13</v>
          </cell>
          <cell r="DI14">
            <v>18</v>
          </cell>
          <cell r="DJ14">
            <v>12</v>
          </cell>
          <cell r="DK14">
            <v>27</v>
          </cell>
          <cell r="DL14">
            <v>20</v>
          </cell>
          <cell r="DM14">
            <v>12</v>
          </cell>
          <cell r="DN14">
            <v>8</v>
          </cell>
          <cell r="DO14">
            <v>19</v>
          </cell>
          <cell r="DP14">
            <v>30</v>
          </cell>
          <cell r="DQ14">
            <v>31</v>
          </cell>
          <cell r="DR14">
            <v>31</v>
          </cell>
          <cell r="DS14">
            <v>23</v>
          </cell>
          <cell r="DT14">
            <v>35</v>
          </cell>
          <cell r="DU14">
            <v>29</v>
          </cell>
          <cell r="DV14">
            <v>22</v>
          </cell>
          <cell r="DW14">
            <v>14</v>
          </cell>
          <cell r="DX14">
            <v>36</v>
          </cell>
          <cell r="DY14">
            <v>26</v>
          </cell>
          <cell r="DZ14">
            <v>17</v>
          </cell>
          <cell r="EA14">
            <v>15</v>
          </cell>
          <cell r="EB14">
            <v>17</v>
          </cell>
          <cell r="EC14">
            <v>28</v>
          </cell>
        </row>
        <row r="15">
          <cell r="CH15">
            <v>126</v>
          </cell>
          <cell r="CI15">
            <v>91</v>
          </cell>
          <cell r="CJ15">
            <v>96</v>
          </cell>
          <cell r="CK15">
            <v>74</v>
          </cell>
          <cell r="CL15">
            <v>73</v>
          </cell>
          <cell r="CM15">
            <v>67</v>
          </cell>
          <cell r="CN15">
            <v>69</v>
          </cell>
          <cell r="CO15">
            <v>81</v>
          </cell>
          <cell r="CP15">
            <v>57</v>
          </cell>
          <cell r="CQ15">
            <v>74</v>
          </cell>
          <cell r="CR15">
            <v>67</v>
          </cell>
          <cell r="CS15">
            <v>62</v>
          </cell>
          <cell r="CT15">
            <v>96</v>
          </cell>
          <cell r="CU15">
            <v>74</v>
          </cell>
          <cell r="CV15">
            <v>68</v>
          </cell>
          <cell r="CW15">
            <v>88</v>
          </cell>
          <cell r="CX15">
            <v>76</v>
          </cell>
          <cell r="CY15">
            <v>62</v>
          </cell>
          <cell r="CZ15">
            <v>67</v>
          </cell>
          <cell r="DA15">
            <v>36</v>
          </cell>
          <cell r="DB15">
            <v>28</v>
          </cell>
          <cell r="DC15">
            <v>43</v>
          </cell>
          <cell r="DD15">
            <v>52</v>
          </cell>
          <cell r="DE15">
            <v>61</v>
          </cell>
          <cell r="DF15">
            <v>60</v>
          </cell>
          <cell r="DG15">
            <v>53</v>
          </cell>
          <cell r="DH15">
            <v>49</v>
          </cell>
          <cell r="DI15">
            <v>57</v>
          </cell>
          <cell r="DJ15">
            <v>84</v>
          </cell>
          <cell r="DK15">
            <v>60</v>
          </cell>
          <cell r="DL15">
            <v>55</v>
          </cell>
          <cell r="DM15">
            <v>32</v>
          </cell>
          <cell r="DN15">
            <v>49</v>
          </cell>
          <cell r="DO15">
            <v>33</v>
          </cell>
          <cell r="DP15">
            <v>40</v>
          </cell>
          <cell r="DQ15">
            <v>47</v>
          </cell>
          <cell r="DR15">
            <v>56</v>
          </cell>
          <cell r="DS15">
            <v>59</v>
          </cell>
          <cell r="DT15">
            <v>43</v>
          </cell>
          <cell r="DU15">
            <v>61</v>
          </cell>
          <cell r="DV15">
            <v>44</v>
          </cell>
          <cell r="DW15">
            <v>33</v>
          </cell>
          <cell r="DX15">
            <v>51</v>
          </cell>
          <cell r="DY15">
            <v>42</v>
          </cell>
          <cell r="DZ15">
            <v>29</v>
          </cell>
          <cell r="EA15">
            <v>35</v>
          </cell>
          <cell r="EB15">
            <v>33</v>
          </cell>
          <cell r="EC15">
            <v>52</v>
          </cell>
        </row>
        <row r="16">
          <cell r="CH16">
            <v>23</v>
          </cell>
          <cell r="CI16">
            <v>12</v>
          </cell>
          <cell r="CJ16">
            <v>26</v>
          </cell>
          <cell r="CK16">
            <v>11</v>
          </cell>
          <cell r="CL16">
            <v>7</v>
          </cell>
          <cell r="CM16">
            <v>7</v>
          </cell>
          <cell r="CN16">
            <v>17</v>
          </cell>
          <cell r="CO16">
            <v>7</v>
          </cell>
          <cell r="CP16">
            <v>14</v>
          </cell>
          <cell r="CQ16">
            <v>12</v>
          </cell>
          <cell r="CR16">
            <v>13</v>
          </cell>
          <cell r="CS16">
            <v>12</v>
          </cell>
          <cell r="CT16">
            <v>7</v>
          </cell>
          <cell r="CU16">
            <v>11</v>
          </cell>
          <cell r="CV16">
            <v>7</v>
          </cell>
          <cell r="CW16">
            <v>11</v>
          </cell>
          <cell r="CX16">
            <v>10</v>
          </cell>
          <cell r="CY16">
            <v>12</v>
          </cell>
          <cell r="CZ16">
            <v>9</v>
          </cell>
          <cell r="DA16">
            <v>9</v>
          </cell>
          <cell r="DB16">
            <v>2</v>
          </cell>
          <cell r="DC16">
            <v>6</v>
          </cell>
          <cell r="DD16">
            <v>11</v>
          </cell>
          <cell r="DE16">
            <v>7</v>
          </cell>
          <cell r="DF16">
            <v>9</v>
          </cell>
          <cell r="DG16">
            <v>9</v>
          </cell>
          <cell r="DH16">
            <v>10</v>
          </cell>
          <cell r="DI16">
            <v>6</v>
          </cell>
          <cell r="DJ16">
            <v>7</v>
          </cell>
          <cell r="DK16">
            <v>8</v>
          </cell>
          <cell r="DL16">
            <v>1</v>
          </cell>
          <cell r="DM16">
            <v>14</v>
          </cell>
          <cell r="DN16">
            <v>3</v>
          </cell>
          <cell r="DO16">
            <v>8</v>
          </cell>
          <cell r="DP16">
            <v>7</v>
          </cell>
          <cell r="DQ16">
            <v>7</v>
          </cell>
          <cell r="DR16">
            <v>8</v>
          </cell>
          <cell r="DS16">
            <v>7</v>
          </cell>
          <cell r="DT16">
            <v>13</v>
          </cell>
          <cell r="DU16">
            <v>11</v>
          </cell>
          <cell r="DV16">
            <v>11</v>
          </cell>
          <cell r="DW16">
            <v>3</v>
          </cell>
          <cell r="DX16">
            <v>5</v>
          </cell>
          <cell r="DY16">
            <v>6</v>
          </cell>
          <cell r="DZ16">
            <v>7</v>
          </cell>
          <cell r="EA16">
            <v>5</v>
          </cell>
          <cell r="EB16">
            <v>8</v>
          </cell>
          <cell r="EC16">
            <v>9</v>
          </cell>
        </row>
        <row r="21">
          <cell r="AL21">
            <v>494</v>
          </cell>
          <cell r="AM21">
            <v>505</v>
          </cell>
          <cell r="AN21">
            <v>525</v>
          </cell>
          <cell r="AO21">
            <v>487</v>
          </cell>
          <cell r="AP21">
            <v>474</v>
          </cell>
          <cell r="AQ21">
            <v>384</v>
          </cell>
          <cell r="AR21">
            <v>483</v>
          </cell>
          <cell r="AS21">
            <v>367</v>
          </cell>
          <cell r="AT21">
            <v>313</v>
          </cell>
          <cell r="AU21">
            <v>289</v>
          </cell>
          <cell r="AV21">
            <v>299</v>
          </cell>
          <cell r="AW21">
            <v>390</v>
          </cell>
          <cell r="AX21">
            <v>384</v>
          </cell>
          <cell r="AY21">
            <v>412</v>
          </cell>
          <cell r="AZ21">
            <v>427</v>
          </cell>
          <cell r="BA21">
            <v>487</v>
          </cell>
          <cell r="BB21">
            <v>449</v>
          </cell>
          <cell r="BC21">
            <v>340</v>
          </cell>
          <cell r="BD21">
            <v>269</v>
          </cell>
          <cell r="BE21">
            <v>289</v>
          </cell>
          <cell r="BF21">
            <v>293</v>
          </cell>
          <cell r="BG21">
            <v>280</v>
          </cell>
          <cell r="BH21">
            <v>236</v>
          </cell>
          <cell r="BI21">
            <v>286</v>
          </cell>
          <cell r="BJ21">
            <v>294</v>
          </cell>
          <cell r="BK21">
            <v>339</v>
          </cell>
          <cell r="BL21">
            <v>293</v>
          </cell>
          <cell r="BM21">
            <v>392</v>
          </cell>
          <cell r="BN21">
            <v>405</v>
          </cell>
          <cell r="BO21">
            <v>349</v>
          </cell>
          <cell r="BP21">
            <v>244</v>
          </cell>
          <cell r="BQ21">
            <v>187</v>
          </cell>
          <cell r="BR21">
            <v>172</v>
          </cell>
          <cell r="BS21">
            <v>212</v>
          </cell>
          <cell r="BT21">
            <v>218</v>
          </cell>
          <cell r="BU21">
            <v>283</v>
          </cell>
          <cell r="BV21">
            <v>685</v>
          </cell>
          <cell r="BW21">
            <v>579</v>
          </cell>
          <cell r="BX21">
            <v>451</v>
          </cell>
          <cell r="BY21">
            <v>440</v>
          </cell>
          <cell r="BZ21">
            <v>459</v>
          </cell>
          <cell r="CA21">
            <v>414</v>
          </cell>
          <cell r="CB21">
            <v>330</v>
          </cell>
          <cell r="CC21">
            <v>293</v>
          </cell>
          <cell r="CD21">
            <v>216</v>
          </cell>
          <cell r="CE21">
            <v>331</v>
          </cell>
          <cell r="CF21">
            <v>300</v>
          </cell>
          <cell r="CG21">
            <v>315</v>
          </cell>
          <cell r="CH21">
            <v>377</v>
          </cell>
          <cell r="CI21">
            <v>303</v>
          </cell>
          <cell r="CJ21">
            <v>354</v>
          </cell>
          <cell r="CK21">
            <v>371</v>
          </cell>
          <cell r="CL21">
            <v>319</v>
          </cell>
          <cell r="CM21">
            <v>288</v>
          </cell>
          <cell r="CN21">
            <v>320</v>
          </cell>
          <cell r="CO21">
            <v>278</v>
          </cell>
          <cell r="CP21">
            <v>264</v>
          </cell>
          <cell r="CQ21">
            <v>281</v>
          </cell>
          <cell r="CR21">
            <v>282</v>
          </cell>
          <cell r="CS21">
            <v>313</v>
          </cell>
          <cell r="CT21">
            <v>320</v>
          </cell>
          <cell r="CU21">
            <v>317</v>
          </cell>
          <cell r="CV21">
            <v>295</v>
          </cell>
          <cell r="CW21">
            <v>274</v>
          </cell>
          <cell r="CX21">
            <v>292</v>
          </cell>
          <cell r="CY21">
            <v>233</v>
          </cell>
          <cell r="CZ21">
            <v>223</v>
          </cell>
          <cell r="DA21">
            <v>191</v>
          </cell>
          <cell r="DB21">
            <v>160</v>
          </cell>
          <cell r="DC21">
            <v>179</v>
          </cell>
          <cell r="DD21">
            <v>230</v>
          </cell>
          <cell r="DE21">
            <v>225</v>
          </cell>
          <cell r="DF21">
            <v>260</v>
          </cell>
          <cell r="DG21">
            <v>221</v>
          </cell>
          <cell r="DH21">
            <v>215</v>
          </cell>
          <cell r="DI21">
            <v>224</v>
          </cell>
          <cell r="DJ21">
            <v>249</v>
          </cell>
          <cell r="DK21">
            <v>236</v>
          </cell>
          <cell r="DL21">
            <v>150</v>
          </cell>
          <cell r="DM21">
            <v>144</v>
          </cell>
          <cell r="DN21">
            <v>163</v>
          </cell>
          <cell r="DO21">
            <v>171</v>
          </cell>
          <cell r="DP21">
            <v>170</v>
          </cell>
          <cell r="DQ21">
            <v>173</v>
          </cell>
          <cell r="DR21">
            <v>242</v>
          </cell>
          <cell r="DS21">
            <v>295</v>
          </cell>
          <cell r="DT21">
            <v>256</v>
          </cell>
          <cell r="DU21">
            <v>254</v>
          </cell>
          <cell r="DV21">
            <v>275</v>
          </cell>
          <cell r="DW21">
            <v>249</v>
          </cell>
          <cell r="DX21">
            <v>231</v>
          </cell>
          <cell r="DY21">
            <v>198</v>
          </cell>
          <cell r="DZ21">
            <v>176</v>
          </cell>
          <cell r="EA21">
            <v>195</v>
          </cell>
          <cell r="EB21">
            <v>204</v>
          </cell>
          <cell r="EC21">
            <v>281</v>
          </cell>
        </row>
        <row r="22">
          <cell r="AL22">
            <v>78</v>
          </cell>
          <cell r="AM22">
            <v>94</v>
          </cell>
          <cell r="AN22">
            <v>83</v>
          </cell>
          <cell r="AO22">
            <v>72</v>
          </cell>
          <cell r="AP22">
            <v>78</v>
          </cell>
          <cell r="AQ22">
            <v>68</v>
          </cell>
          <cell r="AR22">
            <v>58</v>
          </cell>
          <cell r="AS22">
            <v>50</v>
          </cell>
          <cell r="AT22">
            <v>43</v>
          </cell>
          <cell r="AU22">
            <v>41</v>
          </cell>
          <cell r="AV22">
            <v>41</v>
          </cell>
          <cell r="AW22">
            <v>62</v>
          </cell>
          <cell r="AX22">
            <v>57</v>
          </cell>
          <cell r="AY22">
            <v>68</v>
          </cell>
          <cell r="AZ22">
            <v>74</v>
          </cell>
          <cell r="BA22">
            <v>82</v>
          </cell>
          <cell r="BB22">
            <v>76</v>
          </cell>
          <cell r="BC22">
            <v>69</v>
          </cell>
          <cell r="BD22">
            <v>45</v>
          </cell>
          <cell r="BE22">
            <v>50</v>
          </cell>
          <cell r="BF22">
            <v>35</v>
          </cell>
          <cell r="BG22">
            <v>45</v>
          </cell>
          <cell r="BH22">
            <v>42</v>
          </cell>
          <cell r="BI22">
            <v>57</v>
          </cell>
          <cell r="BJ22">
            <v>49</v>
          </cell>
          <cell r="BK22">
            <v>55</v>
          </cell>
          <cell r="BL22">
            <v>51</v>
          </cell>
          <cell r="BM22">
            <v>70</v>
          </cell>
          <cell r="BN22">
            <v>53</v>
          </cell>
          <cell r="BO22">
            <v>60</v>
          </cell>
          <cell r="BP22">
            <v>40</v>
          </cell>
          <cell r="BQ22">
            <v>34</v>
          </cell>
          <cell r="BR22">
            <v>24</v>
          </cell>
          <cell r="BS22">
            <v>44</v>
          </cell>
          <cell r="BT22">
            <v>36</v>
          </cell>
          <cell r="BU22">
            <v>46</v>
          </cell>
          <cell r="BV22">
            <v>127</v>
          </cell>
          <cell r="BW22">
            <v>69</v>
          </cell>
          <cell r="BX22">
            <v>58</v>
          </cell>
          <cell r="BY22">
            <v>63</v>
          </cell>
          <cell r="BZ22">
            <v>67</v>
          </cell>
          <cell r="CA22">
            <v>64</v>
          </cell>
          <cell r="CB22">
            <v>46</v>
          </cell>
          <cell r="CC22">
            <v>36</v>
          </cell>
          <cell r="CD22">
            <v>30</v>
          </cell>
          <cell r="CE22">
            <v>42</v>
          </cell>
          <cell r="CF22">
            <v>48</v>
          </cell>
          <cell r="CG22">
            <v>52</v>
          </cell>
          <cell r="CH22">
            <v>45</v>
          </cell>
          <cell r="CI22">
            <v>52</v>
          </cell>
          <cell r="CJ22">
            <v>69</v>
          </cell>
          <cell r="CK22">
            <v>57</v>
          </cell>
          <cell r="CL22">
            <v>54</v>
          </cell>
          <cell r="CM22">
            <v>47</v>
          </cell>
          <cell r="CN22">
            <v>47</v>
          </cell>
          <cell r="CO22">
            <v>41</v>
          </cell>
          <cell r="CP22">
            <v>42</v>
          </cell>
          <cell r="CQ22">
            <v>43</v>
          </cell>
          <cell r="CR22">
            <v>47</v>
          </cell>
          <cell r="CS22">
            <v>62</v>
          </cell>
          <cell r="CT22">
            <v>37</v>
          </cell>
          <cell r="CU22">
            <v>54</v>
          </cell>
          <cell r="CV22">
            <v>48</v>
          </cell>
          <cell r="CW22">
            <v>34</v>
          </cell>
          <cell r="CX22">
            <v>52</v>
          </cell>
          <cell r="CY22">
            <v>42</v>
          </cell>
          <cell r="CZ22">
            <v>35</v>
          </cell>
          <cell r="DA22">
            <v>28</v>
          </cell>
          <cell r="DB22">
            <v>24</v>
          </cell>
          <cell r="DC22">
            <v>26</v>
          </cell>
          <cell r="DD22">
            <v>34</v>
          </cell>
          <cell r="DE22">
            <v>36</v>
          </cell>
          <cell r="DF22">
            <v>30</v>
          </cell>
          <cell r="DG22">
            <v>35</v>
          </cell>
          <cell r="DH22">
            <v>36</v>
          </cell>
          <cell r="DI22">
            <v>38</v>
          </cell>
          <cell r="DJ22">
            <v>52</v>
          </cell>
          <cell r="DK22">
            <v>49</v>
          </cell>
          <cell r="DL22">
            <v>38</v>
          </cell>
          <cell r="DM22">
            <v>39</v>
          </cell>
          <cell r="DN22">
            <v>46</v>
          </cell>
          <cell r="DO22">
            <v>43</v>
          </cell>
          <cell r="DP22">
            <v>45</v>
          </cell>
          <cell r="DQ22">
            <v>46</v>
          </cell>
          <cell r="DR22">
            <v>63</v>
          </cell>
          <cell r="DS22">
            <v>71</v>
          </cell>
          <cell r="DT22">
            <v>69</v>
          </cell>
          <cell r="DU22">
            <v>64</v>
          </cell>
          <cell r="DV22">
            <v>66</v>
          </cell>
          <cell r="DW22">
            <v>60</v>
          </cell>
          <cell r="DX22">
            <v>55</v>
          </cell>
          <cell r="DY22">
            <v>47</v>
          </cell>
          <cell r="DZ22">
            <v>50</v>
          </cell>
          <cell r="EA22">
            <v>47</v>
          </cell>
          <cell r="EB22">
            <v>50</v>
          </cell>
          <cell r="EC22">
            <v>50</v>
          </cell>
        </row>
        <row r="23">
          <cell r="CH23">
            <v>279</v>
          </cell>
          <cell r="CI23">
            <v>224</v>
          </cell>
          <cell r="CJ23">
            <v>245</v>
          </cell>
          <cell r="CK23">
            <v>278</v>
          </cell>
          <cell r="CL23">
            <v>250</v>
          </cell>
          <cell r="CM23">
            <v>213</v>
          </cell>
          <cell r="CN23">
            <v>243</v>
          </cell>
          <cell r="CO23">
            <v>215</v>
          </cell>
          <cell r="CP23">
            <v>196</v>
          </cell>
          <cell r="CQ23">
            <v>210</v>
          </cell>
          <cell r="CR23">
            <v>207</v>
          </cell>
          <cell r="CS23">
            <v>230</v>
          </cell>
          <cell r="CT23">
            <v>254</v>
          </cell>
          <cell r="CU23">
            <v>231</v>
          </cell>
          <cell r="CV23">
            <v>227</v>
          </cell>
          <cell r="CW23">
            <v>219</v>
          </cell>
          <cell r="CX23">
            <v>209</v>
          </cell>
          <cell r="CY23">
            <v>166</v>
          </cell>
          <cell r="CZ23">
            <v>161</v>
          </cell>
          <cell r="DA23">
            <v>144</v>
          </cell>
          <cell r="DB23">
            <v>118</v>
          </cell>
          <cell r="DC23">
            <v>138</v>
          </cell>
          <cell r="DD23">
            <v>175</v>
          </cell>
          <cell r="DE23">
            <v>171</v>
          </cell>
          <cell r="DF23">
            <v>182</v>
          </cell>
          <cell r="DG23">
            <v>161</v>
          </cell>
          <cell r="DH23">
            <v>153</v>
          </cell>
          <cell r="DI23">
            <v>167</v>
          </cell>
          <cell r="DJ23">
            <v>183</v>
          </cell>
          <cell r="DK23">
            <v>153</v>
          </cell>
          <cell r="DL23">
            <v>101</v>
          </cell>
          <cell r="DM23">
            <v>79</v>
          </cell>
          <cell r="DN23">
            <v>104</v>
          </cell>
          <cell r="DO23">
            <v>113</v>
          </cell>
          <cell r="DP23">
            <v>113</v>
          </cell>
          <cell r="DQ23">
            <v>119</v>
          </cell>
          <cell r="DR23">
            <v>154</v>
          </cell>
          <cell r="DS23">
            <v>196</v>
          </cell>
          <cell r="DT23">
            <v>169</v>
          </cell>
          <cell r="DU23">
            <v>162</v>
          </cell>
          <cell r="DV23">
            <v>191</v>
          </cell>
          <cell r="DW23">
            <v>176</v>
          </cell>
          <cell r="DX23">
            <v>151</v>
          </cell>
          <cell r="DY23">
            <v>136</v>
          </cell>
          <cell r="DZ23">
            <v>114</v>
          </cell>
          <cell r="EA23">
            <v>132</v>
          </cell>
          <cell r="EB23">
            <v>140</v>
          </cell>
          <cell r="EC23">
            <v>216</v>
          </cell>
        </row>
        <row r="24">
          <cell r="CH24">
            <v>53</v>
          </cell>
          <cell r="CI24">
            <v>27</v>
          </cell>
          <cell r="CJ24">
            <v>40</v>
          </cell>
          <cell r="CK24">
            <v>36</v>
          </cell>
          <cell r="CL24">
            <v>15</v>
          </cell>
          <cell r="CM24">
            <v>28</v>
          </cell>
          <cell r="CN24">
            <v>30</v>
          </cell>
          <cell r="CO24">
            <v>22</v>
          </cell>
          <cell r="CP24">
            <v>26</v>
          </cell>
          <cell r="CQ24">
            <v>28</v>
          </cell>
          <cell r="CR24">
            <v>28</v>
          </cell>
          <cell r="CS24">
            <v>21</v>
          </cell>
          <cell r="CT24">
            <v>29</v>
          </cell>
          <cell r="CU24">
            <v>32</v>
          </cell>
          <cell r="CV24">
            <v>20</v>
          </cell>
          <cell r="CW24">
            <v>21</v>
          </cell>
          <cell r="CX24">
            <v>31</v>
          </cell>
          <cell r="CY24">
            <v>25</v>
          </cell>
          <cell r="CZ24">
            <v>27</v>
          </cell>
          <cell r="DA24">
            <v>19</v>
          </cell>
          <cell r="DB24">
            <v>18</v>
          </cell>
          <cell r="DC24">
            <v>15</v>
          </cell>
          <cell r="DD24">
            <v>21</v>
          </cell>
          <cell r="DE24">
            <v>18</v>
          </cell>
          <cell r="DF24">
            <v>48</v>
          </cell>
          <cell r="DG24">
            <v>25</v>
          </cell>
          <cell r="DH24">
            <v>26</v>
          </cell>
          <cell r="DI24">
            <v>19</v>
          </cell>
          <cell r="DJ24">
            <v>14</v>
          </cell>
          <cell r="DK24">
            <v>34</v>
          </cell>
          <cell r="DL24">
            <v>11</v>
          </cell>
          <cell r="DM24">
            <v>26</v>
          </cell>
          <cell r="DN24">
            <v>13</v>
          </cell>
          <cell r="DO24">
            <v>15</v>
          </cell>
          <cell r="DP24">
            <v>12</v>
          </cell>
          <cell r="DQ24">
            <v>8</v>
          </cell>
          <cell r="DR24">
            <v>25</v>
          </cell>
          <cell r="DS24">
            <v>28</v>
          </cell>
          <cell r="DT24">
            <v>18</v>
          </cell>
          <cell r="DU24">
            <v>28</v>
          </cell>
          <cell r="DV24">
            <v>18</v>
          </cell>
          <cell r="DW24">
            <v>13</v>
          </cell>
          <cell r="DX24">
            <v>25</v>
          </cell>
          <cell r="DY24">
            <v>15</v>
          </cell>
          <cell r="DZ24">
            <v>12</v>
          </cell>
          <cell r="EA24">
            <v>16</v>
          </cell>
          <cell r="EB24">
            <v>14</v>
          </cell>
          <cell r="EC24">
            <v>15</v>
          </cell>
        </row>
        <row r="29">
          <cell r="CH29">
            <v>210</v>
          </cell>
          <cell r="CI29">
            <v>171</v>
          </cell>
          <cell r="CJ29">
            <v>212</v>
          </cell>
          <cell r="CK29">
            <v>180</v>
          </cell>
          <cell r="CL29">
            <v>144</v>
          </cell>
          <cell r="CM29">
            <v>169</v>
          </cell>
          <cell r="CN29">
            <v>153</v>
          </cell>
          <cell r="CO29">
            <v>123</v>
          </cell>
          <cell r="CP29">
            <v>140</v>
          </cell>
          <cell r="CQ29">
            <v>145</v>
          </cell>
          <cell r="CR29">
            <v>119</v>
          </cell>
          <cell r="CS29">
            <v>147</v>
          </cell>
          <cell r="CT29">
            <v>155</v>
          </cell>
          <cell r="CU29">
            <v>157</v>
          </cell>
          <cell r="CV29">
            <v>174</v>
          </cell>
          <cell r="CW29">
            <v>145</v>
          </cell>
          <cell r="CX29">
            <v>156</v>
          </cell>
          <cell r="CY29">
            <v>112</v>
          </cell>
          <cell r="CZ29">
            <v>145</v>
          </cell>
          <cell r="DA29">
            <v>119</v>
          </cell>
          <cell r="DB29">
            <v>85</v>
          </cell>
          <cell r="DC29">
            <v>90</v>
          </cell>
          <cell r="DD29">
            <v>115</v>
          </cell>
          <cell r="DE29">
            <v>94</v>
          </cell>
          <cell r="DF29">
            <v>122</v>
          </cell>
          <cell r="DG29">
            <v>132</v>
          </cell>
          <cell r="DH29">
            <v>106</v>
          </cell>
          <cell r="DI29">
            <v>95</v>
          </cell>
          <cell r="DJ29">
            <v>103</v>
          </cell>
          <cell r="DK29">
            <v>76</v>
          </cell>
          <cell r="DL29">
            <v>62</v>
          </cell>
          <cell r="DM29">
            <v>68</v>
          </cell>
          <cell r="DN29">
            <v>61</v>
          </cell>
          <cell r="DO29">
            <v>68</v>
          </cell>
          <cell r="DP29">
            <v>79</v>
          </cell>
          <cell r="DQ29">
            <v>103</v>
          </cell>
          <cell r="DR29">
            <v>87</v>
          </cell>
          <cell r="DS29">
            <v>128</v>
          </cell>
          <cell r="DT29">
            <v>105</v>
          </cell>
          <cell r="DU29">
            <v>118</v>
          </cell>
          <cell r="DV29">
            <v>114</v>
          </cell>
          <cell r="DW29">
            <v>99</v>
          </cell>
          <cell r="DX29">
            <v>96</v>
          </cell>
          <cell r="DY29">
            <v>93</v>
          </cell>
          <cell r="DZ29">
            <v>82</v>
          </cell>
          <cell r="EA29">
            <v>76</v>
          </cell>
          <cell r="EB29">
            <v>99</v>
          </cell>
          <cell r="EC29">
            <v>143</v>
          </cell>
        </row>
        <row r="30">
          <cell r="AL30">
            <v>46</v>
          </cell>
          <cell r="AM30">
            <v>39</v>
          </cell>
          <cell r="AN30">
            <v>38</v>
          </cell>
          <cell r="AO30">
            <v>56</v>
          </cell>
          <cell r="AP30">
            <v>36</v>
          </cell>
          <cell r="AQ30">
            <v>29</v>
          </cell>
          <cell r="AR30">
            <v>34</v>
          </cell>
          <cell r="AS30">
            <v>25</v>
          </cell>
          <cell r="AT30">
            <v>37</v>
          </cell>
          <cell r="AU30">
            <v>42</v>
          </cell>
          <cell r="AV30">
            <v>26</v>
          </cell>
          <cell r="AW30">
            <v>41</v>
          </cell>
          <cell r="AX30">
            <v>27</v>
          </cell>
          <cell r="AY30">
            <v>37</v>
          </cell>
          <cell r="AZ30">
            <v>36</v>
          </cell>
          <cell r="BA30">
            <v>41</v>
          </cell>
          <cell r="BB30">
            <v>22</v>
          </cell>
          <cell r="BC30">
            <v>32</v>
          </cell>
          <cell r="BD30">
            <v>36</v>
          </cell>
          <cell r="BE30">
            <v>28</v>
          </cell>
          <cell r="BF30">
            <v>26</v>
          </cell>
          <cell r="BG30">
            <v>21</v>
          </cell>
          <cell r="BH30">
            <v>30</v>
          </cell>
          <cell r="BI30">
            <v>33</v>
          </cell>
          <cell r="BJ30">
            <v>32</v>
          </cell>
          <cell r="BK30">
            <v>32</v>
          </cell>
          <cell r="BL30">
            <v>36</v>
          </cell>
          <cell r="BM30">
            <v>34</v>
          </cell>
          <cell r="BN30">
            <v>21</v>
          </cell>
          <cell r="BO30">
            <v>36</v>
          </cell>
          <cell r="BP30">
            <v>28</v>
          </cell>
          <cell r="BQ30">
            <v>20</v>
          </cell>
          <cell r="BR30">
            <v>23</v>
          </cell>
          <cell r="BS30">
            <v>23</v>
          </cell>
          <cell r="BT30">
            <v>19</v>
          </cell>
          <cell r="BU30">
            <v>29</v>
          </cell>
          <cell r="BV30">
            <v>56</v>
          </cell>
          <cell r="BW30">
            <v>47</v>
          </cell>
          <cell r="BX30">
            <v>31</v>
          </cell>
          <cell r="BY30">
            <v>37</v>
          </cell>
          <cell r="BZ30">
            <v>42</v>
          </cell>
          <cell r="CA30">
            <v>32</v>
          </cell>
          <cell r="CB30">
            <v>26</v>
          </cell>
          <cell r="CC30">
            <v>26</v>
          </cell>
          <cell r="CD30">
            <v>27</v>
          </cell>
          <cell r="CE30">
            <v>27</v>
          </cell>
          <cell r="CF30">
            <v>23</v>
          </cell>
          <cell r="CG30">
            <v>15</v>
          </cell>
          <cell r="CH30">
            <v>35</v>
          </cell>
          <cell r="CI30">
            <v>28</v>
          </cell>
          <cell r="CJ30">
            <v>36</v>
          </cell>
          <cell r="CK30">
            <v>34</v>
          </cell>
          <cell r="CL30">
            <v>29</v>
          </cell>
          <cell r="CM30">
            <v>27</v>
          </cell>
          <cell r="CN30">
            <v>29</v>
          </cell>
          <cell r="CO30">
            <v>29</v>
          </cell>
          <cell r="CP30">
            <v>30</v>
          </cell>
          <cell r="CQ30">
            <v>22</v>
          </cell>
          <cell r="CR30">
            <v>22</v>
          </cell>
          <cell r="CS30">
            <v>23</v>
          </cell>
          <cell r="CT30">
            <v>36</v>
          </cell>
          <cell r="CU30">
            <v>23</v>
          </cell>
          <cell r="CV30">
            <v>33</v>
          </cell>
          <cell r="CW30">
            <v>21</v>
          </cell>
          <cell r="CX30">
            <v>42</v>
          </cell>
          <cell r="CY30">
            <v>24</v>
          </cell>
          <cell r="CZ30">
            <v>24</v>
          </cell>
          <cell r="DA30">
            <v>33</v>
          </cell>
          <cell r="DB30">
            <v>24</v>
          </cell>
          <cell r="DC30">
            <v>15</v>
          </cell>
          <cell r="DD30">
            <v>13</v>
          </cell>
          <cell r="DE30">
            <v>19</v>
          </cell>
          <cell r="DF30">
            <v>17</v>
          </cell>
          <cell r="DG30">
            <v>19</v>
          </cell>
          <cell r="DH30">
            <v>22</v>
          </cell>
          <cell r="DI30">
            <v>18</v>
          </cell>
          <cell r="DJ30">
            <v>27</v>
          </cell>
          <cell r="DK30">
            <v>27</v>
          </cell>
          <cell r="DL30">
            <v>18</v>
          </cell>
          <cell r="DM30">
            <v>25</v>
          </cell>
          <cell r="DN30">
            <v>23</v>
          </cell>
          <cell r="DO30">
            <v>22</v>
          </cell>
          <cell r="DP30">
            <v>23</v>
          </cell>
          <cell r="DQ30">
            <v>42</v>
          </cell>
          <cell r="DR30">
            <v>30</v>
          </cell>
          <cell r="DS30">
            <v>43</v>
          </cell>
          <cell r="DT30">
            <v>34</v>
          </cell>
          <cell r="DU30">
            <v>45</v>
          </cell>
          <cell r="DV30">
            <v>32</v>
          </cell>
          <cell r="DW30">
            <v>37</v>
          </cell>
          <cell r="DX30">
            <v>34</v>
          </cell>
          <cell r="DY30">
            <v>32</v>
          </cell>
          <cell r="DZ30">
            <v>24</v>
          </cell>
          <cell r="EA30">
            <v>24</v>
          </cell>
          <cell r="EB30">
            <v>23</v>
          </cell>
          <cell r="EC30">
            <v>40</v>
          </cell>
        </row>
        <row r="31">
          <cell r="CH31">
            <v>152</v>
          </cell>
          <cell r="CI31">
            <v>127</v>
          </cell>
          <cell r="CJ31">
            <v>161</v>
          </cell>
          <cell r="CK31">
            <v>125</v>
          </cell>
          <cell r="CL31">
            <v>102</v>
          </cell>
          <cell r="CM31">
            <v>126</v>
          </cell>
          <cell r="CN31">
            <v>121</v>
          </cell>
          <cell r="CO31">
            <v>89</v>
          </cell>
          <cell r="CP31">
            <v>97</v>
          </cell>
          <cell r="CQ31">
            <v>109</v>
          </cell>
          <cell r="CR31">
            <v>89</v>
          </cell>
          <cell r="CS31">
            <v>106</v>
          </cell>
          <cell r="CT31">
            <v>104</v>
          </cell>
          <cell r="CU31">
            <v>111</v>
          </cell>
          <cell r="CV31">
            <v>119</v>
          </cell>
          <cell r="CW31">
            <v>111</v>
          </cell>
          <cell r="CX31">
            <v>99</v>
          </cell>
          <cell r="CY31">
            <v>80</v>
          </cell>
          <cell r="CZ31">
            <v>113</v>
          </cell>
          <cell r="DA31">
            <v>78</v>
          </cell>
          <cell r="DB31">
            <v>55</v>
          </cell>
          <cell r="DC31">
            <v>63</v>
          </cell>
          <cell r="DD31">
            <v>90</v>
          </cell>
          <cell r="DE31">
            <v>67</v>
          </cell>
          <cell r="DF31">
            <v>92</v>
          </cell>
          <cell r="DG31">
            <v>100</v>
          </cell>
          <cell r="DH31">
            <v>79</v>
          </cell>
          <cell r="DI31">
            <v>67</v>
          </cell>
          <cell r="DJ31">
            <v>67</v>
          </cell>
          <cell r="DK31">
            <v>45</v>
          </cell>
          <cell r="DL31">
            <v>39</v>
          </cell>
          <cell r="DM31">
            <v>37</v>
          </cell>
          <cell r="DN31">
            <v>33</v>
          </cell>
          <cell r="DO31">
            <v>37</v>
          </cell>
          <cell r="DP31">
            <v>50</v>
          </cell>
          <cell r="DQ31">
            <v>48</v>
          </cell>
          <cell r="DR31">
            <v>47</v>
          </cell>
          <cell r="DS31">
            <v>71</v>
          </cell>
          <cell r="DT31">
            <v>65</v>
          </cell>
          <cell r="DU31">
            <v>56</v>
          </cell>
          <cell r="DV31">
            <v>68</v>
          </cell>
          <cell r="DW31">
            <v>58</v>
          </cell>
          <cell r="DX31">
            <v>54</v>
          </cell>
          <cell r="DY31">
            <v>55</v>
          </cell>
          <cell r="DZ31">
            <v>52</v>
          </cell>
          <cell r="EA31">
            <v>44</v>
          </cell>
          <cell r="EB31">
            <v>68</v>
          </cell>
          <cell r="EC31">
            <v>93</v>
          </cell>
        </row>
        <row r="32">
          <cell r="CH32">
            <v>23</v>
          </cell>
          <cell r="CI32">
            <v>16</v>
          </cell>
          <cell r="CJ32">
            <v>15</v>
          </cell>
          <cell r="CK32">
            <v>21</v>
          </cell>
          <cell r="CL32">
            <v>13</v>
          </cell>
          <cell r="CM32">
            <v>16</v>
          </cell>
          <cell r="CN32">
            <v>3</v>
          </cell>
          <cell r="CO32">
            <v>5</v>
          </cell>
          <cell r="CP32">
            <v>13</v>
          </cell>
          <cell r="CQ32">
            <v>14</v>
          </cell>
          <cell r="CR32">
            <v>8</v>
          </cell>
          <cell r="CS32">
            <v>18</v>
          </cell>
          <cell r="CT32">
            <v>15</v>
          </cell>
          <cell r="CU32">
            <v>23</v>
          </cell>
          <cell r="CV32">
            <v>22</v>
          </cell>
          <cell r="CW32">
            <v>13</v>
          </cell>
          <cell r="CX32">
            <v>15</v>
          </cell>
          <cell r="CY32">
            <v>8</v>
          </cell>
          <cell r="CZ32">
            <v>8</v>
          </cell>
          <cell r="DA32">
            <v>8</v>
          </cell>
          <cell r="DB32">
            <v>6</v>
          </cell>
          <cell r="DC32">
            <v>12</v>
          </cell>
          <cell r="DD32">
            <v>12</v>
          </cell>
          <cell r="DE32">
            <v>8</v>
          </cell>
          <cell r="DF32">
            <v>13</v>
          </cell>
          <cell r="DG32">
            <v>13</v>
          </cell>
          <cell r="DH32">
            <v>5</v>
          </cell>
          <cell r="DI32">
            <v>10</v>
          </cell>
          <cell r="DJ32">
            <v>9</v>
          </cell>
          <cell r="DK32">
            <v>4</v>
          </cell>
          <cell r="DL32">
            <v>5</v>
          </cell>
          <cell r="DM32">
            <v>6</v>
          </cell>
          <cell r="DN32">
            <v>5</v>
          </cell>
          <cell r="DO32">
            <v>9</v>
          </cell>
          <cell r="DP32">
            <v>6</v>
          </cell>
          <cell r="DQ32">
            <v>13</v>
          </cell>
          <cell r="DR32">
            <v>10</v>
          </cell>
          <cell r="DS32">
            <v>14</v>
          </cell>
          <cell r="DT32">
            <v>6</v>
          </cell>
          <cell r="DU32">
            <v>17</v>
          </cell>
          <cell r="DV32">
            <v>14</v>
          </cell>
          <cell r="DW32">
            <v>4</v>
          </cell>
          <cell r="DX32">
            <v>8</v>
          </cell>
          <cell r="DY32">
            <v>6</v>
          </cell>
          <cell r="DZ32">
            <v>6</v>
          </cell>
          <cell r="EA32">
            <v>8</v>
          </cell>
          <cell r="EB32">
            <v>8</v>
          </cell>
          <cell r="EC32">
            <v>10</v>
          </cell>
        </row>
        <row r="37">
          <cell r="CH37">
            <v>272</v>
          </cell>
          <cell r="CI37">
            <v>181</v>
          </cell>
          <cell r="CJ37">
            <v>216</v>
          </cell>
          <cell r="CK37">
            <v>235</v>
          </cell>
          <cell r="CL37">
            <v>150</v>
          </cell>
          <cell r="CM37">
            <v>194</v>
          </cell>
          <cell r="CN37">
            <v>185</v>
          </cell>
          <cell r="CO37">
            <v>155</v>
          </cell>
          <cell r="CP37">
            <v>131</v>
          </cell>
          <cell r="CQ37">
            <v>130</v>
          </cell>
          <cell r="CR37">
            <v>115</v>
          </cell>
          <cell r="CS37">
            <v>125</v>
          </cell>
          <cell r="CT37">
            <v>115</v>
          </cell>
          <cell r="CU37">
            <v>135</v>
          </cell>
          <cell r="CV37">
            <v>133</v>
          </cell>
          <cell r="CW37">
            <v>181</v>
          </cell>
          <cell r="CX37">
            <v>169</v>
          </cell>
          <cell r="CY37">
            <v>148</v>
          </cell>
          <cell r="CZ37">
            <v>144</v>
          </cell>
          <cell r="DA37">
            <v>127</v>
          </cell>
          <cell r="DB37">
            <v>121</v>
          </cell>
          <cell r="DC37">
            <v>117</v>
          </cell>
          <cell r="DD37">
            <v>117</v>
          </cell>
          <cell r="DE37">
            <v>100</v>
          </cell>
          <cell r="DF37">
            <v>128</v>
          </cell>
          <cell r="DG37">
            <v>167</v>
          </cell>
          <cell r="DH37">
            <v>167</v>
          </cell>
          <cell r="DI37">
            <v>117</v>
          </cell>
          <cell r="DJ37">
            <v>145</v>
          </cell>
          <cell r="DK37">
            <v>158</v>
          </cell>
          <cell r="DL37">
            <v>118</v>
          </cell>
          <cell r="DM37">
            <v>115</v>
          </cell>
          <cell r="DN37">
            <v>88</v>
          </cell>
          <cell r="DO37">
            <v>105</v>
          </cell>
          <cell r="DP37">
            <v>121</v>
          </cell>
          <cell r="DQ37">
            <v>131</v>
          </cell>
          <cell r="DR37">
            <v>141</v>
          </cell>
          <cell r="DS37">
            <v>133</v>
          </cell>
          <cell r="DT37">
            <v>164</v>
          </cell>
          <cell r="DU37">
            <v>150</v>
          </cell>
          <cell r="DV37">
            <v>153</v>
          </cell>
          <cell r="DW37">
            <v>146</v>
          </cell>
          <cell r="DX37">
            <v>137</v>
          </cell>
          <cell r="DY37">
            <v>124</v>
          </cell>
          <cell r="DZ37">
            <v>97</v>
          </cell>
          <cell r="EA37">
            <v>106</v>
          </cell>
          <cell r="EB37">
            <v>111</v>
          </cell>
          <cell r="EC37">
            <v>135</v>
          </cell>
        </row>
        <row r="38">
          <cell r="AL38">
            <v>29</v>
          </cell>
          <cell r="AM38">
            <v>25</v>
          </cell>
          <cell r="AN38">
            <v>32</v>
          </cell>
          <cell r="AO38">
            <v>47</v>
          </cell>
          <cell r="AP38">
            <v>31</v>
          </cell>
          <cell r="AQ38">
            <v>31</v>
          </cell>
          <cell r="AR38">
            <v>33</v>
          </cell>
          <cell r="AS38">
            <v>32</v>
          </cell>
          <cell r="AT38">
            <v>29</v>
          </cell>
          <cell r="AU38">
            <v>35</v>
          </cell>
          <cell r="AV38">
            <v>26</v>
          </cell>
          <cell r="AW38">
            <v>37</v>
          </cell>
          <cell r="AX38">
            <v>33</v>
          </cell>
          <cell r="AY38">
            <v>47</v>
          </cell>
          <cell r="AZ38">
            <v>54</v>
          </cell>
          <cell r="BA38">
            <v>36</v>
          </cell>
          <cell r="BB38">
            <v>41</v>
          </cell>
          <cell r="BC38">
            <v>47</v>
          </cell>
          <cell r="BD38">
            <v>35</v>
          </cell>
          <cell r="BE38">
            <v>24</v>
          </cell>
          <cell r="BF38">
            <v>17</v>
          </cell>
          <cell r="BG38">
            <v>16</v>
          </cell>
          <cell r="BH38">
            <v>14</v>
          </cell>
          <cell r="BI38">
            <v>24</v>
          </cell>
          <cell r="BJ38">
            <v>38</v>
          </cell>
          <cell r="BK38">
            <v>36</v>
          </cell>
          <cell r="BL38">
            <v>25</v>
          </cell>
          <cell r="BM38">
            <v>24</v>
          </cell>
          <cell r="BN38">
            <v>25</v>
          </cell>
          <cell r="BO38">
            <v>29</v>
          </cell>
          <cell r="BP38">
            <v>19</v>
          </cell>
          <cell r="BQ38">
            <v>12</v>
          </cell>
          <cell r="BR38">
            <v>17</v>
          </cell>
          <cell r="BS38">
            <v>22</v>
          </cell>
          <cell r="BT38">
            <v>17</v>
          </cell>
          <cell r="BU38">
            <v>22</v>
          </cell>
          <cell r="BV38">
            <v>70</v>
          </cell>
          <cell r="BW38">
            <v>59</v>
          </cell>
          <cell r="BX38">
            <v>30</v>
          </cell>
          <cell r="BY38">
            <v>42</v>
          </cell>
          <cell r="BZ38">
            <v>37</v>
          </cell>
          <cell r="CA38">
            <v>38</v>
          </cell>
          <cell r="CB38">
            <v>30</v>
          </cell>
          <cell r="CC38">
            <v>30</v>
          </cell>
          <cell r="CD38">
            <v>20</v>
          </cell>
          <cell r="CE38">
            <v>26</v>
          </cell>
          <cell r="CF38">
            <v>21</v>
          </cell>
          <cell r="CG38">
            <v>21</v>
          </cell>
          <cell r="CH38">
            <v>37</v>
          </cell>
          <cell r="CI38">
            <v>29</v>
          </cell>
          <cell r="CJ38">
            <v>27</v>
          </cell>
          <cell r="CK38">
            <v>36</v>
          </cell>
          <cell r="CL38">
            <v>25</v>
          </cell>
          <cell r="CM38">
            <v>45</v>
          </cell>
          <cell r="CN38">
            <v>47</v>
          </cell>
          <cell r="CO38">
            <v>45</v>
          </cell>
          <cell r="CP38">
            <v>25</v>
          </cell>
          <cell r="CQ38">
            <v>23</v>
          </cell>
          <cell r="CR38">
            <v>23</v>
          </cell>
          <cell r="CS38">
            <v>23</v>
          </cell>
          <cell r="CT38">
            <v>15</v>
          </cell>
          <cell r="CU38">
            <v>24</v>
          </cell>
          <cell r="CV38">
            <v>27</v>
          </cell>
          <cell r="CW38">
            <v>29</v>
          </cell>
          <cell r="CX38">
            <v>37</v>
          </cell>
          <cell r="CY38">
            <v>32</v>
          </cell>
          <cell r="CZ38">
            <v>33</v>
          </cell>
          <cell r="DA38">
            <v>28</v>
          </cell>
          <cell r="DB38">
            <v>23</v>
          </cell>
          <cell r="DC38">
            <v>20</v>
          </cell>
          <cell r="DD38">
            <v>23</v>
          </cell>
          <cell r="DE38">
            <v>18</v>
          </cell>
          <cell r="DF38">
            <v>19</v>
          </cell>
          <cell r="DG38">
            <v>31</v>
          </cell>
          <cell r="DH38">
            <v>28</v>
          </cell>
          <cell r="DI38">
            <v>23</v>
          </cell>
          <cell r="DJ38">
            <v>31</v>
          </cell>
          <cell r="DK38">
            <v>37</v>
          </cell>
          <cell r="DL38">
            <v>28</v>
          </cell>
          <cell r="DM38">
            <v>35</v>
          </cell>
          <cell r="DN38">
            <v>20</v>
          </cell>
          <cell r="DO38">
            <v>34</v>
          </cell>
          <cell r="DP38">
            <v>33</v>
          </cell>
          <cell r="DQ38">
            <v>48</v>
          </cell>
          <cell r="DR38">
            <v>61</v>
          </cell>
          <cell r="DS38">
            <v>51</v>
          </cell>
          <cell r="DT38">
            <v>51</v>
          </cell>
          <cell r="DU38">
            <v>45</v>
          </cell>
          <cell r="DV38">
            <v>32</v>
          </cell>
          <cell r="DW38">
            <v>59</v>
          </cell>
          <cell r="DX38">
            <v>44</v>
          </cell>
          <cell r="DY38">
            <v>43</v>
          </cell>
          <cell r="DZ38">
            <v>25</v>
          </cell>
          <cell r="EA38">
            <v>36</v>
          </cell>
          <cell r="EB38">
            <v>30</v>
          </cell>
          <cell r="EC38">
            <v>37</v>
          </cell>
        </row>
        <row r="39">
          <cell r="CH39">
            <v>193</v>
          </cell>
          <cell r="CI39">
            <v>127</v>
          </cell>
          <cell r="CJ39">
            <v>167</v>
          </cell>
          <cell r="CK39">
            <v>174</v>
          </cell>
          <cell r="CL39">
            <v>107</v>
          </cell>
          <cell r="CM39">
            <v>130</v>
          </cell>
          <cell r="CN39">
            <v>112</v>
          </cell>
          <cell r="CO39">
            <v>100</v>
          </cell>
          <cell r="CP39">
            <v>92</v>
          </cell>
          <cell r="CQ39">
            <v>90</v>
          </cell>
          <cell r="CR39">
            <v>82</v>
          </cell>
          <cell r="CS39">
            <v>96</v>
          </cell>
          <cell r="CT39">
            <v>85</v>
          </cell>
          <cell r="CU39">
            <v>98</v>
          </cell>
          <cell r="CV39">
            <v>89</v>
          </cell>
          <cell r="CW39">
            <v>142</v>
          </cell>
          <cell r="CX39">
            <v>120</v>
          </cell>
          <cell r="CY39">
            <v>108</v>
          </cell>
          <cell r="CZ39">
            <v>101</v>
          </cell>
          <cell r="DA39">
            <v>90</v>
          </cell>
          <cell r="DB39">
            <v>86</v>
          </cell>
          <cell r="DC39">
            <v>77</v>
          </cell>
          <cell r="DD39">
            <v>81</v>
          </cell>
          <cell r="DE39">
            <v>74</v>
          </cell>
          <cell r="DF39">
            <v>102</v>
          </cell>
          <cell r="DG39">
            <v>117</v>
          </cell>
          <cell r="DH39">
            <v>121</v>
          </cell>
          <cell r="DI39">
            <v>84</v>
          </cell>
          <cell r="DJ39">
            <v>105</v>
          </cell>
          <cell r="DK39">
            <v>108</v>
          </cell>
          <cell r="DL39">
            <v>76</v>
          </cell>
          <cell r="DM39">
            <v>55</v>
          </cell>
          <cell r="DN39">
            <v>57</v>
          </cell>
          <cell r="DO39">
            <v>55</v>
          </cell>
          <cell r="DP39">
            <v>68</v>
          </cell>
          <cell r="DQ39">
            <v>67</v>
          </cell>
          <cell r="DR39">
            <v>75</v>
          </cell>
          <cell r="DS39">
            <v>68</v>
          </cell>
          <cell r="DT39">
            <v>103</v>
          </cell>
          <cell r="DU39">
            <v>96</v>
          </cell>
          <cell r="DV39">
            <v>106</v>
          </cell>
          <cell r="DW39">
            <v>79</v>
          </cell>
          <cell r="DX39">
            <v>82</v>
          </cell>
          <cell r="DY39">
            <v>75</v>
          </cell>
          <cell r="DZ39">
            <v>65</v>
          </cell>
          <cell r="EA39">
            <v>65</v>
          </cell>
          <cell r="EB39">
            <v>74</v>
          </cell>
          <cell r="EC39">
            <v>82</v>
          </cell>
        </row>
        <row r="40">
          <cell r="CH40">
            <v>42</v>
          </cell>
          <cell r="CI40">
            <v>25</v>
          </cell>
          <cell r="CJ40">
            <v>22</v>
          </cell>
          <cell r="CK40">
            <v>25</v>
          </cell>
          <cell r="CL40">
            <v>18</v>
          </cell>
          <cell r="CM40">
            <v>19</v>
          </cell>
          <cell r="CN40">
            <v>26</v>
          </cell>
          <cell r="CO40">
            <v>10</v>
          </cell>
          <cell r="CP40">
            <v>14</v>
          </cell>
          <cell r="CQ40">
            <v>17</v>
          </cell>
          <cell r="CR40">
            <v>10</v>
          </cell>
          <cell r="CS40">
            <v>6</v>
          </cell>
          <cell r="CT40">
            <v>15</v>
          </cell>
          <cell r="CU40">
            <v>13</v>
          </cell>
          <cell r="CV40">
            <v>17</v>
          </cell>
          <cell r="CW40">
            <v>10</v>
          </cell>
          <cell r="CX40">
            <v>12</v>
          </cell>
          <cell r="CY40">
            <v>8</v>
          </cell>
          <cell r="CZ40">
            <v>10</v>
          </cell>
          <cell r="DA40">
            <v>9</v>
          </cell>
          <cell r="DB40">
            <v>12</v>
          </cell>
          <cell r="DC40">
            <v>20</v>
          </cell>
          <cell r="DD40">
            <v>13</v>
          </cell>
          <cell r="DE40">
            <v>8</v>
          </cell>
          <cell r="DF40">
            <v>7</v>
          </cell>
          <cell r="DG40">
            <v>19</v>
          </cell>
          <cell r="DH40">
            <v>18</v>
          </cell>
          <cell r="DI40">
            <v>10</v>
          </cell>
          <cell r="DJ40">
            <v>9</v>
          </cell>
          <cell r="DK40">
            <v>13</v>
          </cell>
          <cell r="DL40">
            <v>14</v>
          </cell>
          <cell r="DM40">
            <v>25</v>
          </cell>
          <cell r="DN40">
            <v>11</v>
          </cell>
          <cell r="DO40">
            <v>16</v>
          </cell>
          <cell r="DP40">
            <v>20</v>
          </cell>
          <cell r="DQ40">
            <v>16</v>
          </cell>
          <cell r="DR40">
            <v>5</v>
          </cell>
          <cell r="DS40">
            <v>14</v>
          </cell>
          <cell r="DT40">
            <v>10</v>
          </cell>
          <cell r="DU40">
            <v>9</v>
          </cell>
          <cell r="DV40">
            <v>15</v>
          </cell>
          <cell r="DW40">
            <v>8</v>
          </cell>
          <cell r="DX40">
            <v>11</v>
          </cell>
          <cell r="DY40">
            <v>6</v>
          </cell>
          <cell r="DZ40">
            <v>7</v>
          </cell>
          <cell r="EA40">
            <v>5</v>
          </cell>
          <cell r="EB40">
            <v>7</v>
          </cell>
          <cell r="EC40">
            <v>16</v>
          </cell>
        </row>
        <row r="45">
          <cell r="CH45">
            <v>293</v>
          </cell>
          <cell r="CI45">
            <v>230</v>
          </cell>
          <cell r="CJ45">
            <v>280</v>
          </cell>
          <cell r="CK45">
            <v>268</v>
          </cell>
          <cell r="CL45">
            <v>245</v>
          </cell>
          <cell r="CM45">
            <v>210</v>
          </cell>
          <cell r="CN45">
            <v>189</v>
          </cell>
          <cell r="CO45">
            <v>177</v>
          </cell>
          <cell r="CP45">
            <v>164</v>
          </cell>
          <cell r="CQ45">
            <v>194</v>
          </cell>
          <cell r="CR45">
            <v>147</v>
          </cell>
          <cell r="CS45">
            <v>170</v>
          </cell>
          <cell r="CT45">
            <v>164</v>
          </cell>
          <cell r="CU45">
            <v>200</v>
          </cell>
          <cell r="CV45">
            <v>175</v>
          </cell>
          <cell r="CW45">
            <v>232</v>
          </cell>
          <cell r="CX45">
            <v>244</v>
          </cell>
          <cell r="CY45">
            <v>200</v>
          </cell>
          <cell r="CZ45">
            <v>184</v>
          </cell>
          <cell r="DA45">
            <v>174</v>
          </cell>
          <cell r="DB45">
            <v>137</v>
          </cell>
          <cell r="DC45">
            <v>164</v>
          </cell>
          <cell r="DD45">
            <v>148</v>
          </cell>
          <cell r="DE45">
            <v>150</v>
          </cell>
          <cell r="DF45">
            <v>145</v>
          </cell>
          <cell r="DG45">
            <v>188</v>
          </cell>
          <cell r="DH45">
            <v>187</v>
          </cell>
          <cell r="DI45">
            <v>158</v>
          </cell>
          <cell r="DJ45">
            <v>194</v>
          </cell>
          <cell r="DK45">
            <v>165</v>
          </cell>
          <cell r="DL45">
            <v>140</v>
          </cell>
          <cell r="DM45">
            <v>127</v>
          </cell>
          <cell r="DN45">
            <v>119</v>
          </cell>
          <cell r="DO45">
            <v>125</v>
          </cell>
          <cell r="DP45">
            <v>145</v>
          </cell>
          <cell r="DQ45">
            <v>133</v>
          </cell>
          <cell r="DR45">
            <v>151</v>
          </cell>
          <cell r="DS45">
            <v>171</v>
          </cell>
          <cell r="DT45">
            <v>156</v>
          </cell>
          <cell r="DU45">
            <v>181</v>
          </cell>
          <cell r="DV45">
            <v>171</v>
          </cell>
          <cell r="DW45">
            <v>155</v>
          </cell>
          <cell r="DX45">
            <v>177</v>
          </cell>
          <cell r="DY45">
            <v>126</v>
          </cell>
          <cell r="DZ45">
            <v>114</v>
          </cell>
          <cell r="EA45">
            <v>149</v>
          </cell>
          <cell r="EB45">
            <v>143</v>
          </cell>
          <cell r="EC45">
            <v>198</v>
          </cell>
        </row>
        <row r="46">
          <cell r="AL46">
            <v>53</v>
          </cell>
          <cell r="AM46">
            <v>60</v>
          </cell>
          <cell r="AN46">
            <v>57</v>
          </cell>
          <cell r="AO46">
            <v>51</v>
          </cell>
          <cell r="AP46">
            <v>43</v>
          </cell>
          <cell r="AQ46">
            <v>49</v>
          </cell>
          <cell r="AR46">
            <v>39</v>
          </cell>
          <cell r="AS46">
            <v>39</v>
          </cell>
          <cell r="AT46">
            <v>40</v>
          </cell>
          <cell r="AU46">
            <v>39</v>
          </cell>
          <cell r="AV46">
            <v>33</v>
          </cell>
          <cell r="AW46">
            <v>30</v>
          </cell>
          <cell r="AX46">
            <v>46</v>
          </cell>
          <cell r="AY46">
            <v>59</v>
          </cell>
          <cell r="AZ46">
            <v>44</v>
          </cell>
          <cell r="BA46">
            <v>57</v>
          </cell>
          <cell r="BB46">
            <v>44</v>
          </cell>
          <cell r="BC46">
            <v>53</v>
          </cell>
          <cell r="BD46">
            <v>47</v>
          </cell>
          <cell r="BE46">
            <v>35</v>
          </cell>
          <cell r="BF46">
            <v>28</v>
          </cell>
          <cell r="BG46">
            <v>26</v>
          </cell>
          <cell r="BH46">
            <v>44</v>
          </cell>
          <cell r="BI46">
            <v>48</v>
          </cell>
          <cell r="BJ46">
            <v>30</v>
          </cell>
          <cell r="BK46">
            <v>45</v>
          </cell>
          <cell r="BL46">
            <v>51</v>
          </cell>
          <cell r="BM46">
            <v>33</v>
          </cell>
          <cell r="BN46">
            <v>30</v>
          </cell>
          <cell r="BO46">
            <v>34</v>
          </cell>
          <cell r="BP46">
            <v>34</v>
          </cell>
          <cell r="BQ46">
            <v>26</v>
          </cell>
          <cell r="BR46">
            <v>28</v>
          </cell>
          <cell r="BS46">
            <v>36</v>
          </cell>
          <cell r="BT46">
            <v>22</v>
          </cell>
          <cell r="BU46">
            <v>38</v>
          </cell>
          <cell r="BV46">
            <v>79</v>
          </cell>
          <cell r="BW46">
            <v>57</v>
          </cell>
          <cell r="BX46">
            <v>52</v>
          </cell>
          <cell r="BY46">
            <v>46</v>
          </cell>
          <cell r="BZ46">
            <v>44</v>
          </cell>
          <cell r="CA46">
            <v>37</v>
          </cell>
          <cell r="CB46">
            <v>22</v>
          </cell>
          <cell r="CC46">
            <v>35</v>
          </cell>
          <cell r="CD46">
            <v>19</v>
          </cell>
          <cell r="CE46">
            <v>30</v>
          </cell>
          <cell r="CF46">
            <v>42</v>
          </cell>
          <cell r="CG46">
            <v>37</v>
          </cell>
          <cell r="CH46">
            <v>52</v>
          </cell>
          <cell r="CI46">
            <v>32</v>
          </cell>
          <cell r="CJ46">
            <v>41</v>
          </cell>
          <cell r="CK46">
            <v>45</v>
          </cell>
          <cell r="CL46">
            <v>36</v>
          </cell>
          <cell r="CM46">
            <v>33</v>
          </cell>
          <cell r="CN46">
            <v>30</v>
          </cell>
          <cell r="CO46">
            <v>40</v>
          </cell>
          <cell r="CP46">
            <v>43</v>
          </cell>
          <cell r="CQ46">
            <v>27</v>
          </cell>
          <cell r="CR46">
            <v>27</v>
          </cell>
          <cell r="CS46">
            <v>31</v>
          </cell>
          <cell r="CT46">
            <v>23</v>
          </cell>
          <cell r="CU46">
            <v>35</v>
          </cell>
          <cell r="CV46">
            <v>34</v>
          </cell>
          <cell r="CW46">
            <v>29</v>
          </cell>
          <cell r="CX46">
            <v>44</v>
          </cell>
          <cell r="CY46">
            <v>38</v>
          </cell>
          <cell r="CZ46">
            <v>19</v>
          </cell>
          <cell r="DA46">
            <v>23</v>
          </cell>
          <cell r="DB46">
            <v>24</v>
          </cell>
          <cell r="DC46">
            <v>22</v>
          </cell>
          <cell r="DD46">
            <v>27</v>
          </cell>
          <cell r="DE46">
            <v>29</v>
          </cell>
          <cell r="DF46">
            <v>21</v>
          </cell>
          <cell r="DG46">
            <v>23</v>
          </cell>
          <cell r="DH46">
            <v>28</v>
          </cell>
          <cell r="DI46">
            <v>26</v>
          </cell>
          <cell r="DJ46">
            <v>40</v>
          </cell>
          <cell r="DK46">
            <v>49</v>
          </cell>
          <cell r="DL46">
            <v>39</v>
          </cell>
          <cell r="DM46">
            <v>44</v>
          </cell>
          <cell r="DN46">
            <v>36</v>
          </cell>
          <cell r="DO46">
            <v>38</v>
          </cell>
          <cell r="DP46">
            <v>46</v>
          </cell>
          <cell r="DQ46">
            <v>38</v>
          </cell>
          <cell r="DR46">
            <v>47</v>
          </cell>
          <cell r="DS46">
            <v>54</v>
          </cell>
          <cell r="DT46">
            <v>42</v>
          </cell>
          <cell r="DU46">
            <v>49</v>
          </cell>
          <cell r="DV46">
            <v>52</v>
          </cell>
          <cell r="DW46">
            <v>48</v>
          </cell>
          <cell r="DX46">
            <v>43</v>
          </cell>
          <cell r="DY46">
            <v>48</v>
          </cell>
          <cell r="DZ46">
            <v>32</v>
          </cell>
          <cell r="EA46">
            <v>39</v>
          </cell>
          <cell r="EB46">
            <v>31</v>
          </cell>
          <cell r="EC46">
            <v>50</v>
          </cell>
        </row>
        <row r="47">
          <cell r="CH47">
            <v>210</v>
          </cell>
          <cell r="CI47">
            <v>174</v>
          </cell>
          <cell r="CJ47">
            <v>209</v>
          </cell>
          <cell r="CK47">
            <v>197</v>
          </cell>
          <cell r="CL47">
            <v>185</v>
          </cell>
          <cell r="CM47">
            <v>153</v>
          </cell>
          <cell r="CN47">
            <v>140</v>
          </cell>
          <cell r="CO47">
            <v>123</v>
          </cell>
          <cell r="CP47">
            <v>110</v>
          </cell>
          <cell r="CQ47">
            <v>148</v>
          </cell>
          <cell r="CR47">
            <v>104</v>
          </cell>
          <cell r="CS47">
            <v>124</v>
          </cell>
          <cell r="CT47">
            <v>125</v>
          </cell>
          <cell r="CU47">
            <v>149</v>
          </cell>
          <cell r="CV47">
            <v>126</v>
          </cell>
          <cell r="CW47">
            <v>188</v>
          </cell>
          <cell r="CX47">
            <v>169</v>
          </cell>
          <cell r="CY47">
            <v>154</v>
          </cell>
          <cell r="CZ47">
            <v>154</v>
          </cell>
          <cell r="DA47">
            <v>137</v>
          </cell>
          <cell r="DB47">
            <v>104</v>
          </cell>
          <cell r="DC47">
            <v>116</v>
          </cell>
          <cell r="DD47">
            <v>110</v>
          </cell>
          <cell r="DE47">
            <v>107</v>
          </cell>
          <cell r="DF47">
            <v>115</v>
          </cell>
          <cell r="DG47">
            <v>158</v>
          </cell>
          <cell r="DH47">
            <v>141</v>
          </cell>
          <cell r="DI47">
            <v>118</v>
          </cell>
          <cell r="DJ47">
            <v>142</v>
          </cell>
          <cell r="DK47">
            <v>98</v>
          </cell>
          <cell r="DL47">
            <v>83</v>
          </cell>
          <cell r="DM47">
            <v>57</v>
          </cell>
          <cell r="DN47">
            <v>67</v>
          </cell>
          <cell r="DO47">
            <v>81</v>
          </cell>
          <cell r="DP47">
            <v>82</v>
          </cell>
          <cell r="DQ47">
            <v>79</v>
          </cell>
          <cell r="DR47">
            <v>91</v>
          </cell>
          <cell r="DS47">
            <v>106</v>
          </cell>
          <cell r="DT47">
            <v>106</v>
          </cell>
          <cell r="DU47">
            <v>122</v>
          </cell>
          <cell r="DV47">
            <v>106</v>
          </cell>
          <cell r="DW47">
            <v>99</v>
          </cell>
          <cell r="DX47">
            <v>119</v>
          </cell>
          <cell r="DY47">
            <v>71</v>
          </cell>
          <cell r="DZ47">
            <v>78</v>
          </cell>
          <cell r="EA47">
            <v>103</v>
          </cell>
          <cell r="EB47">
            <v>100</v>
          </cell>
          <cell r="EC47">
            <v>141</v>
          </cell>
        </row>
        <row r="48">
          <cell r="CH48">
            <v>31</v>
          </cell>
          <cell r="CI48">
            <v>24</v>
          </cell>
          <cell r="CJ48">
            <v>30</v>
          </cell>
          <cell r="CK48">
            <v>26</v>
          </cell>
          <cell r="CL48">
            <v>24</v>
          </cell>
          <cell r="CM48">
            <v>24</v>
          </cell>
          <cell r="CN48">
            <v>19</v>
          </cell>
          <cell r="CO48">
            <v>14</v>
          </cell>
          <cell r="CP48">
            <v>11</v>
          </cell>
          <cell r="CQ48">
            <v>19</v>
          </cell>
          <cell r="CR48">
            <v>16</v>
          </cell>
          <cell r="CS48">
            <v>15</v>
          </cell>
          <cell r="CT48">
            <v>16</v>
          </cell>
          <cell r="CU48">
            <v>16</v>
          </cell>
          <cell r="CV48">
            <v>15</v>
          </cell>
          <cell r="CW48">
            <v>15</v>
          </cell>
          <cell r="CX48">
            <v>31</v>
          </cell>
          <cell r="CY48">
            <v>8</v>
          </cell>
          <cell r="CZ48">
            <v>11</v>
          </cell>
          <cell r="DA48">
            <v>14</v>
          </cell>
          <cell r="DB48">
            <v>9</v>
          </cell>
          <cell r="DC48">
            <v>26</v>
          </cell>
          <cell r="DD48">
            <v>11</v>
          </cell>
          <cell r="DE48">
            <v>14</v>
          </cell>
          <cell r="DF48">
            <v>9</v>
          </cell>
          <cell r="DG48">
            <v>7</v>
          </cell>
          <cell r="DH48">
            <v>18</v>
          </cell>
          <cell r="DI48">
            <v>14</v>
          </cell>
          <cell r="DJ48">
            <v>12</v>
          </cell>
          <cell r="DK48">
            <v>18</v>
          </cell>
          <cell r="DL48">
            <v>18</v>
          </cell>
          <cell r="DM48">
            <v>26</v>
          </cell>
          <cell r="DN48">
            <v>16</v>
          </cell>
          <cell r="DO48">
            <v>6</v>
          </cell>
          <cell r="DP48">
            <v>17</v>
          </cell>
          <cell r="DQ48">
            <v>16</v>
          </cell>
          <cell r="DR48">
            <v>13</v>
          </cell>
          <cell r="DS48">
            <v>11</v>
          </cell>
          <cell r="DT48">
            <v>8</v>
          </cell>
          <cell r="DU48">
            <v>10</v>
          </cell>
          <cell r="DV48">
            <v>13</v>
          </cell>
          <cell r="DW48">
            <v>8</v>
          </cell>
          <cell r="DX48">
            <v>15</v>
          </cell>
          <cell r="DY48">
            <v>7</v>
          </cell>
          <cell r="DZ48">
            <v>4</v>
          </cell>
          <cell r="EA48">
            <v>7</v>
          </cell>
          <cell r="EB48">
            <v>12</v>
          </cell>
          <cell r="EC48">
            <v>7</v>
          </cell>
        </row>
        <row r="54">
          <cell r="AL54">
            <v>82</v>
          </cell>
          <cell r="AM54">
            <v>85</v>
          </cell>
          <cell r="AN54">
            <v>89</v>
          </cell>
          <cell r="AO54">
            <v>98</v>
          </cell>
          <cell r="AP54">
            <v>74</v>
          </cell>
          <cell r="AQ54">
            <v>80</v>
          </cell>
          <cell r="AR54">
            <v>72</v>
          </cell>
          <cell r="AS54">
            <v>71</v>
          </cell>
          <cell r="AT54">
            <v>69</v>
          </cell>
          <cell r="AU54">
            <v>74</v>
          </cell>
          <cell r="AV54">
            <v>59</v>
          </cell>
          <cell r="AW54">
            <v>67</v>
          </cell>
          <cell r="AX54">
            <v>79</v>
          </cell>
          <cell r="AY54">
            <v>106</v>
          </cell>
          <cell r="AZ54">
            <v>98</v>
          </cell>
          <cell r="BA54">
            <v>93</v>
          </cell>
          <cell r="BB54">
            <v>85</v>
          </cell>
          <cell r="BC54">
            <v>100</v>
          </cell>
          <cell r="BD54">
            <v>82</v>
          </cell>
          <cell r="BE54">
            <v>59</v>
          </cell>
          <cell r="BF54">
            <v>45</v>
          </cell>
          <cell r="BG54">
            <v>42</v>
          </cell>
          <cell r="BH54">
            <v>58</v>
          </cell>
          <cell r="BI54">
            <v>72</v>
          </cell>
          <cell r="BJ54">
            <v>68</v>
          </cell>
          <cell r="BK54">
            <v>81</v>
          </cell>
          <cell r="BL54">
            <v>76</v>
          </cell>
          <cell r="BM54">
            <v>57</v>
          </cell>
          <cell r="BN54">
            <v>55</v>
          </cell>
          <cell r="BO54">
            <v>63</v>
          </cell>
          <cell r="BP54">
            <v>53</v>
          </cell>
          <cell r="BQ54">
            <v>38</v>
          </cell>
          <cell r="BR54">
            <v>45</v>
          </cell>
          <cell r="BS54">
            <v>58</v>
          </cell>
          <cell r="BT54">
            <v>39</v>
          </cell>
          <cell r="BU54">
            <v>60</v>
          </cell>
          <cell r="BV54">
            <v>149</v>
          </cell>
          <cell r="BW54">
            <v>116</v>
          </cell>
          <cell r="BX54">
            <v>82</v>
          </cell>
          <cell r="BY54">
            <v>88</v>
          </cell>
          <cell r="BZ54">
            <v>81</v>
          </cell>
          <cell r="CA54">
            <v>75</v>
          </cell>
          <cell r="CB54">
            <v>52</v>
          </cell>
          <cell r="CC54">
            <v>65</v>
          </cell>
          <cell r="CD54">
            <v>39</v>
          </cell>
          <cell r="CE54">
            <v>56</v>
          </cell>
          <cell r="CF54">
            <v>63</v>
          </cell>
          <cell r="CG54">
            <v>58</v>
          </cell>
          <cell r="CH54">
            <v>89</v>
          </cell>
          <cell r="CI54">
            <v>61</v>
          </cell>
          <cell r="CJ54">
            <v>68</v>
          </cell>
          <cell r="CK54">
            <v>81</v>
          </cell>
          <cell r="CL54">
            <v>61</v>
          </cell>
          <cell r="CM54">
            <v>78</v>
          </cell>
          <cell r="CN54">
            <v>77</v>
          </cell>
          <cell r="CO54">
            <v>85</v>
          </cell>
          <cell r="CP54">
            <v>68</v>
          </cell>
          <cell r="CQ54">
            <v>50</v>
          </cell>
          <cell r="CR54">
            <v>50</v>
          </cell>
          <cell r="CS54">
            <v>54</v>
          </cell>
          <cell r="CT54">
            <v>38</v>
          </cell>
          <cell r="CU54">
            <v>59</v>
          </cell>
          <cell r="CV54">
            <v>61</v>
          </cell>
          <cell r="CW54">
            <v>58</v>
          </cell>
          <cell r="CX54">
            <v>81</v>
          </cell>
          <cell r="CY54">
            <v>70</v>
          </cell>
          <cell r="CZ54">
            <v>52</v>
          </cell>
          <cell r="DA54">
            <v>51</v>
          </cell>
          <cell r="DB54">
            <v>47</v>
          </cell>
          <cell r="DC54">
            <v>42</v>
          </cell>
          <cell r="DD54">
            <v>50</v>
          </cell>
          <cell r="DE54">
            <v>47</v>
          </cell>
          <cell r="DF54">
            <v>40</v>
          </cell>
          <cell r="DG54">
            <v>54</v>
          </cell>
          <cell r="DH54">
            <v>56</v>
          </cell>
          <cell r="DI54">
            <v>49</v>
          </cell>
          <cell r="DJ54">
            <v>71</v>
          </cell>
          <cell r="DK54">
            <v>86</v>
          </cell>
          <cell r="DL54">
            <v>67</v>
          </cell>
          <cell r="DM54">
            <v>79</v>
          </cell>
          <cell r="DN54">
            <v>56</v>
          </cell>
          <cell r="DO54">
            <v>72</v>
          </cell>
          <cell r="DP54">
            <v>79</v>
          </cell>
          <cell r="DQ54">
            <v>86</v>
          </cell>
          <cell r="DR54">
            <v>108</v>
          </cell>
          <cell r="DS54">
            <v>105</v>
          </cell>
          <cell r="DT54">
            <v>93</v>
          </cell>
          <cell r="DU54">
            <v>94</v>
          </cell>
          <cell r="DV54">
            <v>84</v>
          </cell>
          <cell r="DW54">
            <v>107</v>
          </cell>
          <cell r="DX54">
            <v>87</v>
          </cell>
          <cell r="DY54">
            <v>91</v>
          </cell>
          <cell r="DZ54">
            <v>57</v>
          </cell>
          <cell r="EA54">
            <v>75</v>
          </cell>
          <cell r="EB54">
            <v>61</v>
          </cell>
        </row>
        <row r="64">
          <cell r="CH64">
            <v>132</v>
          </cell>
          <cell r="CI64">
            <v>52</v>
          </cell>
          <cell r="CJ64">
            <v>62</v>
          </cell>
          <cell r="CK64">
            <v>43</v>
          </cell>
          <cell r="CL64">
            <v>4</v>
          </cell>
          <cell r="CM64">
            <v>3</v>
          </cell>
          <cell r="CN64">
            <v>4</v>
          </cell>
          <cell r="CO64">
            <v>1</v>
          </cell>
          <cell r="CP64">
            <v>1</v>
          </cell>
          <cell r="CQ64">
            <v>1</v>
          </cell>
          <cell r="CR64">
            <v>0</v>
          </cell>
        </row>
        <row r="65">
          <cell r="CH65">
            <v>0</v>
          </cell>
          <cell r="CI65">
            <v>1</v>
          </cell>
          <cell r="CJ65">
            <v>0</v>
          </cell>
          <cell r="CK65">
            <v>0</v>
          </cell>
          <cell r="CL65">
            <v>0</v>
          </cell>
          <cell r="CM65">
            <v>0</v>
          </cell>
          <cell r="CN65">
            <v>1</v>
          </cell>
          <cell r="CO65">
            <v>0</v>
          </cell>
          <cell r="CP65">
            <v>0</v>
          </cell>
          <cell r="CQ65">
            <v>0</v>
          </cell>
          <cell r="CR65">
            <v>0</v>
          </cell>
        </row>
        <row r="66">
          <cell r="CH66">
            <v>77</v>
          </cell>
          <cell r="CI66">
            <v>30</v>
          </cell>
          <cell r="CJ66">
            <v>43</v>
          </cell>
          <cell r="CK66">
            <v>27</v>
          </cell>
          <cell r="CL66">
            <v>1</v>
          </cell>
          <cell r="CM66">
            <v>1</v>
          </cell>
          <cell r="CN66">
            <v>0</v>
          </cell>
          <cell r="CO66">
            <v>0</v>
          </cell>
          <cell r="CP66">
            <v>0</v>
          </cell>
          <cell r="CQ66">
            <v>0</v>
          </cell>
          <cell r="CR66">
            <v>0</v>
          </cell>
        </row>
        <row r="67">
          <cell r="CH67">
            <v>55</v>
          </cell>
          <cell r="CI67">
            <v>21</v>
          </cell>
          <cell r="CJ67">
            <v>19</v>
          </cell>
          <cell r="CK67">
            <v>16</v>
          </cell>
          <cell r="CL67">
            <v>3</v>
          </cell>
          <cell r="CM67">
            <v>2</v>
          </cell>
          <cell r="CN67">
            <v>3</v>
          </cell>
          <cell r="CO67">
            <v>1</v>
          </cell>
          <cell r="CP67">
            <v>1</v>
          </cell>
          <cell r="CQ67">
            <v>1</v>
          </cell>
          <cell r="CR67">
            <v>0</v>
          </cell>
        </row>
        <row r="72">
          <cell r="CH72">
            <v>14</v>
          </cell>
          <cell r="CI72">
            <v>5</v>
          </cell>
          <cell r="CJ72">
            <v>4</v>
          </cell>
          <cell r="CK72">
            <v>4</v>
          </cell>
          <cell r="CL72">
            <v>0</v>
          </cell>
          <cell r="CM72">
            <v>0</v>
          </cell>
          <cell r="CN72">
            <v>1</v>
          </cell>
          <cell r="CO72">
            <v>1</v>
          </cell>
          <cell r="CP72">
            <v>0</v>
          </cell>
          <cell r="CQ72">
            <v>0</v>
          </cell>
          <cell r="CR72">
            <v>0</v>
          </cell>
        </row>
        <row r="73">
          <cell r="CH73">
            <v>0</v>
          </cell>
          <cell r="CI73">
            <v>0</v>
          </cell>
          <cell r="CJ73">
            <v>0</v>
          </cell>
          <cell r="CK73">
            <v>0</v>
          </cell>
          <cell r="CL73">
            <v>0</v>
          </cell>
          <cell r="CM73">
            <v>0</v>
          </cell>
          <cell r="CN73">
            <v>0</v>
          </cell>
          <cell r="CO73">
            <v>0</v>
          </cell>
          <cell r="CP73">
            <v>0</v>
          </cell>
          <cell r="CQ73">
            <v>0</v>
          </cell>
          <cell r="CR73">
            <v>0</v>
          </cell>
        </row>
        <row r="74">
          <cell r="CH74">
            <v>10</v>
          </cell>
          <cell r="CI74">
            <v>4</v>
          </cell>
          <cell r="CJ74">
            <v>2</v>
          </cell>
          <cell r="CK74">
            <v>1</v>
          </cell>
          <cell r="CL74">
            <v>0</v>
          </cell>
          <cell r="CM74">
            <v>0</v>
          </cell>
          <cell r="CN74">
            <v>0</v>
          </cell>
          <cell r="CO74">
            <v>0</v>
          </cell>
          <cell r="CP74">
            <v>0</v>
          </cell>
          <cell r="CQ74">
            <v>0</v>
          </cell>
          <cell r="CR74">
            <v>0</v>
          </cell>
        </row>
        <row r="75">
          <cell r="CH75">
            <v>4</v>
          </cell>
          <cell r="CI75">
            <v>1</v>
          </cell>
          <cell r="CJ75">
            <v>2</v>
          </cell>
          <cell r="CK75">
            <v>3</v>
          </cell>
          <cell r="CL75">
            <v>0</v>
          </cell>
          <cell r="CM75">
            <v>0</v>
          </cell>
          <cell r="CN75">
            <v>1</v>
          </cell>
          <cell r="CO75">
            <v>1</v>
          </cell>
          <cell r="CP75">
            <v>0</v>
          </cell>
          <cell r="CQ75">
            <v>0</v>
          </cell>
          <cell r="CR75">
            <v>0</v>
          </cell>
        </row>
        <row r="80">
          <cell r="CH80">
            <v>38</v>
          </cell>
          <cell r="CI80">
            <v>10</v>
          </cell>
          <cell r="CJ80">
            <v>10</v>
          </cell>
          <cell r="CK80">
            <v>13</v>
          </cell>
          <cell r="CL80">
            <v>0</v>
          </cell>
          <cell r="CM80">
            <v>0</v>
          </cell>
          <cell r="CN80">
            <v>0</v>
          </cell>
          <cell r="CO80">
            <v>0</v>
          </cell>
          <cell r="CP80">
            <v>0</v>
          </cell>
          <cell r="CQ80">
            <v>0</v>
          </cell>
          <cell r="CR80">
            <v>0</v>
          </cell>
        </row>
        <row r="81">
          <cell r="CH81">
            <v>0</v>
          </cell>
          <cell r="CI81">
            <v>0</v>
          </cell>
          <cell r="CJ81">
            <v>0</v>
          </cell>
          <cell r="CK81">
            <v>0</v>
          </cell>
          <cell r="CL81">
            <v>0</v>
          </cell>
          <cell r="CM81">
            <v>0</v>
          </cell>
          <cell r="CN81">
            <v>0</v>
          </cell>
          <cell r="CO81">
            <v>0</v>
          </cell>
          <cell r="CP81">
            <v>0</v>
          </cell>
          <cell r="CQ81">
            <v>0</v>
          </cell>
          <cell r="CR81">
            <v>0</v>
          </cell>
        </row>
        <row r="82">
          <cell r="CH82">
            <v>20</v>
          </cell>
          <cell r="CI82">
            <v>6</v>
          </cell>
          <cell r="CJ82">
            <v>6</v>
          </cell>
          <cell r="CK82">
            <v>9</v>
          </cell>
          <cell r="CL82">
            <v>0</v>
          </cell>
          <cell r="CM82">
            <v>0</v>
          </cell>
          <cell r="CN82">
            <v>0</v>
          </cell>
          <cell r="CO82">
            <v>0</v>
          </cell>
          <cell r="CP82">
            <v>0</v>
          </cell>
          <cell r="CQ82">
            <v>0</v>
          </cell>
          <cell r="CR82">
            <v>0</v>
          </cell>
        </row>
        <row r="83">
          <cell r="CH83">
            <v>18</v>
          </cell>
          <cell r="CI83">
            <v>4</v>
          </cell>
          <cell r="CJ83">
            <v>4</v>
          </cell>
          <cell r="CK83">
            <v>4</v>
          </cell>
          <cell r="CL83">
            <v>0</v>
          </cell>
          <cell r="CM83">
            <v>0</v>
          </cell>
          <cell r="CN83">
            <v>0</v>
          </cell>
          <cell r="CO83">
            <v>0</v>
          </cell>
          <cell r="CP83">
            <v>0</v>
          </cell>
          <cell r="CQ83">
            <v>0</v>
          </cell>
          <cell r="CR83">
            <v>0</v>
          </cell>
        </row>
        <row r="88">
          <cell r="CH88">
            <v>15</v>
          </cell>
          <cell r="CI88">
            <v>9</v>
          </cell>
          <cell r="CJ88">
            <v>3</v>
          </cell>
          <cell r="CK88">
            <v>5</v>
          </cell>
          <cell r="CL88">
            <v>1</v>
          </cell>
          <cell r="CM88">
            <v>2</v>
          </cell>
          <cell r="CN88">
            <v>0</v>
          </cell>
          <cell r="CO88">
            <v>0</v>
          </cell>
          <cell r="CP88">
            <v>0</v>
          </cell>
          <cell r="CQ88">
            <v>1</v>
          </cell>
          <cell r="CR88">
            <v>0</v>
          </cell>
        </row>
        <row r="89">
          <cell r="CH89">
            <v>0</v>
          </cell>
          <cell r="CI89">
            <v>0</v>
          </cell>
          <cell r="CJ89">
            <v>0</v>
          </cell>
          <cell r="CK89">
            <v>0</v>
          </cell>
          <cell r="CL89">
            <v>0</v>
          </cell>
          <cell r="CM89">
            <v>0</v>
          </cell>
          <cell r="CN89">
            <v>0</v>
          </cell>
          <cell r="CO89">
            <v>0</v>
          </cell>
          <cell r="CP89">
            <v>0</v>
          </cell>
          <cell r="CQ89">
            <v>0</v>
          </cell>
          <cell r="CR89">
            <v>0</v>
          </cell>
        </row>
        <row r="90">
          <cell r="CH90">
            <v>8</v>
          </cell>
          <cell r="CI90">
            <v>5</v>
          </cell>
          <cell r="CJ90">
            <v>2</v>
          </cell>
          <cell r="CK90">
            <v>2</v>
          </cell>
          <cell r="CL90">
            <v>0</v>
          </cell>
          <cell r="CM90">
            <v>1</v>
          </cell>
          <cell r="CN90">
            <v>0</v>
          </cell>
          <cell r="CO90">
            <v>0</v>
          </cell>
          <cell r="CP90">
            <v>0</v>
          </cell>
          <cell r="CQ90">
            <v>0</v>
          </cell>
          <cell r="CR90">
            <v>0</v>
          </cell>
        </row>
        <row r="91">
          <cell r="CH91">
            <v>7</v>
          </cell>
          <cell r="CI91">
            <v>4</v>
          </cell>
          <cell r="CJ91">
            <v>1</v>
          </cell>
          <cell r="CK91">
            <v>3</v>
          </cell>
          <cell r="CL91">
            <v>1</v>
          </cell>
          <cell r="CM91">
            <v>1</v>
          </cell>
          <cell r="CN91">
            <v>0</v>
          </cell>
          <cell r="CO91">
            <v>0</v>
          </cell>
          <cell r="CP91">
            <v>0</v>
          </cell>
          <cell r="CQ91">
            <v>1</v>
          </cell>
          <cell r="CR91">
            <v>0</v>
          </cell>
        </row>
        <row r="96">
          <cell r="CH96">
            <v>30</v>
          </cell>
          <cell r="CI96">
            <v>10</v>
          </cell>
          <cell r="CJ96">
            <v>10</v>
          </cell>
          <cell r="CK96">
            <v>11</v>
          </cell>
          <cell r="CL96">
            <v>0</v>
          </cell>
          <cell r="CM96">
            <v>0</v>
          </cell>
          <cell r="CN96">
            <v>2</v>
          </cell>
          <cell r="CO96">
            <v>0</v>
          </cell>
          <cell r="CP96">
            <v>1</v>
          </cell>
          <cell r="CQ96">
            <v>0</v>
          </cell>
          <cell r="CR96">
            <v>0</v>
          </cell>
        </row>
        <row r="97">
          <cell r="CH97">
            <v>0</v>
          </cell>
          <cell r="CI97">
            <v>0</v>
          </cell>
          <cell r="CJ97">
            <v>0</v>
          </cell>
          <cell r="CK97">
            <v>0</v>
          </cell>
          <cell r="CL97">
            <v>0</v>
          </cell>
          <cell r="CM97">
            <v>0</v>
          </cell>
          <cell r="CN97">
            <v>1</v>
          </cell>
          <cell r="CO97">
            <v>0</v>
          </cell>
          <cell r="CP97">
            <v>0</v>
          </cell>
          <cell r="CQ97">
            <v>0</v>
          </cell>
          <cell r="CR97">
            <v>0</v>
          </cell>
        </row>
        <row r="98">
          <cell r="CH98">
            <v>15</v>
          </cell>
          <cell r="CI98">
            <v>3</v>
          </cell>
          <cell r="CJ98">
            <v>7</v>
          </cell>
          <cell r="CK98">
            <v>10</v>
          </cell>
          <cell r="CL98">
            <v>0</v>
          </cell>
          <cell r="CM98">
            <v>0</v>
          </cell>
          <cell r="CN98">
            <v>0</v>
          </cell>
          <cell r="CO98">
            <v>0</v>
          </cell>
          <cell r="CP98">
            <v>0</v>
          </cell>
          <cell r="CQ98">
            <v>0</v>
          </cell>
          <cell r="CR98">
            <v>0</v>
          </cell>
        </row>
        <row r="99">
          <cell r="CH99">
            <v>15</v>
          </cell>
          <cell r="CI99">
            <v>7</v>
          </cell>
          <cell r="CJ99">
            <v>3</v>
          </cell>
          <cell r="CK99">
            <v>1</v>
          </cell>
          <cell r="CL99">
            <v>0</v>
          </cell>
          <cell r="CM99">
            <v>0</v>
          </cell>
          <cell r="CN99">
            <v>1</v>
          </cell>
          <cell r="CO99">
            <v>0</v>
          </cell>
          <cell r="CP99">
            <v>1</v>
          </cell>
          <cell r="CQ99">
            <v>0</v>
          </cell>
          <cell r="CR99">
            <v>0</v>
          </cell>
        </row>
        <row r="104">
          <cell r="CH104">
            <v>35</v>
          </cell>
          <cell r="CI104">
            <v>18</v>
          </cell>
          <cell r="CJ104">
            <v>35</v>
          </cell>
          <cell r="CK104">
            <v>10</v>
          </cell>
          <cell r="CL104">
            <v>3</v>
          </cell>
          <cell r="CM104">
            <v>1</v>
          </cell>
          <cell r="CN104">
            <v>1</v>
          </cell>
          <cell r="CO104">
            <v>0</v>
          </cell>
          <cell r="CP104">
            <v>0</v>
          </cell>
          <cell r="CQ104">
            <v>0</v>
          </cell>
          <cell r="CR104">
            <v>0</v>
          </cell>
        </row>
        <row r="105">
          <cell r="CH105">
            <v>0</v>
          </cell>
          <cell r="CI105">
            <v>1</v>
          </cell>
          <cell r="CJ105">
            <v>0</v>
          </cell>
          <cell r="CK105">
            <v>0</v>
          </cell>
          <cell r="CL105">
            <v>0</v>
          </cell>
          <cell r="CM105">
            <v>0</v>
          </cell>
          <cell r="CN105">
            <v>0</v>
          </cell>
          <cell r="CO105">
            <v>0</v>
          </cell>
          <cell r="CP105">
            <v>0</v>
          </cell>
          <cell r="CQ105">
            <v>0</v>
          </cell>
          <cell r="CR105">
            <v>0</v>
          </cell>
        </row>
        <row r="106">
          <cell r="CH106">
            <v>24</v>
          </cell>
          <cell r="CI106">
            <v>12</v>
          </cell>
          <cell r="CJ106">
            <v>26</v>
          </cell>
          <cell r="CK106">
            <v>5</v>
          </cell>
          <cell r="CL106">
            <v>1</v>
          </cell>
          <cell r="CM106">
            <v>0</v>
          </cell>
          <cell r="CN106">
            <v>0</v>
          </cell>
          <cell r="CO106">
            <v>0</v>
          </cell>
          <cell r="CP106">
            <v>0</v>
          </cell>
          <cell r="CQ106">
            <v>0</v>
          </cell>
          <cell r="CR106">
            <v>0</v>
          </cell>
        </row>
        <row r="107">
          <cell r="CH107">
            <v>11</v>
          </cell>
          <cell r="CI107">
            <v>5</v>
          </cell>
          <cell r="CJ107">
            <v>9</v>
          </cell>
          <cell r="CK107">
            <v>5</v>
          </cell>
          <cell r="CL107">
            <v>2</v>
          </cell>
          <cell r="CM107">
            <v>1</v>
          </cell>
          <cell r="CN107">
            <v>1</v>
          </cell>
          <cell r="CO107">
            <v>0</v>
          </cell>
          <cell r="CP107">
            <v>0</v>
          </cell>
          <cell r="CQ107">
            <v>0</v>
          </cell>
          <cell r="CR107">
            <v>0</v>
          </cell>
        </row>
        <row r="112">
          <cell r="CH112">
            <v>65</v>
          </cell>
          <cell r="CI112">
            <v>28</v>
          </cell>
          <cell r="CJ112">
            <v>45</v>
          </cell>
          <cell r="CK112">
            <v>21</v>
          </cell>
          <cell r="CL112">
            <v>3</v>
          </cell>
          <cell r="CM112">
            <v>1</v>
          </cell>
          <cell r="CN112">
            <v>3</v>
          </cell>
          <cell r="CO112">
            <v>0</v>
          </cell>
          <cell r="CP112">
            <v>1</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row>
        <row r="113">
          <cell r="CH113">
            <v>0</v>
          </cell>
          <cell r="CI113">
            <v>1</v>
          </cell>
          <cell r="CJ113">
            <v>0</v>
          </cell>
          <cell r="CK113">
            <v>0</v>
          </cell>
          <cell r="CL113">
            <v>0</v>
          </cell>
          <cell r="CM113">
            <v>0</v>
          </cell>
          <cell r="CN113">
            <v>1</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row>
        <row r="114">
          <cell r="CH114">
            <v>39</v>
          </cell>
          <cell r="CI114">
            <v>15</v>
          </cell>
          <cell r="CJ114">
            <v>33</v>
          </cell>
          <cell r="CK114">
            <v>15</v>
          </cell>
          <cell r="CL114">
            <v>1</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row>
        <row r="115">
          <cell r="CH115">
            <v>26</v>
          </cell>
          <cell r="CI115">
            <v>12</v>
          </cell>
          <cell r="CJ115">
            <v>12</v>
          </cell>
          <cell r="CK115">
            <v>6</v>
          </cell>
          <cell r="CL115">
            <v>2</v>
          </cell>
          <cell r="CM115">
            <v>1</v>
          </cell>
          <cell r="CN115">
            <v>2</v>
          </cell>
          <cell r="CO115">
            <v>0</v>
          </cell>
          <cell r="CP115">
            <v>1</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row>
      </sheetData>
      <sheetData sheetId="9"/>
      <sheetData sheetId="10">
        <row r="3">
          <cell r="Z3">
            <v>18</v>
          </cell>
          <cell r="AA3">
            <v>19</v>
          </cell>
          <cell r="AB3">
            <v>24</v>
          </cell>
          <cell r="AC3">
            <v>21</v>
          </cell>
          <cell r="AD3">
            <v>18</v>
          </cell>
          <cell r="AE3">
            <v>14</v>
          </cell>
          <cell r="AF3">
            <v>18</v>
          </cell>
          <cell r="AG3">
            <v>19</v>
          </cell>
          <cell r="AH3">
            <v>13</v>
          </cell>
          <cell r="AI3">
            <v>12</v>
          </cell>
          <cell r="AJ3">
            <v>7</v>
          </cell>
          <cell r="AK3">
            <v>12</v>
          </cell>
          <cell r="AL3">
            <v>6</v>
          </cell>
          <cell r="AM3">
            <v>10</v>
          </cell>
          <cell r="AN3">
            <v>7</v>
          </cell>
          <cell r="AO3">
            <v>16</v>
          </cell>
          <cell r="AP3">
            <v>19</v>
          </cell>
          <cell r="AQ3">
            <v>25</v>
          </cell>
          <cell r="AR3">
            <v>22</v>
          </cell>
          <cell r="AS3">
            <v>20</v>
          </cell>
          <cell r="AT3">
            <v>9</v>
          </cell>
          <cell r="AU3">
            <v>6</v>
          </cell>
          <cell r="AV3">
            <v>13</v>
          </cell>
          <cell r="AW3">
            <v>17</v>
          </cell>
          <cell r="AX3">
            <v>27</v>
          </cell>
          <cell r="AY3">
            <v>19</v>
          </cell>
          <cell r="AZ3">
            <v>16</v>
          </cell>
          <cell r="BA3">
            <v>16</v>
          </cell>
          <cell r="BB3">
            <v>7</v>
          </cell>
          <cell r="BC3">
            <v>25</v>
          </cell>
          <cell r="BD3">
            <v>24</v>
          </cell>
          <cell r="BE3">
            <v>25</v>
          </cell>
          <cell r="BF3">
            <v>18</v>
          </cell>
          <cell r="BG3">
            <v>23</v>
          </cell>
          <cell r="BH3">
            <v>33</v>
          </cell>
          <cell r="BI3">
            <v>21</v>
          </cell>
          <cell r="BJ3">
            <v>26</v>
          </cell>
          <cell r="BK3">
            <v>20</v>
          </cell>
          <cell r="BL3">
            <v>20</v>
          </cell>
          <cell r="BM3">
            <v>18</v>
          </cell>
          <cell r="BN3">
            <v>16</v>
          </cell>
          <cell r="BO3">
            <v>18</v>
          </cell>
          <cell r="BP3">
            <v>23</v>
          </cell>
          <cell r="BQ3">
            <v>25</v>
          </cell>
          <cell r="BR3">
            <v>15</v>
          </cell>
          <cell r="BS3">
            <v>26</v>
          </cell>
          <cell r="BT3">
            <v>14</v>
          </cell>
        </row>
        <row r="4">
          <cell r="Z4">
            <v>11</v>
          </cell>
          <cell r="AA4">
            <v>6</v>
          </cell>
          <cell r="AB4">
            <v>6</v>
          </cell>
          <cell r="AC4">
            <v>5</v>
          </cell>
          <cell r="AD4">
            <v>7</v>
          </cell>
          <cell r="AE4">
            <v>6</v>
          </cell>
          <cell r="AF4">
            <v>5</v>
          </cell>
          <cell r="AG4">
            <v>7</v>
          </cell>
          <cell r="AH4">
            <v>10</v>
          </cell>
          <cell r="AI4">
            <v>5</v>
          </cell>
          <cell r="AJ4">
            <v>3</v>
          </cell>
          <cell r="AK4">
            <v>5</v>
          </cell>
          <cell r="AL4">
            <v>3</v>
          </cell>
          <cell r="AM4">
            <v>2</v>
          </cell>
          <cell r="AN4">
            <v>3</v>
          </cell>
          <cell r="AO4">
            <v>10</v>
          </cell>
          <cell r="AP4">
            <v>16</v>
          </cell>
          <cell r="AQ4">
            <v>11</v>
          </cell>
          <cell r="AR4">
            <v>10</v>
          </cell>
          <cell r="AS4">
            <v>8</v>
          </cell>
          <cell r="AT4">
            <v>3</v>
          </cell>
          <cell r="AU4">
            <v>3</v>
          </cell>
          <cell r="AV4">
            <v>7</v>
          </cell>
          <cell r="AW4">
            <v>3</v>
          </cell>
          <cell r="AX4">
            <v>8</v>
          </cell>
          <cell r="AY4">
            <v>5</v>
          </cell>
          <cell r="AZ4">
            <v>2</v>
          </cell>
          <cell r="BA4">
            <v>11</v>
          </cell>
          <cell r="BB4">
            <v>4</v>
          </cell>
          <cell r="BC4">
            <v>7</v>
          </cell>
          <cell r="BD4">
            <v>5</v>
          </cell>
          <cell r="BE4">
            <v>10</v>
          </cell>
          <cell r="BF4">
            <v>5</v>
          </cell>
          <cell r="BG4">
            <v>3</v>
          </cell>
          <cell r="BH4">
            <v>11</v>
          </cell>
          <cell r="BI4">
            <v>13</v>
          </cell>
          <cell r="BJ4">
            <v>6</v>
          </cell>
          <cell r="BK4">
            <v>7</v>
          </cell>
          <cell r="BL4">
            <v>15</v>
          </cell>
          <cell r="BM4">
            <v>13</v>
          </cell>
          <cell r="BN4">
            <v>6</v>
          </cell>
          <cell r="BO4">
            <v>11</v>
          </cell>
          <cell r="BP4">
            <v>9</v>
          </cell>
          <cell r="BQ4">
            <v>10</v>
          </cell>
          <cell r="BR4">
            <v>6</v>
          </cell>
          <cell r="BS4">
            <v>10</v>
          </cell>
          <cell r="BT4">
            <v>11</v>
          </cell>
        </row>
        <row r="5">
          <cell r="Z5">
            <v>22</v>
          </cell>
          <cell r="AA5">
            <v>10</v>
          </cell>
          <cell r="AB5">
            <v>22</v>
          </cell>
          <cell r="AC5">
            <v>23</v>
          </cell>
          <cell r="AD5">
            <v>15</v>
          </cell>
          <cell r="AE5">
            <v>20</v>
          </cell>
          <cell r="AF5">
            <v>11</v>
          </cell>
          <cell r="AG5">
            <v>10</v>
          </cell>
          <cell r="AH5">
            <v>6</v>
          </cell>
          <cell r="AI5">
            <v>7</v>
          </cell>
          <cell r="AJ5">
            <v>8</v>
          </cell>
          <cell r="AK5">
            <v>8</v>
          </cell>
          <cell r="AL5">
            <v>13</v>
          </cell>
          <cell r="AM5">
            <v>9</v>
          </cell>
          <cell r="AN5">
            <v>8</v>
          </cell>
          <cell r="AO5">
            <v>15</v>
          </cell>
          <cell r="AP5">
            <v>28</v>
          </cell>
          <cell r="AQ5">
            <v>11</v>
          </cell>
          <cell r="AR5">
            <v>17</v>
          </cell>
          <cell r="AS5">
            <v>18</v>
          </cell>
          <cell r="AT5">
            <v>1</v>
          </cell>
          <cell r="AU5">
            <v>4</v>
          </cell>
          <cell r="AV5">
            <v>12</v>
          </cell>
          <cell r="AW5">
            <v>11</v>
          </cell>
          <cell r="AX5">
            <v>17</v>
          </cell>
          <cell r="AY5">
            <v>13</v>
          </cell>
          <cell r="AZ5">
            <v>18</v>
          </cell>
          <cell r="BA5">
            <v>13</v>
          </cell>
          <cell r="BB5">
            <v>18</v>
          </cell>
          <cell r="BC5">
            <v>13</v>
          </cell>
          <cell r="BD5">
            <v>14</v>
          </cell>
          <cell r="BE5">
            <v>15</v>
          </cell>
          <cell r="BF5">
            <v>13</v>
          </cell>
          <cell r="BG5">
            <v>13</v>
          </cell>
          <cell r="BH5">
            <v>15</v>
          </cell>
          <cell r="BI5">
            <v>13</v>
          </cell>
          <cell r="BJ5">
            <v>21</v>
          </cell>
          <cell r="BK5">
            <v>16</v>
          </cell>
          <cell r="BL5">
            <v>24</v>
          </cell>
          <cell r="BM5">
            <v>32</v>
          </cell>
          <cell r="BN5">
            <v>37</v>
          </cell>
          <cell r="BO5">
            <v>30</v>
          </cell>
          <cell r="BP5">
            <v>29</v>
          </cell>
          <cell r="BQ5">
            <v>22</v>
          </cell>
          <cell r="BR5">
            <v>26</v>
          </cell>
          <cell r="BS5">
            <v>37</v>
          </cell>
          <cell r="BT5">
            <v>26</v>
          </cell>
        </row>
        <row r="6">
          <cell r="Z6">
            <v>27</v>
          </cell>
          <cell r="AA6">
            <v>25</v>
          </cell>
          <cell r="AB6">
            <v>30</v>
          </cell>
          <cell r="AC6">
            <v>28</v>
          </cell>
          <cell r="AD6">
            <v>29</v>
          </cell>
          <cell r="AE6">
            <v>21</v>
          </cell>
          <cell r="AF6">
            <v>33</v>
          </cell>
          <cell r="AG6">
            <v>25</v>
          </cell>
          <cell r="AH6">
            <v>17</v>
          </cell>
          <cell r="AI6">
            <v>22</v>
          </cell>
          <cell r="AJ6">
            <v>15</v>
          </cell>
          <cell r="AK6">
            <v>18</v>
          </cell>
          <cell r="AL6">
            <v>7</v>
          </cell>
          <cell r="AM6">
            <v>10</v>
          </cell>
          <cell r="AN6">
            <v>12</v>
          </cell>
          <cell r="AO6">
            <v>27</v>
          </cell>
          <cell r="AP6">
            <v>17</v>
          </cell>
          <cell r="AQ6">
            <v>27</v>
          </cell>
          <cell r="AR6">
            <v>27</v>
          </cell>
          <cell r="AS6">
            <v>26</v>
          </cell>
          <cell r="AT6">
            <v>10</v>
          </cell>
          <cell r="AU6">
            <v>10</v>
          </cell>
          <cell r="AV6">
            <v>17</v>
          </cell>
          <cell r="AW6">
            <v>17</v>
          </cell>
          <cell r="AX6">
            <v>36</v>
          </cell>
          <cell r="AY6">
            <v>13</v>
          </cell>
          <cell r="AZ6">
            <v>29</v>
          </cell>
          <cell r="BA6">
            <v>20</v>
          </cell>
          <cell r="BB6">
            <v>31</v>
          </cell>
          <cell r="BC6">
            <v>22</v>
          </cell>
          <cell r="BD6">
            <v>23</v>
          </cell>
          <cell r="BE6">
            <v>25</v>
          </cell>
          <cell r="BF6">
            <v>20</v>
          </cell>
          <cell r="BG6">
            <v>33</v>
          </cell>
          <cell r="BH6">
            <v>26</v>
          </cell>
          <cell r="BI6">
            <v>32</v>
          </cell>
          <cell r="BJ6">
            <v>26</v>
          </cell>
          <cell r="BK6">
            <v>30</v>
          </cell>
          <cell r="BL6">
            <v>39</v>
          </cell>
          <cell r="BM6">
            <v>42</v>
          </cell>
          <cell r="BN6">
            <v>38</v>
          </cell>
          <cell r="BO6">
            <v>46</v>
          </cell>
          <cell r="BP6">
            <v>54</v>
          </cell>
          <cell r="BQ6">
            <v>29</v>
          </cell>
          <cell r="BR6">
            <v>58</v>
          </cell>
          <cell r="BS6">
            <v>48</v>
          </cell>
          <cell r="BT6">
            <v>39</v>
          </cell>
        </row>
        <row r="7">
          <cell r="Z7">
            <v>14</v>
          </cell>
          <cell r="AA7">
            <v>11</v>
          </cell>
          <cell r="AB7">
            <v>18</v>
          </cell>
          <cell r="AC7">
            <v>2</v>
          </cell>
          <cell r="AD7">
            <v>11</v>
          </cell>
          <cell r="AE7">
            <v>8</v>
          </cell>
          <cell r="AF7">
            <v>13</v>
          </cell>
          <cell r="AG7">
            <v>9</v>
          </cell>
          <cell r="AH7">
            <v>7</v>
          </cell>
          <cell r="AI7">
            <v>4</v>
          </cell>
          <cell r="AJ7">
            <v>2</v>
          </cell>
          <cell r="AK7">
            <v>3</v>
          </cell>
          <cell r="AL7">
            <v>10</v>
          </cell>
          <cell r="AM7">
            <v>4</v>
          </cell>
          <cell r="AN7">
            <v>10</v>
          </cell>
          <cell r="AO7">
            <v>15</v>
          </cell>
          <cell r="AP7">
            <v>7</v>
          </cell>
          <cell r="AQ7">
            <v>14</v>
          </cell>
          <cell r="AR7">
            <v>5</v>
          </cell>
          <cell r="AS7">
            <v>10</v>
          </cell>
          <cell r="AT7">
            <v>1</v>
          </cell>
          <cell r="AU7">
            <v>4</v>
          </cell>
          <cell r="AV7">
            <v>9</v>
          </cell>
          <cell r="AW7">
            <v>1</v>
          </cell>
          <cell r="AX7">
            <v>9</v>
          </cell>
          <cell r="AY7">
            <v>3</v>
          </cell>
          <cell r="AZ7">
            <v>10</v>
          </cell>
          <cell r="BA7">
            <v>4</v>
          </cell>
          <cell r="BB7">
            <v>9</v>
          </cell>
          <cell r="BC7">
            <v>9</v>
          </cell>
          <cell r="BD7">
            <v>4</v>
          </cell>
          <cell r="BE7">
            <v>4</v>
          </cell>
          <cell r="BF7">
            <v>9</v>
          </cell>
          <cell r="BG7">
            <v>14</v>
          </cell>
          <cell r="BH7">
            <v>18</v>
          </cell>
          <cell r="BI7">
            <v>6</v>
          </cell>
          <cell r="BJ7">
            <v>9</v>
          </cell>
          <cell r="BK7">
            <v>12</v>
          </cell>
          <cell r="BL7">
            <v>14</v>
          </cell>
          <cell r="BM7">
            <v>12</v>
          </cell>
          <cell r="BN7">
            <v>36</v>
          </cell>
          <cell r="BO7">
            <v>20</v>
          </cell>
          <cell r="BP7">
            <v>14</v>
          </cell>
          <cell r="BQ7">
            <v>29</v>
          </cell>
          <cell r="BR7">
            <v>15</v>
          </cell>
          <cell r="BS7">
            <v>23</v>
          </cell>
          <cell r="BT7">
            <v>10</v>
          </cell>
        </row>
        <row r="8">
          <cell r="Z8">
            <v>41</v>
          </cell>
          <cell r="AA8">
            <v>36</v>
          </cell>
          <cell r="AB8">
            <v>48</v>
          </cell>
          <cell r="AC8">
            <v>30</v>
          </cell>
          <cell r="AD8">
            <v>40</v>
          </cell>
          <cell r="AE8">
            <v>29</v>
          </cell>
          <cell r="AF8">
            <v>46</v>
          </cell>
          <cell r="AG8">
            <v>34</v>
          </cell>
          <cell r="AH8">
            <v>24</v>
          </cell>
          <cell r="AI8">
            <v>26</v>
          </cell>
          <cell r="AJ8">
            <v>17</v>
          </cell>
          <cell r="AK8">
            <v>21</v>
          </cell>
          <cell r="AL8">
            <v>17</v>
          </cell>
          <cell r="AM8">
            <v>14</v>
          </cell>
          <cell r="AN8">
            <v>22</v>
          </cell>
          <cell r="AO8">
            <v>42</v>
          </cell>
          <cell r="AP8">
            <v>24</v>
          </cell>
          <cell r="AQ8">
            <v>41</v>
          </cell>
          <cell r="AR8">
            <v>32</v>
          </cell>
          <cell r="AS8">
            <v>36</v>
          </cell>
          <cell r="AT8">
            <v>11</v>
          </cell>
          <cell r="AU8">
            <v>14</v>
          </cell>
          <cell r="AV8">
            <v>26</v>
          </cell>
          <cell r="AW8">
            <v>18</v>
          </cell>
          <cell r="AX8">
            <v>45</v>
          </cell>
          <cell r="AY8">
            <v>16</v>
          </cell>
          <cell r="AZ8">
            <v>39</v>
          </cell>
          <cell r="BA8">
            <v>24</v>
          </cell>
          <cell r="BB8">
            <v>40</v>
          </cell>
          <cell r="BC8">
            <v>31</v>
          </cell>
          <cell r="BD8">
            <v>27</v>
          </cell>
          <cell r="BE8">
            <v>29</v>
          </cell>
          <cell r="BF8">
            <v>29</v>
          </cell>
          <cell r="BG8">
            <v>47</v>
          </cell>
          <cell r="BH8">
            <v>44</v>
          </cell>
          <cell r="BI8">
            <v>38</v>
          </cell>
          <cell r="BJ8">
            <v>35</v>
          </cell>
          <cell r="BK8">
            <v>42</v>
          </cell>
          <cell r="BL8">
            <v>53</v>
          </cell>
          <cell r="BM8">
            <v>54</v>
          </cell>
          <cell r="BN8">
            <v>74</v>
          </cell>
          <cell r="BO8">
            <v>66</v>
          </cell>
          <cell r="BP8">
            <v>68</v>
          </cell>
          <cell r="BQ8">
            <v>58</v>
          </cell>
          <cell r="BR8">
            <v>73</v>
          </cell>
          <cell r="BS8">
            <v>71</v>
          </cell>
          <cell r="BT8">
            <v>49</v>
          </cell>
        </row>
        <row r="9">
          <cell r="Z9">
            <v>92</v>
          </cell>
          <cell r="AA9">
            <v>71</v>
          </cell>
          <cell r="AB9">
            <v>100</v>
          </cell>
          <cell r="AC9">
            <v>79</v>
          </cell>
          <cell r="AD9">
            <v>80</v>
          </cell>
          <cell r="AE9">
            <v>69</v>
          </cell>
          <cell r="AF9">
            <v>80</v>
          </cell>
          <cell r="AG9">
            <v>70</v>
          </cell>
          <cell r="AH9">
            <v>53</v>
          </cell>
          <cell r="AI9">
            <v>50</v>
          </cell>
          <cell r="AJ9">
            <v>35</v>
          </cell>
          <cell r="AK9">
            <v>46</v>
          </cell>
          <cell r="AL9">
            <v>39</v>
          </cell>
          <cell r="AM9">
            <v>35</v>
          </cell>
          <cell r="AN9">
            <v>40</v>
          </cell>
          <cell r="AO9">
            <v>83</v>
          </cell>
          <cell r="AP9">
            <v>87</v>
          </cell>
          <cell r="AQ9">
            <v>88</v>
          </cell>
          <cell r="AR9">
            <v>81</v>
          </cell>
          <cell r="AS9">
            <v>82</v>
          </cell>
          <cell r="AT9">
            <v>24</v>
          </cell>
          <cell r="AU9">
            <v>27</v>
          </cell>
          <cell r="AV9">
            <v>58</v>
          </cell>
          <cell r="AW9">
            <v>49</v>
          </cell>
          <cell r="AX9">
            <v>97</v>
          </cell>
          <cell r="AY9">
            <v>53</v>
          </cell>
          <cell r="AZ9">
            <v>75</v>
          </cell>
          <cell r="BA9">
            <v>64</v>
          </cell>
          <cell r="BB9">
            <v>69</v>
          </cell>
          <cell r="BC9">
            <v>76</v>
          </cell>
          <cell r="BD9">
            <v>70</v>
          </cell>
          <cell r="BE9">
            <v>79</v>
          </cell>
          <cell r="BF9">
            <v>65</v>
          </cell>
          <cell r="BG9">
            <v>86</v>
          </cell>
          <cell r="BH9">
            <v>103</v>
          </cell>
          <cell r="BI9">
            <v>85</v>
          </cell>
          <cell r="BJ9">
            <v>88</v>
          </cell>
          <cell r="BK9">
            <v>85</v>
          </cell>
          <cell r="BL9">
            <v>112</v>
          </cell>
          <cell r="BM9">
            <v>117</v>
          </cell>
          <cell r="BN9">
            <v>133</v>
          </cell>
          <cell r="BO9">
            <v>125</v>
          </cell>
          <cell r="BP9">
            <v>129</v>
          </cell>
          <cell r="BQ9">
            <v>115</v>
          </cell>
          <cell r="BR9">
            <v>120</v>
          </cell>
          <cell r="BS9">
            <v>144</v>
          </cell>
          <cell r="BT9">
            <v>100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N3">
            <v>1</v>
          </cell>
          <cell r="O3">
            <v>1</v>
          </cell>
          <cell r="P3">
            <v>1</v>
          </cell>
          <cell r="Q3">
            <v>1</v>
          </cell>
          <cell r="R3">
            <v>0</v>
          </cell>
          <cell r="S3">
            <v>0</v>
          </cell>
          <cell r="T3">
            <v>4</v>
          </cell>
          <cell r="U3">
            <v>0</v>
          </cell>
          <cell r="V3">
            <v>0</v>
          </cell>
          <cell r="W3">
            <v>0</v>
          </cell>
          <cell r="X3">
            <v>2</v>
          </cell>
          <cell r="Y3">
            <v>0</v>
          </cell>
          <cell r="Z3">
            <v>1</v>
          </cell>
          <cell r="AA3">
            <v>1</v>
          </cell>
          <cell r="AB3">
            <v>2</v>
          </cell>
          <cell r="AC3">
            <v>2</v>
          </cell>
          <cell r="AD3">
            <v>1</v>
          </cell>
          <cell r="AF3">
            <v>3</v>
          </cell>
          <cell r="AG3">
            <v>1</v>
          </cell>
          <cell r="AH3">
            <v>1</v>
          </cell>
          <cell r="AI3">
            <v>3</v>
          </cell>
          <cell r="AJ3">
            <v>2</v>
          </cell>
          <cell r="AK3">
            <v>2</v>
          </cell>
          <cell r="AL3">
            <v>3</v>
          </cell>
          <cell r="AM3">
            <v>2</v>
          </cell>
          <cell r="AN3">
            <v>0</v>
          </cell>
          <cell r="AO3">
            <v>4</v>
          </cell>
          <cell r="AP3">
            <v>2</v>
          </cell>
          <cell r="AQ3">
            <v>4</v>
          </cell>
          <cell r="AR3">
            <v>3</v>
          </cell>
          <cell r="AS3">
            <v>0</v>
          </cell>
          <cell r="AT3">
            <v>1</v>
          </cell>
          <cell r="AU3">
            <v>1</v>
          </cell>
          <cell r="AV3">
            <v>3</v>
          </cell>
          <cell r="AW3">
            <v>1</v>
          </cell>
          <cell r="AX3">
            <v>2</v>
          </cell>
          <cell r="AY3">
            <v>1</v>
          </cell>
          <cell r="AZ3">
            <v>2</v>
          </cell>
          <cell r="BA3">
            <v>1</v>
          </cell>
          <cell r="BB3">
            <v>1</v>
          </cell>
          <cell r="BC3">
            <v>3</v>
          </cell>
          <cell r="BD3">
            <v>4</v>
          </cell>
          <cell r="BE3">
            <v>1</v>
          </cell>
          <cell r="BF3">
            <v>6</v>
          </cell>
          <cell r="BG3">
            <v>1</v>
          </cell>
          <cell r="BH3">
            <v>0</v>
          </cell>
          <cell r="BI3">
            <v>2</v>
          </cell>
        </row>
        <row r="4">
          <cell r="N4">
            <v>2</v>
          </cell>
          <cell r="O4">
            <v>3</v>
          </cell>
          <cell r="Q4">
            <v>2</v>
          </cell>
          <cell r="R4">
            <v>1</v>
          </cell>
          <cell r="S4">
            <v>4</v>
          </cell>
          <cell r="T4">
            <v>2</v>
          </cell>
          <cell r="U4">
            <v>1</v>
          </cell>
          <cell r="V4">
            <v>1</v>
          </cell>
          <cell r="W4">
            <v>4</v>
          </cell>
          <cell r="X4">
            <v>4</v>
          </cell>
          <cell r="Y4">
            <v>6</v>
          </cell>
          <cell r="Z4">
            <v>6</v>
          </cell>
          <cell r="AA4">
            <v>1</v>
          </cell>
          <cell r="AB4">
            <v>5</v>
          </cell>
          <cell r="AC4">
            <v>6</v>
          </cell>
          <cell r="AD4">
            <v>4</v>
          </cell>
          <cell r="AE4">
            <v>3</v>
          </cell>
          <cell r="AF4">
            <v>7</v>
          </cell>
          <cell r="AG4">
            <v>1</v>
          </cell>
          <cell r="AH4">
            <v>9</v>
          </cell>
          <cell r="AI4">
            <v>6</v>
          </cell>
          <cell r="AJ4">
            <v>1</v>
          </cell>
          <cell r="AK4">
            <v>4</v>
          </cell>
          <cell r="AL4">
            <v>7</v>
          </cell>
          <cell r="AM4">
            <v>6</v>
          </cell>
          <cell r="AN4">
            <v>11</v>
          </cell>
          <cell r="AO4">
            <v>9</v>
          </cell>
          <cell r="AP4">
            <v>4</v>
          </cell>
          <cell r="AQ4">
            <v>4</v>
          </cell>
          <cell r="AR4">
            <v>4</v>
          </cell>
          <cell r="AS4">
            <v>6</v>
          </cell>
          <cell r="AT4">
            <v>7</v>
          </cell>
          <cell r="AU4">
            <v>7</v>
          </cell>
          <cell r="AV4">
            <v>4</v>
          </cell>
          <cell r="AW4">
            <v>1</v>
          </cell>
          <cell r="AX4">
            <v>5</v>
          </cell>
          <cell r="AY4">
            <v>4</v>
          </cell>
          <cell r="AZ4">
            <v>6</v>
          </cell>
          <cell r="BA4">
            <v>6</v>
          </cell>
          <cell r="BB4">
            <v>3</v>
          </cell>
          <cell r="BC4">
            <v>6</v>
          </cell>
          <cell r="BD4">
            <v>5</v>
          </cell>
          <cell r="BE4">
            <v>3</v>
          </cell>
          <cell r="BF4">
            <v>7</v>
          </cell>
          <cell r="BG4">
            <v>1</v>
          </cell>
          <cell r="BH4">
            <v>1</v>
          </cell>
          <cell r="BI4">
            <v>5</v>
          </cell>
        </row>
        <row r="5">
          <cell r="N5">
            <v>3</v>
          </cell>
          <cell r="O5">
            <v>3</v>
          </cell>
          <cell r="P5">
            <v>4</v>
          </cell>
          <cell r="Q5">
            <v>3</v>
          </cell>
          <cell r="R5">
            <v>2</v>
          </cell>
          <cell r="S5">
            <v>2</v>
          </cell>
          <cell r="T5">
            <v>1</v>
          </cell>
          <cell r="U5">
            <v>2</v>
          </cell>
          <cell r="V5">
            <v>2</v>
          </cell>
          <cell r="W5">
            <v>3</v>
          </cell>
          <cell r="X5">
            <v>5</v>
          </cell>
          <cell r="Y5">
            <v>3</v>
          </cell>
          <cell r="Z5">
            <v>3</v>
          </cell>
          <cell r="AA5">
            <v>6</v>
          </cell>
          <cell r="AB5">
            <v>4</v>
          </cell>
          <cell r="AC5">
            <v>3</v>
          </cell>
          <cell r="AD5">
            <v>7</v>
          </cell>
          <cell r="AE5">
            <v>4</v>
          </cell>
          <cell r="AF5">
            <v>1</v>
          </cell>
          <cell r="AG5">
            <v>5</v>
          </cell>
          <cell r="AH5">
            <v>2</v>
          </cell>
          <cell r="AI5">
            <v>6</v>
          </cell>
          <cell r="AJ5">
            <v>5</v>
          </cell>
          <cell r="AK5">
            <v>6</v>
          </cell>
          <cell r="AL5">
            <v>2</v>
          </cell>
          <cell r="AM5">
            <v>3</v>
          </cell>
          <cell r="AN5">
            <v>10</v>
          </cell>
          <cell r="AO5">
            <v>3</v>
          </cell>
          <cell r="AP5">
            <v>8</v>
          </cell>
          <cell r="AQ5">
            <v>4</v>
          </cell>
          <cell r="AR5">
            <v>3</v>
          </cell>
          <cell r="AS5">
            <v>3</v>
          </cell>
          <cell r="AT5">
            <v>4</v>
          </cell>
          <cell r="AU5">
            <v>3</v>
          </cell>
          <cell r="AV5">
            <v>2</v>
          </cell>
          <cell r="AW5">
            <v>6</v>
          </cell>
          <cell r="AX5">
            <v>3</v>
          </cell>
          <cell r="AY5">
            <v>6</v>
          </cell>
          <cell r="AZ5">
            <v>1</v>
          </cell>
          <cell r="BA5">
            <v>3</v>
          </cell>
          <cell r="BB5">
            <v>4</v>
          </cell>
          <cell r="BC5">
            <v>4</v>
          </cell>
          <cell r="BE5">
            <v>6</v>
          </cell>
          <cell r="BF5">
            <v>3</v>
          </cell>
          <cell r="BG5">
            <v>1</v>
          </cell>
          <cell r="BH5">
            <v>3</v>
          </cell>
          <cell r="BI5">
            <v>2</v>
          </cell>
        </row>
        <row r="6">
          <cell r="N6">
            <v>4</v>
          </cell>
          <cell r="O6">
            <v>2</v>
          </cell>
          <cell r="P6">
            <v>5</v>
          </cell>
          <cell r="Q6">
            <v>1</v>
          </cell>
          <cell r="R6">
            <v>3</v>
          </cell>
          <cell r="S6">
            <v>1</v>
          </cell>
          <cell r="T6">
            <v>4</v>
          </cell>
          <cell r="U6">
            <v>1</v>
          </cell>
          <cell r="V6">
            <v>1</v>
          </cell>
          <cell r="W6">
            <v>2</v>
          </cell>
          <cell r="X6">
            <v>2</v>
          </cell>
          <cell r="Y6">
            <v>4</v>
          </cell>
          <cell r="Z6">
            <v>2</v>
          </cell>
          <cell r="AA6">
            <v>6</v>
          </cell>
          <cell r="AB6">
            <v>2</v>
          </cell>
          <cell r="AC6">
            <v>4</v>
          </cell>
          <cell r="AE6">
            <v>1</v>
          </cell>
          <cell r="AF6">
            <v>1</v>
          </cell>
          <cell r="AG6">
            <v>9</v>
          </cell>
          <cell r="AH6">
            <v>4</v>
          </cell>
          <cell r="AI6">
            <v>5</v>
          </cell>
          <cell r="AJ6">
            <v>3</v>
          </cell>
          <cell r="AK6">
            <v>3</v>
          </cell>
          <cell r="AL6">
            <v>3</v>
          </cell>
          <cell r="AM6">
            <v>6</v>
          </cell>
          <cell r="AN6">
            <v>6</v>
          </cell>
          <cell r="AO6">
            <v>7</v>
          </cell>
          <cell r="AP6">
            <v>8</v>
          </cell>
          <cell r="AQ6">
            <v>6</v>
          </cell>
          <cell r="AR6">
            <v>2</v>
          </cell>
          <cell r="AS6">
            <v>3</v>
          </cell>
          <cell r="AT6">
            <v>4</v>
          </cell>
          <cell r="AU6">
            <v>3</v>
          </cell>
          <cell r="AV6">
            <v>3</v>
          </cell>
          <cell r="AW6">
            <v>6</v>
          </cell>
          <cell r="AX6">
            <v>1</v>
          </cell>
          <cell r="AY6">
            <v>3</v>
          </cell>
          <cell r="AZ6">
            <v>3</v>
          </cell>
          <cell r="BA6">
            <v>2</v>
          </cell>
          <cell r="BB6">
            <v>3</v>
          </cell>
          <cell r="BC6">
            <v>2</v>
          </cell>
          <cell r="BD6">
            <v>4</v>
          </cell>
          <cell r="BE6">
            <v>4</v>
          </cell>
          <cell r="BF6">
            <v>4</v>
          </cell>
          <cell r="BG6">
            <v>6</v>
          </cell>
          <cell r="BH6">
            <v>0</v>
          </cell>
          <cell r="BI6">
            <v>4</v>
          </cell>
        </row>
        <row r="7">
          <cell r="N7">
            <v>4</v>
          </cell>
          <cell r="O7">
            <v>5</v>
          </cell>
          <cell r="P7">
            <v>5</v>
          </cell>
          <cell r="Q7">
            <v>3</v>
          </cell>
          <cell r="R7">
            <v>2</v>
          </cell>
          <cell r="S7">
            <v>1</v>
          </cell>
          <cell r="T7">
            <v>3</v>
          </cell>
          <cell r="U7">
            <v>1</v>
          </cell>
          <cell r="V7">
            <v>2</v>
          </cell>
          <cell r="W7">
            <v>3</v>
          </cell>
          <cell r="X7">
            <v>3</v>
          </cell>
          <cell r="Y7">
            <v>3</v>
          </cell>
          <cell r="Z7">
            <v>2</v>
          </cell>
          <cell r="AA7">
            <v>5</v>
          </cell>
          <cell r="AB7">
            <v>6</v>
          </cell>
          <cell r="AC7">
            <v>2</v>
          </cell>
          <cell r="AD7">
            <v>6</v>
          </cell>
          <cell r="AE7">
            <v>4</v>
          </cell>
          <cell r="AF7">
            <v>10</v>
          </cell>
          <cell r="AG7">
            <v>8</v>
          </cell>
          <cell r="AH7">
            <v>12</v>
          </cell>
          <cell r="AI7">
            <v>5</v>
          </cell>
          <cell r="AJ7">
            <v>8</v>
          </cell>
          <cell r="AK7">
            <v>5</v>
          </cell>
          <cell r="AL7">
            <v>5</v>
          </cell>
          <cell r="AM7">
            <v>5</v>
          </cell>
          <cell r="AN7">
            <v>6</v>
          </cell>
          <cell r="AO7">
            <v>4</v>
          </cell>
          <cell r="AP7">
            <v>3</v>
          </cell>
          <cell r="AQ7">
            <v>6</v>
          </cell>
          <cell r="AR7">
            <v>5</v>
          </cell>
          <cell r="AS7">
            <v>5</v>
          </cell>
          <cell r="AT7">
            <v>10</v>
          </cell>
          <cell r="AU7">
            <v>4</v>
          </cell>
          <cell r="AV7">
            <v>4</v>
          </cell>
          <cell r="AW7">
            <v>2</v>
          </cell>
          <cell r="AX7">
            <v>1</v>
          </cell>
          <cell r="AY7">
            <v>3</v>
          </cell>
          <cell r="BA7">
            <v>3</v>
          </cell>
          <cell r="BB7">
            <v>7</v>
          </cell>
          <cell r="BC7">
            <v>7</v>
          </cell>
          <cell r="BD7">
            <v>5</v>
          </cell>
          <cell r="BE7">
            <v>4</v>
          </cell>
          <cell r="BF7">
            <v>3</v>
          </cell>
          <cell r="BG7">
            <v>3</v>
          </cell>
          <cell r="BH7">
            <v>3</v>
          </cell>
          <cell r="BI7">
            <v>4</v>
          </cell>
        </row>
        <row r="8">
          <cell r="N8">
            <v>8</v>
          </cell>
          <cell r="O8">
            <v>7</v>
          </cell>
          <cell r="P8">
            <v>10</v>
          </cell>
          <cell r="Q8">
            <v>4</v>
          </cell>
          <cell r="R8">
            <v>5</v>
          </cell>
          <cell r="S8">
            <v>2</v>
          </cell>
          <cell r="T8">
            <v>7</v>
          </cell>
          <cell r="U8">
            <v>2</v>
          </cell>
          <cell r="V8">
            <v>3</v>
          </cell>
          <cell r="W8">
            <v>5</v>
          </cell>
          <cell r="X8">
            <v>5</v>
          </cell>
          <cell r="Y8">
            <v>7</v>
          </cell>
          <cell r="Z8">
            <v>4</v>
          </cell>
          <cell r="AA8">
            <v>11</v>
          </cell>
          <cell r="AB8">
            <v>8</v>
          </cell>
          <cell r="AC8">
            <v>6</v>
          </cell>
          <cell r="AD8">
            <v>6</v>
          </cell>
          <cell r="AE8">
            <v>5</v>
          </cell>
          <cell r="AF8">
            <v>11</v>
          </cell>
          <cell r="AG8">
            <v>17</v>
          </cell>
          <cell r="AH8">
            <v>16</v>
          </cell>
          <cell r="AI8">
            <v>10</v>
          </cell>
          <cell r="AJ8">
            <v>11</v>
          </cell>
          <cell r="AK8">
            <v>8</v>
          </cell>
          <cell r="AL8">
            <v>8</v>
          </cell>
          <cell r="AM8">
            <v>11</v>
          </cell>
          <cell r="AN8">
            <v>12</v>
          </cell>
          <cell r="AO8">
            <v>11</v>
          </cell>
          <cell r="AP8">
            <v>11</v>
          </cell>
          <cell r="AQ8">
            <v>12</v>
          </cell>
          <cell r="AR8">
            <v>7</v>
          </cell>
          <cell r="AS8">
            <v>8</v>
          </cell>
          <cell r="AT8">
            <v>14</v>
          </cell>
          <cell r="AU8">
            <v>7</v>
          </cell>
          <cell r="AV8">
            <v>7</v>
          </cell>
          <cell r="AW8">
            <v>8</v>
          </cell>
          <cell r="AX8">
            <v>2</v>
          </cell>
          <cell r="AY8">
            <v>6</v>
          </cell>
          <cell r="AZ8">
            <v>3</v>
          </cell>
          <cell r="BA8">
            <v>5</v>
          </cell>
          <cell r="BB8">
            <v>10</v>
          </cell>
          <cell r="BC8">
            <v>9</v>
          </cell>
          <cell r="BD8">
            <v>9</v>
          </cell>
          <cell r="BE8">
            <v>8</v>
          </cell>
          <cell r="BF8">
            <v>7</v>
          </cell>
          <cell r="BG8">
            <v>9</v>
          </cell>
          <cell r="BH8">
            <v>3</v>
          </cell>
          <cell r="BI8">
            <v>8</v>
          </cell>
        </row>
        <row r="9">
          <cell r="N9">
            <v>14</v>
          </cell>
          <cell r="O9">
            <v>14</v>
          </cell>
          <cell r="P9">
            <v>15</v>
          </cell>
          <cell r="Q9">
            <v>10</v>
          </cell>
          <cell r="R9">
            <v>8</v>
          </cell>
          <cell r="S9">
            <v>8</v>
          </cell>
          <cell r="T9">
            <v>14</v>
          </cell>
          <cell r="U9">
            <v>5</v>
          </cell>
          <cell r="V9">
            <v>6</v>
          </cell>
          <cell r="W9">
            <v>12</v>
          </cell>
          <cell r="X9">
            <v>16</v>
          </cell>
          <cell r="Y9">
            <v>16</v>
          </cell>
          <cell r="Z9">
            <v>14</v>
          </cell>
          <cell r="AA9">
            <v>19</v>
          </cell>
          <cell r="AB9">
            <v>19</v>
          </cell>
          <cell r="AC9">
            <v>17</v>
          </cell>
          <cell r="AD9">
            <v>18</v>
          </cell>
          <cell r="AE9">
            <v>12</v>
          </cell>
          <cell r="AF9">
            <v>22</v>
          </cell>
          <cell r="AG9">
            <v>24</v>
          </cell>
          <cell r="AH9">
            <v>28</v>
          </cell>
          <cell r="AI9">
            <v>25</v>
          </cell>
          <cell r="AJ9">
            <v>19</v>
          </cell>
          <cell r="AK9">
            <v>20</v>
          </cell>
          <cell r="AL9">
            <v>20</v>
          </cell>
          <cell r="AM9">
            <v>22</v>
          </cell>
          <cell r="AN9">
            <v>33</v>
          </cell>
          <cell r="AO9">
            <v>27</v>
          </cell>
          <cell r="AP9">
            <v>25</v>
          </cell>
          <cell r="AQ9">
            <v>24</v>
          </cell>
          <cell r="AR9">
            <v>17</v>
          </cell>
          <cell r="AS9">
            <v>17</v>
          </cell>
          <cell r="AT9">
            <v>26</v>
          </cell>
          <cell r="AU9">
            <v>18</v>
          </cell>
          <cell r="AV9">
            <v>16</v>
          </cell>
          <cell r="AW9">
            <v>16</v>
          </cell>
          <cell r="AX9">
            <v>12</v>
          </cell>
          <cell r="AY9">
            <v>17</v>
          </cell>
          <cell r="AZ9">
            <v>12</v>
          </cell>
          <cell r="BA9">
            <v>15</v>
          </cell>
          <cell r="BB9">
            <v>18</v>
          </cell>
          <cell r="BC9">
            <v>22</v>
          </cell>
          <cell r="BD9">
            <v>18</v>
          </cell>
          <cell r="BE9">
            <v>18</v>
          </cell>
          <cell r="BF9">
            <v>23</v>
          </cell>
          <cell r="BG9">
            <v>12</v>
          </cell>
          <cell r="BH9">
            <v>7</v>
          </cell>
          <cell r="BI9">
            <v>17</v>
          </cell>
        </row>
      </sheetData>
      <sheetData sheetId="26">
        <row r="2">
          <cell r="B2" t="str">
            <v>n/a</v>
          </cell>
          <cell r="C2" t="str">
            <v>n/a</v>
          </cell>
          <cell r="D2" t="str">
            <v>n/a</v>
          </cell>
          <cell r="E2" t="str">
            <v>n/a</v>
          </cell>
          <cell r="F2" t="str">
            <v>n/a</v>
          </cell>
          <cell r="G2">
            <v>105</v>
          </cell>
          <cell r="H2">
            <v>103</v>
          </cell>
          <cell r="I2">
            <v>78</v>
          </cell>
          <cell r="J2">
            <v>59</v>
          </cell>
          <cell r="K2">
            <v>30</v>
          </cell>
          <cell r="L2">
            <v>12</v>
          </cell>
          <cell r="M2">
            <v>10</v>
          </cell>
          <cell r="N2">
            <v>5</v>
          </cell>
          <cell r="O2">
            <v>15</v>
          </cell>
          <cell r="Q2">
            <v>2</v>
          </cell>
          <cell r="R2">
            <v>11</v>
          </cell>
          <cell r="S2">
            <v>3</v>
          </cell>
          <cell r="T2">
            <v>1</v>
          </cell>
          <cell r="U2">
            <v>1</v>
          </cell>
          <cell r="V2">
            <v>3</v>
          </cell>
          <cell r="W2">
            <v>2</v>
          </cell>
          <cell r="X2">
            <v>1</v>
          </cell>
          <cell r="Y2">
            <v>1</v>
          </cell>
          <cell r="Z2">
            <v>0</v>
          </cell>
          <cell r="AA2">
            <v>0</v>
          </cell>
          <cell r="AB2">
            <v>1</v>
          </cell>
          <cell r="AC2">
            <v>14</v>
          </cell>
          <cell r="AD2">
            <v>2</v>
          </cell>
          <cell r="AE2">
            <v>0</v>
          </cell>
          <cell r="AF2">
            <v>0</v>
          </cell>
          <cell r="AG2">
            <v>2</v>
          </cell>
          <cell r="AH2">
            <v>11</v>
          </cell>
          <cell r="AI2">
            <v>3</v>
          </cell>
          <cell r="AJ2">
            <v>2</v>
          </cell>
          <cell r="AK2">
            <v>1</v>
          </cell>
          <cell r="AL2">
            <v>0</v>
          </cell>
          <cell r="AM2">
            <v>3</v>
          </cell>
          <cell r="AN2">
            <v>2</v>
          </cell>
          <cell r="AO2">
            <v>1</v>
          </cell>
          <cell r="AP2">
            <v>3</v>
          </cell>
          <cell r="AQ2">
            <v>1</v>
          </cell>
          <cell r="AR2">
            <v>6</v>
          </cell>
          <cell r="AS2">
            <v>3</v>
          </cell>
          <cell r="AT2">
            <v>1</v>
          </cell>
          <cell r="AU2">
            <v>1</v>
          </cell>
          <cell r="AV2">
            <v>1</v>
          </cell>
          <cell r="AW2">
            <v>1</v>
          </cell>
        </row>
      </sheetData>
      <sheetData sheetId="27">
        <row r="2">
          <cell r="B2">
            <v>68</v>
          </cell>
          <cell r="C2">
            <v>68</v>
          </cell>
          <cell r="D2">
            <v>64</v>
          </cell>
          <cell r="E2">
            <v>73</v>
          </cell>
          <cell r="F2">
            <v>68</v>
          </cell>
          <cell r="G2">
            <v>67</v>
          </cell>
          <cell r="H2">
            <v>67</v>
          </cell>
          <cell r="I2">
            <v>50</v>
          </cell>
          <cell r="J2">
            <v>60</v>
          </cell>
          <cell r="K2">
            <v>53</v>
          </cell>
          <cell r="L2">
            <v>39</v>
          </cell>
          <cell r="M2">
            <v>53</v>
          </cell>
          <cell r="N2">
            <v>56</v>
          </cell>
          <cell r="O2">
            <v>65</v>
          </cell>
          <cell r="P2">
            <v>66</v>
          </cell>
          <cell r="Q2">
            <v>73</v>
          </cell>
          <cell r="R2">
            <v>57</v>
          </cell>
          <cell r="S2">
            <v>56</v>
          </cell>
          <cell r="T2">
            <v>39</v>
          </cell>
          <cell r="U2">
            <v>54</v>
          </cell>
          <cell r="V2">
            <v>47</v>
          </cell>
          <cell r="W2">
            <v>48</v>
          </cell>
          <cell r="X2">
            <v>37</v>
          </cell>
          <cell r="Y2">
            <v>62</v>
          </cell>
          <cell r="Z2">
            <v>60</v>
          </cell>
          <cell r="AA2">
            <v>49</v>
          </cell>
          <cell r="AB2">
            <v>52</v>
          </cell>
          <cell r="AC2">
            <v>70</v>
          </cell>
          <cell r="AD2">
            <v>57</v>
          </cell>
          <cell r="AE2">
            <v>56</v>
          </cell>
          <cell r="AF2">
            <v>60</v>
          </cell>
          <cell r="AG2">
            <v>56</v>
          </cell>
          <cell r="AH2">
            <v>44</v>
          </cell>
          <cell r="AI2">
            <v>37</v>
          </cell>
          <cell r="AJ2">
            <v>46</v>
          </cell>
          <cell r="AK2">
            <v>50</v>
          </cell>
          <cell r="AL2">
            <v>37</v>
          </cell>
          <cell r="AM2">
            <v>51</v>
          </cell>
          <cell r="AN2">
            <v>66</v>
          </cell>
          <cell r="AO2">
            <v>68</v>
          </cell>
          <cell r="AP2">
            <v>64</v>
          </cell>
          <cell r="AQ2">
            <v>54</v>
          </cell>
          <cell r="AR2">
            <v>50</v>
          </cell>
          <cell r="AS2">
            <v>38</v>
          </cell>
          <cell r="AT2">
            <v>45</v>
          </cell>
          <cell r="AU2">
            <v>46</v>
          </cell>
          <cell r="AV2">
            <v>45</v>
          </cell>
          <cell r="AW2">
            <v>36</v>
          </cell>
        </row>
        <row r="3">
          <cell r="B3">
            <v>25</v>
          </cell>
          <cell r="C3">
            <v>18</v>
          </cell>
          <cell r="D3">
            <v>29</v>
          </cell>
          <cell r="E3">
            <v>12</v>
          </cell>
          <cell r="F3">
            <v>18</v>
          </cell>
          <cell r="G3">
            <v>13</v>
          </cell>
          <cell r="H3">
            <v>11</v>
          </cell>
          <cell r="I3">
            <v>24</v>
          </cell>
          <cell r="J3">
            <v>9</v>
          </cell>
          <cell r="K3">
            <v>10</v>
          </cell>
          <cell r="L3">
            <v>9</v>
          </cell>
          <cell r="M3">
            <v>13</v>
          </cell>
          <cell r="N3">
            <v>12</v>
          </cell>
          <cell r="O3">
            <v>15</v>
          </cell>
          <cell r="P3">
            <v>12</v>
          </cell>
          <cell r="Q3">
            <v>18</v>
          </cell>
          <cell r="R3">
            <v>15</v>
          </cell>
          <cell r="S3">
            <v>11</v>
          </cell>
          <cell r="T3">
            <v>14</v>
          </cell>
          <cell r="U3">
            <v>10</v>
          </cell>
          <cell r="V3">
            <v>7</v>
          </cell>
          <cell r="W3">
            <v>15</v>
          </cell>
          <cell r="X3">
            <v>13</v>
          </cell>
          <cell r="Y3">
            <v>14</v>
          </cell>
          <cell r="Z3">
            <v>16</v>
          </cell>
          <cell r="AA3">
            <v>7</v>
          </cell>
          <cell r="AB3">
            <v>9</v>
          </cell>
          <cell r="AC3">
            <v>8</v>
          </cell>
          <cell r="AD3">
            <v>15</v>
          </cell>
          <cell r="AE3">
            <v>15</v>
          </cell>
          <cell r="AF3">
            <v>21</v>
          </cell>
          <cell r="AG3">
            <v>22</v>
          </cell>
          <cell r="AH3">
            <v>6</v>
          </cell>
          <cell r="AI3">
            <v>12</v>
          </cell>
          <cell r="AJ3">
            <v>20</v>
          </cell>
          <cell r="AK3">
            <v>14</v>
          </cell>
          <cell r="AL3">
            <v>11</v>
          </cell>
          <cell r="AM3">
            <v>17</v>
          </cell>
          <cell r="AN3">
            <v>13</v>
          </cell>
          <cell r="AO3">
            <v>19</v>
          </cell>
          <cell r="AP3">
            <v>27</v>
          </cell>
          <cell r="AQ3">
            <v>14</v>
          </cell>
          <cell r="AR3">
            <v>12</v>
          </cell>
          <cell r="AS3">
            <v>14</v>
          </cell>
          <cell r="AT3">
            <v>14</v>
          </cell>
          <cell r="AU3">
            <v>15</v>
          </cell>
          <cell r="AV3">
            <v>12</v>
          </cell>
          <cell r="AW3">
            <v>16</v>
          </cell>
        </row>
        <row r="4">
          <cell r="B4">
            <v>10</v>
          </cell>
          <cell r="C4">
            <v>7</v>
          </cell>
          <cell r="D4">
            <v>12</v>
          </cell>
          <cell r="E4">
            <v>18</v>
          </cell>
          <cell r="F4">
            <v>16</v>
          </cell>
          <cell r="G4">
            <v>16</v>
          </cell>
          <cell r="H4">
            <v>16</v>
          </cell>
          <cell r="I4">
            <v>14</v>
          </cell>
          <cell r="J4">
            <v>15</v>
          </cell>
          <cell r="K4">
            <v>12</v>
          </cell>
          <cell r="L4">
            <v>14</v>
          </cell>
          <cell r="M4">
            <v>18</v>
          </cell>
          <cell r="N4">
            <v>11</v>
          </cell>
          <cell r="O4">
            <v>14</v>
          </cell>
          <cell r="P4">
            <v>24</v>
          </cell>
          <cell r="Q4">
            <v>20</v>
          </cell>
          <cell r="R4">
            <v>20</v>
          </cell>
          <cell r="S4">
            <v>15</v>
          </cell>
          <cell r="T4">
            <v>10</v>
          </cell>
          <cell r="U4">
            <v>11</v>
          </cell>
          <cell r="V4">
            <v>10</v>
          </cell>
          <cell r="W4">
            <v>10</v>
          </cell>
          <cell r="X4">
            <v>11</v>
          </cell>
          <cell r="Y4">
            <v>7</v>
          </cell>
          <cell r="Z4">
            <v>14</v>
          </cell>
          <cell r="AA4">
            <v>10</v>
          </cell>
          <cell r="AB4">
            <v>10</v>
          </cell>
          <cell r="AC4">
            <v>11</v>
          </cell>
          <cell r="AD4">
            <v>5</v>
          </cell>
          <cell r="AE4">
            <v>8</v>
          </cell>
          <cell r="AF4">
            <v>10</v>
          </cell>
          <cell r="AG4">
            <v>5</v>
          </cell>
          <cell r="AH4">
            <v>5</v>
          </cell>
          <cell r="AI4">
            <v>2</v>
          </cell>
          <cell r="AJ4">
            <v>10</v>
          </cell>
          <cell r="AK4">
            <v>8</v>
          </cell>
          <cell r="AL4">
            <v>9</v>
          </cell>
          <cell r="AM4">
            <v>5</v>
          </cell>
          <cell r="AN4">
            <v>7</v>
          </cell>
          <cell r="AO4">
            <v>12</v>
          </cell>
          <cell r="AP4">
            <v>15</v>
          </cell>
          <cell r="AQ4">
            <v>7</v>
          </cell>
          <cell r="AR4">
            <v>7</v>
          </cell>
          <cell r="AS4">
            <v>9</v>
          </cell>
          <cell r="AT4">
            <v>6</v>
          </cell>
          <cell r="AU4">
            <v>8</v>
          </cell>
          <cell r="AV4">
            <v>8</v>
          </cell>
          <cell r="AW4">
            <v>11</v>
          </cell>
        </row>
        <row r="5">
          <cell r="B5">
            <v>2</v>
          </cell>
          <cell r="C5">
            <v>4</v>
          </cell>
          <cell r="D5">
            <v>1</v>
          </cell>
          <cell r="E5">
            <v>1</v>
          </cell>
          <cell r="F5">
            <v>8</v>
          </cell>
          <cell r="G5">
            <v>0</v>
          </cell>
          <cell r="H5">
            <v>1</v>
          </cell>
          <cell r="I5">
            <v>4</v>
          </cell>
          <cell r="J5">
            <v>1</v>
          </cell>
          <cell r="K5">
            <v>3</v>
          </cell>
          <cell r="L5">
            <v>2</v>
          </cell>
          <cell r="M5">
            <v>3</v>
          </cell>
          <cell r="N5">
            <v>0</v>
          </cell>
          <cell r="O5">
            <v>4</v>
          </cell>
          <cell r="P5">
            <v>3</v>
          </cell>
          <cell r="Q5">
            <v>2</v>
          </cell>
          <cell r="R5">
            <v>3</v>
          </cell>
          <cell r="S5">
            <v>4</v>
          </cell>
          <cell r="T5">
            <v>3</v>
          </cell>
          <cell r="U5">
            <v>4</v>
          </cell>
          <cell r="V5">
            <v>7</v>
          </cell>
          <cell r="W5">
            <v>4</v>
          </cell>
          <cell r="X5">
            <v>4</v>
          </cell>
          <cell r="Y5">
            <v>0</v>
          </cell>
          <cell r="Z5">
            <v>1</v>
          </cell>
          <cell r="AA5">
            <v>4</v>
          </cell>
          <cell r="AB5">
            <v>3</v>
          </cell>
          <cell r="AC5">
            <v>3</v>
          </cell>
          <cell r="AD5">
            <v>4</v>
          </cell>
          <cell r="AE5">
            <v>5</v>
          </cell>
          <cell r="AF5">
            <v>4</v>
          </cell>
          <cell r="AG5">
            <v>1</v>
          </cell>
          <cell r="AH5">
            <v>2</v>
          </cell>
          <cell r="AI5">
            <v>3</v>
          </cell>
          <cell r="AJ5">
            <v>3</v>
          </cell>
          <cell r="AK5">
            <v>0</v>
          </cell>
          <cell r="AL5">
            <v>2</v>
          </cell>
          <cell r="AM5">
            <v>3</v>
          </cell>
          <cell r="AN5">
            <v>2</v>
          </cell>
          <cell r="AO5">
            <v>4</v>
          </cell>
          <cell r="AP5">
            <v>3</v>
          </cell>
          <cell r="AQ5">
            <v>1</v>
          </cell>
          <cell r="AR5">
            <v>1</v>
          </cell>
          <cell r="AS5">
            <v>4</v>
          </cell>
          <cell r="AT5">
            <v>4</v>
          </cell>
          <cell r="AU5">
            <v>4</v>
          </cell>
          <cell r="AV5">
            <v>3</v>
          </cell>
          <cell r="AW5">
            <v>3</v>
          </cell>
        </row>
        <row r="6">
          <cell r="B6">
            <v>1</v>
          </cell>
          <cell r="C6">
            <v>2</v>
          </cell>
          <cell r="E6">
            <v>3</v>
          </cell>
          <cell r="F6">
            <v>2</v>
          </cell>
          <cell r="I6">
            <v>1</v>
          </cell>
          <cell r="J6">
            <v>1</v>
          </cell>
          <cell r="K6">
            <v>2</v>
          </cell>
          <cell r="L6">
            <v>1</v>
          </cell>
          <cell r="M6">
            <v>1</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row>
        <row r="7">
          <cell r="B7">
            <v>1</v>
          </cell>
          <cell r="C7">
            <v>3</v>
          </cell>
          <cell r="D7">
            <v>6</v>
          </cell>
          <cell r="E7">
            <v>3</v>
          </cell>
          <cell r="F7">
            <v>1</v>
          </cell>
          <cell r="G7">
            <v>3</v>
          </cell>
          <cell r="H7">
            <v>2</v>
          </cell>
          <cell r="I7">
            <v>3</v>
          </cell>
          <cell r="J7">
            <v>1</v>
          </cell>
          <cell r="K7">
            <v>4</v>
          </cell>
          <cell r="L7">
            <v>2</v>
          </cell>
          <cell r="M7">
            <v>2</v>
          </cell>
          <cell r="O7">
            <v>2</v>
          </cell>
          <cell r="P7">
            <v>7</v>
          </cell>
          <cell r="Q7">
            <v>5</v>
          </cell>
          <cell r="R7">
            <v>3</v>
          </cell>
          <cell r="U7">
            <v>3</v>
          </cell>
          <cell r="V7">
            <v>4</v>
          </cell>
          <cell r="W7">
            <v>2</v>
          </cell>
          <cell r="X7">
            <v>3</v>
          </cell>
          <cell r="Y7">
            <v>2</v>
          </cell>
          <cell r="Z7">
            <v>4</v>
          </cell>
          <cell r="AA7">
            <v>4</v>
          </cell>
          <cell r="AB7">
            <v>4</v>
          </cell>
          <cell r="AC7">
            <v>4</v>
          </cell>
          <cell r="AD7">
            <v>2</v>
          </cell>
          <cell r="AE7">
            <v>1</v>
          </cell>
          <cell r="AF7">
            <v>1</v>
          </cell>
          <cell r="AG7">
            <v>3</v>
          </cell>
          <cell r="AH7">
            <v>4</v>
          </cell>
          <cell r="AI7">
            <v>4</v>
          </cell>
          <cell r="AJ7">
            <v>5</v>
          </cell>
          <cell r="AK7">
            <v>5</v>
          </cell>
          <cell r="AL7">
            <v>1</v>
          </cell>
          <cell r="AM7">
            <v>3</v>
          </cell>
          <cell r="AN7">
            <v>4</v>
          </cell>
          <cell r="AO7">
            <v>2</v>
          </cell>
          <cell r="AP7">
            <v>4</v>
          </cell>
          <cell r="AQ7">
            <v>6</v>
          </cell>
          <cell r="AR7">
            <v>3</v>
          </cell>
          <cell r="AS7">
            <v>2</v>
          </cell>
          <cell r="AT7">
            <v>3</v>
          </cell>
          <cell r="AU7">
            <v>0</v>
          </cell>
          <cell r="AV7">
            <v>0</v>
          </cell>
          <cell r="AW7">
            <v>1</v>
          </cell>
        </row>
        <row r="10">
          <cell r="B10">
            <v>5</v>
          </cell>
          <cell r="C10">
            <v>6</v>
          </cell>
          <cell r="D10">
            <v>7</v>
          </cell>
          <cell r="E10">
            <v>5</v>
          </cell>
          <cell r="G10">
            <v>5</v>
          </cell>
          <cell r="H10">
            <v>6</v>
          </cell>
          <cell r="I10">
            <v>13</v>
          </cell>
          <cell r="J10">
            <v>5</v>
          </cell>
          <cell r="K10">
            <v>4</v>
          </cell>
          <cell r="L10">
            <v>3</v>
          </cell>
          <cell r="M10">
            <v>8</v>
          </cell>
          <cell r="N10">
            <v>4</v>
          </cell>
          <cell r="O10">
            <v>9</v>
          </cell>
          <cell r="P10">
            <v>3</v>
          </cell>
          <cell r="Q10">
            <v>7</v>
          </cell>
          <cell r="S10">
            <v>5</v>
          </cell>
          <cell r="T10">
            <v>10</v>
          </cell>
          <cell r="U10">
            <v>9</v>
          </cell>
          <cell r="V10">
            <v>6</v>
          </cell>
          <cell r="W10">
            <v>10</v>
          </cell>
          <cell r="X10">
            <v>9</v>
          </cell>
          <cell r="Y10">
            <v>6</v>
          </cell>
          <cell r="Z10">
            <v>3</v>
          </cell>
          <cell r="AA10">
            <v>10</v>
          </cell>
          <cell r="AB10">
            <v>16</v>
          </cell>
          <cell r="AC10">
            <v>11</v>
          </cell>
          <cell r="AD10">
            <v>0</v>
          </cell>
          <cell r="AE10">
            <v>4</v>
          </cell>
          <cell r="AF10">
            <v>8</v>
          </cell>
          <cell r="AG10">
            <v>15</v>
          </cell>
          <cell r="AH10">
            <v>13</v>
          </cell>
          <cell r="AI10">
            <v>19</v>
          </cell>
          <cell r="AJ10">
            <v>11</v>
          </cell>
          <cell r="AK10">
            <v>13</v>
          </cell>
          <cell r="AL10">
            <v>13</v>
          </cell>
          <cell r="AM10">
            <v>15</v>
          </cell>
          <cell r="AN10">
            <v>20</v>
          </cell>
          <cell r="AO10">
            <v>8</v>
          </cell>
          <cell r="AP10">
            <v>0</v>
          </cell>
          <cell r="AQ10">
            <v>6</v>
          </cell>
          <cell r="AR10">
            <v>11</v>
          </cell>
          <cell r="AS10">
            <v>18</v>
          </cell>
          <cell r="AT10">
            <v>10</v>
          </cell>
          <cell r="AU10">
            <v>10</v>
          </cell>
          <cell r="AV10">
            <v>17</v>
          </cell>
          <cell r="AW10">
            <v>19</v>
          </cell>
        </row>
      </sheetData>
      <sheetData sheetId="28">
        <row r="3">
          <cell r="Z3">
            <v>6</v>
          </cell>
          <cell r="AA3">
            <v>4</v>
          </cell>
          <cell r="AB3">
            <v>2</v>
          </cell>
          <cell r="AC3">
            <v>4</v>
          </cell>
          <cell r="AD3">
            <v>3</v>
          </cell>
          <cell r="AF3">
            <v>2</v>
          </cell>
          <cell r="AG3">
            <v>1</v>
          </cell>
          <cell r="AH3">
            <v>5</v>
          </cell>
          <cell r="AI3">
            <v>2</v>
          </cell>
          <cell r="AJ3">
            <v>2</v>
          </cell>
          <cell r="AK3">
            <v>3</v>
          </cell>
          <cell r="AL3">
            <v>6</v>
          </cell>
          <cell r="AM3">
            <v>5</v>
          </cell>
          <cell r="AN3">
            <v>3</v>
          </cell>
          <cell r="AP3">
            <v>1</v>
          </cell>
          <cell r="AR3">
            <v>4</v>
          </cell>
          <cell r="AS3">
            <v>2</v>
          </cell>
          <cell r="AT3">
            <v>2</v>
          </cell>
          <cell r="AU3">
            <v>1</v>
          </cell>
          <cell r="AV3">
            <v>7</v>
          </cell>
          <cell r="AW3">
            <v>4</v>
          </cell>
          <cell r="AX3">
            <v>5</v>
          </cell>
          <cell r="AY3">
            <v>4</v>
          </cell>
          <cell r="AZ3">
            <v>1</v>
          </cell>
          <cell r="BA3">
            <v>3</v>
          </cell>
          <cell r="BB3">
            <v>10</v>
          </cell>
          <cell r="BC3">
            <v>2</v>
          </cell>
          <cell r="BD3">
            <v>5</v>
          </cell>
          <cell r="BE3">
            <v>4</v>
          </cell>
          <cell r="BF3">
            <v>5</v>
          </cell>
          <cell r="BG3">
            <v>3</v>
          </cell>
          <cell r="BH3">
            <v>7</v>
          </cell>
          <cell r="BI3">
            <v>4</v>
          </cell>
          <cell r="BJ3">
            <v>2</v>
          </cell>
          <cell r="BK3">
            <v>1</v>
          </cell>
          <cell r="BL3">
            <v>3</v>
          </cell>
          <cell r="BM3">
            <v>3</v>
          </cell>
          <cell r="BN3">
            <v>2</v>
          </cell>
          <cell r="BO3">
            <v>4</v>
          </cell>
          <cell r="BP3">
            <v>2</v>
          </cell>
          <cell r="BQ3">
            <v>1</v>
          </cell>
          <cell r="BR3">
            <v>3</v>
          </cell>
          <cell r="BS3">
            <v>5</v>
          </cell>
          <cell r="BT3">
            <v>2</v>
          </cell>
          <cell r="BU3">
            <v>3</v>
          </cell>
        </row>
        <row r="4">
          <cell r="Z4">
            <v>12</v>
          </cell>
          <cell r="AA4">
            <v>14</v>
          </cell>
          <cell r="AB4">
            <v>7</v>
          </cell>
          <cell r="AC4">
            <v>7</v>
          </cell>
          <cell r="AD4">
            <v>14</v>
          </cell>
          <cell r="AE4">
            <v>11</v>
          </cell>
          <cell r="AF4">
            <v>23</v>
          </cell>
          <cell r="AG4">
            <v>6</v>
          </cell>
          <cell r="AH4">
            <v>14</v>
          </cell>
          <cell r="AI4">
            <v>8</v>
          </cell>
          <cell r="AJ4">
            <v>10</v>
          </cell>
          <cell r="AK4">
            <v>11</v>
          </cell>
          <cell r="AL4">
            <v>5</v>
          </cell>
          <cell r="AM4">
            <v>6</v>
          </cell>
          <cell r="AN4">
            <v>9</v>
          </cell>
          <cell r="AO4">
            <v>14</v>
          </cell>
          <cell r="AP4">
            <v>15</v>
          </cell>
          <cell r="AQ4">
            <v>7</v>
          </cell>
          <cell r="AR4">
            <v>9</v>
          </cell>
          <cell r="AS4">
            <v>13</v>
          </cell>
          <cell r="AT4">
            <v>13</v>
          </cell>
          <cell r="AU4">
            <v>9</v>
          </cell>
          <cell r="AV4">
            <v>6</v>
          </cell>
          <cell r="AW4">
            <v>10</v>
          </cell>
          <cell r="AX4">
            <v>10</v>
          </cell>
          <cell r="AY4">
            <v>7</v>
          </cell>
          <cell r="AZ4">
            <v>12</v>
          </cell>
          <cell r="BA4">
            <v>12</v>
          </cell>
          <cell r="BB4">
            <v>10</v>
          </cell>
          <cell r="BC4">
            <v>7</v>
          </cell>
          <cell r="BD4">
            <v>7</v>
          </cell>
          <cell r="BE4">
            <v>5</v>
          </cell>
          <cell r="BF4">
            <v>6</v>
          </cell>
          <cell r="BG4">
            <v>12</v>
          </cell>
          <cell r="BH4">
            <v>13</v>
          </cell>
          <cell r="BI4">
            <v>14</v>
          </cell>
          <cell r="BJ4">
            <v>9</v>
          </cell>
          <cell r="BK4">
            <v>12</v>
          </cell>
          <cell r="BL4">
            <v>15</v>
          </cell>
          <cell r="BM4">
            <v>11</v>
          </cell>
          <cell r="BN4">
            <v>7</v>
          </cell>
          <cell r="BO4">
            <v>8</v>
          </cell>
          <cell r="BP4">
            <v>12</v>
          </cell>
          <cell r="BQ4">
            <v>13</v>
          </cell>
          <cell r="BR4">
            <v>10</v>
          </cell>
          <cell r="BS4">
            <v>6</v>
          </cell>
          <cell r="BT4">
            <v>12</v>
          </cell>
          <cell r="BU4">
            <v>11</v>
          </cell>
        </row>
        <row r="5">
          <cell r="Z5">
            <v>9</v>
          </cell>
          <cell r="AA5">
            <v>11</v>
          </cell>
          <cell r="AB5">
            <v>11</v>
          </cell>
          <cell r="AC5">
            <v>11</v>
          </cell>
          <cell r="AD5">
            <v>10</v>
          </cell>
          <cell r="AE5">
            <v>9</v>
          </cell>
          <cell r="AF5">
            <v>8</v>
          </cell>
          <cell r="AG5">
            <v>8</v>
          </cell>
          <cell r="AH5">
            <v>11</v>
          </cell>
          <cell r="AI5">
            <v>5</v>
          </cell>
          <cell r="AJ5">
            <v>3</v>
          </cell>
          <cell r="AK5">
            <v>12</v>
          </cell>
          <cell r="AL5">
            <v>4</v>
          </cell>
          <cell r="AM5">
            <v>7</v>
          </cell>
          <cell r="AN5">
            <v>6</v>
          </cell>
          <cell r="AO5">
            <v>8</v>
          </cell>
          <cell r="AP5">
            <v>8</v>
          </cell>
          <cell r="AQ5">
            <v>5</v>
          </cell>
          <cell r="AR5">
            <v>7</v>
          </cell>
          <cell r="AS5">
            <v>5</v>
          </cell>
          <cell r="AT5">
            <v>10</v>
          </cell>
          <cell r="AU5">
            <v>5</v>
          </cell>
          <cell r="AV5">
            <v>2</v>
          </cell>
          <cell r="AW5">
            <v>4</v>
          </cell>
          <cell r="AX5">
            <v>7</v>
          </cell>
          <cell r="AY5">
            <v>11</v>
          </cell>
          <cell r="AZ5">
            <v>3</v>
          </cell>
          <cell r="BA5">
            <v>10</v>
          </cell>
          <cell r="BB5">
            <v>6</v>
          </cell>
          <cell r="BC5">
            <v>3</v>
          </cell>
          <cell r="BD5">
            <v>4</v>
          </cell>
          <cell r="BE5">
            <v>1</v>
          </cell>
          <cell r="BF5">
            <v>9</v>
          </cell>
          <cell r="BG5">
            <v>7</v>
          </cell>
          <cell r="BH5">
            <v>10</v>
          </cell>
          <cell r="BI5">
            <v>10</v>
          </cell>
          <cell r="BJ5">
            <v>18</v>
          </cell>
          <cell r="BK5">
            <v>10</v>
          </cell>
          <cell r="BL5">
            <v>7</v>
          </cell>
          <cell r="BM5">
            <v>10</v>
          </cell>
          <cell r="BN5">
            <v>7</v>
          </cell>
          <cell r="BO5">
            <v>7</v>
          </cell>
          <cell r="BP5">
            <v>5</v>
          </cell>
          <cell r="BQ5">
            <v>2</v>
          </cell>
          <cell r="BR5">
            <v>7</v>
          </cell>
          <cell r="BS5">
            <v>6</v>
          </cell>
          <cell r="BT5">
            <v>6</v>
          </cell>
          <cell r="BU5">
            <v>3</v>
          </cell>
        </row>
        <row r="6">
          <cell r="Z6">
            <v>4</v>
          </cell>
          <cell r="AA6">
            <v>10</v>
          </cell>
          <cell r="AB6">
            <v>4</v>
          </cell>
          <cell r="AC6">
            <v>1</v>
          </cell>
          <cell r="AD6">
            <v>2</v>
          </cell>
          <cell r="AE6">
            <v>4</v>
          </cell>
          <cell r="AF6">
            <v>6</v>
          </cell>
          <cell r="AG6">
            <v>7</v>
          </cell>
          <cell r="AH6">
            <v>6</v>
          </cell>
          <cell r="AI6">
            <v>4</v>
          </cell>
          <cell r="AJ6">
            <v>3</v>
          </cell>
          <cell r="AK6">
            <v>5</v>
          </cell>
          <cell r="AL6">
            <v>7</v>
          </cell>
          <cell r="AN6">
            <v>6</v>
          </cell>
          <cell r="AO6">
            <v>11</v>
          </cell>
          <cell r="AP6">
            <v>4</v>
          </cell>
          <cell r="AQ6">
            <v>2</v>
          </cell>
          <cell r="AR6">
            <v>7</v>
          </cell>
          <cell r="AS6">
            <v>4</v>
          </cell>
          <cell r="AT6">
            <v>7</v>
          </cell>
          <cell r="AU6">
            <v>4</v>
          </cell>
          <cell r="AV6">
            <v>4</v>
          </cell>
          <cell r="AW6">
            <v>3</v>
          </cell>
          <cell r="AX6">
            <v>5</v>
          </cell>
          <cell r="AY6">
            <v>4</v>
          </cell>
          <cell r="AZ6">
            <v>5</v>
          </cell>
          <cell r="BA6">
            <v>3</v>
          </cell>
          <cell r="BB6">
            <v>7</v>
          </cell>
          <cell r="BC6">
            <v>2</v>
          </cell>
          <cell r="BD6">
            <v>8</v>
          </cell>
          <cell r="BE6">
            <v>3</v>
          </cell>
          <cell r="BF6">
            <v>4</v>
          </cell>
          <cell r="BG6">
            <v>5</v>
          </cell>
          <cell r="BH6">
            <v>3</v>
          </cell>
          <cell r="BI6">
            <v>8</v>
          </cell>
          <cell r="BJ6">
            <v>7</v>
          </cell>
          <cell r="BK6">
            <v>6</v>
          </cell>
          <cell r="BL6">
            <v>8</v>
          </cell>
          <cell r="BM6">
            <v>3</v>
          </cell>
          <cell r="BN6">
            <v>6</v>
          </cell>
          <cell r="BO6">
            <v>4</v>
          </cell>
          <cell r="BP6">
            <v>6</v>
          </cell>
          <cell r="BQ6">
            <v>2</v>
          </cell>
          <cell r="BR6">
            <v>5</v>
          </cell>
          <cell r="BS6">
            <v>3</v>
          </cell>
          <cell r="BT6">
            <v>5</v>
          </cell>
          <cell r="BU6">
            <v>8</v>
          </cell>
        </row>
        <row r="7">
          <cell r="Z7">
            <v>10</v>
          </cell>
          <cell r="AA7">
            <v>12</v>
          </cell>
          <cell r="AB7">
            <v>9</v>
          </cell>
          <cell r="AC7">
            <v>6</v>
          </cell>
          <cell r="AD7">
            <v>11</v>
          </cell>
          <cell r="AE7">
            <v>9</v>
          </cell>
          <cell r="AF7">
            <v>11</v>
          </cell>
          <cell r="AG7">
            <v>7</v>
          </cell>
          <cell r="AH7">
            <v>14</v>
          </cell>
          <cell r="AI7">
            <v>2</v>
          </cell>
          <cell r="AJ7">
            <v>5</v>
          </cell>
          <cell r="AK7">
            <v>7</v>
          </cell>
          <cell r="AL7">
            <v>4</v>
          </cell>
          <cell r="AM7">
            <v>8</v>
          </cell>
          <cell r="AN7">
            <v>9</v>
          </cell>
          <cell r="AO7">
            <v>10</v>
          </cell>
          <cell r="AP7">
            <v>9</v>
          </cell>
          <cell r="AQ7">
            <v>7</v>
          </cell>
          <cell r="AR7">
            <v>5</v>
          </cell>
          <cell r="AS7">
            <v>8</v>
          </cell>
          <cell r="AT7">
            <v>6</v>
          </cell>
          <cell r="AU7">
            <v>10</v>
          </cell>
          <cell r="AV7">
            <v>10</v>
          </cell>
          <cell r="AW7">
            <v>3</v>
          </cell>
          <cell r="AX7">
            <v>8</v>
          </cell>
          <cell r="AY7">
            <v>11</v>
          </cell>
          <cell r="AZ7">
            <v>6</v>
          </cell>
          <cell r="BA7">
            <v>8</v>
          </cell>
          <cell r="BB7">
            <v>5</v>
          </cell>
          <cell r="BC7">
            <v>5</v>
          </cell>
          <cell r="BD7">
            <v>2</v>
          </cell>
          <cell r="BE7">
            <v>8</v>
          </cell>
          <cell r="BF7">
            <v>7</v>
          </cell>
          <cell r="BG7">
            <v>6</v>
          </cell>
          <cell r="BH7">
            <v>11</v>
          </cell>
          <cell r="BI7">
            <v>7</v>
          </cell>
          <cell r="BJ7">
            <v>14</v>
          </cell>
          <cell r="BK7">
            <v>22</v>
          </cell>
          <cell r="BL7">
            <v>15</v>
          </cell>
          <cell r="BM7">
            <v>18</v>
          </cell>
          <cell r="BN7">
            <v>18</v>
          </cell>
          <cell r="BO7">
            <v>10</v>
          </cell>
          <cell r="BP7">
            <v>8</v>
          </cell>
          <cell r="BQ7">
            <v>8</v>
          </cell>
          <cell r="BR7">
            <v>4</v>
          </cell>
          <cell r="BS7">
            <v>8</v>
          </cell>
          <cell r="BT7">
            <v>8</v>
          </cell>
          <cell r="BU7">
            <v>14</v>
          </cell>
        </row>
        <row r="8">
          <cell r="Z8">
            <v>14</v>
          </cell>
          <cell r="AA8">
            <v>22</v>
          </cell>
          <cell r="AB8">
            <v>13</v>
          </cell>
          <cell r="AC8">
            <v>7</v>
          </cell>
          <cell r="AD8">
            <v>13</v>
          </cell>
          <cell r="AE8">
            <v>13</v>
          </cell>
          <cell r="AF8">
            <v>17</v>
          </cell>
          <cell r="AG8">
            <v>14</v>
          </cell>
          <cell r="AH8">
            <v>20</v>
          </cell>
          <cell r="AI8">
            <v>6</v>
          </cell>
          <cell r="AJ8">
            <v>8</v>
          </cell>
          <cell r="AK8">
            <v>12</v>
          </cell>
          <cell r="AL8">
            <v>11</v>
          </cell>
          <cell r="AM8">
            <v>8</v>
          </cell>
          <cell r="AN8">
            <v>15</v>
          </cell>
          <cell r="AO8">
            <v>21</v>
          </cell>
          <cell r="AP8">
            <v>13</v>
          </cell>
          <cell r="AQ8">
            <v>9</v>
          </cell>
          <cell r="AR8">
            <v>12</v>
          </cell>
          <cell r="AS8">
            <v>12</v>
          </cell>
          <cell r="AT8">
            <v>13</v>
          </cell>
          <cell r="AU8">
            <v>14</v>
          </cell>
          <cell r="AV8">
            <v>14</v>
          </cell>
          <cell r="AW8">
            <v>6</v>
          </cell>
          <cell r="AX8">
            <v>13</v>
          </cell>
          <cell r="AY8">
            <v>15</v>
          </cell>
          <cell r="AZ8">
            <v>11</v>
          </cell>
          <cell r="BA8">
            <v>11</v>
          </cell>
          <cell r="BB8">
            <v>12</v>
          </cell>
          <cell r="BC8">
            <v>7</v>
          </cell>
          <cell r="BD8">
            <v>10</v>
          </cell>
          <cell r="BE8">
            <v>11</v>
          </cell>
          <cell r="BF8">
            <v>11</v>
          </cell>
          <cell r="BG8">
            <v>11</v>
          </cell>
          <cell r="BH8">
            <v>14</v>
          </cell>
          <cell r="BI8">
            <v>15</v>
          </cell>
          <cell r="BJ8">
            <v>21</v>
          </cell>
          <cell r="BK8">
            <v>28</v>
          </cell>
          <cell r="BL8">
            <v>23</v>
          </cell>
          <cell r="BM8">
            <v>21</v>
          </cell>
          <cell r="BN8">
            <v>24</v>
          </cell>
          <cell r="BO8">
            <v>14</v>
          </cell>
          <cell r="BP8">
            <v>14</v>
          </cell>
          <cell r="BQ8">
            <v>10</v>
          </cell>
          <cell r="BR8">
            <v>9</v>
          </cell>
          <cell r="BS8">
            <v>11</v>
          </cell>
          <cell r="BT8">
            <v>13</v>
          </cell>
          <cell r="BU8">
            <v>22</v>
          </cell>
        </row>
        <row r="9">
          <cell r="Z9">
            <v>41</v>
          </cell>
          <cell r="AA9">
            <v>51</v>
          </cell>
          <cell r="AB9">
            <v>33</v>
          </cell>
          <cell r="AC9">
            <v>29</v>
          </cell>
          <cell r="AD9">
            <v>40</v>
          </cell>
          <cell r="AE9">
            <v>33</v>
          </cell>
          <cell r="AF9">
            <v>50</v>
          </cell>
          <cell r="AG9">
            <v>29</v>
          </cell>
          <cell r="AH9">
            <v>50</v>
          </cell>
          <cell r="AI9">
            <v>21</v>
          </cell>
          <cell r="AJ9">
            <v>23</v>
          </cell>
          <cell r="AK9">
            <v>38</v>
          </cell>
          <cell r="AL9">
            <v>26</v>
          </cell>
          <cell r="AM9">
            <v>26</v>
          </cell>
          <cell r="AN9">
            <v>33</v>
          </cell>
          <cell r="AO9">
            <v>43</v>
          </cell>
          <cell r="AP9">
            <v>37</v>
          </cell>
          <cell r="AQ9">
            <v>21</v>
          </cell>
          <cell r="AR9">
            <v>32</v>
          </cell>
          <cell r="AS9">
            <v>32</v>
          </cell>
          <cell r="AT9">
            <v>38</v>
          </cell>
          <cell r="AU9">
            <v>29</v>
          </cell>
          <cell r="AV9">
            <v>29</v>
          </cell>
          <cell r="AW9">
            <v>24</v>
          </cell>
          <cell r="AX9">
            <v>35</v>
          </cell>
          <cell r="AY9">
            <v>37</v>
          </cell>
          <cell r="AZ9">
            <v>27</v>
          </cell>
          <cell r="BA9">
            <v>36</v>
          </cell>
          <cell r="BB9">
            <v>38</v>
          </cell>
          <cell r="BC9">
            <v>19</v>
          </cell>
          <cell r="BD9">
            <v>26</v>
          </cell>
          <cell r="BE9">
            <v>21</v>
          </cell>
          <cell r="BF9">
            <v>31</v>
          </cell>
          <cell r="BG9">
            <v>33</v>
          </cell>
          <cell r="BH9">
            <v>44</v>
          </cell>
          <cell r="BI9">
            <v>43</v>
          </cell>
          <cell r="BJ9">
            <v>50</v>
          </cell>
          <cell r="BK9">
            <v>51</v>
          </cell>
          <cell r="BL9">
            <v>48</v>
          </cell>
          <cell r="BM9">
            <v>45</v>
          </cell>
          <cell r="BN9">
            <v>40</v>
          </cell>
          <cell r="BO9">
            <v>33</v>
          </cell>
          <cell r="BP9">
            <v>33</v>
          </cell>
          <cell r="BQ9">
            <v>26</v>
          </cell>
          <cell r="BR9">
            <v>29</v>
          </cell>
          <cell r="BS9">
            <v>28</v>
          </cell>
          <cell r="BT9">
            <v>33</v>
          </cell>
          <cell r="BU9">
            <v>39</v>
          </cell>
        </row>
        <row r="11">
          <cell r="AA11">
            <v>1</v>
          </cell>
          <cell r="AB11">
            <v>1</v>
          </cell>
          <cell r="AC11">
            <v>1</v>
          </cell>
          <cell r="AD11">
            <v>1</v>
          </cell>
          <cell r="AE11">
            <v>1</v>
          </cell>
          <cell r="AH11">
            <v>3</v>
          </cell>
          <cell r="AK11">
            <v>1</v>
          </cell>
          <cell r="AL11">
            <v>1</v>
          </cell>
          <cell r="AM11">
            <v>0</v>
          </cell>
          <cell r="AN11">
            <v>2</v>
          </cell>
          <cell r="AO11">
            <v>1</v>
          </cell>
          <cell r="AP11">
            <v>1</v>
          </cell>
          <cell r="AQ11">
            <v>1</v>
          </cell>
          <cell r="AR11">
            <v>2</v>
          </cell>
          <cell r="AS11">
            <v>0</v>
          </cell>
          <cell r="AT11">
            <v>1</v>
          </cell>
          <cell r="AU11">
            <v>4</v>
          </cell>
          <cell r="AV11">
            <v>1</v>
          </cell>
          <cell r="AW11">
            <v>1</v>
          </cell>
          <cell r="AY11">
            <v>2</v>
          </cell>
          <cell r="BA11">
            <v>1</v>
          </cell>
          <cell r="BB11">
            <v>1</v>
          </cell>
          <cell r="BC11">
            <v>1</v>
          </cell>
          <cell r="BD11">
            <v>1</v>
          </cell>
          <cell r="BE11">
            <v>1</v>
          </cell>
          <cell r="BF11">
            <v>3</v>
          </cell>
          <cell r="BG11">
            <v>2</v>
          </cell>
          <cell r="BH11">
            <v>3</v>
          </cell>
          <cell r="BI11">
            <v>3</v>
          </cell>
          <cell r="BJ11">
            <v>4</v>
          </cell>
          <cell r="BL11">
            <v>2</v>
          </cell>
          <cell r="BN11">
            <v>1</v>
          </cell>
          <cell r="BO11">
            <v>2</v>
          </cell>
          <cell r="BP11">
            <v>1</v>
          </cell>
          <cell r="BQ11">
            <v>4</v>
          </cell>
          <cell r="BR11">
            <v>1</v>
          </cell>
          <cell r="BS11">
            <v>1</v>
          </cell>
          <cell r="BT11">
            <v>1</v>
          </cell>
          <cell r="BU11">
            <v>1</v>
          </cell>
        </row>
        <row r="12">
          <cell r="Z12">
            <v>2</v>
          </cell>
          <cell r="AA12">
            <v>9</v>
          </cell>
          <cell r="AB12">
            <v>4</v>
          </cell>
          <cell r="AC12">
            <v>4</v>
          </cell>
          <cell r="AD12">
            <v>9</v>
          </cell>
          <cell r="AE12">
            <v>8</v>
          </cell>
          <cell r="AF12">
            <v>4</v>
          </cell>
          <cell r="AG12">
            <v>4</v>
          </cell>
          <cell r="AH12">
            <v>4</v>
          </cell>
          <cell r="AI12">
            <v>4</v>
          </cell>
          <cell r="AJ12">
            <v>5</v>
          </cell>
          <cell r="AK12">
            <v>1</v>
          </cell>
          <cell r="AL12">
            <v>5</v>
          </cell>
          <cell r="AM12">
            <v>5</v>
          </cell>
          <cell r="AN12">
            <v>4</v>
          </cell>
          <cell r="AO12">
            <v>7</v>
          </cell>
          <cell r="AP12">
            <v>4</v>
          </cell>
          <cell r="AQ12">
            <v>3</v>
          </cell>
          <cell r="AR12">
            <v>9</v>
          </cell>
          <cell r="AS12">
            <v>4</v>
          </cell>
          <cell r="AT12">
            <v>1</v>
          </cell>
          <cell r="AU12">
            <v>7</v>
          </cell>
          <cell r="AV12">
            <v>7</v>
          </cell>
          <cell r="AW12">
            <v>7</v>
          </cell>
          <cell r="AX12">
            <v>5</v>
          </cell>
          <cell r="AY12">
            <v>4</v>
          </cell>
          <cell r="AZ12">
            <v>4</v>
          </cell>
          <cell r="BA12">
            <v>6</v>
          </cell>
          <cell r="BB12">
            <v>5</v>
          </cell>
          <cell r="BC12">
            <v>9</v>
          </cell>
          <cell r="BD12">
            <v>9</v>
          </cell>
          <cell r="BE12">
            <v>4</v>
          </cell>
          <cell r="BF12">
            <v>7</v>
          </cell>
          <cell r="BG12">
            <v>3</v>
          </cell>
          <cell r="BH12">
            <v>8</v>
          </cell>
          <cell r="BI12">
            <v>4</v>
          </cell>
          <cell r="BJ12">
            <v>4</v>
          </cell>
          <cell r="BK12">
            <v>4</v>
          </cell>
          <cell r="BL12">
            <v>8</v>
          </cell>
          <cell r="BM12">
            <v>5</v>
          </cell>
          <cell r="BN12">
            <v>6</v>
          </cell>
          <cell r="BO12">
            <v>4</v>
          </cell>
          <cell r="BP12">
            <v>8</v>
          </cell>
          <cell r="BQ12">
            <v>1</v>
          </cell>
          <cell r="BR12">
            <v>7</v>
          </cell>
          <cell r="BS12">
            <v>1</v>
          </cell>
          <cell r="BT12">
            <v>4</v>
          </cell>
          <cell r="BU12">
            <v>1</v>
          </cell>
        </row>
        <row r="13">
          <cell r="Z13">
            <v>4</v>
          </cell>
          <cell r="AA13">
            <v>5</v>
          </cell>
          <cell r="AB13">
            <v>11</v>
          </cell>
          <cell r="AC13">
            <v>3</v>
          </cell>
          <cell r="AD13">
            <v>4</v>
          </cell>
          <cell r="AE13">
            <v>5</v>
          </cell>
          <cell r="AF13">
            <v>2</v>
          </cell>
          <cell r="AG13">
            <v>3</v>
          </cell>
          <cell r="AH13">
            <v>2</v>
          </cell>
          <cell r="AI13">
            <v>2</v>
          </cell>
          <cell r="AJ13">
            <v>1</v>
          </cell>
          <cell r="AK13">
            <v>2</v>
          </cell>
          <cell r="AL13">
            <v>4</v>
          </cell>
          <cell r="AM13">
            <v>3</v>
          </cell>
          <cell r="AN13">
            <v>4</v>
          </cell>
          <cell r="AO13">
            <v>8</v>
          </cell>
          <cell r="AP13">
            <v>1</v>
          </cell>
          <cell r="AQ13">
            <v>4</v>
          </cell>
          <cell r="AR13">
            <v>4</v>
          </cell>
          <cell r="AS13">
            <v>2</v>
          </cell>
          <cell r="AT13">
            <v>3</v>
          </cell>
          <cell r="AU13">
            <v>4</v>
          </cell>
          <cell r="AV13">
            <v>5</v>
          </cell>
          <cell r="AW13">
            <v>5</v>
          </cell>
          <cell r="AX13">
            <v>1</v>
          </cell>
          <cell r="AY13">
            <v>5</v>
          </cell>
          <cell r="AZ13">
            <v>3</v>
          </cell>
          <cell r="BA13">
            <v>3</v>
          </cell>
          <cell r="BB13">
            <v>3</v>
          </cell>
          <cell r="BC13">
            <v>1</v>
          </cell>
          <cell r="BD13">
            <v>3</v>
          </cell>
          <cell r="BE13">
            <v>4</v>
          </cell>
          <cell r="BF13">
            <v>5</v>
          </cell>
          <cell r="BG13">
            <v>5</v>
          </cell>
          <cell r="BH13">
            <v>4</v>
          </cell>
          <cell r="BI13">
            <v>5</v>
          </cell>
          <cell r="BJ13">
            <v>3</v>
          </cell>
          <cell r="BK13">
            <v>2</v>
          </cell>
          <cell r="BL13">
            <v>4</v>
          </cell>
          <cell r="BM13">
            <v>3</v>
          </cell>
          <cell r="BN13">
            <v>3</v>
          </cell>
          <cell r="BO13">
            <v>4</v>
          </cell>
          <cell r="BP13">
            <v>2</v>
          </cell>
          <cell r="BQ13">
            <v>1</v>
          </cell>
          <cell r="BR13">
            <v>4</v>
          </cell>
          <cell r="BS13">
            <v>2</v>
          </cell>
          <cell r="BT13">
            <v>1</v>
          </cell>
          <cell r="BU13">
            <v>2</v>
          </cell>
        </row>
        <row r="14">
          <cell r="Z14">
            <v>1</v>
          </cell>
          <cell r="AA14">
            <v>2</v>
          </cell>
          <cell r="AB14">
            <v>1</v>
          </cell>
          <cell r="AE14">
            <v>1</v>
          </cell>
          <cell r="AF14">
            <v>1</v>
          </cell>
          <cell r="AG14">
            <v>2</v>
          </cell>
          <cell r="AH14">
            <v>4</v>
          </cell>
          <cell r="AI14">
            <v>2</v>
          </cell>
          <cell r="AJ14">
            <v>1</v>
          </cell>
          <cell r="AK14">
            <v>3</v>
          </cell>
          <cell r="AL14">
            <v>0</v>
          </cell>
          <cell r="AM14">
            <v>2</v>
          </cell>
          <cell r="AN14">
            <v>1</v>
          </cell>
          <cell r="AO14">
            <v>2</v>
          </cell>
          <cell r="AP14">
            <v>2</v>
          </cell>
          <cell r="AQ14">
            <v>0</v>
          </cell>
          <cell r="AR14">
            <v>2</v>
          </cell>
          <cell r="AS14">
            <v>0</v>
          </cell>
          <cell r="AT14">
            <v>1</v>
          </cell>
          <cell r="AU14">
            <v>3</v>
          </cell>
          <cell r="AV14">
            <v>5</v>
          </cell>
          <cell r="AW14">
            <v>1</v>
          </cell>
          <cell r="AX14">
            <v>1</v>
          </cell>
          <cell r="AY14">
            <v>5</v>
          </cell>
          <cell r="AZ14">
            <v>1</v>
          </cell>
          <cell r="BA14">
            <v>1</v>
          </cell>
          <cell r="BB14">
            <v>2</v>
          </cell>
          <cell r="BC14">
            <v>5</v>
          </cell>
          <cell r="BD14">
            <v>1</v>
          </cell>
          <cell r="BE14">
            <v>3</v>
          </cell>
          <cell r="BF14">
            <v>1</v>
          </cell>
          <cell r="BG14">
            <v>5</v>
          </cell>
          <cell r="BH14">
            <v>3</v>
          </cell>
          <cell r="BI14">
            <v>1</v>
          </cell>
          <cell r="BJ14">
            <v>5</v>
          </cell>
          <cell r="BK14">
            <v>1</v>
          </cell>
          <cell r="BL14">
            <v>6</v>
          </cell>
          <cell r="BM14">
            <v>2</v>
          </cell>
          <cell r="BN14">
            <v>2</v>
          </cell>
          <cell r="BO14">
            <v>2</v>
          </cell>
          <cell r="BQ14">
            <v>3</v>
          </cell>
          <cell r="BR14">
            <v>3</v>
          </cell>
          <cell r="BS14">
            <v>1</v>
          </cell>
          <cell r="BT14">
            <v>3</v>
          </cell>
          <cell r="BU14">
            <v>2</v>
          </cell>
        </row>
        <row r="15">
          <cell r="Z15">
            <v>2</v>
          </cell>
          <cell r="AA15">
            <v>12</v>
          </cell>
          <cell r="AB15">
            <v>9</v>
          </cell>
          <cell r="AC15">
            <v>3</v>
          </cell>
          <cell r="AD15">
            <v>13</v>
          </cell>
          <cell r="AE15">
            <v>5</v>
          </cell>
          <cell r="AF15">
            <v>4</v>
          </cell>
          <cell r="AG15">
            <v>4</v>
          </cell>
          <cell r="AH15">
            <v>5</v>
          </cell>
          <cell r="AI15">
            <v>3</v>
          </cell>
          <cell r="AJ15">
            <v>7</v>
          </cell>
          <cell r="AK15">
            <v>4</v>
          </cell>
          <cell r="AL15">
            <v>1</v>
          </cell>
          <cell r="AM15">
            <v>7</v>
          </cell>
          <cell r="AN15">
            <v>4</v>
          </cell>
          <cell r="AO15">
            <v>2</v>
          </cell>
          <cell r="AP15">
            <v>7</v>
          </cell>
          <cell r="AQ15">
            <v>4</v>
          </cell>
          <cell r="AR15">
            <v>5</v>
          </cell>
          <cell r="AS15">
            <v>6</v>
          </cell>
          <cell r="AT15">
            <v>3</v>
          </cell>
          <cell r="AU15">
            <v>6</v>
          </cell>
          <cell r="AV15">
            <v>2</v>
          </cell>
          <cell r="AW15">
            <v>3</v>
          </cell>
          <cell r="AX15">
            <v>2</v>
          </cell>
          <cell r="AY15">
            <v>4</v>
          </cell>
          <cell r="AZ15">
            <v>4</v>
          </cell>
          <cell r="BA15">
            <v>2</v>
          </cell>
          <cell r="BB15">
            <v>5</v>
          </cell>
          <cell r="BC15">
            <v>2</v>
          </cell>
          <cell r="BD15">
            <v>3</v>
          </cell>
          <cell r="BE15">
            <v>2</v>
          </cell>
          <cell r="BF15">
            <v>8</v>
          </cell>
          <cell r="BG15">
            <v>2</v>
          </cell>
          <cell r="BH15">
            <v>3</v>
          </cell>
          <cell r="BI15">
            <v>3</v>
          </cell>
          <cell r="BJ15">
            <v>2</v>
          </cell>
          <cell r="BK15">
            <v>5</v>
          </cell>
          <cell r="BL15">
            <v>7</v>
          </cell>
          <cell r="BM15">
            <v>3</v>
          </cell>
          <cell r="BN15">
            <v>3</v>
          </cell>
          <cell r="BO15">
            <v>7</v>
          </cell>
          <cell r="BP15">
            <v>4</v>
          </cell>
          <cell r="BQ15">
            <v>7</v>
          </cell>
          <cell r="BR15">
            <v>8</v>
          </cell>
          <cell r="BS15">
            <v>3</v>
          </cell>
          <cell r="BT15">
            <v>5</v>
          </cell>
          <cell r="BU15">
            <v>4</v>
          </cell>
        </row>
        <row r="16">
          <cell r="Z16">
            <v>3</v>
          </cell>
          <cell r="AA16">
            <v>14</v>
          </cell>
          <cell r="AB16">
            <v>10</v>
          </cell>
          <cell r="AC16">
            <v>3</v>
          </cell>
          <cell r="AD16">
            <v>13</v>
          </cell>
          <cell r="AE16">
            <v>6</v>
          </cell>
          <cell r="AF16">
            <v>5</v>
          </cell>
          <cell r="AG16">
            <v>6</v>
          </cell>
          <cell r="AH16">
            <v>9</v>
          </cell>
          <cell r="AI16">
            <v>5</v>
          </cell>
          <cell r="AJ16">
            <v>8</v>
          </cell>
          <cell r="AK16">
            <v>7</v>
          </cell>
          <cell r="AL16">
            <v>1</v>
          </cell>
          <cell r="AM16">
            <v>9</v>
          </cell>
          <cell r="AN16">
            <v>5</v>
          </cell>
          <cell r="AO16">
            <v>4</v>
          </cell>
          <cell r="AP16">
            <v>9</v>
          </cell>
          <cell r="AQ16">
            <v>4</v>
          </cell>
          <cell r="AR16">
            <v>7</v>
          </cell>
          <cell r="AS16">
            <v>6</v>
          </cell>
          <cell r="AT16">
            <v>4</v>
          </cell>
          <cell r="AU16">
            <v>9</v>
          </cell>
          <cell r="AV16">
            <v>7</v>
          </cell>
          <cell r="AW16">
            <v>4</v>
          </cell>
          <cell r="AX16">
            <v>3</v>
          </cell>
          <cell r="AY16">
            <v>9</v>
          </cell>
          <cell r="AZ16">
            <v>5</v>
          </cell>
          <cell r="BA16">
            <v>3</v>
          </cell>
          <cell r="BB16">
            <v>7</v>
          </cell>
          <cell r="BC16">
            <v>7</v>
          </cell>
          <cell r="BD16">
            <v>4</v>
          </cell>
          <cell r="BE16">
            <v>5</v>
          </cell>
          <cell r="BF16">
            <v>9</v>
          </cell>
          <cell r="BG16">
            <v>7</v>
          </cell>
          <cell r="BH16">
            <v>6</v>
          </cell>
          <cell r="BI16">
            <v>4</v>
          </cell>
          <cell r="BJ16">
            <v>7</v>
          </cell>
          <cell r="BK16">
            <v>6</v>
          </cell>
          <cell r="BL16">
            <v>13</v>
          </cell>
          <cell r="BM16">
            <v>5</v>
          </cell>
          <cell r="BN16">
            <v>5</v>
          </cell>
          <cell r="BO16">
            <v>9</v>
          </cell>
          <cell r="BP16">
            <v>4</v>
          </cell>
          <cell r="BQ16">
            <v>10</v>
          </cell>
          <cell r="BR16">
            <v>11</v>
          </cell>
          <cell r="BS16">
            <v>4</v>
          </cell>
          <cell r="BT16">
            <v>8</v>
          </cell>
          <cell r="BU16">
            <v>6</v>
          </cell>
        </row>
        <row r="17">
          <cell r="Z17">
            <v>9</v>
          </cell>
          <cell r="AA17">
            <v>29</v>
          </cell>
          <cell r="AB17">
            <v>26</v>
          </cell>
          <cell r="AC17">
            <v>11</v>
          </cell>
          <cell r="AD17">
            <v>27</v>
          </cell>
          <cell r="AE17">
            <v>20</v>
          </cell>
          <cell r="AF17">
            <v>11</v>
          </cell>
          <cell r="AG17">
            <v>13</v>
          </cell>
          <cell r="AH17">
            <v>18</v>
          </cell>
          <cell r="AI17">
            <v>11</v>
          </cell>
          <cell r="AJ17">
            <v>14</v>
          </cell>
          <cell r="AK17">
            <v>11</v>
          </cell>
          <cell r="AL17">
            <v>11</v>
          </cell>
          <cell r="AM17">
            <v>17</v>
          </cell>
          <cell r="AN17">
            <v>15</v>
          </cell>
          <cell r="AO17">
            <v>20</v>
          </cell>
          <cell r="AP17">
            <v>15</v>
          </cell>
          <cell r="AQ17">
            <v>12</v>
          </cell>
          <cell r="AR17">
            <v>22</v>
          </cell>
          <cell r="AS17">
            <v>12</v>
          </cell>
          <cell r="AT17">
            <v>9</v>
          </cell>
          <cell r="AU17">
            <v>24</v>
          </cell>
          <cell r="AV17">
            <v>20</v>
          </cell>
          <cell r="AW17">
            <v>17</v>
          </cell>
          <cell r="AX17">
            <v>9</v>
          </cell>
          <cell r="AY17">
            <v>20</v>
          </cell>
          <cell r="AZ17">
            <v>12</v>
          </cell>
          <cell r="BA17">
            <v>13</v>
          </cell>
          <cell r="BB17">
            <v>16</v>
          </cell>
          <cell r="BC17">
            <v>18</v>
          </cell>
          <cell r="BD17">
            <v>17</v>
          </cell>
          <cell r="BE17">
            <v>14</v>
          </cell>
          <cell r="BF17">
            <v>24</v>
          </cell>
          <cell r="BG17">
            <v>17</v>
          </cell>
          <cell r="BH17">
            <v>21</v>
          </cell>
          <cell r="BI17">
            <v>16</v>
          </cell>
          <cell r="BJ17">
            <v>18</v>
          </cell>
          <cell r="BK17">
            <v>12</v>
          </cell>
          <cell r="BL17">
            <v>27</v>
          </cell>
          <cell r="BM17">
            <v>13</v>
          </cell>
          <cell r="BN17">
            <v>15</v>
          </cell>
          <cell r="BO17">
            <v>19</v>
          </cell>
          <cell r="BP17">
            <v>15</v>
          </cell>
          <cell r="BQ17">
            <v>16</v>
          </cell>
          <cell r="BR17">
            <v>23</v>
          </cell>
          <cell r="BS17">
            <v>8</v>
          </cell>
          <cell r="BT17">
            <v>14</v>
          </cell>
          <cell r="BU17">
            <v>10</v>
          </cell>
        </row>
        <row r="19">
          <cell r="Z19">
            <v>1</v>
          </cell>
          <cell r="AA19">
            <v>2</v>
          </cell>
          <cell r="AB19">
            <v>2</v>
          </cell>
          <cell r="AC19">
            <v>6</v>
          </cell>
          <cell r="AD19">
            <v>3</v>
          </cell>
          <cell r="AE19">
            <v>2</v>
          </cell>
          <cell r="AF19">
            <v>4</v>
          </cell>
          <cell r="AG19">
            <v>3</v>
          </cell>
          <cell r="AH19">
            <v>1</v>
          </cell>
          <cell r="AJ19">
            <v>3</v>
          </cell>
          <cell r="AK19">
            <v>3</v>
          </cell>
          <cell r="AL19">
            <v>2</v>
          </cell>
          <cell r="AM19">
            <v>1</v>
          </cell>
          <cell r="AN19">
            <v>2</v>
          </cell>
          <cell r="AO19">
            <v>2</v>
          </cell>
          <cell r="AP19">
            <v>3</v>
          </cell>
          <cell r="AQ19">
            <v>4</v>
          </cell>
          <cell r="AR19">
            <v>1</v>
          </cell>
          <cell r="AS19">
            <v>3</v>
          </cell>
          <cell r="AT19">
            <v>1</v>
          </cell>
          <cell r="AU19">
            <v>5</v>
          </cell>
          <cell r="AV19">
            <v>3</v>
          </cell>
          <cell r="AW19">
            <v>2</v>
          </cell>
          <cell r="AX19">
            <v>3</v>
          </cell>
          <cell r="AY19">
            <v>4</v>
          </cell>
          <cell r="AZ19">
            <v>3</v>
          </cell>
          <cell r="BA19">
            <v>7</v>
          </cell>
          <cell r="BB19">
            <v>6</v>
          </cell>
          <cell r="BC19">
            <v>13</v>
          </cell>
          <cell r="BD19">
            <v>6</v>
          </cell>
          <cell r="BE19">
            <v>3</v>
          </cell>
          <cell r="BF19">
            <v>2</v>
          </cell>
          <cell r="BG19">
            <v>4</v>
          </cell>
          <cell r="BH19">
            <v>4</v>
          </cell>
          <cell r="BI19">
            <v>2</v>
          </cell>
          <cell r="BJ19">
            <v>5</v>
          </cell>
          <cell r="BK19">
            <v>1</v>
          </cell>
          <cell r="BL19">
            <v>3</v>
          </cell>
          <cell r="BM19">
            <v>3</v>
          </cell>
          <cell r="BN19">
            <v>2</v>
          </cell>
          <cell r="BO19">
            <v>4</v>
          </cell>
          <cell r="BP19">
            <v>1</v>
          </cell>
          <cell r="BQ19">
            <v>8</v>
          </cell>
          <cell r="BR19">
            <v>3</v>
          </cell>
          <cell r="BS19">
            <v>5</v>
          </cell>
          <cell r="BT19">
            <v>3</v>
          </cell>
          <cell r="BU19">
            <v>3</v>
          </cell>
        </row>
        <row r="20">
          <cell r="Z20">
            <v>9</v>
          </cell>
          <cell r="AA20">
            <v>12</v>
          </cell>
          <cell r="AB20">
            <v>13</v>
          </cell>
          <cell r="AC20">
            <v>12</v>
          </cell>
          <cell r="AD20">
            <v>13</v>
          </cell>
          <cell r="AE20">
            <v>4</v>
          </cell>
          <cell r="AF20">
            <v>14</v>
          </cell>
          <cell r="AG20">
            <v>6</v>
          </cell>
          <cell r="AH20">
            <v>10</v>
          </cell>
          <cell r="AI20">
            <v>6</v>
          </cell>
          <cell r="AJ20">
            <v>6</v>
          </cell>
          <cell r="AK20">
            <v>9</v>
          </cell>
          <cell r="AL20">
            <v>4</v>
          </cell>
          <cell r="AM20">
            <v>2</v>
          </cell>
          <cell r="AN20">
            <v>11</v>
          </cell>
          <cell r="AO20">
            <v>11</v>
          </cell>
          <cell r="AP20">
            <v>7</v>
          </cell>
          <cell r="AQ20">
            <v>5</v>
          </cell>
          <cell r="AR20">
            <v>13</v>
          </cell>
          <cell r="AS20">
            <v>6</v>
          </cell>
          <cell r="AT20">
            <v>7</v>
          </cell>
          <cell r="AU20">
            <v>12</v>
          </cell>
          <cell r="AV20">
            <v>8</v>
          </cell>
          <cell r="AW20">
            <v>11</v>
          </cell>
          <cell r="AX20">
            <v>10</v>
          </cell>
          <cell r="AY20">
            <v>7</v>
          </cell>
          <cell r="AZ20">
            <v>6</v>
          </cell>
          <cell r="BA20">
            <v>9</v>
          </cell>
          <cell r="BB20">
            <v>10</v>
          </cell>
          <cell r="BC20">
            <v>8</v>
          </cell>
          <cell r="BD20">
            <v>18</v>
          </cell>
          <cell r="BE20">
            <v>8</v>
          </cell>
          <cell r="BF20">
            <v>5</v>
          </cell>
          <cell r="BG20">
            <v>13</v>
          </cell>
          <cell r="BH20">
            <v>9</v>
          </cell>
          <cell r="BI20">
            <v>13</v>
          </cell>
          <cell r="BJ20">
            <v>12</v>
          </cell>
          <cell r="BK20">
            <v>7</v>
          </cell>
          <cell r="BL20">
            <v>10</v>
          </cell>
          <cell r="BM20">
            <v>10</v>
          </cell>
          <cell r="BN20">
            <v>9</v>
          </cell>
          <cell r="BO20">
            <v>14</v>
          </cell>
          <cell r="BP20">
            <v>10</v>
          </cell>
          <cell r="BQ20">
            <v>20</v>
          </cell>
          <cell r="BR20">
            <v>3</v>
          </cell>
          <cell r="BS20">
            <v>18</v>
          </cell>
          <cell r="BT20">
            <v>12</v>
          </cell>
          <cell r="BU20">
            <v>7</v>
          </cell>
        </row>
        <row r="21">
          <cell r="Z21">
            <v>11</v>
          </cell>
          <cell r="AA21">
            <v>14</v>
          </cell>
          <cell r="AB21">
            <v>6</v>
          </cell>
          <cell r="AC21">
            <v>9</v>
          </cell>
          <cell r="AD21">
            <v>8</v>
          </cell>
          <cell r="AE21">
            <v>5</v>
          </cell>
          <cell r="AF21">
            <v>14</v>
          </cell>
          <cell r="AG21">
            <v>5</v>
          </cell>
          <cell r="AH21">
            <v>6</v>
          </cell>
          <cell r="AI21">
            <v>7</v>
          </cell>
          <cell r="AJ21">
            <v>8</v>
          </cell>
          <cell r="AK21">
            <v>11</v>
          </cell>
          <cell r="AL21">
            <v>6</v>
          </cell>
          <cell r="AM21">
            <v>12</v>
          </cell>
          <cell r="AN21">
            <v>6</v>
          </cell>
          <cell r="AO21">
            <v>6</v>
          </cell>
          <cell r="AP21">
            <v>9</v>
          </cell>
          <cell r="AQ21">
            <v>10</v>
          </cell>
          <cell r="AR21">
            <v>7</v>
          </cell>
          <cell r="AS21">
            <v>9</v>
          </cell>
          <cell r="AT21">
            <v>7</v>
          </cell>
          <cell r="AU21">
            <v>9</v>
          </cell>
          <cell r="AV21">
            <v>12</v>
          </cell>
          <cell r="AW21">
            <v>13</v>
          </cell>
          <cell r="AX21">
            <v>7</v>
          </cell>
          <cell r="AY21">
            <v>11</v>
          </cell>
          <cell r="AZ21">
            <v>10</v>
          </cell>
          <cell r="BA21">
            <v>14</v>
          </cell>
          <cell r="BB21">
            <v>14</v>
          </cell>
          <cell r="BC21">
            <v>16</v>
          </cell>
          <cell r="BD21">
            <v>11</v>
          </cell>
          <cell r="BE21">
            <v>6</v>
          </cell>
          <cell r="BF21">
            <v>8</v>
          </cell>
          <cell r="BG21">
            <v>9</v>
          </cell>
          <cell r="BH21">
            <v>5</v>
          </cell>
          <cell r="BI21">
            <v>12</v>
          </cell>
          <cell r="BJ21">
            <v>9</v>
          </cell>
          <cell r="BK21">
            <v>11</v>
          </cell>
          <cell r="BL21">
            <v>8</v>
          </cell>
          <cell r="BM21">
            <v>8</v>
          </cell>
          <cell r="BN21">
            <v>6</v>
          </cell>
          <cell r="BO21">
            <v>10</v>
          </cell>
          <cell r="BP21">
            <v>14</v>
          </cell>
          <cell r="BQ21">
            <v>35</v>
          </cell>
          <cell r="BR21">
            <v>22</v>
          </cell>
          <cell r="BS21">
            <v>27</v>
          </cell>
          <cell r="BT21">
            <v>11</v>
          </cell>
          <cell r="BU21">
            <v>15</v>
          </cell>
        </row>
        <row r="22">
          <cell r="Z22">
            <v>5</v>
          </cell>
          <cell r="AA22">
            <v>5</v>
          </cell>
          <cell r="AB22">
            <v>4</v>
          </cell>
          <cell r="AC22">
            <v>5</v>
          </cell>
          <cell r="AD22">
            <v>2</v>
          </cell>
          <cell r="AE22">
            <v>4</v>
          </cell>
          <cell r="AF22">
            <v>3</v>
          </cell>
          <cell r="AG22">
            <v>4</v>
          </cell>
          <cell r="AI22">
            <v>2</v>
          </cell>
          <cell r="AK22">
            <v>4</v>
          </cell>
          <cell r="AL22">
            <v>4</v>
          </cell>
          <cell r="AM22">
            <v>4</v>
          </cell>
          <cell r="AN22">
            <v>4</v>
          </cell>
          <cell r="AO22">
            <v>1</v>
          </cell>
          <cell r="AP22">
            <v>5</v>
          </cell>
          <cell r="AQ22">
            <v>6</v>
          </cell>
          <cell r="AR22">
            <v>7</v>
          </cell>
          <cell r="AS22">
            <v>6</v>
          </cell>
          <cell r="AT22">
            <v>1</v>
          </cell>
          <cell r="AU22">
            <v>9</v>
          </cell>
          <cell r="AV22">
            <v>8</v>
          </cell>
          <cell r="AW22">
            <v>9</v>
          </cell>
          <cell r="AX22">
            <v>4</v>
          </cell>
          <cell r="AY22">
            <v>5</v>
          </cell>
          <cell r="AZ22">
            <v>7</v>
          </cell>
          <cell r="BA22">
            <v>8</v>
          </cell>
          <cell r="BB22">
            <v>8</v>
          </cell>
          <cell r="BC22">
            <v>5</v>
          </cell>
          <cell r="BD22">
            <v>5</v>
          </cell>
          <cell r="BE22">
            <v>6</v>
          </cell>
          <cell r="BF22">
            <v>5</v>
          </cell>
          <cell r="BG22">
            <v>7</v>
          </cell>
          <cell r="BH22">
            <v>4</v>
          </cell>
          <cell r="BI22">
            <v>7</v>
          </cell>
          <cell r="BJ22">
            <v>3</v>
          </cell>
          <cell r="BK22">
            <v>4</v>
          </cell>
          <cell r="BL22">
            <v>5</v>
          </cell>
          <cell r="BM22">
            <v>6</v>
          </cell>
          <cell r="BN22">
            <v>1</v>
          </cell>
          <cell r="BO22">
            <v>6</v>
          </cell>
          <cell r="BP22">
            <v>5</v>
          </cell>
          <cell r="BQ22">
            <v>4</v>
          </cell>
          <cell r="BR22">
            <v>5</v>
          </cell>
          <cell r="BS22">
            <v>3</v>
          </cell>
          <cell r="BT22">
            <v>7</v>
          </cell>
          <cell r="BU22">
            <v>7</v>
          </cell>
        </row>
        <row r="23">
          <cell r="Z23">
            <v>7</v>
          </cell>
          <cell r="AA23">
            <v>20</v>
          </cell>
          <cell r="AB23">
            <v>7</v>
          </cell>
          <cell r="AC23">
            <v>4</v>
          </cell>
          <cell r="AD23">
            <v>7</v>
          </cell>
          <cell r="AE23">
            <v>9</v>
          </cell>
          <cell r="AF23">
            <v>15</v>
          </cell>
          <cell r="AG23">
            <v>12</v>
          </cell>
          <cell r="AH23">
            <v>3</v>
          </cell>
          <cell r="AI23">
            <v>10</v>
          </cell>
          <cell r="AJ23">
            <v>8</v>
          </cell>
          <cell r="AK23">
            <v>13</v>
          </cell>
          <cell r="AL23">
            <v>4</v>
          </cell>
          <cell r="AM23">
            <v>6</v>
          </cell>
          <cell r="AN23">
            <v>6</v>
          </cell>
          <cell r="AO23">
            <v>10</v>
          </cell>
          <cell r="AP23">
            <v>15</v>
          </cell>
          <cell r="AQ23">
            <v>13</v>
          </cell>
          <cell r="AR23">
            <v>12</v>
          </cell>
          <cell r="AS23">
            <v>9</v>
          </cell>
          <cell r="AT23">
            <v>3</v>
          </cell>
          <cell r="AU23">
            <v>8</v>
          </cell>
          <cell r="AV23">
            <v>12</v>
          </cell>
          <cell r="AW23">
            <v>4</v>
          </cell>
          <cell r="AX23">
            <v>9</v>
          </cell>
          <cell r="AY23">
            <v>8</v>
          </cell>
          <cell r="AZ23">
            <v>10</v>
          </cell>
          <cell r="BA23">
            <v>8</v>
          </cell>
          <cell r="BB23">
            <v>8</v>
          </cell>
          <cell r="BC23">
            <v>10</v>
          </cell>
          <cell r="BD23">
            <v>12</v>
          </cell>
          <cell r="BE23">
            <v>8</v>
          </cell>
          <cell r="BF23">
            <v>6</v>
          </cell>
          <cell r="BG23">
            <v>4</v>
          </cell>
          <cell r="BH23">
            <v>11</v>
          </cell>
          <cell r="BI23">
            <v>7</v>
          </cell>
          <cell r="BJ23">
            <v>4</v>
          </cell>
          <cell r="BK23">
            <v>6</v>
          </cell>
          <cell r="BL23">
            <v>8</v>
          </cell>
          <cell r="BM23">
            <v>8</v>
          </cell>
          <cell r="BN23">
            <v>8</v>
          </cell>
          <cell r="BO23">
            <v>6</v>
          </cell>
          <cell r="BP23">
            <v>14</v>
          </cell>
          <cell r="BQ23">
            <v>8</v>
          </cell>
          <cell r="BR23">
            <v>3</v>
          </cell>
          <cell r="BS23">
            <v>9</v>
          </cell>
          <cell r="BT23">
            <v>11</v>
          </cell>
          <cell r="BU23">
            <v>11</v>
          </cell>
        </row>
        <row r="24">
          <cell r="Z24">
            <v>12</v>
          </cell>
          <cell r="AA24">
            <v>25</v>
          </cell>
          <cell r="AB24">
            <v>11</v>
          </cell>
          <cell r="AC24">
            <v>9</v>
          </cell>
          <cell r="AD24">
            <v>9</v>
          </cell>
          <cell r="AE24">
            <v>13</v>
          </cell>
          <cell r="AF24">
            <v>18</v>
          </cell>
          <cell r="AG24">
            <v>16</v>
          </cell>
          <cell r="AH24">
            <v>3</v>
          </cell>
          <cell r="AI24">
            <v>12</v>
          </cell>
          <cell r="AJ24">
            <v>8</v>
          </cell>
          <cell r="AK24">
            <v>17</v>
          </cell>
          <cell r="AL24">
            <v>8</v>
          </cell>
          <cell r="AM24">
            <v>10</v>
          </cell>
          <cell r="AN24">
            <v>10</v>
          </cell>
          <cell r="AO24">
            <v>11</v>
          </cell>
          <cell r="AP24">
            <v>20</v>
          </cell>
          <cell r="AQ24">
            <v>19</v>
          </cell>
          <cell r="AR24">
            <v>19</v>
          </cell>
          <cell r="AS24">
            <v>15</v>
          </cell>
          <cell r="AT24">
            <v>4</v>
          </cell>
          <cell r="AU24">
            <v>17</v>
          </cell>
          <cell r="AV24">
            <v>20</v>
          </cell>
          <cell r="AW24">
            <v>13</v>
          </cell>
          <cell r="AX24">
            <v>13</v>
          </cell>
          <cell r="AY24">
            <v>13</v>
          </cell>
          <cell r="AZ24">
            <v>17</v>
          </cell>
          <cell r="BA24">
            <v>16</v>
          </cell>
          <cell r="BB24">
            <v>16</v>
          </cell>
          <cell r="BC24">
            <v>15</v>
          </cell>
          <cell r="BD24">
            <v>17</v>
          </cell>
          <cell r="BE24">
            <v>14</v>
          </cell>
          <cell r="BF24">
            <v>11</v>
          </cell>
          <cell r="BG24">
            <v>11</v>
          </cell>
          <cell r="BH24">
            <v>15</v>
          </cell>
          <cell r="BI24">
            <v>14</v>
          </cell>
          <cell r="BJ24">
            <v>7</v>
          </cell>
          <cell r="BK24">
            <v>10</v>
          </cell>
          <cell r="BL24">
            <v>13</v>
          </cell>
          <cell r="BM24">
            <v>14</v>
          </cell>
          <cell r="BN24">
            <v>9</v>
          </cell>
          <cell r="BO24">
            <v>12</v>
          </cell>
          <cell r="BP24">
            <v>19</v>
          </cell>
          <cell r="BQ24">
            <v>12</v>
          </cell>
          <cell r="BR24">
            <v>8</v>
          </cell>
          <cell r="BS24">
            <v>12</v>
          </cell>
          <cell r="BT24">
            <v>18</v>
          </cell>
          <cell r="BU24">
            <v>18</v>
          </cell>
        </row>
        <row r="25">
          <cell r="Z25">
            <v>33</v>
          </cell>
          <cell r="AA25">
            <v>53</v>
          </cell>
          <cell r="AB25">
            <v>32</v>
          </cell>
          <cell r="AC25">
            <v>36</v>
          </cell>
          <cell r="AD25">
            <v>33</v>
          </cell>
          <cell r="AE25">
            <v>24</v>
          </cell>
          <cell r="AF25">
            <v>50</v>
          </cell>
          <cell r="AG25">
            <v>30</v>
          </cell>
          <cell r="AH25">
            <v>20</v>
          </cell>
          <cell r="AI25">
            <v>25</v>
          </cell>
          <cell r="AJ25">
            <v>25</v>
          </cell>
          <cell r="AK25">
            <v>40</v>
          </cell>
          <cell r="AL25">
            <v>20</v>
          </cell>
          <cell r="AM25">
            <v>25</v>
          </cell>
          <cell r="AN25">
            <v>29</v>
          </cell>
          <cell r="AO25">
            <v>30</v>
          </cell>
          <cell r="AP25">
            <v>39</v>
          </cell>
          <cell r="AQ25">
            <v>38</v>
          </cell>
          <cell r="AR25">
            <v>40</v>
          </cell>
          <cell r="AS25">
            <v>33</v>
          </cell>
          <cell r="AT25">
            <v>19</v>
          </cell>
          <cell r="AU25">
            <v>43</v>
          </cell>
          <cell r="AV25">
            <v>43</v>
          </cell>
          <cell r="AW25">
            <v>39</v>
          </cell>
          <cell r="AX25">
            <v>33</v>
          </cell>
          <cell r="AY25">
            <v>35</v>
          </cell>
          <cell r="AZ25">
            <v>36</v>
          </cell>
          <cell r="BA25">
            <v>46</v>
          </cell>
          <cell r="BB25">
            <v>46</v>
          </cell>
          <cell r="BC25">
            <v>52</v>
          </cell>
          <cell r="BD25">
            <v>52</v>
          </cell>
          <cell r="BE25">
            <v>31</v>
          </cell>
          <cell r="BF25">
            <v>26</v>
          </cell>
          <cell r="BG25">
            <v>37</v>
          </cell>
          <cell r="BH25">
            <v>33</v>
          </cell>
          <cell r="BI25">
            <v>41</v>
          </cell>
          <cell r="BJ25">
            <v>33</v>
          </cell>
          <cell r="BK25">
            <v>29</v>
          </cell>
          <cell r="BL25">
            <v>34</v>
          </cell>
          <cell r="BM25">
            <v>35</v>
          </cell>
          <cell r="BN25">
            <v>26</v>
          </cell>
          <cell r="BO25">
            <v>40</v>
          </cell>
          <cell r="BP25">
            <v>44</v>
          </cell>
          <cell r="BQ25">
            <v>75</v>
          </cell>
          <cell r="BR25">
            <v>36</v>
          </cell>
          <cell r="BS25">
            <v>62</v>
          </cell>
          <cell r="BT25">
            <v>44</v>
          </cell>
          <cell r="BU25">
            <v>43</v>
          </cell>
        </row>
      </sheetData>
      <sheetData sheetId="29">
        <row r="2">
          <cell r="CI2">
            <v>0</v>
          </cell>
          <cell r="CJ2">
            <v>0</v>
          </cell>
          <cell r="CK2">
            <v>2</v>
          </cell>
          <cell r="CL2">
            <v>0</v>
          </cell>
          <cell r="CM2">
            <v>0</v>
          </cell>
          <cell r="CN2">
            <v>0</v>
          </cell>
          <cell r="CO2">
            <v>1</v>
          </cell>
          <cell r="CP2">
            <v>0</v>
          </cell>
          <cell r="CQ2">
            <v>0</v>
          </cell>
          <cell r="CR2">
            <v>1</v>
          </cell>
          <cell r="CS2">
            <v>0</v>
          </cell>
          <cell r="CT2">
            <v>1</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K2">
            <v>0</v>
          </cell>
          <cell r="DL2">
            <v>0</v>
          </cell>
          <cell r="DM2">
            <v>0</v>
          </cell>
          <cell r="DN2">
            <v>0</v>
          </cell>
          <cell r="DO2">
            <v>0</v>
          </cell>
          <cell r="DP2">
            <v>0</v>
          </cell>
          <cell r="DQ2">
            <v>2</v>
          </cell>
          <cell r="DR2">
            <v>0</v>
          </cell>
          <cell r="DS2">
            <v>0</v>
          </cell>
          <cell r="DT2">
            <v>0</v>
          </cell>
          <cell r="DU2">
            <v>2</v>
          </cell>
          <cell r="DV2">
            <v>0</v>
          </cell>
          <cell r="DW2">
            <v>0</v>
          </cell>
          <cell r="DX2">
            <v>1</v>
          </cell>
          <cell r="DY2">
            <v>0</v>
          </cell>
          <cell r="DZ2">
            <v>0</v>
          </cell>
          <cell r="EA2">
            <v>0</v>
          </cell>
          <cell r="EB2">
            <v>0</v>
          </cell>
          <cell r="EC2">
            <v>3</v>
          </cell>
        </row>
        <row r="3">
          <cell r="CI3">
            <v>3</v>
          </cell>
          <cell r="CJ3">
            <v>2</v>
          </cell>
          <cell r="CK3">
            <v>5</v>
          </cell>
          <cell r="CL3">
            <v>3</v>
          </cell>
          <cell r="CM3">
            <v>2</v>
          </cell>
          <cell r="CN3">
            <v>2</v>
          </cell>
          <cell r="CO3">
            <v>6</v>
          </cell>
          <cell r="CP3">
            <v>4</v>
          </cell>
          <cell r="CQ3">
            <v>3</v>
          </cell>
          <cell r="CR3">
            <v>2</v>
          </cell>
          <cell r="CS3">
            <v>0</v>
          </cell>
          <cell r="CT3">
            <v>4</v>
          </cell>
          <cell r="CU3">
            <v>0</v>
          </cell>
          <cell r="CV3">
            <v>3</v>
          </cell>
          <cell r="CW3">
            <v>2</v>
          </cell>
          <cell r="CX3">
            <v>3</v>
          </cell>
          <cell r="CY3">
            <v>6</v>
          </cell>
          <cell r="CZ3">
            <v>2</v>
          </cell>
          <cell r="DA3">
            <v>0</v>
          </cell>
          <cell r="DB3">
            <v>7</v>
          </cell>
          <cell r="DC3">
            <v>2</v>
          </cell>
          <cell r="DD3">
            <v>2</v>
          </cell>
          <cell r="DE3">
            <v>2</v>
          </cell>
          <cell r="DF3">
            <v>3</v>
          </cell>
          <cell r="DG3">
            <v>2</v>
          </cell>
          <cell r="DH3">
            <v>7</v>
          </cell>
          <cell r="DI3">
            <v>2</v>
          </cell>
          <cell r="DK3">
            <v>4</v>
          </cell>
          <cell r="DL3">
            <v>8</v>
          </cell>
          <cell r="DM3">
            <v>3</v>
          </cell>
          <cell r="DN3">
            <v>3</v>
          </cell>
          <cell r="DO3">
            <v>3</v>
          </cell>
          <cell r="DP3">
            <v>1</v>
          </cell>
          <cell r="DQ3">
            <v>8</v>
          </cell>
          <cell r="DR3">
            <v>6</v>
          </cell>
          <cell r="DS3">
            <v>5</v>
          </cell>
          <cell r="DT3">
            <v>6</v>
          </cell>
          <cell r="DU3">
            <v>5</v>
          </cell>
          <cell r="DV3">
            <v>7</v>
          </cell>
          <cell r="DW3">
            <v>4</v>
          </cell>
          <cell r="DX3">
            <v>1</v>
          </cell>
          <cell r="DY3">
            <v>1</v>
          </cell>
          <cell r="DZ3">
            <v>4</v>
          </cell>
          <cell r="EA3">
            <v>2</v>
          </cell>
          <cell r="EB3">
            <v>2</v>
          </cell>
          <cell r="EC3">
            <v>2</v>
          </cell>
        </row>
        <row r="4">
          <cell r="CI4">
            <v>0</v>
          </cell>
          <cell r="CJ4">
            <v>0</v>
          </cell>
          <cell r="CL4">
            <v>1</v>
          </cell>
          <cell r="CM4">
            <v>1</v>
          </cell>
          <cell r="CN4">
            <v>0</v>
          </cell>
          <cell r="CO4">
            <v>0</v>
          </cell>
          <cell r="CP4">
            <v>0</v>
          </cell>
          <cell r="CQ4">
            <v>1</v>
          </cell>
          <cell r="CR4">
            <v>1</v>
          </cell>
          <cell r="CS4">
            <v>1</v>
          </cell>
          <cell r="CT4">
            <v>0</v>
          </cell>
          <cell r="CU4">
            <v>0</v>
          </cell>
          <cell r="CV4">
            <v>2</v>
          </cell>
          <cell r="CW4">
            <v>1</v>
          </cell>
          <cell r="CX4">
            <v>2</v>
          </cell>
          <cell r="CY4">
            <v>0</v>
          </cell>
          <cell r="CZ4">
            <v>0</v>
          </cell>
          <cell r="DA4">
            <v>1</v>
          </cell>
          <cell r="DB4">
            <v>1</v>
          </cell>
          <cell r="DC4">
            <v>0</v>
          </cell>
          <cell r="DD4">
            <v>0</v>
          </cell>
          <cell r="DE4">
            <v>0</v>
          </cell>
          <cell r="DF4">
            <v>0</v>
          </cell>
          <cell r="DG4">
            <v>0</v>
          </cell>
          <cell r="DH4">
            <v>1</v>
          </cell>
          <cell r="DI4">
            <v>1</v>
          </cell>
          <cell r="DJ4">
            <v>2</v>
          </cell>
          <cell r="DK4">
            <v>0</v>
          </cell>
          <cell r="DL4">
            <v>1</v>
          </cell>
          <cell r="DM4">
            <v>0</v>
          </cell>
          <cell r="DN4">
            <v>1</v>
          </cell>
          <cell r="DO4">
            <v>1</v>
          </cell>
          <cell r="DP4">
            <v>1</v>
          </cell>
          <cell r="DQ4">
            <v>0</v>
          </cell>
          <cell r="DR4">
            <v>1</v>
          </cell>
          <cell r="DS4">
            <v>0</v>
          </cell>
          <cell r="DT4">
            <v>0</v>
          </cell>
          <cell r="DU4">
            <v>0</v>
          </cell>
          <cell r="DV4">
            <v>0</v>
          </cell>
          <cell r="DW4">
            <v>0</v>
          </cell>
          <cell r="DX4">
            <v>1</v>
          </cell>
          <cell r="DY4">
            <v>0</v>
          </cell>
          <cell r="DZ4">
            <v>0</v>
          </cell>
          <cell r="EA4">
            <v>0</v>
          </cell>
          <cell r="EB4">
            <v>0</v>
          </cell>
          <cell r="EC4">
            <v>0</v>
          </cell>
        </row>
        <row r="5">
          <cell r="CI5">
            <v>3</v>
          </cell>
          <cell r="CJ5">
            <v>2</v>
          </cell>
          <cell r="CK5">
            <v>1</v>
          </cell>
          <cell r="CL5">
            <v>4</v>
          </cell>
          <cell r="CM5">
            <v>8</v>
          </cell>
          <cell r="CN5">
            <v>0</v>
          </cell>
          <cell r="CO5">
            <v>2</v>
          </cell>
          <cell r="CP5">
            <v>2</v>
          </cell>
          <cell r="CQ5">
            <v>5</v>
          </cell>
          <cell r="CR5">
            <v>3</v>
          </cell>
          <cell r="CS5">
            <v>2</v>
          </cell>
          <cell r="CT5">
            <v>3</v>
          </cell>
          <cell r="CU5">
            <v>5</v>
          </cell>
          <cell r="CV5">
            <v>1</v>
          </cell>
          <cell r="CW5">
            <v>6</v>
          </cell>
          <cell r="CX5">
            <v>5</v>
          </cell>
          <cell r="CY5">
            <v>8</v>
          </cell>
          <cell r="CZ5">
            <v>1</v>
          </cell>
          <cell r="DA5">
            <v>9</v>
          </cell>
          <cell r="DB5">
            <v>3</v>
          </cell>
          <cell r="DC5">
            <v>7</v>
          </cell>
          <cell r="DD5">
            <v>7</v>
          </cell>
          <cell r="DE5">
            <v>6</v>
          </cell>
          <cell r="DF5">
            <v>5</v>
          </cell>
          <cell r="DG5">
            <v>7</v>
          </cell>
          <cell r="DH5">
            <v>8</v>
          </cell>
          <cell r="DI5">
            <v>7</v>
          </cell>
          <cell r="DJ5">
            <v>7</v>
          </cell>
          <cell r="DK5">
            <v>2</v>
          </cell>
          <cell r="DL5">
            <v>3</v>
          </cell>
          <cell r="DM5">
            <v>3</v>
          </cell>
          <cell r="DN5">
            <v>4</v>
          </cell>
          <cell r="DO5">
            <v>3</v>
          </cell>
          <cell r="DP5">
            <v>3</v>
          </cell>
          <cell r="DQ5">
            <v>5</v>
          </cell>
          <cell r="DR5">
            <v>4</v>
          </cell>
          <cell r="DS5">
            <v>6</v>
          </cell>
          <cell r="DT5">
            <v>5</v>
          </cell>
          <cell r="DU5">
            <v>6</v>
          </cell>
          <cell r="DV5">
            <v>1</v>
          </cell>
          <cell r="DW5">
            <v>11</v>
          </cell>
          <cell r="DX5">
            <v>8</v>
          </cell>
          <cell r="DY5">
            <v>4</v>
          </cell>
          <cell r="DZ5">
            <v>4</v>
          </cell>
          <cell r="EA5">
            <v>3</v>
          </cell>
          <cell r="EB5">
            <v>4</v>
          </cell>
          <cell r="EC5">
            <v>4</v>
          </cell>
        </row>
        <row r="6">
          <cell r="CI6">
            <v>0</v>
          </cell>
          <cell r="CJ6">
            <v>0</v>
          </cell>
          <cell r="CK6">
            <v>1</v>
          </cell>
          <cell r="CL6">
            <v>2</v>
          </cell>
          <cell r="CM6">
            <v>0</v>
          </cell>
          <cell r="CN6">
            <v>1</v>
          </cell>
          <cell r="CO6">
            <v>0</v>
          </cell>
          <cell r="CP6">
            <v>1</v>
          </cell>
          <cell r="CQ6">
            <v>0</v>
          </cell>
          <cell r="CR6">
            <v>0</v>
          </cell>
          <cell r="CS6">
            <v>0</v>
          </cell>
          <cell r="CT6">
            <v>0</v>
          </cell>
          <cell r="CU6">
            <v>1</v>
          </cell>
          <cell r="CV6">
            <v>0</v>
          </cell>
          <cell r="CW6">
            <v>0</v>
          </cell>
          <cell r="CX6">
            <v>0</v>
          </cell>
          <cell r="CY6">
            <v>0</v>
          </cell>
          <cell r="CZ6">
            <v>0</v>
          </cell>
          <cell r="DA6">
            <v>0</v>
          </cell>
          <cell r="DB6">
            <v>0</v>
          </cell>
          <cell r="DC6">
            <v>0</v>
          </cell>
          <cell r="DD6">
            <v>1</v>
          </cell>
          <cell r="DE6">
            <v>1</v>
          </cell>
          <cell r="DG6">
            <v>4</v>
          </cell>
          <cell r="DH6">
            <v>1</v>
          </cell>
          <cell r="DI6">
            <v>1</v>
          </cell>
          <cell r="DJ6">
            <v>0</v>
          </cell>
          <cell r="DK6">
            <v>0</v>
          </cell>
          <cell r="DL6">
            <v>0</v>
          </cell>
          <cell r="DM6">
            <v>4</v>
          </cell>
          <cell r="DN6">
            <v>1</v>
          </cell>
          <cell r="DO6">
            <v>1</v>
          </cell>
          <cell r="DP6">
            <v>1</v>
          </cell>
          <cell r="DQ6">
            <v>0</v>
          </cell>
          <cell r="DR6">
            <v>1</v>
          </cell>
          <cell r="DS6">
            <v>0</v>
          </cell>
          <cell r="DT6">
            <v>0</v>
          </cell>
          <cell r="DU6">
            <v>0</v>
          </cell>
          <cell r="DV6">
            <v>0</v>
          </cell>
          <cell r="DW6">
            <v>1</v>
          </cell>
          <cell r="DX6">
            <v>2</v>
          </cell>
          <cell r="DY6">
            <v>0</v>
          </cell>
          <cell r="DZ6">
            <v>1</v>
          </cell>
          <cell r="EA6">
            <v>1</v>
          </cell>
          <cell r="EB6">
            <v>0</v>
          </cell>
          <cell r="EC6">
            <v>0</v>
          </cell>
        </row>
        <row r="7">
          <cell r="CI7">
            <v>4</v>
          </cell>
          <cell r="CJ7">
            <v>1</v>
          </cell>
          <cell r="CK7">
            <v>7</v>
          </cell>
          <cell r="CL7">
            <v>10</v>
          </cell>
          <cell r="CM7">
            <v>8</v>
          </cell>
          <cell r="CN7">
            <v>6</v>
          </cell>
          <cell r="CO7">
            <v>3</v>
          </cell>
          <cell r="CP7">
            <v>3</v>
          </cell>
          <cell r="CQ7">
            <v>6</v>
          </cell>
          <cell r="CR7">
            <v>8</v>
          </cell>
          <cell r="CS7">
            <v>3</v>
          </cell>
          <cell r="CT7">
            <v>5</v>
          </cell>
          <cell r="CU7">
            <v>3</v>
          </cell>
          <cell r="CV7">
            <v>6</v>
          </cell>
          <cell r="CW7">
            <v>6</v>
          </cell>
          <cell r="CX7">
            <v>4</v>
          </cell>
          <cell r="CY7">
            <v>1</v>
          </cell>
          <cell r="CZ7">
            <v>5</v>
          </cell>
          <cell r="DA7">
            <v>6</v>
          </cell>
          <cell r="DB7">
            <v>9</v>
          </cell>
          <cell r="DC7">
            <v>9</v>
          </cell>
          <cell r="DD7">
            <v>7</v>
          </cell>
          <cell r="DE7">
            <v>2</v>
          </cell>
          <cell r="DG7">
            <v>6</v>
          </cell>
          <cell r="DH7">
            <v>7</v>
          </cell>
          <cell r="DI7">
            <v>6</v>
          </cell>
          <cell r="DJ7">
            <v>7</v>
          </cell>
          <cell r="DK7">
            <v>5</v>
          </cell>
          <cell r="DL7">
            <v>4</v>
          </cell>
          <cell r="DM7">
            <v>5</v>
          </cell>
          <cell r="DN7">
            <v>4</v>
          </cell>
          <cell r="DO7">
            <v>9</v>
          </cell>
          <cell r="DP7">
            <v>5</v>
          </cell>
          <cell r="DQ7">
            <v>3</v>
          </cell>
          <cell r="DR7">
            <v>3</v>
          </cell>
          <cell r="DS7">
            <v>9</v>
          </cell>
          <cell r="DT7">
            <v>11</v>
          </cell>
          <cell r="DU7">
            <v>6</v>
          </cell>
          <cell r="DV7">
            <v>7</v>
          </cell>
          <cell r="DW7">
            <v>11</v>
          </cell>
          <cell r="DX7">
            <v>6</v>
          </cell>
          <cell r="DY7">
            <v>8</v>
          </cell>
          <cell r="DZ7">
            <v>8</v>
          </cell>
          <cell r="EA7">
            <v>6</v>
          </cell>
          <cell r="EB7">
            <v>7</v>
          </cell>
          <cell r="EC7">
            <v>6</v>
          </cell>
        </row>
        <row r="8">
          <cell r="CI8">
            <v>0</v>
          </cell>
          <cell r="CJ8">
            <v>0</v>
          </cell>
          <cell r="CK8">
            <v>0</v>
          </cell>
          <cell r="CL8">
            <v>0</v>
          </cell>
          <cell r="CM8">
            <v>0</v>
          </cell>
          <cell r="CN8">
            <v>0</v>
          </cell>
          <cell r="CO8">
            <v>1</v>
          </cell>
          <cell r="CP8">
            <v>0</v>
          </cell>
          <cell r="CQ8">
            <v>0</v>
          </cell>
          <cell r="CR8">
            <v>0</v>
          </cell>
          <cell r="CS8">
            <v>0</v>
          </cell>
          <cell r="CT8">
            <v>0</v>
          </cell>
          <cell r="CU8">
            <v>0</v>
          </cell>
          <cell r="CV8">
            <v>0</v>
          </cell>
          <cell r="CW8">
            <v>0</v>
          </cell>
          <cell r="CX8">
            <v>0</v>
          </cell>
          <cell r="CY8">
            <v>2</v>
          </cell>
          <cell r="CZ8">
            <v>1</v>
          </cell>
          <cell r="DA8">
            <v>0</v>
          </cell>
          <cell r="DB8">
            <v>2</v>
          </cell>
          <cell r="DC8">
            <v>0</v>
          </cell>
          <cell r="DD8">
            <v>0</v>
          </cell>
          <cell r="DE8">
            <v>0</v>
          </cell>
          <cell r="DF8">
            <v>0</v>
          </cell>
          <cell r="DG8">
            <v>0</v>
          </cell>
          <cell r="DH8">
            <v>0</v>
          </cell>
          <cell r="DI8">
            <v>0</v>
          </cell>
          <cell r="DJ8">
            <v>1</v>
          </cell>
          <cell r="DK8">
            <v>2</v>
          </cell>
          <cell r="DL8">
            <v>0</v>
          </cell>
          <cell r="DM8">
            <v>0</v>
          </cell>
          <cell r="DN8">
            <v>1</v>
          </cell>
          <cell r="DO8">
            <v>0</v>
          </cell>
          <cell r="DP8">
            <v>0</v>
          </cell>
          <cell r="DQ8">
            <v>0</v>
          </cell>
          <cell r="DR8">
            <v>0</v>
          </cell>
          <cell r="DS8">
            <v>1</v>
          </cell>
          <cell r="DT8">
            <v>0</v>
          </cell>
          <cell r="DU8">
            <v>2</v>
          </cell>
          <cell r="DV8">
            <v>1</v>
          </cell>
          <cell r="DW8">
            <v>3</v>
          </cell>
          <cell r="DX8">
            <v>0</v>
          </cell>
          <cell r="DY8">
            <v>2</v>
          </cell>
          <cell r="DZ8">
            <v>0</v>
          </cell>
          <cell r="EA8">
            <v>0</v>
          </cell>
          <cell r="EB8">
            <v>1</v>
          </cell>
          <cell r="EC8">
            <v>0</v>
          </cell>
        </row>
        <row r="9">
          <cell r="CI9">
            <v>2</v>
          </cell>
          <cell r="CJ9">
            <v>1</v>
          </cell>
          <cell r="CK9">
            <v>6</v>
          </cell>
          <cell r="CL9">
            <v>8</v>
          </cell>
          <cell r="CM9">
            <v>5</v>
          </cell>
          <cell r="CN9">
            <v>4</v>
          </cell>
          <cell r="CO9">
            <v>9</v>
          </cell>
          <cell r="CP9">
            <v>8</v>
          </cell>
          <cell r="CQ9">
            <v>3</v>
          </cell>
          <cell r="CR9">
            <v>5</v>
          </cell>
          <cell r="CS9">
            <v>3</v>
          </cell>
          <cell r="CT9">
            <v>3</v>
          </cell>
          <cell r="CU9">
            <v>6</v>
          </cell>
          <cell r="CV9">
            <v>8</v>
          </cell>
          <cell r="CW9">
            <v>3</v>
          </cell>
          <cell r="CX9">
            <v>2</v>
          </cell>
          <cell r="CY9">
            <v>6</v>
          </cell>
          <cell r="CZ9">
            <v>1</v>
          </cell>
          <cell r="DA9">
            <v>2</v>
          </cell>
          <cell r="DB9">
            <v>3</v>
          </cell>
          <cell r="DC9">
            <v>1</v>
          </cell>
          <cell r="DD9">
            <v>8</v>
          </cell>
          <cell r="DE9">
            <v>7</v>
          </cell>
          <cell r="DF9">
            <v>4</v>
          </cell>
          <cell r="DG9">
            <v>2</v>
          </cell>
          <cell r="DH9">
            <v>2</v>
          </cell>
          <cell r="DI9">
            <v>7</v>
          </cell>
          <cell r="DJ9">
            <v>6</v>
          </cell>
          <cell r="DK9">
            <v>3</v>
          </cell>
          <cell r="DL9">
            <v>6</v>
          </cell>
          <cell r="DM9">
            <v>6</v>
          </cell>
          <cell r="DN9">
            <v>5</v>
          </cell>
          <cell r="DO9">
            <v>4</v>
          </cell>
          <cell r="DP9">
            <v>6</v>
          </cell>
          <cell r="DQ9">
            <v>6</v>
          </cell>
          <cell r="DR9">
            <v>4</v>
          </cell>
          <cell r="DS9">
            <v>4</v>
          </cell>
          <cell r="DT9">
            <v>3</v>
          </cell>
          <cell r="DU9">
            <v>4</v>
          </cell>
          <cell r="DV9">
            <v>1</v>
          </cell>
          <cell r="DW9">
            <v>8</v>
          </cell>
          <cell r="DX9">
            <v>6</v>
          </cell>
          <cell r="DY9">
            <v>5</v>
          </cell>
          <cell r="DZ9">
            <v>4</v>
          </cell>
          <cell r="EA9">
            <v>7</v>
          </cell>
          <cell r="EB9">
            <v>2</v>
          </cell>
          <cell r="EC9">
            <v>2</v>
          </cell>
        </row>
        <row r="10">
          <cell r="CI10">
            <v>0</v>
          </cell>
          <cell r="CJ10">
            <v>0</v>
          </cell>
          <cell r="CK10">
            <v>0</v>
          </cell>
          <cell r="CL10">
            <v>1</v>
          </cell>
          <cell r="CM10">
            <v>0</v>
          </cell>
          <cell r="CN10">
            <v>0</v>
          </cell>
          <cell r="CO10">
            <v>0</v>
          </cell>
          <cell r="CP10">
            <v>0</v>
          </cell>
          <cell r="CQ10">
            <v>1</v>
          </cell>
          <cell r="CR10">
            <v>0</v>
          </cell>
          <cell r="CS10">
            <v>0</v>
          </cell>
          <cell r="CT10">
            <v>0</v>
          </cell>
          <cell r="CU10">
            <v>0</v>
          </cell>
          <cell r="CV10">
            <v>0</v>
          </cell>
          <cell r="CW10">
            <v>0</v>
          </cell>
          <cell r="CX10">
            <v>1</v>
          </cell>
          <cell r="CY10">
            <v>0</v>
          </cell>
          <cell r="CZ10">
            <v>2</v>
          </cell>
          <cell r="DA10">
            <v>0</v>
          </cell>
          <cell r="DB10">
            <v>0</v>
          </cell>
          <cell r="DC10">
            <v>0</v>
          </cell>
          <cell r="DD10">
            <v>1</v>
          </cell>
          <cell r="DE10">
            <v>0</v>
          </cell>
          <cell r="DH10">
            <v>0</v>
          </cell>
          <cell r="DI10">
            <v>1</v>
          </cell>
          <cell r="DJ10">
            <v>2</v>
          </cell>
          <cell r="DK10">
            <v>0</v>
          </cell>
          <cell r="DL10">
            <v>0</v>
          </cell>
          <cell r="DM10">
            <v>0</v>
          </cell>
          <cell r="DN10">
            <v>0</v>
          </cell>
          <cell r="DO10">
            <v>0</v>
          </cell>
          <cell r="DP10">
            <v>1</v>
          </cell>
          <cell r="DQ10">
            <v>0</v>
          </cell>
          <cell r="DR10">
            <v>0</v>
          </cell>
          <cell r="DS10">
            <v>0</v>
          </cell>
          <cell r="DT10">
            <v>1</v>
          </cell>
          <cell r="DU10">
            <v>0</v>
          </cell>
          <cell r="DV10">
            <v>0</v>
          </cell>
          <cell r="DW10">
            <v>0</v>
          </cell>
          <cell r="DX10">
            <v>0</v>
          </cell>
          <cell r="DY10">
            <v>1</v>
          </cell>
          <cell r="DZ10">
            <v>1</v>
          </cell>
          <cell r="EA10">
            <v>1</v>
          </cell>
          <cell r="EB10">
            <v>0</v>
          </cell>
          <cell r="EC10">
            <v>0</v>
          </cell>
        </row>
        <row r="11">
          <cell r="CI11">
            <v>5</v>
          </cell>
          <cell r="CJ11">
            <v>1</v>
          </cell>
          <cell r="CK11">
            <v>6</v>
          </cell>
          <cell r="CL11">
            <v>4</v>
          </cell>
          <cell r="CM11">
            <v>3</v>
          </cell>
          <cell r="CN11">
            <v>6</v>
          </cell>
          <cell r="CO11">
            <v>4</v>
          </cell>
          <cell r="CP11">
            <v>2</v>
          </cell>
          <cell r="CQ11">
            <v>2</v>
          </cell>
          <cell r="CR11">
            <v>1</v>
          </cell>
          <cell r="CS11">
            <v>8</v>
          </cell>
          <cell r="CT11">
            <v>2</v>
          </cell>
          <cell r="CU11">
            <v>3</v>
          </cell>
          <cell r="CV11">
            <v>2</v>
          </cell>
          <cell r="CW11">
            <v>7</v>
          </cell>
          <cell r="CX11">
            <v>4</v>
          </cell>
          <cell r="CY11">
            <v>3</v>
          </cell>
          <cell r="CZ11">
            <v>1</v>
          </cell>
          <cell r="DA11">
            <v>6</v>
          </cell>
          <cell r="DB11">
            <v>8</v>
          </cell>
          <cell r="DC11">
            <v>2</v>
          </cell>
          <cell r="DD11">
            <v>3</v>
          </cell>
          <cell r="DE11">
            <v>10</v>
          </cell>
          <cell r="DH11">
            <v>2</v>
          </cell>
          <cell r="DI11">
            <v>1</v>
          </cell>
          <cell r="DJ11">
            <v>8</v>
          </cell>
          <cell r="DK11">
            <v>5</v>
          </cell>
          <cell r="DL11">
            <v>2</v>
          </cell>
          <cell r="DM11">
            <v>4</v>
          </cell>
          <cell r="DN11">
            <v>1</v>
          </cell>
          <cell r="DO11">
            <v>1</v>
          </cell>
          <cell r="DP11">
            <v>3</v>
          </cell>
          <cell r="DQ11">
            <v>3</v>
          </cell>
          <cell r="DR11">
            <v>2</v>
          </cell>
          <cell r="DS11">
            <v>1</v>
          </cell>
          <cell r="DT11">
            <v>1</v>
          </cell>
          <cell r="DU11">
            <v>4</v>
          </cell>
          <cell r="DV11">
            <v>4</v>
          </cell>
          <cell r="DW11">
            <v>5</v>
          </cell>
          <cell r="DX11">
            <v>4</v>
          </cell>
          <cell r="DY11">
            <v>13</v>
          </cell>
          <cell r="DZ11">
            <v>2</v>
          </cell>
          <cell r="EA11">
            <v>4</v>
          </cell>
          <cell r="EB11">
            <v>0</v>
          </cell>
          <cell r="EC11">
            <v>3</v>
          </cell>
        </row>
        <row r="12">
          <cell r="CI12">
            <v>0</v>
          </cell>
          <cell r="CJ12">
            <v>0</v>
          </cell>
          <cell r="CK12">
            <v>3</v>
          </cell>
          <cell r="CL12">
            <v>4</v>
          </cell>
          <cell r="CM12">
            <v>1</v>
          </cell>
          <cell r="CN12">
            <v>1</v>
          </cell>
          <cell r="CO12">
            <v>2</v>
          </cell>
          <cell r="CP12">
            <v>1</v>
          </cell>
          <cell r="CQ12">
            <v>2</v>
          </cell>
          <cell r="CR12">
            <v>2</v>
          </cell>
          <cell r="CS12">
            <v>1</v>
          </cell>
          <cell r="CT12">
            <v>1</v>
          </cell>
          <cell r="CU12">
            <v>1</v>
          </cell>
          <cell r="CV12">
            <v>2</v>
          </cell>
          <cell r="CW12">
            <v>1</v>
          </cell>
          <cell r="CX12">
            <v>3</v>
          </cell>
          <cell r="CY12">
            <v>2</v>
          </cell>
          <cell r="CZ12">
            <v>3</v>
          </cell>
          <cell r="DA12">
            <v>1</v>
          </cell>
          <cell r="DB12">
            <v>3</v>
          </cell>
          <cell r="DC12">
            <v>0</v>
          </cell>
          <cell r="DD12">
            <v>2</v>
          </cell>
          <cell r="DE12">
            <v>1</v>
          </cell>
          <cell r="DF12">
            <v>0</v>
          </cell>
          <cell r="DG12">
            <v>4</v>
          </cell>
          <cell r="DH12">
            <v>2</v>
          </cell>
          <cell r="DI12">
            <v>3</v>
          </cell>
          <cell r="DJ12">
            <v>5</v>
          </cell>
          <cell r="DK12">
            <v>2</v>
          </cell>
          <cell r="DL12">
            <v>1</v>
          </cell>
          <cell r="DM12">
            <v>4</v>
          </cell>
          <cell r="DN12">
            <v>3</v>
          </cell>
          <cell r="DO12">
            <v>2</v>
          </cell>
          <cell r="DP12">
            <v>3</v>
          </cell>
          <cell r="DQ12">
            <v>2</v>
          </cell>
          <cell r="DR12">
            <v>2</v>
          </cell>
          <cell r="DS12">
            <v>1</v>
          </cell>
          <cell r="DT12">
            <v>1</v>
          </cell>
          <cell r="DU12">
            <v>4</v>
          </cell>
          <cell r="DV12">
            <v>1</v>
          </cell>
          <cell r="DW12">
            <v>4</v>
          </cell>
          <cell r="DX12">
            <v>4</v>
          </cell>
          <cell r="DY12">
            <v>3</v>
          </cell>
          <cell r="DZ12">
            <v>2</v>
          </cell>
          <cell r="EA12">
            <v>2</v>
          </cell>
          <cell r="EB12">
            <v>1</v>
          </cell>
          <cell r="EC12">
            <v>3</v>
          </cell>
        </row>
        <row r="13">
          <cell r="CI13">
            <v>17</v>
          </cell>
          <cell r="CJ13">
            <v>7</v>
          </cell>
          <cell r="CK13">
            <v>25</v>
          </cell>
          <cell r="CL13">
            <v>29</v>
          </cell>
          <cell r="CM13">
            <v>26</v>
          </cell>
          <cell r="CN13">
            <v>18</v>
          </cell>
          <cell r="CO13">
            <v>24</v>
          </cell>
          <cell r="CP13">
            <v>19</v>
          </cell>
          <cell r="CQ13">
            <v>19</v>
          </cell>
          <cell r="CR13">
            <v>19</v>
          </cell>
          <cell r="CS13">
            <v>16</v>
          </cell>
          <cell r="CT13">
            <v>17</v>
          </cell>
          <cell r="CU13">
            <v>17</v>
          </cell>
          <cell r="CV13">
            <v>20</v>
          </cell>
          <cell r="CW13">
            <v>24</v>
          </cell>
          <cell r="CX13">
            <v>18</v>
          </cell>
          <cell r="CY13">
            <v>24</v>
          </cell>
          <cell r="CZ13">
            <v>10</v>
          </cell>
          <cell r="DA13">
            <v>23</v>
          </cell>
          <cell r="DB13">
            <v>30</v>
          </cell>
          <cell r="DC13">
            <v>21</v>
          </cell>
          <cell r="DD13">
            <v>27</v>
          </cell>
          <cell r="DE13">
            <v>27</v>
          </cell>
          <cell r="DF13">
            <v>12</v>
          </cell>
          <cell r="DG13">
            <v>17</v>
          </cell>
          <cell r="DH13">
            <v>26</v>
          </cell>
          <cell r="DI13">
            <v>23</v>
          </cell>
          <cell r="DJ13">
            <v>28</v>
          </cell>
          <cell r="DK13">
            <v>19</v>
          </cell>
          <cell r="DL13">
            <v>23</v>
          </cell>
          <cell r="DM13">
            <v>21</v>
          </cell>
          <cell r="DN13">
            <v>17</v>
          </cell>
          <cell r="DO13">
            <v>20</v>
          </cell>
          <cell r="DP13">
            <v>18</v>
          </cell>
          <cell r="DQ13">
            <v>25</v>
          </cell>
          <cell r="DR13">
            <v>19</v>
          </cell>
          <cell r="DS13">
            <v>25</v>
          </cell>
          <cell r="DT13">
            <v>26</v>
          </cell>
          <cell r="DU13">
            <v>25</v>
          </cell>
          <cell r="DV13">
            <v>20</v>
          </cell>
          <cell r="DW13">
            <v>39</v>
          </cell>
          <cell r="DX13">
            <v>25</v>
          </cell>
          <cell r="DY13">
            <v>31</v>
          </cell>
          <cell r="DZ13">
            <v>22</v>
          </cell>
          <cell r="EA13">
            <v>22</v>
          </cell>
          <cell r="EB13">
            <v>15</v>
          </cell>
          <cell r="EC13">
            <v>17</v>
          </cell>
        </row>
        <row r="17">
          <cell r="CI17">
            <v>3</v>
          </cell>
          <cell r="CJ17">
            <v>2</v>
          </cell>
          <cell r="CK17">
            <v>7</v>
          </cell>
          <cell r="CL17">
            <v>3</v>
          </cell>
          <cell r="CM17">
            <v>2</v>
          </cell>
          <cell r="CN17">
            <v>2</v>
          </cell>
          <cell r="CO17">
            <v>7</v>
          </cell>
          <cell r="CP17">
            <v>4</v>
          </cell>
          <cell r="CQ17">
            <v>3</v>
          </cell>
          <cell r="CR17">
            <v>3</v>
          </cell>
          <cell r="CS17">
            <v>0</v>
          </cell>
          <cell r="CT17">
            <v>5</v>
          </cell>
          <cell r="CU17">
            <v>0</v>
          </cell>
          <cell r="CV17">
            <v>3</v>
          </cell>
          <cell r="CW17">
            <v>2</v>
          </cell>
          <cell r="CX17">
            <v>3</v>
          </cell>
          <cell r="CY17">
            <v>6</v>
          </cell>
          <cell r="CZ17">
            <v>2</v>
          </cell>
          <cell r="DA17">
            <v>0</v>
          </cell>
          <cell r="DB17">
            <v>7</v>
          </cell>
          <cell r="DC17">
            <v>2</v>
          </cell>
          <cell r="DD17">
            <v>2</v>
          </cell>
          <cell r="DE17">
            <v>2</v>
          </cell>
          <cell r="DF17">
            <v>3</v>
          </cell>
          <cell r="DG17">
            <v>2</v>
          </cell>
          <cell r="DH17">
            <v>7</v>
          </cell>
          <cell r="DI17">
            <v>2</v>
          </cell>
          <cell r="DJ17">
            <v>0</v>
          </cell>
          <cell r="DK17">
            <v>4</v>
          </cell>
          <cell r="DL17">
            <v>8</v>
          </cell>
          <cell r="DM17">
            <v>3</v>
          </cell>
          <cell r="DN17">
            <v>3</v>
          </cell>
          <cell r="DO17">
            <v>3</v>
          </cell>
          <cell r="DP17">
            <v>1</v>
          </cell>
          <cell r="DQ17">
            <v>10</v>
          </cell>
          <cell r="DR17">
            <v>6</v>
          </cell>
          <cell r="DS17">
            <v>5</v>
          </cell>
          <cell r="DT17">
            <v>6</v>
          </cell>
          <cell r="DU17">
            <v>7</v>
          </cell>
          <cell r="DV17">
            <v>7</v>
          </cell>
          <cell r="DW17">
            <v>4</v>
          </cell>
          <cell r="DX17">
            <v>2</v>
          </cell>
          <cell r="DY17">
            <v>1</v>
          </cell>
          <cell r="DZ17">
            <v>4</v>
          </cell>
          <cell r="EA17">
            <v>2</v>
          </cell>
          <cell r="EB17">
            <v>2</v>
          </cell>
          <cell r="EC17">
            <v>5</v>
          </cell>
        </row>
        <row r="18">
          <cell r="CI18">
            <v>3</v>
          </cell>
          <cell r="CJ18">
            <v>2</v>
          </cell>
          <cell r="CK18">
            <v>1</v>
          </cell>
          <cell r="CL18">
            <v>5</v>
          </cell>
          <cell r="CM18">
            <v>9</v>
          </cell>
          <cell r="CN18">
            <v>0</v>
          </cell>
          <cell r="CO18">
            <v>2</v>
          </cell>
          <cell r="CP18">
            <v>2</v>
          </cell>
          <cell r="CQ18">
            <v>6</v>
          </cell>
          <cell r="CR18">
            <v>4</v>
          </cell>
          <cell r="CS18">
            <v>3</v>
          </cell>
          <cell r="CT18">
            <v>3</v>
          </cell>
          <cell r="CU18">
            <v>5</v>
          </cell>
          <cell r="CV18">
            <v>3</v>
          </cell>
          <cell r="CW18">
            <v>7</v>
          </cell>
          <cell r="CX18">
            <v>7</v>
          </cell>
          <cell r="CY18">
            <v>8</v>
          </cell>
          <cell r="CZ18">
            <v>1</v>
          </cell>
          <cell r="DA18">
            <v>10</v>
          </cell>
          <cell r="DB18">
            <v>4</v>
          </cell>
          <cell r="DC18">
            <v>7</v>
          </cell>
          <cell r="DD18">
            <v>7</v>
          </cell>
          <cell r="DE18">
            <v>6</v>
          </cell>
          <cell r="DF18">
            <v>5</v>
          </cell>
          <cell r="DG18">
            <v>7</v>
          </cell>
          <cell r="DH18">
            <v>9</v>
          </cell>
          <cell r="DI18">
            <v>8</v>
          </cell>
          <cell r="DJ18">
            <v>9</v>
          </cell>
          <cell r="DK18">
            <v>2</v>
          </cell>
          <cell r="DL18">
            <v>4</v>
          </cell>
          <cell r="DM18">
            <v>3</v>
          </cell>
          <cell r="DN18">
            <v>5</v>
          </cell>
          <cell r="DO18">
            <v>4</v>
          </cell>
          <cell r="DP18">
            <v>4</v>
          </cell>
          <cell r="DQ18">
            <v>5</v>
          </cell>
          <cell r="DR18">
            <v>5</v>
          </cell>
          <cell r="DS18">
            <v>6</v>
          </cell>
          <cell r="DT18">
            <v>5</v>
          </cell>
          <cell r="DU18">
            <v>6</v>
          </cell>
          <cell r="DV18">
            <v>1</v>
          </cell>
          <cell r="DW18">
            <v>11</v>
          </cell>
          <cell r="DX18">
            <v>9</v>
          </cell>
          <cell r="DY18">
            <v>4</v>
          </cell>
          <cell r="DZ18">
            <v>4</v>
          </cell>
          <cell r="EA18">
            <v>3</v>
          </cell>
          <cell r="EB18">
            <v>4</v>
          </cell>
          <cell r="EC18">
            <v>4</v>
          </cell>
        </row>
        <row r="19">
          <cell r="CI19">
            <v>4</v>
          </cell>
          <cell r="CJ19">
            <v>1</v>
          </cell>
          <cell r="CK19">
            <v>8</v>
          </cell>
          <cell r="CL19">
            <v>12</v>
          </cell>
          <cell r="CM19">
            <v>8</v>
          </cell>
          <cell r="CN19">
            <v>7</v>
          </cell>
          <cell r="CO19">
            <v>3</v>
          </cell>
          <cell r="CP19">
            <v>4</v>
          </cell>
          <cell r="CQ19">
            <v>6</v>
          </cell>
          <cell r="CR19">
            <v>8</v>
          </cell>
          <cell r="CS19">
            <v>3</v>
          </cell>
          <cell r="CT19">
            <v>5</v>
          </cell>
          <cell r="CU19">
            <v>4</v>
          </cell>
          <cell r="CV19">
            <v>6</v>
          </cell>
          <cell r="CW19">
            <v>6</v>
          </cell>
          <cell r="CX19">
            <v>4</v>
          </cell>
          <cell r="CY19">
            <v>1</v>
          </cell>
          <cell r="CZ19">
            <v>5</v>
          </cell>
          <cell r="DA19">
            <v>6</v>
          </cell>
          <cell r="DB19">
            <v>9</v>
          </cell>
          <cell r="DC19">
            <v>9</v>
          </cell>
          <cell r="DD19">
            <v>8</v>
          </cell>
          <cell r="DE19">
            <v>3</v>
          </cell>
          <cell r="DF19">
            <v>0</v>
          </cell>
          <cell r="DG19">
            <v>10</v>
          </cell>
          <cell r="DH19">
            <v>8</v>
          </cell>
          <cell r="DI19">
            <v>7</v>
          </cell>
          <cell r="DJ19">
            <v>7</v>
          </cell>
          <cell r="DK19">
            <v>5</v>
          </cell>
          <cell r="DL19">
            <v>4</v>
          </cell>
          <cell r="DM19">
            <v>9</v>
          </cell>
          <cell r="DN19">
            <v>5</v>
          </cell>
          <cell r="DO19">
            <v>10</v>
          </cell>
          <cell r="DP19">
            <v>6</v>
          </cell>
          <cell r="DQ19">
            <v>3</v>
          </cell>
          <cell r="DR19">
            <v>4</v>
          </cell>
          <cell r="DS19">
            <v>9</v>
          </cell>
          <cell r="DT19">
            <v>11</v>
          </cell>
          <cell r="DU19">
            <v>6</v>
          </cell>
          <cell r="DV19">
            <v>7</v>
          </cell>
          <cell r="DW19">
            <v>12</v>
          </cell>
          <cell r="DX19">
            <v>8</v>
          </cell>
          <cell r="DY19">
            <v>8</v>
          </cell>
          <cell r="DZ19">
            <v>9</v>
          </cell>
          <cell r="EA19">
            <v>7</v>
          </cell>
          <cell r="EB19">
            <v>7</v>
          </cell>
          <cell r="EC19">
            <v>6</v>
          </cell>
        </row>
        <row r="20">
          <cell r="CI20">
            <v>2</v>
          </cell>
          <cell r="CJ20">
            <v>1</v>
          </cell>
          <cell r="CK20">
            <v>6</v>
          </cell>
          <cell r="CL20">
            <v>8</v>
          </cell>
          <cell r="CM20">
            <v>5</v>
          </cell>
          <cell r="CN20">
            <v>4</v>
          </cell>
          <cell r="CO20">
            <v>10</v>
          </cell>
          <cell r="CP20">
            <v>8</v>
          </cell>
          <cell r="CQ20">
            <v>3</v>
          </cell>
          <cell r="CR20">
            <v>5</v>
          </cell>
          <cell r="CS20">
            <v>3</v>
          </cell>
          <cell r="CT20">
            <v>3</v>
          </cell>
          <cell r="CU20">
            <v>6</v>
          </cell>
          <cell r="CV20">
            <v>8</v>
          </cell>
          <cell r="CW20">
            <v>3</v>
          </cell>
          <cell r="CX20">
            <v>2</v>
          </cell>
          <cell r="CY20">
            <v>8</v>
          </cell>
          <cell r="CZ20">
            <v>2</v>
          </cell>
          <cell r="DA20">
            <v>2</v>
          </cell>
          <cell r="DB20">
            <v>5</v>
          </cell>
          <cell r="DC20">
            <v>1</v>
          </cell>
          <cell r="DD20">
            <v>8</v>
          </cell>
          <cell r="DE20">
            <v>7</v>
          </cell>
          <cell r="DF20">
            <v>4</v>
          </cell>
          <cell r="DG20">
            <v>2</v>
          </cell>
          <cell r="DH20">
            <v>2</v>
          </cell>
          <cell r="DI20">
            <v>7</v>
          </cell>
          <cell r="DJ20">
            <v>7</v>
          </cell>
          <cell r="DK20">
            <v>5</v>
          </cell>
          <cell r="DL20">
            <v>6</v>
          </cell>
          <cell r="DM20">
            <v>6</v>
          </cell>
          <cell r="DN20">
            <v>6</v>
          </cell>
          <cell r="DO20">
            <v>4</v>
          </cell>
          <cell r="DP20">
            <v>6</v>
          </cell>
          <cell r="DQ20">
            <v>6</v>
          </cell>
          <cell r="DR20">
            <v>4</v>
          </cell>
          <cell r="DS20">
            <v>5</v>
          </cell>
          <cell r="DT20">
            <v>3</v>
          </cell>
          <cell r="DU20">
            <v>6</v>
          </cell>
          <cell r="DV20">
            <v>2</v>
          </cell>
          <cell r="DW20">
            <v>11</v>
          </cell>
          <cell r="DX20">
            <v>6</v>
          </cell>
          <cell r="DY20">
            <v>7</v>
          </cell>
          <cell r="DZ20">
            <v>4</v>
          </cell>
          <cell r="EA20">
            <v>7</v>
          </cell>
          <cell r="EB20">
            <v>3</v>
          </cell>
          <cell r="EC20">
            <v>2</v>
          </cell>
        </row>
        <row r="21">
          <cell r="CI21">
            <v>5</v>
          </cell>
          <cell r="CJ21">
            <v>1</v>
          </cell>
          <cell r="CK21">
            <v>6</v>
          </cell>
          <cell r="CL21">
            <v>5</v>
          </cell>
          <cell r="CM21">
            <v>3</v>
          </cell>
          <cell r="CN21">
            <v>6</v>
          </cell>
          <cell r="CO21">
            <v>4</v>
          </cell>
          <cell r="CP21">
            <v>2</v>
          </cell>
          <cell r="CQ21">
            <v>3</v>
          </cell>
          <cell r="CR21">
            <v>1</v>
          </cell>
          <cell r="CS21">
            <v>8</v>
          </cell>
          <cell r="CT21">
            <v>2</v>
          </cell>
          <cell r="CU21">
            <v>3</v>
          </cell>
          <cell r="CV21">
            <v>2</v>
          </cell>
          <cell r="CW21">
            <v>7</v>
          </cell>
          <cell r="CX21">
            <v>5</v>
          </cell>
          <cell r="CY21">
            <v>3</v>
          </cell>
          <cell r="CZ21">
            <v>3</v>
          </cell>
          <cell r="DA21">
            <v>6</v>
          </cell>
          <cell r="DB21">
            <v>8</v>
          </cell>
          <cell r="DC21">
            <v>2</v>
          </cell>
          <cell r="DD21">
            <v>4</v>
          </cell>
          <cell r="DE21">
            <v>10</v>
          </cell>
          <cell r="DF21">
            <v>0</v>
          </cell>
          <cell r="DG21">
            <v>0</v>
          </cell>
          <cell r="DH21">
            <v>2</v>
          </cell>
          <cell r="DI21">
            <v>2</v>
          </cell>
          <cell r="DJ21">
            <v>10</v>
          </cell>
          <cell r="DK21">
            <v>5</v>
          </cell>
          <cell r="DL21">
            <v>2</v>
          </cell>
          <cell r="DM21">
            <v>4</v>
          </cell>
          <cell r="DN21">
            <v>1</v>
          </cell>
          <cell r="DO21">
            <v>1</v>
          </cell>
          <cell r="DP21">
            <v>4</v>
          </cell>
          <cell r="DQ21">
            <v>3</v>
          </cell>
          <cell r="DR21">
            <v>2</v>
          </cell>
          <cell r="DS21">
            <v>1</v>
          </cell>
          <cell r="DT21">
            <v>2</v>
          </cell>
          <cell r="DU21">
            <v>4</v>
          </cell>
          <cell r="DV21">
            <v>4</v>
          </cell>
          <cell r="DW21">
            <v>5</v>
          </cell>
          <cell r="DX21">
            <v>4</v>
          </cell>
          <cell r="DY21">
            <v>14</v>
          </cell>
          <cell r="DZ21">
            <v>3</v>
          </cell>
          <cell r="EA21">
            <v>5</v>
          </cell>
          <cell r="EB21">
            <v>0</v>
          </cell>
          <cell r="EC21">
            <v>3</v>
          </cell>
        </row>
        <row r="22">
          <cell r="CI22">
            <v>17</v>
          </cell>
          <cell r="CJ22">
            <v>7</v>
          </cell>
          <cell r="CK22">
            <v>28</v>
          </cell>
          <cell r="CL22">
            <v>33</v>
          </cell>
          <cell r="CM22">
            <v>27</v>
          </cell>
          <cell r="CN22">
            <v>19</v>
          </cell>
          <cell r="CO22">
            <v>26</v>
          </cell>
          <cell r="CP22">
            <v>20</v>
          </cell>
          <cell r="CQ22">
            <v>21</v>
          </cell>
          <cell r="CR22">
            <v>21</v>
          </cell>
          <cell r="CS22">
            <v>17</v>
          </cell>
          <cell r="CT22">
            <v>18</v>
          </cell>
          <cell r="CU22">
            <v>18</v>
          </cell>
          <cell r="CV22">
            <v>22</v>
          </cell>
          <cell r="CW22">
            <v>25</v>
          </cell>
          <cell r="CX22">
            <v>21</v>
          </cell>
          <cell r="CY22">
            <v>26</v>
          </cell>
          <cell r="CZ22">
            <v>13</v>
          </cell>
          <cell r="DA22">
            <v>24</v>
          </cell>
          <cell r="DB22">
            <v>33</v>
          </cell>
          <cell r="DC22">
            <v>21</v>
          </cell>
          <cell r="DD22">
            <v>29</v>
          </cell>
          <cell r="DE22">
            <v>28</v>
          </cell>
          <cell r="DF22">
            <v>12</v>
          </cell>
          <cell r="DG22">
            <v>21</v>
          </cell>
          <cell r="DH22">
            <v>28</v>
          </cell>
          <cell r="DI22">
            <v>26</v>
          </cell>
          <cell r="DJ22">
            <v>33</v>
          </cell>
          <cell r="DK22">
            <v>21</v>
          </cell>
          <cell r="DL22">
            <v>24</v>
          </cell>
          <cell r="DM22">
            <v>25</v>
          </cell>
          <cell r="DN22">
            <v>20</v>
          </cell>
          <cell r="DO22">
            <v>22</v>
          </cell>
          <cell r="DP22">
            <v>21</v>
          </cell>
          <cell r="DQ22">
            <v>27</v>
          </cell>
          <cell r="DR22">
            <v>21</v>
          </cell>
          <cell r="DS22">
            <v>26</v>
          </cell>
          <cell r="DT22">
            <v>27</v>
          </cell>
          <cell r="DU22">
            <v>29</v>
          </cell>
          <cell r="DV22">
            <v>21</v>
          </cell>
          <cell r="DW22">
            <v>43</v>
          </cell>
          <cell r="DX22">
            <v>29</v>
          </cell>
          <cell r="DY22">
            <v>34</v>
          </cell>
          <cell r="DZ22">
            <v>24</v>
          </cell>
          <cell r="EA22">
            <v>24</v>
          </cell>
          <cell r="EB22">
            <v>16</v>
          </cell>
          <cell r="EC22">
            <v>20</v>
          </cell>
        </row>
      </sheetData>
      <sheetData sheetId="30">
        <row r="2">
          <cell r="DI2">
            <v>2</v>
          </cell>
          <cell r="DJ2">
            <v>1</v>
          </cell>
          <cell r="DK2">
            <v>1</v>
          </cell>
          <cell r="DL2">
            <v>0</v>
          </cell>
          <cell r="DM2">
            <v>0</v>
          </cell>
          <cell r="DN2">
            <v>0</v>
          </cell>
          <cell r="DO2">
            <v>0</v>
          </cell>
          <cell r="DP2">
            <v>0</v>
          </cell>
          <cell r="DQ2">
            <v>0</v>
          </cell>
          <cell r="DR2">
            <v>0</v>
          </cell>
          <cell r="DS2">
            <v>0</v>
          </cell>
          <cell r="DT2">
            <v>0</v>
          </cell>
          <cell r="DU2">
            <v>0</v>
          </cell>
          <cell r="DV2">
            <v>1</v>
          </cell>
          <cell r="DW2">
            <v>0</v>
          </cell>
          <cell r="DX2">
            <v>2</v>
          </cell>
          <cell r="DY2">
            <v>3</v>
          </cell>
          <cell r="DZ2">
            <v>1</v>
          </cell>
          <cell r="EA2">
            <v>1</v>
          </cell>
          <cell r="EB2">
            <v>0</v>
          </cell>
          <cell r="EC2">
            <v>0</v>
          </cell>
          <cell r="ED2">
            <v>0</v>
          </cell>
          <cell r="EE2">
            <v>0</v>
          </cell>
          <cell r="EF2">
            <v>0</v>
          </cell>
          <cell r="EG2">
            <v>2</v>
          </cell>
          <cell r="EH2">
            <v>0</v>
          </cell>
          <cell r="EI2">
            <v>0</v>
          </cell>
          <cell r="EJ2">
            <v>0</v>
          </cell>
          <cell r="EK2">
            <v>1</v>
          </cell>
          <cell r="EL2">
            <v>1</v>
          </cell>
          <cell r="EM2">
            <v>0</v>
          </cell>
          <cell r="EN2">
            <v>0</v>
          </cell>
          <cell r="EO2">
            <v>1</v>
          </cell>
          <cell r="EP2">
            <v>1</v>
          </cell>
          <cell r="EQ2">
            <v>0</v>
          </cell>
          <cell r="ER2">
            <v>0</v>
          </cell>
          <cell r="ES2">
            <v>0</v>
          </cell>
          <cell r="ET2">
            <v>1</v>
          </cell>
          <cell r="EU2">
            <v>4</v>
          </cell>
          <cell r="EV2">
            <v>1</v>
          </cell>
          <cell r="EW2">
            <v>1</v>
          </cell>
          <cell r="EX2">
            <v>0</v>
          </cell>
          <cell r="EY2">
            <v>1</v>
          </cell>
          <cell r="EZ2">
            <v>0</v>
          </cell>
          <cell r="FA2">
            <v>2</v>
          </cell>
          <cell r="FB2">
            <v>2</v>
          </cell>
          <cell r="FC2">
            <v>2</v>
          </cell>
          <cell r="FD2">
            <v>1</v>
          </cell>
        </row>
        <row r="3">
          <cell r="DI3">
            <v>2</v>
          </cell>
          <cell r="DJ3">
            <v>1</v>
          </cell>
          <cell r="DK3">
            <v>1</v>
          </cell>
          <cell r="DL3">
            <v>0</v>
          </cell>
          <cell r="DM3">
            <v>2</v>
          </cell>
          <cell r="DN3">
            <v>0</v>
          </cell>
          <cell r="DO3">
            <v>0</v>
          </cell>
          <cell r="DP3">
            <v>1</v>
          </cell>
          <cell r="DQ3">
            <v>0</v>
          </cell>
          <cell r="DR3">
            <v>1</v>
          </cell>
          <cell r="DS3">
            <v>3</v>
          </cell>
          <cell r="DT3">
            <v>2</v>
          </cell>
          <cell r="DU3">
            <v>8</v>
          </cell>
          <cell r="DV3">
            <v>10</v>
          </cell>
          <cell r="DW3">
            <v>5</v>
          </cell>
          <cell r="DX3">
            <v>5</v>
          </cell>
          <cell r="DY3">
            <v>13</v>
          </cell>
          <cell r="DZ3">
            <v>7</v>
          </cell>
          <cell r="EA3">
            <v>2</v>
          </cell>
          <cell r="EB3">
            <v>0</v>
          </cell>
          <cell r="EC3">
            <v>0</v>
          </cell>
          <cell r="ED3">
            <v>2</v>
          </cell>
          <cell r="EE3">
            <v>3</v>
          </cell>
          <cell r="EF3">
            <v>2</v>
          </cell>
          <cell r="EG3">
            <v>6</v>
          </cell>
          <cell r="EH3">
            <v>2</v>
          </cell>
          <cell r="EI3">
            <v>6</v>
          </cell>
          <cell r="EJ3">
            <v>0</v>
          </cell>
          <cell r="EK3">
            <v>5</v>
          </cell>
          <cell r="EL3">
            <v>1</v>
          </cell>
          <cell r="EM3">
            <v>3</v>
          </cell>
          <cell r="EN3">
            <v>1</v>
          </cell>
          <cell r="EO3">
            <v>0</v>
          </cell>
          <cell r="EP3">
            <v>1</v>
          </cell>
          <cell r="EQ3">
            <v>1</v>
          </cell>
          <cell r="ER3">
            <v>0</v>
          </cell>
          <cell r="ES3">
            <v>1</v>
          </cell>
          <cell r="ET3">
            <v>3</v>
          </cell>
          <cell r="EU3">
            <v>8</v>
          </cell>
          <cell r="EV3">
            <v>2</v>
          </cell>
          <cell r="EW3">
            <v>6</v>
          </cell>
          <cell r="EX3">
            <v>2</v>
          </cell>
          <cell r="EY3">
            <v>3</v>
          </cell>
          <cell r="EZ3">
            <v>1</v>
          </cell>
          <cell r="FA3">
            <v>1</v>
          </cell>
          <cell r="FB3">
            <v>2</v>
          </cell>
          <cell r="FC3">
            <v>3</v>
          </cell>
          <cell r="FD3">
            <v>3</v>
          </cell>
        </row>
        <row r="4">
          <cell r="DI4">
            <v>19</v>
          </cell>
          <cell r="DJ4">
            <v>10</v>
          </cell>
          <cell r="DK4">
            <v>8</v>
          </cell>
          <cell r="DL4">
            <v>7</v>
          </cell>
          <cell r="DM4">
            <v>5</v>
          </cell>
          <cell r="DN4">
            <v>6</v>
          </cell>
          <cell r="DO4">
            <v>6</v>
          </cell>
          <cell r="DP4">
            <v>14</v>
          </cell>
          <cell r="DQ4">
            <v>3</v>
          </cell>
          <cell r="DR4">
            <v>1</v>
          </cell>
          <cell r="DS4">
            <v>5</v>
          </cell>
          <cell r="DT4">
            <v>18</v>
          </cell>
          <cell r="DU4">
            <v>20</v>
          </cell>
          <cell r="DV4">
            <v>8</v>
          </cell>
          <cell r="DW4">
            <v>21</v>
          </cell>
          <cell r="DX4">
            <v>25</v>
          </cell>
          <cell r="DY4">
            <v>31</v>
          </cell>
          <cell r="DZ4">
            <v>17</v>
          </cell>
          <cell r="EA4">
            <v>8</v>
          </cell>
          <cell r="EB4">
            <v>6</v>
          </cell>
          <cell r="EC4">
            <v>6</v>
          </cell>
          <cell r="ED4">
            <v>7</v>
          </cell>
          <cell r="EE4">
            <v>12</v>
          </cell>
          <cell r="EF4">
            <v>6</v>
          </cell>
          <cell r="EG4">
            <v>9</v>
          </cell>
          <cell r="EH4">
            <v>14</v>
          </cell>
          <cell r="EI4">
            <v>16</v>
          </cell>
          <cell r="EJ4">
            <v>12</v>
          </cell>
          <cell r="EK4">
            <v>5</v>
          </cell>
          <cell r="EL4">
            <v>5</v>
          </cell>
          <cell r="EM4">
            <v>14</v>
          </cell>
          <cell r="EN4">
            <v>5</v>
          </cell>
          <cell r="EO4">
            <v>1</v>
          </cell>
          <cell r="EP4">
            <v>6</v>
          </cell>
          <cell r="EQ4">
            <v>5</v>
          </cell>
          <cell r="ER4">
            <v>12</v>
          </cell>
          <cell r="ES4">
            <v>8</v>
          </cell>
          <cell r="ET4">
            <v>4</v>
          </cell>
          <cell r="EU4">
            <v>5</v>
          </cell>
          <cell r="EV4">
            <v>15</v>
          </cell>
          <cell r="EW4">
            <v>14</v>
          </cell>
          <cell r="EX4">
            <v>9</v>
          </cell>
          <cell r="EY4">
            <v>7</v>
          </cell>
          <cell r="EZ4">
            <v>3</v>
          </cell>
          <cell r="FA4">
            <v>1</v>
          </cell>
          <cell r="FB4">
            <v>3</v>
          </cell>
          <cell r="FC4">
            <v>4</v>
          </cell>
          <cell r="FD4">
            <v>4</v>
          </cell>
        </row>
        <row r="5">
          <cell r="DI5">
            <v>7</v>
          </cell>
          <cell r="DJ5">
            <v>2</v>
          </cell>
          <cell r="DK5">
            <v>4</v>
          </cell>
          <cell r="DL5">
            <v>1</v>
          </cell>
          <cell r="DM5">
            <v>0</v>
          </cell>
          <cell r="DN5">
            <v>0</v>
          </cell>
          <cell r="DO5">
            <v>1</v>
          </cell>
          <cell r="DP5">
            <v>2</v>
          </cell>
          <cell r="DQ5">
            <v>1</v>
          </cell>
          <cell r="DR5">
            <v>2</v>
          </cell>
          <cell r="DS5">
            <v>2</v>
          </cell>
          <cell r="DT5">
            <v>3</v>
          </cell>
          <cell r="DU5">
            <v>6</v>
          </cell>
          <cell r="DV5">
            <v>4</v>
          </cell>
          <cell r="DW5">
            <v>1</v>
          </cell>
          <cell r="DX5">
            <v>9</v>
          </cell>
          <cell r="DY5">
            <v>8</v>
          </cell>
          <cell r="DZ5">
            <v>4</v>
          </cell>
          <cell r="EA5">
            <v>0</v>
          </cell>
          <cell r="EB5">
            <v>2</v>
          </cell>
          <cell r="EC5">
            <v>0</v>
          </cell>
          <cell r="ED5">
            <v>3</v>
          </cell>
          <cell r="EE5">
            <v>0</v>
          </cell>
          <cell r="EF5">
            <v>2</v>
          </cell>
          <cell r="EG5">
            <v>5</v>
          </cell>
          <cell r="EH5">
            <v>1</v>
          </cell>
          <cell r="EI5">
            <v>3</v>
          </cell>
          <cell r="EJ5">
            <v>5</v>
          </cell>
          <cell r="EK5">
            <v>2</v>
          </cell>
          <cell r="EL5">
            <v>0</v>
          </cell>
          <cell r="EM5">
            <v>1</v>
          </cell>
          <cell r="EN5">
            <v>0</v>
          </cell>
          <cell r="EO5">
            <v>1</v>
          </cell>
          <cell r="EP5">
            <v>0</v>
          </cell>
          <cell r="EQ5">
            <v>1</v>
          </cell>
          <cell r="ER5">
            <v>3</v>
          </cell>
          <cell r="ES5">
            <v>3</v>
          </cell>
          <cell r="ET5">
            <v>3</v>
          </cell>
          <cell r="EU5">
            <v>4</v>
          </cell>
          <cell r="EV5">
            <v>2</v>
          </cell>
          <cell r="EW5">
            <v>6</v>
          </cell>
          <cell r="EX5">
            <v>1</v>
          </cell>
          <cell r="EY5">
            <v>5</v>
          </cell>
          <cell r="EZ5">
            <v>3</v>
          </cell>
          <cell r="FA5">
            <v>0</v>
          </cell>
          <cell r="FB5">
            <v>0</v>
          </cell>
          <cell r="FC5">
            <v>0</v>
          </cell>
          <cell r="FD5">
            <v>2</v>
          </cell>
        </row>
        <row r="6">
          <cell r="DI6">
            <v>6</v>
          </cell>
          <cell r="DJ6">
            <v>3</v>
          </cell>
          <cell r="DK6">
            <v>7</v>
          </cell>
          <cell r="DL6">
            <v>3</v>
          </cell>
          <cell r="DM6">
            <v>6</v>
          </cell>
          <cell r="DN6">
            <v>1</v>
          </cell>
          <cell r="DO6">
            <v>2</v>
          </cell>
          <cell r="DP6">
            <v>0</v>
          </cell>
          <cell r="DQ6">
            <v>0</v>
          </cell>
          <cell r="DR6">
            <v>1</v>
          </cell>
          <cell r="DS6">
            <v>1</v>
          </cell>
          <cell r="DT6">
            <v>3</v>
          </cell>
          <cell r="DU6">
            <v>11</v>
          </cell>
          <cell r="DV6">
            <v>4</v>
          </cell>
          <cell r="DW6">
            <v>11</v>
          </cell>
          <cell r="DX6">
            <v>14</v>
          </cell>
          <cell r="DY6">
            <v>15</v>
          </cell>
          <cell r="DZ6">
            <v>7</v>
          </cell>
          <cell r="EA6">
            <v>6</v>
          </cell>
          <cell r="EB6">
            <v>2</v>
          </cell>
          <cell r="EC6">
            <v>0</v>
          </cell>
          <cell r="ED6">
            <v>3</v>
          </cell>
          <cell r="EE6">
            <v>1</v>
          </cell>
          <cell r="EF6">
            <v>1</v>
          </cell>
          <cell r="EG6">
            <v>5</v>
          </cell>
          <cell r="EH6">
            <v>8</v>
          </cell>
          <cell r="EI6">
            <v>2</v>
          </cell>
          <cell r="EJ6">
            <v>2</v>
          </cell>
          <cell r="EK6">
            <v>3</v>
          </cell>
          <cell r="EL6">
            <v>1</v>
          </cell>
          <cell r="EM6">
            <v>0</v>
          </cell>
          <cell r="EN6">
            <v>1</v>
          </cell>
          <cell r="EO6">
            <v>5</v>
          </cell>
          <cell r="EP6">
            <v>3</v>
          </cell>
          <cell r="EQ6">
            <v>1</v>
          </cell>
          <cell r="ER6">
            <v>3</v>
          </cell>
          <cell r="ES6">
            <v>3</v>
          </cell>
          <cell r="ET6">
            <v>1</v>
          </cell>
          <cell r="EU6">
            <v>2</v>
          </cell>
          <cell r="EV6">
            <v>2</v>
          </cell>
          <cell r="EW6">
            <v>7</v>
          </cell>
          <cell r="EX6">
            <v>1</v>
          </cell>
          <cell r="EY6">
            <v>3</v>
          </cell>
          <cell r="EZ6">
            <v>1</v>
          </cell>
          <cell r="FA6">
            <v>0</v>
          </cell>
          <cell r="FB6">
            <v>3</v>
          </cell>
          <cell r="FC6">
            <v>4</v>
          </cell>
          <cell r="FD6">
            <v>4</v>
          </cell>
        </row>
        <row r="7">
          <cell r="DI7">
            <v>0</v>
          </cell>
          <cell r="DJ7">
            <v>2</v>
          </cell>
          <cell r="DK7">
            <v>0</v>
          </cell>
          <cell r="DL7">
            <v>0</v>
          </cell>
          <cell r="DM7">
            <v>0</v>
          </cell>
          <cell r="DN7">
            <v>1</v>
          </cell>
          <cell r="DO7">
            <v>0</v>
          </cell>
          <cell r="DP7">
            <v>0</v>
          </cell>
          <cell r="DQ7">
            <v>0</v>
          </cell>
          <cell r="DR7">
            <v>0</v>
          </cell>
          <cell r="DS7">
            <v>2</v>
          </cell>
          <cell r="DT7">
            <v>0</v>
          </cell>
          <cell r="DU7">
            <v>2</v>
          </cell>
          <cell r="DV7">
            <v>0</v>
          </cell>
          <cell r="DW7">
            <v>1</v>
          </cell>
          <cell r="DX7">
            <v>1</v>
          </cell>
          <cell r="DY7">
            <v>1</v>
          </cell>
          <cell r="DZ7">
            <v>3</v>
          </cell>
          <cell r="EA7">
            <v>0</v>
          </cell>
          <cell r="EB7">
            <v>0</v>
          </cell>
          <cell r="EC7">
            <v>0</v>
          </cell>
          <cell r="ED7">
            <v>0</v>
          </cell>
          <cell r="EE7">
            <v>0</v>
          </cell>
          <cell r="EF7">
            <v>0</v>
          </cell>
          <cell r="EG7">
            <v>1</v>
          </cell>
          <cell r="EH7">
            <v>1</v>
          </cell>
          <cell r="EI7">
            <v>1</v>
          </cell>
          <cell r="EJ7">
            <v>0</v>
          </cell>
          <cell r="EK7">
            <v>1</v>
          </cell>
          <cell r="EL7">
            <v>0</v>
          </cell>
          <cell r="EM7">
            <v>0</v>
          </cell>
          <cell r="EN7">
            <v>2</v>
          </cell>
          <cell r="EO7">
            <v>0</v>
          </cell>
          <cell r="EP7">
            <v>0</v>
          </cell>
          <cell r="EQ7">
            <v>0</v>
          </cell>
          <cell r="ER7">
            <v>1</v>
          </cell>
          <cell r="ES7">
            <v>1</v>
          </cell>
          <cell r="ET7">
            <v>3</v>
          </cell>
          <cell r="EU7">
            <v>3</v>
          </cell>
          <cell r="EV7">
            <v>3</v>
          </cell>
          <cell r="EW7">
            <v>4</v>
          </cell>
          <cell r="EX7">
            <v>0</v>
          </cell>
          <cell r="EY7">
            <v>1</v>
          </cell>
          <cell r="EZ7">
            <v>0</v>
          </cell>
          <cell r="FA7">
            <v>0</v>
          </cell>
          <cell r="FB7">
            <v>0</v>
          </cell>
          <cell r="FC7">
            <v>3</v>
          </cell>
          <cell r="FD7">
            <v>0</v>
          </cell>
        </row>
        <row r="8">
          <cell r="DI8">
            <v>36</v>
          </cell>
          <cell r="DJ8">
            <v>19</v>
          </cell>
          <cell r="DK8">
            <v>21</v>
          </cell>
          <cell r="DL8">
            <v>11</v>
          </cell>
          <cell r="DM8">
            <v>13</v>
          </cell>
          <cell r="DN8">
            <v>8</v>
          </cell>
          <cell r="DO8">
            <v>9</v>
          </cell>
          <cell r="DP8">
            <v>17</v>
          </cell>
          <cell r="DQ8">
            <v>4</v>
          </cell>
          <cell r="DR8">
            <v>5</v>
          </cell>
          <cell r="DS8">
            <v>13</v>
          </cell>
          <cell r="DT8">
            <v>26</v>
          </cell>
          <cell r="DU8">
            <v>47</v>
          </cell>
          <cell r="DV8">
            <v>27</v>
          </cell>
          <cell r="DW8">
            <v>39</v>
          </cell>
          <cell r="DX8">
            <v>56</v>
          </cell>
          <cell r="DY8">
            <v>71</v>
          </cell>
          <cell r="DZ8">
            <v>39</v>
          </cell>
          <cell r="EA8">
            <v>17</v>
          </cell>
          <cell r="EB8">
            <v>10</v>
          </cell>
          <cell r="EC8">
            <v>6</v>
          </cell>
          <cell r="ED8">
            <v>15</v>
          </cell>
          <cell r="EE8">
            <v>16</v>
          </cell>
          <cell r="EF8">
            <v>11</v>
          </cell>
          <cell r="EG8">
            <v>28</v>
          </cell>
          <cell r="EH8">
            <v>26</v>
          </cell>
          <cell r="EI8">
            <v>28</v>
          </cell>
          <cell r="EJ8">
            <v>19</v>
          </cell>
          <cell r="EK8">
            <v>17</v>
          </cell>
          <cell r="EL8">
            <v>8</v>
          </cell>
          <cell r="EM8">
            <v>18</v>
          </cell>
          <cell r="EN8">
            <v>9</v>
          </cell>
          <cell r="EO8">
            <v>8</v>
          </cell>
          <cell r="EP8">
            <v>11</v>
          </cell>
          <cell r="EQ8">
            <v>8</v>
          </cell>
          <cell r="ER8">
            <v>19</v>
          </cell>
          <cell r="ES8">
            <v>16</v>
          </cell>
          <cell r="ET8">
            <v>15</v>
          </cell>
          <cell r="EU8">
            <v>26</v>
          </cell>
          <cell r="EV8">
            <v>25</v>
          </cell>
          <cell r="EW8">
            <v>38</v>
          </cell>
          <cell r="EX8">
            <v>13</v>
          </cell>
          <cell r="EY8">
            <v>20</v>
          </cell>
          <cell r="EZ8">
            <v>8</v>
          </cell>
          <cell r="FA8">
            <v>4</v>
          </cell>
          <cell r="FB8">
            <v>10</v>
          </cell>
          <cell r="FC8">
            <v>16</v>
          </cell>
          <cell r="FD8">
            <v>14</v>
          </cell>
        </row>
        <row r="12">
          <cell r="DI12">
            <v>2</v>
          </cell>
          <cell r="DJ12">
            <v>3</v>
          </cell>
          <cell r="DK12">
            <v>1</v>
          </cell>
          <cell r="DL12">
            <v>0</v>
          </cell>
          <cell r="DM12">
            <v>0</v>
          </cell>
          <cell r="DN12">
            <v>1</v>
          </cell>
          <cell r="DO12">
            <v>0</v>
          </cell>
          <cell r="DP12">
            <v>0</v>
          </cell>
          <cell r="DQ12">
            <v>0</v>
          </cell>
          <cell r="DR12">
            <v>0</v>
          </cell>
          <cell r="DS12">
            <v>2</v>
          </cell>
          <cell r="DT12">
            <v>0</v>
          </cell>
          <cell r="DU12">
            <v>2</v>
          </cell>
          <cell r="DV12">
            <v>1</v>
          </cell>
          <cell r="DW12">
            <v>1</v>
          </cell>
          <cell r="DX12">
            <v>3</v>
          </cell>
          <cell r="DY12">
            <v>4</v>
          </cell>
          <cell r="DZ12">
            <v>4</v>
          </cell>
          <cell r="EA12">
            <v>1</v>
          </cell>
          <cell r="EB12">
            <v>0</v>
          </cell>
          <cell r="EC12">
            <v>0</v>
          </cell>
          <cell r="ED12">
            <v>0</v>
          </cell>
          <cell r="EE12">
            <v>0</v>
          </cell>
          <cell r="EF12">
            <v>0</v>
          </cell>
          <cell r="EG12">
            <v>3</v>
          </cell>
          <cell r="EH12">
            <v>1</v>
          </cell>
          <cell r="EI12">
            <v>1</v>
          </cell>
          <cell r="EJ12">
            <v>0</v>
          </cell>
          <cell r="EK12">
            <v>2</v>
          </cell>
          <cell r="EL12">
            <v>1</v>
          </cell>
          <cell r="EM12">
            <v>0</v>
          </cell>
          <cell r="EN12">
            <v>2</v>
          </cell>
          <cell r="EO12">
            <v>1</v>
          </cell>
          <cell r="EP12">
            <v>1</v>
          </cell>
          <cell r="EQ12">
            <v>0</v>
          </cell>
          <cell r="ER12">
            <v>1</v>
          </cell>
          <cell r="ES12">
            <v>1</v>
          </cell>
          <cell r="ET12">
            <v>4</v>
          </cell>
          <cell r="EU12">
            <v>7</v>
          </cell>
          <cell r="EV12">
            <v>4</v>
          </cell>
          <cell r="EW12">
            <v>5</v>
          </cell>
          <cell r="EX12">
            <v>0</v>
          </cell>
          <cell r="EY12">
            <v>2</v>
          </cell>
          <cell r="EZ12">
            <v>0</v>
          </cell>
          <cell r="FA12">
            <v>2</v>
          </cell>
          <cell r="FB12">
            <v>2</v>
          </cell>
          <cell r="FC12">
            <v>5</v>
          </cell>
          <cell r="FD12">
            <v>1</v>
          </cell>
        </row>
        <row r="13">
          <cell r="DI13">
            <v>4</v>
          </cell>
          <cell r="DJ13">
            <v>4</v>
          </cell>
          <cell r="DK13">
            <v>2</v>
          </cell>
          <cell r="DL13">
            <v>0</v>
          </cell>
          <cell r="DM13">
            <v>2</v>
          </cell>
          <cell r="DN13">
            <v>1</v>
          </cell>
          <cell r="DO13">
            <v>0</v>
          </cell>
          <cell r="DP13">
            <v>1</v>
          </cell>
          <cell r="DQ13">
            <v>0</v>
          </cell>
          <cell r="DR13">
            <v>1</v>
          </cell>
          <cell r="DS13">
            <v>5</v>
          </cell>
          <cell r="DT13">
            <v>2</v>
          </cell>
          <cell r="DU13">
            <v>10</v>
          </cell>
          <cell r="DV13">
            <v>11</v>
          </cell>
          <cell r="DW13">
            <v>6</v>
          </cell>
          <cell r="DX13">
            <v>8</v>
          </cell>
          <cell r="DY13">
            <v>17</v>
          </cell>
          <cell r="DZ13">
            <v>11</v>
          </cell>
          <cell r="EA13">
            <v>3</v>
          </cell>
          <cell r="EB13">
            <v>0</v>
          </cell>
          <cell r="EC13">
            <v>0</v>
          </cell>
          <cell r="ED13">
            <v>2</v>
          </cell>
          <cell r="EE13">
            <v>3</v>
          </cell>
          <cell r="EF13">
            <v>2</v>
          </cell>
          <cell r="EG13">
            <v>9</v>
          </cell>
          <cell r="EH13">
            <v>3</v>
          </cell>
          <cell r="EI13">
            <v>7</v>
          </cell>
          <cell r="EJ13">
            <v>0</v>
          </cell>
          <cell r="EK13">
            <v>7</v>
          </cell>
          <cell r="EL13">
            <v>2</v>
          </cell>
          <cell r="EM13">
            <v>3</v>
          </cell>
          <cell r="EN13">
            <v>3</v>
          </cell>
          <cell r="EO13">
            <v>1</v>
          </cell>
          <cell r="EP13">
            <v>2</v>
          </cell>
          <cell r="EQ13">
            <v>1</v>
          </cell>
          <cell r="ER13">
            <v>1</v>
          </cell>
          <cell r="ES13">
            <v>2</v>
          </cell>
          <cell r="ET13">
            <v>7</v>
          </cell>
          <cell r="EU13">
            <v>15</v>
          </cell>
          <cell r="EV13">
            <v>6</v>
          </cell>
          <cell r="EW13">
            <v>11</v>
          </cell>
          <cell r="EX13">
            <v>2</v>
          </cell>
          <cell r="EY13">
            <v>5</v>
          </cell>
          <cell r="EZ13">
            <v>1</v>
          </cell>
          <cell r="FA13">
            <v>3</v>
          </cell>
          <cell r="FB13">
            <v>4</v>
          </cell>
          <cell r="FC13">
            <v>8</v>
          </cell>
          <cell r="FD13">
            <v>4</v>
          </cell>
        </row>
      </sheetData>
      <sheetData sheetId="31">
        <row r="4">
          <cell r="AA4">
            <v>10</v>
          </cell>
          <cell r="AD4">
            <v>1</v>
          </cell>
          <cell r="AG4">
            <v>1</v>
          </cell>
          <cell r="AM4">
            <v>2</v>
          </cell>
          <cell r="AO4">
            <v>2</v>
          </cell>
        </row>
        <row r="5">
          <cell r="AD5">
            <v>1</v>
          </cell>
          <cell r="AE5">
            <v>1</v>
          </cell>
          <cell r="AL5">
            <v>1</v>
          </cell>
        </row>
        <row r="7">
          <cell r="AE7">
            <v>1</v>
          </cell>
          <cell r="AH7">
            <v>1</v>
          </cell>
          <cell r="AL7">
            <v>0</v>
          </cell>
          <cell r="AO7">
            <v>2</v>
          </cell>
        </row>
        <row r="8">
          <cell r="Z8">
            <v>0</v>
          </cell>
          <cell r="AA8">
            <v>0</v>
          </cell>
          <cell r="AB8">
            <v>0</v>
          </cell>
          <cell r="AC8">
            <v>0</v>
          </cell>
          <cell r="AD8">
            <v>0</v>
          </cell>
          <cell r="AE8">
            <v>1</v>
          </cell>
          <cell r="AF8">
            <v>0</v>
          </cell>
          <cell r="AG8">
            <v>0</v>
          </cell>
          <cell r="AH8">
            <v>1</v>
          </cell>
          <cell r="AI8">
            <v>0</v>
          </cell>
          <cell r="AJ8">
            <v>0</v>
          </cell>
          <cell r="AK8">
            <v>0</v>
          </cell>
          <cell r="AL8">
            <v>0</v>
          </cell>
          <cell r="AM8">
            <v>0</v>
          </cell>
          <cell r="AN8">
            <v>0</v>
          </cell>
          <cell r="AO8">
            <v>2</v>
          </cell>
          <cell r="AP8">
            <v>0</v>
          </cell>
          <cell r="AQ8">
            <v>0</v>
          </cell>
          <cell r="AR8">
            <v>0</v>
          </cell>
          <cell r="AS8">
            <v>0</v>
          </cell>
          <cell r="AT8">
            <v>0</v>
          </cell>
          <cell r="AU8">
            <v>0</v>
          </cell>
          <cell r="AV8">
            <v>0</v>
          </cell>
          <cell r="AW8">
            <v>0</v>
          </cell>
        </row>
        <row r="9">
          <cell r="Z9">
            <v>0</v>
          </cell>
          <cell r="AA9">
            <v>10</v>
          </cell>
          <cell r="AB9">
            <v>0</v>
          </cell>
          <cell r="AC9">
            <v>0</v>
          </cell>
          <cell r="AD9">
            <v>2</v>
          </cell>
          <cell r="AE9">
            <v>2</v>
          </cell>
          <cell r="AF9">
            <v>0</v>
          </cell>
          <cell r="AG9">
            <v>1</v>
          </cell>
          <cell r="AH9">
            <v>1</v>
          </cell>
          <cell r="AI9">
            <v>0</v>
          </cell>
          <cell r="AJ9">
            <v>0</v>
          </cell>
          <cell r="AK9">
            <v>0</v>
          </cell>
          <cell r="AL9">
            <v>1</v>
          </cell>
          <cell r="AM9">
            <v>2</v>
          </cell>
          <cell r="AN9">
            <v>0</v>
          </cell>
          <cell r="AO9">
            <v>4</v>
          </cell>
          <cell r="AP9">
            <v>0</v>
          </cell>
          <cell r="AQ9">
            <v>0</v>
          </cell>
          <cell r="AR9">
            <v>0</v>
          </cell>
          <cell r="AS9">
            <v>0</v>
          </cell>
          <cell r="AT9">
            <v>0</v>
          </cell>
          <cell r="AU9">
            <v>0</v>
          </cell>
          <cell r="AV9">
            <v>0</v>
          </cell>
          <cell r="AW9">
            <v>0</v>
          </cell>
        </row>
        <row r="11">
          <cell r="Z11">
            <v>1</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1</v>
          </cell>
          <cell r="AQ11">
            <v>1</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row>
        <row r="12">
          <cell r="Z12">
            <v>1</v>
          </cell>
          <cell r="AA12">
            <v>0</v>
          </cell>
          <cell r="AB12">
            <v>0</v>
          </cell>
          <cell r="AC12">
            <v>1</v>
          </cell>
          <cell r="AD12">
            <v>0</v>
          </cell>
          <cell r="AE12">
            <v>2</v>
          </cell>
          <cell r="AF12">
            <v>0</v>
          </cell>
          <cell r="AG12">
            <v>1</v>
          </cell>
          <cell r="AH12">
            <v>0</v>
          </cell>
          <cell r="AI12">
            <v>1</v>
          </cell>
          <cell r="AJ12">
            <v>1</v>
          </cell>
          <cell r="AK12">
            <v>0</v>
          </cell>
          <cell r="AL12">
            <v>0</v>
          </cell>
          <cell r="AM12">
            <v>0</v>
          </cell>
          <cell r="AN12">
            <v>0</v>
          </cell>
          <cell r="AO12">
            <v>0</v>
          </cell>
          <cell r="AP12">
            <v>0</v>
          </cell>
          <cell r="AQ12">
            <v>1</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row>
        <row r="13">
          <cell r="Z13">
            <v>1</v>
          </cell>
          <cell r="AA13">
            <v>1</v>
          </cell>
          <cell r="AB13">
            <v>2</v>
          </cell>
          <cell r="AC13">
            <v>0</v>
          </cell>
          <cell r="AD13">
            <v>0</v>
          </cell>
          <cell r="AE13">
            <v>0</v>
          </cell>
          <cell r="AF13">
            <v>0</v>
          </cell>
          <cell r="AG13">
            <v>1</v>
          </cell>
          <cell r="AH13">
            <v>1</v>
          </cell>
          <cell r="AI13">
            <v>2</v>
          </cell>
          <cell r="AJ13">
            <v>0</v>
          </cell>
          <cell r="AK13">
            <v>0</v>
          </cell>
          <cell r="AL13">
            <v>0</v>
          </cell>
          <cell r="AM13">
            <v>0</v>
          </cell>
          <cell r="AN13">
            <v>0</v>
          </cell>
          <cell r="AO13">
            <v>0</v>
          </cell>
          <cell r="AP13">
            <v>1</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row>
        <row r="14">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row>
        <row r="15">
          <cell r="Z15">
            <v>1</v>
          </cell>
          <cell r="AA15">
            <v>0</v>
          </cell>
          <cell r="AB15">
            <v>2</v>
          </cell>
          <cell r="AC15">
            <v>1</v>
          </cell>
          <cell r="AD15">
            <v>0</v>
          </cell>
          <cell r="AE15">
            <v>1</v>
          </cell>
          <cell r="AF15">
            <v>1</v>
          </cell>
          <cell r="AG15">
            <v>2</v>
          </cell>
          <cell r="AH15">
            <v>0</v>
          </cell>
          <cell r="AI15">
            <v>6</v>
          </cell>
          <cell r="AJ15">
            <v>1</v>
          </cell>
          <cell r="AK15">
            <v>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row>
        <row r="16">
          <cell r="Z16">
            <v>1</v>
          </cell>
          <cell r="AA16">
            <v>0</v>
          </cell>
          <cell r="AB16">
            <v>2</v>
          </cell>
          <cell r="AC16">
            <v>1</v>
          </cell>
          <cell r="AD16">
            <v>0</v>
          </cell>
          <cell r="AE16">
            <v>1</v>
          </cell>
          <cell r="AF16">
            <v>1</v>
          </cell>
          <cell r="AG16">
            <v>2</v>
          </cell>
          <cell r="AH16">
            <v>0</v>
          </cell>
          <cell r="AI16">
            <v>6</v>
          </cell>
          <cell r="AJ16">
            <v>1</v>
          </cell>
          <cell r="AK16">
            <v>2</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row>
        <row r="17">
          <cell r="Z17">
            <v>4</v>
          </cell>
          <cell r="AA17">
            <v>1</v>
          </cell>
          <cell r="AB17">
            <v>4</v>
          </cell>
          <cell r="AC17">
            <v>2</v>
          </cell>
          <cell r="AD17">
            <v>0</v>
          </cell>
          <cell r="AE17">
            <v>3</v>
          </cell>
          <cell r="AF17">
            <v>1</v>
          </cell>
          <cell r="AG17">
            <v>4</v>
          </cell>
          <cell r="AH17">
            <v>1</v>
          </cell>
          <cell r="AI17">
            <v>9</v>
          </cell>
          <cell r="AJ17">
            <v>2</v>
          </cell>
          <cell r="AK17">
            <v>2</v>
          </cell>
          <cell r="AL17">
            <v>0</v>
          </cell>
          <cell r="AM17">
            <v>0</v>
          </cell>
          <cell r="AN17">
            <v>0</v>
          </cell>
          <cell r="AO17">
            <v>0</v>
          </cell>
          <cell r="AP17">
            <v>2</v>
          </cell>
          <cell r="AQ17">
            <v>2</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row>
      </sheetData>
      <sheetData sheetId="32">
        <row r="2">
          <cell r="Z2">
            <v>7</v>
          </cell>
          <cell r="AA2">
            <v>9</v>
          </cell>
          <cell r="AB2">
            <v>10</v>
          </cell>
          <cell r="AC2">
            <v>7</v>
          </cell>
          <cell r="AD2">
            <v>7</v>
          </cell>
          <cell r="AE2">
            <v>8</v>
          </cell>
          <cell r="AF2">
            <v>3</v>
          </cell>
          <cell r="AG2">
            <v>16</v>
          </cell>
          <cell r="AH2">
            <v>7</v>
          </cell>
          <cell r="AI2">
            <v>12</v>
          </cell>
          <cell r="AJ2">
            <v>7</v>
          </cell>
          <cell r="AK2">
            <v>3</v>
          </cell>
          <cell r="AL2">
            <v>9</v>
          </cell>
          <cell r="AM2">
            <v>9</v>
          </cell>
          <cell r="AN2">
            <v>15</v>
          </cell>
          <cell r="AO2">
            <v>13</v>
          </cell>
          <cell r="AP2">
            <v>9</v>
          </cell>
          <cell r="AQ2">
            <v>12</v>
          </cell>
          <cell r="AR2">
            <v>13</v>
          </cell>
          <cell r="AS2">
            <v>5</v>
          </cell>
          <cell r="AT2">
            <v>5</v>
          </cell>
          <cell r="AU2">
            <v>3</v>
          </cell>
          <cell r="AV2">
            <v>1</v>
          </cell>
          <cell r="AW2">
            <v>10</v>
          </cell>
          <cell r="AX2">
            <v>3</v>
          </cell>
          <cell r="AY2">
            <v>5</v>
          </cell>
          <cell r="AZ2">
            <v>3</v>
          </cell>
          <cell r="BA2">
            <v>5</v>
          </cell>
          <cell r="BB2">
            <v>1</v>
          </cell>
          <cell r="BC2">
            <v>13</v>
          </cell>
          <cell r="BD2">
            <v>6</v>
          </cell>
          <cell r="BE2">
            <v>6</v>
          </cell>
          <cell r="BF2">
            <v>8</v>
          </cell>
          <cell r="BG2">
            <v>7</v>
          </cell>
          <cell r="BH2">
            <v>0</v>
          </cell>
          <cell r="BI2">
            <v>3</v>
          </cell>
          <cell r="BJ2">
            <v>5</v>
          </cell>
          <cell r="BK2">
            <v>5</v>
          </cell>
          <cell r="BL2">
            <v>7</v>
          </cell>
          <cell r="BM2">
            <v>9</v>
          </cell>
          <cell r="BN2">
            <v>4</v>
          </cell>
          <cell r="BO2">
            <v>8</v>
          </cell>
          <cell r="BP2">
            <v>6</v>
          </cell>
          <cell r="BQ2">
            <v>4</v>
          </cell>
          <cell r="BR2">
            <v>5</v>
          </cell>
          <cell r="BS2">
            <v>2</v>
          </cell>
          <cell r="BT2">
            <v>5</v>
          </cell>
          <cell r="BU2">
            <v>4</v>
          </cell>
        </row>
      </sheetData>
      <sheetData sheetId="33">
        <row r="3">
          <cell r="Z3">
            <v>1</v>
          </cell>
          <cell r="AA3">
            <v>3</v>
          </cell>
          <cell r="AB3">
            <v>1</v>
          </cell>
          <cell r="AC3">
            <v>3</v>
          </cell>
          <cell r="AD3">
            <v>1</v>
          </cell>
          <cell r="AE3">
            <v>0</v>
          </cell>
          <cell r="AF3">
            <v>3</v>
          </cell>
          <cell r="AG3">
            <v>4</v>
          </cell>
          <cell r="AH3">
            <v>3</v>
          </cell>
          <cell r="AI3">
            <v>0</v>
          </cell>
          <cell r="AJ3">
            <v>4</v>
          </cell>
          <cell r="AK3">
            <v>1</v>
          </cell>
          <cell r="AL3">
            <v>3</v>
          </cell>
          <cell r="AM3">
            <v>5</v>
          </cell>
          <cell r="AN3">
            <v>1</v>
          </cell>
          <cell r="AO3">
            <v>2</v>
          </cell>
          <cell r="AP3">
            <v>2</v>
          </cell>
          <cell r="AR3">
            <v>3</v>
          </cell>
          <cell r="AS3">
            <v>2</v>
          </cell>
          <cell r="AT3">
            <v>1</v>
          </cell>
          <cell r="AU3">
            <v>3</v>
          </cell>
          <cell r="AV3">
            <v>4</v>
          </cell>
          <cell r="AW3">
            <v>3</v>
          </cell>
          <cell r="AX3">
            <v>2</v>
          </cell>
          <cell r="AY3">
            <v>2</v>
          </cell>
          <cell r="BA3">
            <v>1</v>
          </cell>
          <cell r="BB3">
            <v>3</v>
          </cell>
          <cell r="BC3">
            <v>1</v>
          </cell>
          <cell r="BD3">
            <v>2</v>
          </cell>
          <cell r="BE3">
            <v>2</v>
          </cell>
          <cell r="BF3">
            <v>1</v>
          </cell>
          <cell r="BG3">
            <v>3</v>
          </cell>
          <cell r="BH3">
            <v>0</v>
          </cell>
          <cell r="BI3">
            <v>2</v>
          </cell>
          <cell r="BJ3">
            <v>1</v>
          </cell>
          <cell r="BK3">
            <v>0</v>
          </cell>
          <cell r="BL3">
            <v>2</v>
          </cell>
          <cell r="BM3">
            <v>1</v>
          </cell>
          <cell r="BN3">
            <v>0</v>
          </cell>
          <cell r="BO3">
            <v>1</v>
          </cell>
          <cell r="BP3">
            <v>0</v>
          </cell>
          <cell r="BQ3">
            <v>1</v>
          </cell>
          <cell r="BR3">
            <v>0</v>
          </cell>
          <cell r="BS3">
            <v>1</v>
          </cell>
          <cell r="BT3">
            <v>0</v>
          </cell>
          <cell r="BU3">
            <v>1</v>
          </cell>
        </row>
        <row r="4">
          <cell r="Z4">
            <v>7</v>
          </cell>
          <cell r="AA4">
            <v>8</v>
          </cell>
          <cell r="AB4">
            <v>6</v>
          </cell>
          <cell r="AC4">
            <v>6</v>
          </cell>
          <cell r="AD4">
            <v>7</v>
          </cell>
          <cell r="AE4">
            <v>6</v>
          </cell>
          <cell r="AF4">
            <v>10</v>
          </cell>
          <cell r="AG4">
            <v>11</v>
          </cell>
          <cell r="AH4">
            <v>5</v>
          </cell>
          <cell r="AI4">
            <v>2</v>
          </cell>
          <cell r="AJ4">
            <v>8</v>
          </cell>
          <cell r="AK4">
            <v>13</v>
          </cell>
          <cell r="AL4">
            <v>6</v>
          </cell>
          <cell r="AM4">
            <v>6</v>
          </cell>
          <cell r="AN4">
            <v>6</v>
          </cell>
          <cell r="AO4">
            <v>13</v>
          </cell>
          <cell r="AP4">
            <v>8</v>
          </cell>
          <cell r="AQ4">
            <v>7</v>
          </cell>
          <cell r="AR4">
            <v>9</v>
          </cell>
          <cell r="AS4">
            <v>12</v>
          </cell>
          <cell r="AT4">
            <v>4</v>
          </cell>
          <cell r="AU4">
            <v>7</v>
          </cell>
          <cell r="AV4">
            <v>8</v>
          </cell>
          <cell r="AW4">
            <v>17</v>
          </cell>
          <cell r="AX4">
            <v>10</v>
          </cell>
          <cell r="AY4">
            <v>3</v>
          </cell>
          <cell r="AZ4">
            <v>8</v>
          </cell>
          <cell r="BA4">
            <v>11</v>
          </cell>
          <cell r="BB4">
            <v>6</v>
          </cell>
          <cell r="BC4">
            <v>10</v>
          </cell>
          <cell r="BD4">
            <v>5</v>
          </cell>
          <cell r="BE4">
            <v>6</v>
          </cell>
          <cell r="BF4">
            <v>9</v>
          </cell>
          <cell r="BG4">
            <v>4</v>
          </cell>
          <cell r="BH4">
            <v>7</v>
          </cell>
          <cell r="BI4">
            <v>6</v>
          </cell>
          <cell r="BJ4">
            <v>2</v>
          </cell>
          <cell r="BK4">
            <v>2</v>
          </cell>
          <cell r="BL4">
            <v>4</v>
          </cell>
          <cell r="BM4">
            <v>5</v>
          </cell>
          <cell r="BN4">
            <v>1</v>
          </cell>
          <cell r="BO4">
            <v>1</v>
          </cell>
          <cell r="BP4">
            <v>4</v>
          </cell>
          <cell r="BQ4">
            <v>1</v>
          </cell>
          <cell r="BR4">
            <v>3</v>
          </cell>
          <cell r="BS4">
            <v>1</v>
          </cell>
          <cell r="BT4">
            <v>0</v>
          </cell>
          <cell r="BU4">
            <v>2</v>
          </cell>
        </row>
        <row r="5">
          <cell r="Z5">
            <v>4</v>
          </cell>
          <cell r="AA5">
            <v>2</v>
          </cell>
          <cell r="AB5">
            <v>6</v>
          </cell>
          <cell r="AC5">
            <v>1</v>
          </cell>
          <cell r="AD5">
            <v>5</v>
          </cell>
          <cell r="AE5">
            <v>2</v>
          </cell>
          <cell r="AF5">
            <v>1</v>
          </cell>
          <cell r="AG5">
            <v>2</v>
          </cell>
          <cell r="AH5">
            <v>0</v>
          </cell>
          <cell r="AI5">
            <v>3</v>
          </cell>
          <cell r="AJ5">
            <v>4</v>
          </cell>
          <cell r="AK5">
            <v>4</v>
          </cell>
          <cell r="AL5">
            <v>7</v>
          </cell>
          <cell r="AM5">
            <v>4</v>
          </cell>
          <cell r="AN5">
            <v>9</v>
          </cell>
          <cell r="AO5">
            <v>4</v>
          </cell>
          <cell r="AP5">
            <v>2</v>
          </cell>
          <cell r="AQ5">
            <v>4</v>
          </cell>
          <cell r="AR5">
            <v>1</v>
          </cell>
          <cell r="AS5">
            <v>3</v>
          </cell>
          <cell r="AT5">
            <v>1</v>
          </cell>
          <cell r="AU5">
            <v>2</v>
          </cell>
          <cell r="AV5">
            <v>3</v>
          </cell>
          <cell r="AW5">
            <v>7</v>
          </cell>
          <cell r="AY5">
            <v>3</v>
          </cell>
          <cell r="AZ5">
            <v>1</v>
          </cell>
          <cell r="BA5">
            <v>2</v>
          </cell>
          <cell r="BB5">
            <v>4</v>
          </cell>
          <cell r="BC5">
            <v>1</v>
          </cell>
          <cell r="BD5">
            <v>1</v>
          </cell>
          <cell r="BE5">
            <v>2</v>
          </cell>
          <cell r="BF5">
            <v>2</v>
          </cell>
          <cell r="BG5">
            <v>4</v>
          </cell>
          <cell r="BH5">
            <v>1</v>
          </cell>
          <cell r="BI5">
            <v>5</v>
          </cell>
          <cell r="BJ5">
            <v>2</v>
          </cell>
          <cell r="BK5">
            <v>2</v>
          </cell>
          <cell r="BL5">
            <v>2</v>
          </cell>
          <cell r="BM5">
            <v>2</v>
          </cell>
          <cell r="BN5">
            <v>2</v>
          </cell>
          <cell r="BO5">
            <v>2</v>
          </cell>
          <cell r="BP5">
            <v>3</v>
          </cell>
          <cell r="BQ5">
            <v>0</v>
          </cell>
          <cell r="BR5">
            <v>1</v>
          </cell>
          <cell r="BS5">
            <v>0</v>
          </cell>
          <cell r="BT5">
            <v>1</v>
          </cell>
          <cell r="BU5">
            <v>0</v>
          </cell>
        </row>
        <row r="6">
          <cell r="Z6">
            <v>2</v>
          </cell>
          <cell r="AA6">
            <v>2</v>
          </cell>
          <cell r="AB6">
            <v>6</v>
          </cell>
          <cell r="AC6">
            <v>1</v>
          </cell>
          <cell r="AD6">
            <v>3</v>
          </cell>
          <cell r="AE6">
            <v>5</v>
          </cell>
          <cell r="AF6">
            <v>5</v>
          </cell>
          <cell r="AG6">
            <v>3</v>
          </cell>
          <cell r="AH6">
            <v>1</v>
          </cell>
          <cell r="AI6">
            <v>1</v>
          </cell>
          <cell r="AJ6">
            <v>3</v>
          </cell>
          <cell r="AK6">
            <v>3</v>
          </cell>
          <cell r="AL6">
            <v>2</v>
          </cell>
          <cell r="AM6">
            <v>2</v>
          </cell>
          <cell r="AN6">
            <v>1</v>
          </cell>
          <cell r="AO6">
            <v>3</v>
          </cell>
          <cell r="AP6">
            <v>2</v>
          </cell>
          <cell r="AQ6">
            <v>1</v>
          </cell>
          <cell r="AR6">
            <v>2</v>
          </cell>
          <cell r="AS6">
            <v>3</v>
          </cell>
          <cell r="AT6">
            <v>3</v>
          </cell>
          <cell r="AU6">
            <v>2</v>
          </cell>
          <cell r="AV6">
            <v>3</v>
          </cell>
          <cell r="AW6">
            <v>7</v>
          </cell>
          <cell r="AX6">
            <v>5</v>
          </cell>
          <cell r="AY6">
            <v>3</v>
          </cell>
          <cell r="AZ6">
            <v>3</v>
          </cell>
          <cell r="BA6">
            <v>8</v>
          </cell>
          <cell r="BC6">
            <v>2</v>
          </cell>
          <cell r="BD6">
            <v>1</v>
          </cell>
          <cell r="BE6">
            <v>4</v>
          </cell>
          <cell r="BF6">
            <v>4</v>
          </cell>
          <cell r="BG6">
            <v>4</v>
          </cell>
          <cell r="BH6">
            <v>5</v>
          </cell>
          <cell r="BI6">
            <v>4</v>
          </cell>
          <cell r="BJ6">
            <v>3</v>
          </cell>
          <cell r="BK6">
            <v>1</v>
          </cell>
          <cell r="BL6">
            <v>2</v>
          </cell>
          <cell r="BM6">
            <v>3</v>
          </cell>
          <cell r="BN6">
            <v>2</v>
          </cell>
          <cell r="BO6">
            <v>3</v>
          </cell>
          <cell r="BP6">
            <v>1</v>
          </cell>
          <cell r="BQ6">
            <v>1</v>
          </cell>
          <cell r="BR6">
            <v>1</v>
          </cell>
          <cell r="BS6">
            <v>1</v>
          </cell>
          <cell r="BT6">
            <v>2</v>
          </cell>
          <cell r="BU6">
            <v>1</v>
          </cell>
        </row>
        <row r="7">
          <cell r="Z7">
            <v>4</v>
          </cell>
          <cell r="AA7">
            <v>6</v>
          </cell>
          <cell r="AB7">
            <v>3</v>
          </cell>
          <cell r="AC7">
            <v>6</v>
          </cell>
          <cell r="AD7">
            <v>8</v>
          </cell>
          <cell r="AE7">
            <v>6</v>
          </cell>
          <cell r="AF7">
            <v>5</v>
          </cell>
          <cell r="AG7">
            <v>4</v>
          </cell>
          <cell r="AH7">
            <v>5</v>
          </cell>
          <cell r="AI7">
            <v>8</v>
          </cell>
          <cell r="AJ7">
            <v>7</v>
          </cell>
          <cell r="AK7">
            <v>3</v>
          </cell>
          <cell r="AL7">
            <v>4</v>
          </cell>
          <cell r="AM7">
            <v>6</v>
          </cell>
          <cell r="AN7">
            <v>3</v>
          </cell>
          <cell r="AO7">
            <v>4</v>
          </cell>
          <cell r="AP7">
            <v>7</v>
          </cell>
          <cell r="AQ7">
            <v>6</v>
          </cell>
          <cell r="AR7">
            <v>5</v>
          </cell>
          <cell r="AS7">
            <v>4</v>
          </cell>
          <cell r="AT7">
            <v>1</v>
          </cell>
          <cell r="AU7">
            <v>8</v>
          </cell>
          <cell r="AV7">
            <v>7</v>
          </cell>
          <cell r="AW7">
            <v>3</v>
          </cell>
          <cell r="AX7">
            <v>3</v>
          </cell>
          <cell r="AY7">
            <v>6</v>
          </cell>
          <cell r="AZ7">
            <v>4</v>
          </cell>
          <cell r="BA7">
            <v>6</v>
          </cell>
          <cell r="BB7">
            <v>8</v>
          </cell>
          <cell r="BC7">
            <v>5</v>
          </cell>
          <cell r="BD7">
            <v>2</v>
          </cell>
          <cell r="BE7">
            <v>7</v>
          </cell>
          <cell r="BF7">
            <v>3</v>
          </cell>
          <cell r="BG7">
            <v>6</v>
          </cell>
          <cell r="BH7">
            <v>5</v>
          </cell>
          <cell r="BI7">
            <v>1</v>
          </cell>
          <cell r="BJ7">
            <v>2</v>
          </cell>
          <cell r="BK7">
            <v>3</v>
          </cell>
          <cell r="BL7">
            <v>0</v>
          </cell>
          <cell r="BM7">
            <v>3</v>
          </cell>
          <cell r="BN7">
            <v>4</v>
          </cell>
          <cell r="BO7">
            <v>1</v>
          </cell>
          <cell r="BP7">
            <v>1</v>
          </cell>
          <cell r="BQ7">
            <v>1</v>
          </cell>
          <cell r="BR7">
            <v>2</v>
          </cell>
          <cell r="BS7">
            <v>0</v>
          </cell>
          <cell r="BT7">
            <v>2</v>
          </cell>
          <cell r="BU7">
            <v>3</v>
          </cell>
        </row>
        <row r="8">
          <cell r="Z8">
            <v>6</v>
          </cell>
          <cell r="AA8">
            <v>8</v>
          </cell>
          <cell r="AB8">
            <v>9</v>
          </cell>
          <cell r="AC8">
            <v>7</v>
          </cell>
          <cell r="AD8">
            <v>11</v>
          </cell>
          <cell r="AE8">
            <v>11</v>
          </cell>
          <cell r="AF8">
            <v>10</v>
          </cell>
          <cell r="AG8">
            <v>7</v>
          </cell>
          <cell r="AH8">
            <v>6</v>
          </cell>
          <cell r="AI8">
            <v>9</v>
          </cell>
          <cell r="AJ8">
            <v>10</v>
          </cell>
          <cell r="AK8">
            <v>6</v>
          </cell>
          <cell r="AL8">
            <v>6</v>
          </cell>
          <cell r="AM8">
            <v>8</v>
          </cell>
          <cell r="AN8">
            <v>4</v>
          </cell>
          <cell r="AO8">
            <v>7</v>
          </cell>
          <cell r="AP8">
            <v>9</v>
          </cell>
          <cell r="AQ8">
            <v>7</v>
          </cell>
          <cell r="AR8">
            <v>7</v>
          </cell>
          <cell r="AS8">
            <v>7</v>
          </cell>
          <cell r="AT8">
            <v>1</v>
          </cell>
          <cell r="AU8">
            <v>10</v>
          </cell>
          <cell r="AV8">
            <v>10</v>
          </cell>
          <cell r="AW8">
            <v>10</v>
          </cell>
          <cell r="AX8">
            <v>8</v>
          </cell>
          <cell r="AY8">
            <v>9</v>
          </cell>
          <cell r="AZ8">
            <v>7</v>
          </cell>
          <cell r="BA8">
            <v>14</v>
          </cell>
          <cell r="BB8">
            <v>8</v>
          </cell>
          <cell r="BC8">
            <v>7</v>
          </cell>
          <cell r="BD8">
            <v>3</v>
          </cell>
          <cell r="BE8">
            <v>11</v>
          </cell>
          <cell r="BF8">
            <v>7</v>
          </cell>
          <cell r="BG8">
            <v>10</v>
          </cell>
          <cell r="BH8">
            <v>10</v>
          </cell>
          <cell r="BI8">
            <v>5</v>
          </cell>
          <cell r="BJ8">
            <v>5</v>
          </cell>
          <cell r="BK8">
            <v>4</v>
          </cell>
          <cell r="BL8">
            <v>2</v>
          </cell>
          <cell r="BM8">
            <v>6</v>
          </cell>
          <cell r="BN8">
            <v>6</v>
          </cell>
          <cell r="BO8">
            <v>4</v>
          </cell>
          <cell r="BP8">
            <v>2</v>
          </cell>
          <cell r="BQ8">
            <v>2</v>
          </cell>
          <cell r="BR8">
            <v>3</v>
          </cell>
          <cell r="BS8">
            <v>1</v>
          </cell>
          <cell r="BT8">
            <v>4</v>
          </cell>
          <cell r="BU8">
            <v>4</v>
          </cell>
        </row>
        <row r="9">
          <cell r="Z9">
            <v>18</v>
          </cell>
          <cell r="AA9">
            <v>21</v>
          </cell>
          <cell r="AB9">
            <v>22</v>
          </cell>
          <cell r="AC9">
            <v>17</v>
          </cell>
          <cell r="AD9">
            <v>24</v>
          </cell>
          <cell r="AE9">
            <v>19</v>
          </cell>
          <cell r="AF9">
            <v>24</v>
          </cell>
          <cell r="AG9">
            <v>24</v>
          </cell>
          <cell r="AH9">
            <v>14</v>
          </cell>
          <cell r="AI9">
            <v>14</v>
          </cell>
          <cell r="AJ9">
            <v>26</v>
          </cell>
          <cell r="AK9">
            <v>24</v>
          </cell>
          <cell r="AL9">
            <v>22</v>
          </cell>
          <cell r="AM9">
            <v>23</v>
          </cell>
          <cell r="AN9">
            <v>20</v>
          </cell>
          <cell r="AO9">
            <v>26</v>
          </cell>
          <cell r="AP9">
            <v>21</v>
          </cell>
          <cell r="AQ9">
            <v>18</v>
          </cell>
          <cell r="AR9">
            <v>20</v>
          </cell>
          <cell r="AS9">
            <v>24</v>
          </cell>
          <cell r="AT9">
            <v>10</v>
          </cell>
          <cell r="AU9">
            <v>22</v>
          </cell>
          <cell r="AV9">
            <v>25</v>
          </cell>
          <cell r="AW9">
            <v>37</v>
          </cell>
          <cell r="AX9">
            <v>20</v>
          </cell>
          <cell r="AY9">
            <v>17</v>
          </cell>
          <cell r="AZ9">
            <v>16</v>
          </cell>
          <cell r="BA9">
            <v>28</v>
          </cell>
          <cell r="BB9">
            <v>21</v>
          </cell>
          <cell r="BC9">
            <v>19</v>
          </cell>
          <cell r="BD9">
            <v>11</v>
          </cell>
          <cell r="BE9">
            <v>21</v>
          </cell>
          <cell r="BF9">
            <v>19</v>
          </cell>
          <cell r="BG9">
            <v>21</v>
          </cell>
          <cell r="BH9">
            <v>18</v>
          </cell>
          <cell r="BI9">
            <v>18</v>
          </cell>
          <cell r="BJ9">
            <v>10</v>
          </cell>
          <cell r="BK9">
            <v>8</v>
          </cell>
          <cell r="BL9">
            <v>10</v>
          </cell>
          <cell r="BM9">
            <v>14</v>
          </cell>
          <cell r="BN9">
            <v>9</v>
          </cell>
          <cell r="BO9">
            <v>8</v>
          </cell>
          <cell r="BP9">
            <v>9</v>
          </cell>
          <cell r="BQ9">
            <v>4</v>
          </cell>
          <cell r="BR9">
            <v>7</v>
          </cell>
          <cell r="BS9">
            <v>3</v>
          </cell>
          <cell r="BT9">
            <v>5</v>
          </cell>
          <cell r="BU9">
            <v>7</v>
          </cell>
        </row>
        <row r="11">
          <cell r="Z11">
            <v>2</v>
          </cell>
          <cell r="AA11">
            <v>4</v>
          </cell>
          <cell r="AC11">
            <v>1</v>
          </cell>
          <cell r="AD11">
            <v>2</v>
          </cell>
          <cell r="AF11">
            <v>8</v>
          </cell>
          <cell r="AG11">
            <v>5</v>
          </cell>
          <cell r="AH11">
            <v>2</v>
          </cell>
          <cell r="AI11">
            <v>1</v>
          </cell>
          <cell r="AJ11">
            <v>1</v>
          </cell>
          <cell r="AK11">
            <v>3</v>
          </cell>
          <cell r="AL11">
            <v>4</v>
          </cell>
          <cell r="AM11">
            <v>2</v>
          </cell>
          <cell r="AN11">
            <v>2</v>
          </cell>
          <cell r="AO11">
            <v>3</v>
          </cell>
          <cell r="AP11">
            <v>5</v>
          </cell>
          <cell r="AQ11">
            <v>2</v>
          </cell>
          <cell r="AR11">
            <v>3</v>
          </cell>
          <cell r="AS11">
            <v>1</v>
          </cell>
          <cell r="AT11">
            <v>3</v>
          </cell>
          <cell r="AU11">
            <v>1</v>
          </cell>
          <cell r="AV11">
            <v>1</v>
          </cell>
          <cell r="AW11">
            <v>4</v>
          </cell>
          <cell r="AX11">
            <v>3</v>
          </cell>
          <cell r="AY11">
            <v>2</v>
          </cell>
          <cell r="AZ11">
            <v>8</v>
          </cell>
          <cell r="BA11">
            <v>6</v>
          </cell>
          <cell r="BB11">
            <v>3</v>
          </cell>
          <cell r="BC11">
            <v>2</v>
          </cell>
          <cell r="BD11">
            <v>1</v>
          </cell>
          <cell r="BE11">
            <v>1</v>
          </cell>
          <cell r="BF11">
            <v>1</v>
          </cell>
          <cell r="BG11">
            <v>2</v>
          </cell>
          <cell r="BH11">
            <v>5</v>
          </cell>
          <cell r="BI11">
            <v>2</v>
          </cell>
          <cell r="BJ11">
            <v>4</v>
          </cell>
          <cell r="BK11">
            <v>3</v>
          </cell>
          <cell r="BL11">
            <v>2</v>
          </cell>
          <cell r="BM11">
            <v>4</v>
          </cell>
          <cell r="BN11">
            <v>4</v>
          </cell>
          <cell r="BO11">
            <v>2</v>
          </cell>
          <cell r="BP11">
            <v>0</v>
          </cell>
          <cell r="BQ11">
            <v>3</v>
          </cell>
          <cell r="BR11">
            <v>2</v>
          </cell>
          <cell r="BS11">
            <v>3</v>
          </cell>
          <cell r="BT11">
            <v>1</v>
          </cell>
          <cell r="BU11">
            <v>0</v>
          </cell>
        </row>
        <row r="12">
          <cell r="Z12">
            <v>3</v>
          </cell>
          <cell r="AA12">
            <v>7</v>
          </cell>
          <cell r="AB12">
            <v>4</v>
          </cell>
          <cell r="AC12">
            <v>2</v>
          </cell>
          <cell r="AD12">
            <v>2</v>
          </cell>
          <cell r="AE12">
            <v>6</v>
          </cell>
          <cell r="AF12">
            <v>6</v>
          </cell>
          <cell r="AG12">
            <v>4</v>
          </cell>
          <cell r="AH12">
            <v>4</v>
          </cell>
          <cell r="AI12">
            <v>5</v>
          </cell>
          <cell r="AJ12">
            <v>6</v>
          </cell>
          <cell r="AK12">
            <v>6</v>
          </cell>
          <cell r="AL12">
            <v>7</v>
          </cell>
          <cell r="AM12">
            <v>5</v>
          </cell>
          <cell r="AN12">
            <v>10</v>
          </cell>
          <cell r="AO12">
            <v>8</v>
          </cell>
          <cell r="AP12">
            <v>3</v>
          </cell>
          <cell r="AQ12">
            <v>4</v>
          </cell>
          <cell r="AR12">
            <v>9</v>
          </cell>
          <cell r="AS12">
            <v>5</v>
          </cell>
          <cell r="AT12">
            <v>4</v>
          </cell>
          <cell r="AU12">
            <v>9</v>
          </cell>
          <cell r="AV12">
            <v>7</v>
          </cell>
          <cell r="AW12">
            <v>13</v>
          </cell>
          <cell r="AX12">
            <v>10</v>
          </cell>
          <cell r="AY12">
            <v>7</v>
          </cell>
          <cell r="AZ12">
            <v>6</v>
          </cell>
          <cell r="BA12">
            <v>5</v>
          </cell>
          <cell r="BB12">
            <v>10</v>
          </cell>
          <cell r="BC12">
            <v>8</v>
          </cell>
          <cell r="BD12">
            <v>9</v>
          </cell>
          <cell r="BE12">
            <v>7</v>
          </cell>
          <cell r="BF12">
            <v>8</v>
          </cell>
          <cell r="BG12">
            <v>8</v>
          </cell>
          <cell r="BH12">
            <v>8</v>
          </cell>
          <cell r="BI12">
            <v>8</v>
          </cell>
          <cell r="BJ12">
            <v>4</v>
          </cell>
          <cell r="BK12">
            <v>4</v>
          </cell>
          <cell r="BL12">
            <v>5</v>
          </cell>
          <cell r="BM12">
            <v>12</v>
          </cell>
          <cell r="BN12">
            <v>4</v>
          </cell>
          <cell r="BO12">
            <v>4</v>
          </cell>
          <cell r="BP12">
            <v>3</v>
          </cell>
          <cell r="BQ12">
            <v>5</v>
          </cell>
          <cell r="BR12">
            <v>7</v>
          </cell>
          <cell r="BS12">
            <v>4</v>
          </cell>
          <cell r="BT12">
            <v>2</v>
          </cell>
          <cell r="BU12">
            <v>5</v>
          </cell>
        </row>
        <row r="13">
          <cell r="Z13">
            <v>1</v>
          </cell>
          <cell r="AA13">
            <v>2</v>
          </cell>
          <cell r="AB13">
            <v>2</v>
          </cell>
          <cell r="AC13">
            <v>3</v>
          </cell>
          <cell r="AD13">
            <v>4</v>
          </cell>
          <cell r="AE13">
            <v>6</v>
          </cell>
          <cell r="AF13">
            <v>9</v>
          </cell>
          <cell r="AG13">
            <v>9</v>
          </cell>
          <cell r="AH13">
            <v>5</v>
          </cell>
          <cell r="AI13">
            <v>1</v>
          </cell>
          <cell r="AJ13">
            <v>2</v>
          </cell>
          <cell r="AL13">
            <v>4</v>
          </cell>
          <cell r="AM13">
            <v>5</v>
          </cell>
          <cell r="AN13">
            <v>5</v>
          </cell>
          <cell r="AO13">
            <v>5</v>
          </cell>
          <cell r="AP13">
            <v>5</v>
          </cell>
          <cell r="AQ13">
            <v>2</v>
          </cell>
          <cell r="AR13">
            <v>4</v>
          </cell>
          <cell r="AS13">
            <v>7</v>
          </cell>
          <cell r="AT13">
            <v>6</v>
          </cell>
          <cell r="AU13">
            <v>2</v>
          </cell>
          <cell r="AV13">
            <v>4</v>
          </cell>
          <cell r="AW13">
            <v>4</v>
          </cell>
          <cell r="AX13">
            <v>1</v>
          </cell>
          <cell r="AY13">
            <v>8</v>
          </cell>
          <cell r="AZ13">
            <v>10</v>
          </cell>
          <cell r="BA13">
            <v>9</v>
          </cell>
          <cell r="BB13">
            <v>3</v>
          </cell>
          <cell r="BC13">
            <v>9</v>
          </cell>
          <cell r="BD13">
            <v>3</v>
          </cell>
          <cell r="BE13">
            <v>6</v>
          </cell>
          <cell r="BF13">
            <v>4</v>
          </cell>
          <cell r="BG13">
            <v>5</v>
          </cell>
          <cell r="BH13">
            <v>2</v>
          </cell>
          <cell r="BI13">
            <v>9</v>
          </cell>
          <cell r="BJ13">
            <v>4</v>
          </cell>
          <cell r="BK13">
            <v>6</v>
          </cell>
          <cell r="BL13">
            <v>3</v>
          </cell>
          <cell r="BM13">
            <v>3</v>
          </cell>
          <cell r="BN13">
            <v>4</v>
          </cell>
          <cell r="BO13">
            <v>1</v>
          </cell>
          <cell r="BP13">
            <v>2</v>
          </cell>
          <cell r="BQ13">
            <v>3</v>
          </cell>
          <cell r="BR13">
            <v>7</v>
          </cell>
          <cell r="BS13">
            <v>7</v>
          </cell>
          <cell r="BT13">
            <v>5</v>
          </cell>
          <cell r="BU13">
            <v>5</v>
          </cell>
        </row>
        <row r="14">
          <cell r="Z14">
            <v>1</v>
          </cell>
          <cell r="AA14">
            <v>1</v>
          </cell>
          <cell r="AB14">
            <v>1</v>
          </cell>
          <cell r="AD14">
            <v>2</v>
          </cell>
          <cell r="AE14">
            <v>7</v>
          </cell>
          <cell r="AF14">
            <v>1</v>
          </cell>
          <cell r="AG14">
            <v>4</v>
          </cell>
          <cell r="AH14">
            <v>3</v>
          </cell>
          <cell r="AI14">
            <v>1</v>
          </cell>
          <cell r="AK14">
            <v>3</v>
          </cell>
          <cell r="AL14">
            <v>3</v>
          </cell>
          <cell r="AM14">
            <v>2</v>
          </cell>
          <cell r="AN14">
            <v>4</v>
          </cell>
          <cell r="AO14">
            <v>5</v>
          </cell>
          <cell r="AQ14">
            <v>2</v>
          </cell>
          <cell r="AR14">
            <v>4</v>
          </cell>
          <cell r="AS14">
            <v>1</v>
          </cell>
          <cell r="AT14">
            <v>2</v>
          </cell>
          <cell r="AU14">
            <v>6</v>
          </cell>
          <cell r="AV14">
            <v>1</v>
          </cell>
          <cell r="AW14">
            <v>12</v>
          </cell>
          <cell r="AX14">
            <v>4</v>
          </cell>
          <cell r="AY14">
            <v>4</v>
          </cell>
          <cell r="AZ14">
            <v>10</v>
          </cell>
          <cell r="BA14">
            <v>6</v>
          </cell>
          <cell r="BB14">
            <v>6</v>
          </cell>
          <cell r="BC14">
            <v>5</v>
          </cell>
          <cell r="BD14">
            <v>1</v>
          </cell>
          <cell r="BE14">
            <v>3</v>
          </cell>
          <cell r="BF14">
            <v>1</v>
          </cell>
          <cell r="BG14">
            <v>3</v>
          </cell>
          <cell r="BH14">
            <v>5</v>
          </cell>
          <cell r="BI14">
            <v>3</v>
          </cell>
          <cell r="BJ14">
            <v>6</v>
          </cell>
          <cell r="BK14">
            <v>4</v>
          </cell>
          <cell r="BL14">
            <v>2</v>
          </cell>
          <cell r="BM14">
            <v>5</v>
          </cell>
          <cell r="BN14">
            <v>4</v>
          </cell>
          <cell r="BO14">
            <v>5</v>
          </cell>
          <cell r="BP14">
            <v>3</v>
          </cell>
          <cell r="BQ14">
            <v>4</v>
          </cell>
          <cell r="BR14">
            <v>4</v>
          </cell>
          <cell r="BS14">
            <v>4</v>
          </cell>
          <cell r="BT14">
            <v>3</v>
          </cell>
          <cell r="BU14">
            <v>0</v>
          </cell>
        </row>
        <row r="15">
          <cell r="Z15">
            <v>5</v>
          </cell>
          <cell r="AA15">
            <v>1</v>
          </cell>
          <cell r="AB15">
            <v>3</v>
          </cell>
          <cell r="AC15">
            <v>5</v>
          </cell>
          <cell r="AD15">
            <v>5</v>
          </cell>
          <cell r="AE15">
            <v>7</v>
          </cell>
          <cell r="AF15">
            <v>5</v>
          </cell>
          <cell r="AG15">
            <v>6</v>
          </cell>
          <cell r="AH15">
            <v>4</v>
          </cell>
          <cell r="AI15">
            <v>1</v>
          </cell>
          <cell r="AJ15">
            <v>4</v>
          </cell>
          <cell r="AK15">
            <v>4</v>
          </cell>
          <cell r="AL15">
            <v>1</v>
          </cell>
          <cell r="AM15">
            <v>4</v>
          </cell>
          <cell r="AN15">
            <v>4</v>
          </cell>
          <cell r="AO15">
            <v>6</v>
          </cell>
          <cell r="AP15">
            <v>4</v>
          </cell>
          <cell r="AQ15">
            <v>4</v>
          </cell>
          <cell r="AR15">
            <v>4</v>
          </cell>
          <cell r="AS15">
            <v>4</v>
          </cell>
          <cell r="AT15">
            <v>4</v>
          </cell>
          <cell r="AU15">
            <v>3</v>
          </cell>
          <cell r="AV15">
            <v>4</v>
          </cell>
          <cell r="AW15">
            <v>3</v>
          </cell>
          <cell r="AX15">
            <v>4</v>
          </cell>
          <cell r="AY15">
            <v>7</v>
          </cell>
          <cell r="AZ15">
            <v>9</v>
          </cell>
          <cell r="BA15">
            <v>6</v>
          </cell>
          <cell r="BB15">
            <v>7</v>
          </cell>
          <cell r="BC15">
            <v>7</v>
          </cell>
          <cell r="BD15">
            <v>4</v>
          </cell>
          <cell r="BE15">
            <v>2</v>
          </cell>
          <cell r="BF15">
            <v>4</v>
          </cell>
          <cell r="BG15">
            <v>6</v>
          </cell>
          <cell r="BH15">
            <v>5</v>
          </cell>
          <cell r="BI15">
            <v>3</v>
          </cell>
          <cell r="BJ15">
            <v>4</v>
          </cell>
          <cell r="BK15">
            <v>5</v>
          </cell>
          <cell r="BL15">
            <v>2</v>
          </cell>
          <cell r="BM15">
            <v>7</v>
          </cell>
          <cell r="BN15">
            <v>7</v>
          </cell>
          <cell r="BO15">
            <v>3</v>
          </cell>
          <cell r="BP15">
            <v>2</v>
          </cell>
          <cell r="BQ15">
            <v>4</v>
          </cell>
          <cell r="BR15">
            <v>2</v>
          </cell>
          <cell r="BS15">
            <v>4</v>
          </cell>
          <cell r="BT15">
            <v>4</v>
          </cell>
          <cell r="BU15">
            <v>7</v>
          </cell>
        </row>
        <row r="16">
          <cell r="Z16">
            <v>6</v>
          </cell>
          <cell r="AA16">
            <v>2</v>
          </cell>
          <cell r="AB16">
            <v>4</v>
          </cell>
          <cell r="AC16">
            <v>5</v>
          </cell>
          <cell r="AD16">
            <v>7</v>
          </cell>
          <cell r="AE16">
            <v>14</v>
          </cell>
          <cell r="AF16">
            <v>6</v>
          </cell>
          <cell r="AG16">
            <v>10</v>
          </cell>
          <cell r="AH16">
            <v>7</v>
          </cell>
          <cell r="AI16">
            <v>2</v>
          </cell>
          <cell r="AJ16">
            <v>4</v>
          </cell>
          <cell r="AK16">
            <v>7</v>
          </cell>
          <cell r="AL16">
            <v>4</v>
          </cell>
          <cell r="AM16">
            <v>6</v>
          </cell>
          <cell r="AN16">
            <v>8</v>
          </cell>
          <cell r="AO16">
            <v>11</v>
          </cell>
          <cell r="AP16">
            <v>4</v>
          </cell>
          <cell r="AQ16">
            <v>6</v>
          </cell>
          <cell r="AR16">
            <v>8</v>
          </cell>
          <cell r="AS16">
            <v>5</v>
          </cell>
          <cell r="AT16">
            <v>6</v>
          </cell>
          <cell r="AU16">
            <v>9</v>
          </cell>
          <cell r="AV16">
            <v>5</v>
          </cell>
          <cell r="AW16">
            <v>15</v>
          </cell>
          <cell r="AX16">
            <v>8</v>
          </cell>
          <cell r="AY16">
            <v>11</v>
          </cell>
          <cell r="AZ16">
            <v>19</v>
          </cell>
          <cell r="BA16">
            <v>12</v>
          </cell>
          <cell r="BB16">
            <v>13</v>
          </cell>
          <cell r="BC16">
            <v>12</v>
          </cell>
          <cell r="BD16">
            <v>5</v>
          </cell>
          <cell r="BE16">
            <v>5</v>
          </cell>
          <cell r="BF16">
            <v>5</v>
          </cell>
          <cell r="BG16">
            <v>9</v>
          </cell>
          <cell r="BH16">
            <v>10</v>
          </cell>
          <cell r="BI16">
            <v>6</v>
          </cell>
          <cell r="BJ16">
            <v>10</v>
          </cell>
          <cell r="BK16">
            <v>9</v>
          </cell>
          <cell r="BL16">
            <v>4</v>
          </cell>
          <cell r="BM16">
            <v>12</v>
          </cell>
          <cell r="BN16">
            <v>11</v>
          </cell>
          <cell r="BO16">
            <v>8</v>
          </cell>
          <cell r="BP16">
            <v>5</v>
          </cell>
          <cell r="BQ16">
            <v>8</v>
          </cell>
          <cell r="BR16">
            <v>6</v>
          </cell>
          <cell r="BS16">
            <v>8</v>
          </cell>
          <cell r="BT16">
            <v>7</v>
          </cell>
          <cell r="BU16">
            <v>7</v>
          </cell>
        </row>
        <row r="17">
          <cell r="Z17">
            <v>12</v>
          </cell>
          <cell r="AA17">
            <v>15</v>
          </cell>
          <cell r="AB17">
            <v>10</v>
          </cell>
          <cell r="AC17">
            <v>11</v>
          </cell>
          <cell r="AD17">
            <v>15</v>
          </cell>
          <cell r="AE17">
            <v>26</v>
          </cell>
          <cell r="AF17">
            <v>29</v>
          </cell>
          <cell r="AG17">
            <v>28</v>
          </cell>
          <cell r="AH17">
            <v>18</v>
          </cell>
          <cell r="AI17">
            <v>9</v>
          </cell>
          <cell r="AJ17">
            <v>13</v>
          </cell>
          <cell r="AK17">
            <v>16</v>
          </cell>
          <cell r="AL17">
            <v>19</v>
          </cell>
          <cell r="AM17">
            <v>18</v>
          </cell>
          <cell r="AN17">
            <v>25</v>
          </cell>
          <cell r="AO17">
            <v>27</v>
          </cell>
          <cell r="AP17">
            <v>17</v>
          </cell>
          <cell r="AQ17">
            <v>14</v>
          </cell>
          <cell r="AR17">
            <v>24</v>
          </cell>
          <cell r="AS17">
            <v>18</v>
          </cell>
          <cell r="AT17">
            <v>19</v>
          </cell>
          <cell r="AU17">
            <v>21</v>
          </cell>
          <cell r="AV17">
            <v>17</v>
          </cell>
          <cell r="AW17">
            <v>36</v>
          </cell>
          <cell r="AX17">
            <v>22</v>
          </cell>
          <cell r="AY17">
            <v>28</v>
          </cell>
          <cell r="AZ17">
            <v>43</v>
          </cell>
          <cell r="BA17">
            <v>32</v>
          </cell>
          <cell r="BB17">
            <v>29</v>
          </cell>
          <cell r="BC17">
            <v>31</v>
          </cell>
          <cell r="BD17">
            <v>18</v>
          </cell>
          <cell r="BE17">
            <v>19</v>
          </cell>
          <cell r="BF17">
            <v>18</v>
          </cell>
          <cell r="BG17">
            <v>24</v>
          </cell>
          <cell r="BH17">
            <v>25</v>
          </cell>
          <cell r="BI17">
            <v>25</v>
          </cell>
          <cell r="BJ17">
            <v>22</v>
          </cell>
          <cell r="BK17">
            <v>22</v>
          </cell>
          <cell r="BL17">
            <v>14</v>
          </cell>
          <cell r="BM17">
            <v>31</v>
          </cell>
          <cell r="BN17">
            <v>23</v>
          </cell>
          <cell r="BO17">
            <v>15</v>
          </cell>
          <cell r="BP17">
            <v>10</v>
          </cell>
          <cell r="BQ17">
            <v>19</v>
          </cell>
          <cell r="BR17">
            <v>22</v>
          </cell>
          <cell r="BS17">
            <v>22</v>
          </cell>
          <cell r="BT17">
            <v>15</v>
          </cell>
          <cell r="BU17">
            <v>17</v>
          </cell>
        </row>
      </sheetData>
      <sheetData sheetId="34">
        <row r="3">
          <cell r="Z3">
            <v>1</v>
          </cell>
          <cell r="AB3">
            <v>4</v>
          </cell>
          <cell r="AC3">
            <v>5</v>
          </cell>
          <cell r="AE3">
            <v>3</v>
          </cell>
          <cell r="AF3">
            <v>1</v>
          </cell>
          <cell r="AG3">
            <v>2</v>
          </cell>
          <cell r="AJ3">
            <v>4</v>
          </cell>
          <cell r="AK3">
            <v>1</v>
          </cell>
          <cell r="AL3">
            <v>2</v>
          </cell>
          <cell r="AM3">
            <v>3</v>
          </cell>
          <cell r="AN3">
            <v>2</v>
          </cell>
          <cell r="AP3">
            <v>6</v>
          </cell>
          <cell r="AQ3">
            <v>2</v>
          </cell>
          <cell r="AR3">
            <v>1</v>
          </cell>
          <cell r="AS3">
            <v>3</v>
          </cell>
          <cell r="AT3">
            <v>2</v>
          </cell>
          <cell r="AU3">
            <v>2</v>
          </cell>
          <cell r="AV3">
            <v>4</v>
          </cell>
          <cell r="AW3">
            <v>2</v>
          </cell>
          <cell r="AX3">
            <v>4</v>
          </cell>
          <cell r="AY3">
            <v>8</v>
          </cell>
          <cell r="AZ3">
            <v>2</v>
          </cell>
          <cell r="BA3">
            <v>2</v>
          </cell>
          <cell r="BB3">
            <v>1</v>
          </cell>
          <cell r="BC3">
            <v>0</v>
          </cell>
          <cell r="BD3">
            <v>1</v>
          </cell>
          <cell r="BE3">
            <v>1</v>
          </cell>
          <cell r="BF3">
            <v>2</v>
          </cell>
          <cell r="BG3">
            <v>2</v>
          </cell>
          <cell r="BH3">
            <v>0</v>
          </cell>
          <cell r="BI3">
            <v>2</v>
          </cell>
          <cell r="BJ3">
            <v>1</v>
          </cell>
          <cell r="BK3">
            <v>2</v>
          </cell>
          <cell r="BL3">
            <v>1</v>
          </cell>
          <cell r="BM3">
            <v>1</v>
          </cell>
          <cell r="BN3">
            <v>1</v>
          </cell>
          <cell r="BO3">
            <v>1</v>
          </cell>
          <cell r="BP3">
            <v>3</v>
          </cell>
          <cell r="BQ3">
            <v>1</v>
          </cell>
          <cell r="BR3">
            <v>2</v>
          </cell>
          <cell r="BS3">
            <v>3</v>
          </cell>
          <cell r="BT3">
            <v>2</v>
          </cell>
          <cell r="BU3">
            <v>0</v>
          </cell>
        </row>
        <row r="4">
          <cell r="Z4">
            <v>5</v>
          </cell>
          <cell r="AA4">
            <v>7</v>
          </cell>
          <cell r="AB4">
            <v>12</v>
          </cell>
          <cell r="AC4">
            <v>14</v>
          </cell>
          <cell r="AD4">
            <v>7</v>
          </cell>
          <cell r="AE4">
            <v>5</v>
          </cell>
          <cell r="AF4">
            <v>9</v>
          </cell>
          <cell r="AG4">
            <v>14</v>
          </cell>
          <cell r="AH4">
            <v>5</v>
          </cell>
          <cell r="AI4">
            <v>9</v>
          </cell>
          <cell r="AJ4">
            <v>5</v>
          </cell>
          <cell r="AK4">
            <v>7</v>
          </cell>
          <cell r="AL4">
            <v>12</v>
          </cell>
          <cell r="AM4">
            <v>10</v>
          </cell>
          <cell r="AN4">
            <v>18</v>
          </cell>
          <cell r="AO4">
            <v>9</v>
          </cell>
          <cell r="AP4">
            <v>11</v>
          </cell>
          <cell r="AQ4">
            <v>7</v>
          </cell>
          <cell r="AR4">
            <v>7</v>
          </cell>
          <cell r="AS4">
            <v>12</v>
          </cell>
          <cell r="AT4">
            <v>8</v>
          </cell>
          <cell r="AU4">
            <v>10</v>
          </cell>
          <cell r="AV4">
            <v>4</v>
          </cell>
          <cell r="AW4">
            <v>10</v>
          </cell>
          <cell r="AX4">
            <v>8</v>
          </cell>
          <cell r="AY4">
            <v>6</v>
          </cell>
          <cell r="AZ4">
            <v>5</v>
          </cell>
          <cell r="BA4">
            <v>9</v>
          </cell>
          <cell r="BB4">
            <v>7</v>
          </cell>
          <cell r="BC4">
            <v>8</v>
          </cell>
          <cell r="BD4">
            <v>8</v>
          </cell>
          <cell r="BE4">
            <v>5</v>
          </cell>
          <cell r="BF4">
            <v>4</v>
          </cell>
          <cell r="BG4">
            <v>2</v>
          </cell>
          <cell r="BH4">
            <v>9</v>
          </cell>
          <cell r="BI4">
            <v>6</v>
          </cell>
          <cell r="BJ4">
            <v>9</v>
          </cell>
          <cell r="BK4">
            <v>7</v>
          </cell>
          <cell r="BL4">
            <v>8</v>
          </cell>
          <cell r="BM4">
            <v>10</v>
          </cell>
          <cell r="BN4">
            <v>5</v>
          </cell>
          <cell r="BO4">
            <v>9</v>
          </cell>
          <cell r="BP4">
            <v>5</v>
          </cell>
          <cell r="BQ4">
            <v>4</v>
          </cell>
          <cell r="BR4">
            <v>3</v>
          </cell>
          <cell r="BS4">
            <v>9</v>
          </cell>
          <cell r="BT4">
            <v>5</v>
          </cell>
          <cell r="BU4">
            <v>3</v>
          </cell>
        </row>
        <row r="5">
          <cell r="Z5">
            <v>2</v>
          </cell>
          <cell r="AA5">
            <v>7</v>
          </cell>
          <cell r="AB5">
            <v>8</v>
          </cell>
          <cell r="AC5">
            <v>9</v>
          </cell>
          <cell r="AD5">
            <v>6</v>
          </cell>
          <cell r="AE5">
            <v>3</v>
          </cell>
          <cell r="AF5">
            <v>12</v>
          </cell>
          <cell r="AG5">
            <v>3</v>
          </cell>
          <cell r="AH5">
            <v>4</v>
          </cell>
          <cell r="AI5">
            <v>3</v>
          </cell>
          <cell r="AJ5">
            <v>2</v>
          </cell>
          <cell r="AK5">
            <v>4</v>
          </cell>
          <cell r="AL5">
            <v>5</v>
          </cell>
          <cell r="AM5">
            <v>7</v>
          </cell>
          <cell r="AN5">
            <v>6</v>
          </cell>
          <cell r="AO5">
            <v>9</v>
          </cell>
          <cell r="AP5">
            <v>2</v>
          </cell>
          <cell r="AQ5">
            <v>5</v>
          </cell>
          <cell r="AR5">
            <v>3</v>
          </cell>
          <cell r="AS5">
            <v>2</v>
          </cell>
          <cell r="AT5">
            <v>6</v>
          </cell>
          <cell r="AU5">
            <v>4</v>
          </cell>
          <cell r="AV5">
            <v>6</v>
          </cell>
          <cell r="AW5">
            <v>8</v>
          </cell>
          <cell r="AX5">
            <v>2</v>
          </cell>
          <cell r="AY5">
            <v>9</v>
          </cell>
          <cell r="AZ5">
            <v>4</v>
          </cell>
          <cell r="BA5">
            <v>7</v>
          </cell>
          <cell r="BB5">
            <v>4</v>
          </cell>
          <cell r="BC5">
            <v>5</v>
          </cell>
          <cell r="BD5">
            <v>6</v>
          </cell>
          <cell r="BE5">
            <v>3</v>
          </cell>
          <cell r="BF5">
            <v>2</v>
          </cell>
          <cell r="BG5">
            <v>6</v>
          </cell>
          <cell r="BH5">
            <v>7</v>
          </cell>
          <cell r="BI5">
            <v>2</v>
          </cell>
          <cell r="BJ5">
            <v>3</v>
          </cell>
          <cell r="BK5">
            <v>5</v>
          </cell>
          <cell r="BL5">
            <v>5</v>
          </cell>
          <cell r="BM5">
            <v>11</v>
          </cell>
          <cell r="BN5">
            <v>5</v>
          </cell>
          <cell r="BO5">
            <v>5</v>
          </cell>
          <cell r="BP5">
            <v>5</v>
          </cell>
          <cell r="BQ5">
            <v>8</v>
          </cell>
          <cell r="BR5">
            <v>5</v>
          </cell>
          <cell r="BS5">
            <v>6</v>
          </cell>
          <cell r="BT5">
            <v>2</v>
          </cell>
          <cell r="BU5">
            <v>7</v>
          </cell>
        </row>
        <row r="6">
          <cell r="Z6">
            <v>4</v>
          </cell>
          <cell r="AA6">
            <v>7</v>
          </cell>
          <cell r="AB6">
            <v>5</v>
          </cell>
          <cell r="AC6">
            <v>5</v>
          </cell>
          <cell r="AD6">
            <v>4</v>
          </cell>
          <cell r="AE6">
            <v>1</v>
          </cell>
          <cell r="AF6">
            <v>4</v>
          </cell>
          <cell r="AG6">
            <v>3</v>
          </cell>
          <cell r="AH6">
            <v>3</v>
          </cell>
          <cell r="AI6">
            <v>3</v>
          </cell>
          <cell r="AJ6">
            <v>1</v>
          </cell>
          <cell r="AK6">
            <v>2</v>
          </cell>
          <cell r="AL6">
            <v>5</v>
          </cell>
          <cell r="AN6">
            <v>4</v>
          </cell>
          <cell r="AO6">
            <v>2</v>
          </cell>
          <cell r="AP6">
            <v>1</v>
          </cell>
          <cell r="AQ6">
            <v>1</v>
          </cell>
          <cell r="AR6">
            <v>3</v>
          </cell>
          <cell r="AS6">
            <v>2</v>
          </cell>
          <cell r="AT6">
            <v>1</v>
          </cell>
          <cell r="AU6">
            <v>3</v>
          </cell>
          <cell r="AV6">
            <v>3</v>
          </cell>
          <cell r="AW6">
            <v>2</v>
          </cell>
          <cell r="AX6">
            <v>1</v>
          </cell>
          <cell r="AY6">
            <v>1</v>
          </cell>
          <cell r="AZ6">
            <v>3</v>
          </cell>
          <cell r="BA6">
            <v>6</v>
          </cell>
          <cell r="BB6">
            <v>5</v>
          </cell>
          <cell r="BC6">
            <v>5</v>
          </cell>
          <cell r="BD6">
            <v>1</v>
          </cell>
          <cell r="BE6">
            <v>4</v>
          </cell>
          <cell r="BF6">
            <v>3</v>
          </cell>
          <cell r="BG6">
            <v>8</v>
          </cell>
          <cell r="BH6">
            <v>7</v>
          </cell>
          <cell r="BI6">
            <v>1</v>
          </cell>
          <cell r="BJ6">
            <v>5</v>
          </cell>
          <cell r="BK6">
            <v>2</v>
          </cell>
          <cell r="BL6">
            <v>3</v>
          </cell>
          <cell r="BM6">
            <v>3</v>
          </cell>
          <cell r="BN6">
            <v>2</v>
          </cell>
          <cell r="BO6">
            <v>2</v>
          </cell>
          <cell r="BP6">
            <v>3</v>
          </cell>
          <cell r="BQ6">
            <v>4</v>
          </cell>
          <cell r="BR6">
            <v>2</v>
          </cell>
          <cell r="BS6">
            <v>2</v>
          </cell>
          <cell r="BT6">
            <v>4</v>
          </cell>
          <cell r="BU6">
            <v>2</v>
          </cell>
        </row>
        <row r="7">
          <cell r="Z7">
            <v>2</v>
          </cell>
          <cell r="AA7">
            <v>5</v>
          </cell>
          <cell r="AB7">
            <v>10</v>
          </cell>
          <cell r="AC7">
            <v>2</v>
          </cell>
          <cell r="AD7">
            <v>5</v>
          </cell>
          <cell r="AE7">
            <v>4</v>
          </cell>
          <cell r="AF7">
            <v>4</v>
          </cell>
          <cell r="AG7">
            <v>11</v>
          </cell>
          <cell r="AH7">
            <v>8</v>
          </cell>
          <cell r="AI7">
            <v>4</v>
          </cell>
          <cell r="AJ7">
            <v>4</v>
          </cell>
          <cell r="AK7">
            <v>5</v>
          </cell>
          <cell r="AL7">
            <v>7</v>
          </cell>
          <cell r="AM7">
            <v>7</v>
          </cell>
          <cell r="AN7">
            <v>9</v>
          </cell>
          <cell r="AO7">
            <v>9</v>
          </cell>
          <cell r="AP7">
            <v>9</v>
          </cell>
          <cell r="AQ7">
            <v>5</v>
          </cell>
          <cell r="AR7">
            <v>2</v>
          </cell>
          <cell r="AS7">
            <v>5</v>
          </cell>
          <cell r="AT7">
            <v>4</v>
          </cell>
          <cell r="AU7">
            <v>4</v>
          </cell>
          <cell r="AV7">
            <v>8</v>
          </cell>
          <cell r="AW7">
            <v>6</v>
          </cell>
          <cell r="AX7">
            <v>5</v>
          </cell>
          <cell r="AY7">
            <v>3</v>
          </cell>
          <cell r="AZ7">
            <v>6</v>
          </cell>
          <cell r="BA7">
            <v>13</v>
          </cell>
          <cell r="BB7">
            <v>5</v>
          </cell>
          <cell r="BC7">
            <v>6</v>
          </cell>
          <cell r="BD7">
            <v>6</v>
          </cell>
          <cell r="BE7">
            <v>10</v>
          </cell>
          <cell r="BF7">
            <v>2</v>
          </cell>
          <cell r="BG7">
            <v>7</v>
          </cell>
          <cell r="BH7">
            <v>8</v>
          </cell>
          <cell r="BI7">
            <v>2</v>
          </cell>
          <cell r="BJ7">
            <v>3</v>
          </cell>
          <cell r="BK7">
            <v>4</v>
          </cell>
          <cell r="BL7">
            <v>3</v>
          </cell>
          <cell r="BM7">
            <v>4</v>
          </cell>
          <cell r="BN7">
            <v>6</v>
          </cell>
          <cell r="BO7">
            <v>3</v>
          </cell>
          <cell r="BP7">
            <v>3</v>
          </cell>
          <cell r="BQ7">
            <v>3</v>
          </cell>
          <cell r="BR7">
            <v>7</v>
          </cell>
          <cell r="BS7">
            <v>4</v>
          </cell>
          <cell r="BT7">
            <v>3</v>
          </cell>
          <cell r="BU7">
            <v>3</v>
          </cell>
        </row>
        <row r="8">
          <cell r="AX8">
            <v>6</v>
          </cell>
          <cell r="AY8">
            <v>4</v>
          </cell>
          <cell r="AZ8">
            <v>9</v>
          </cell>
          <cell r="BA8">
            <v>19</v>
          </cell>
          <cell r="BB8">
            <v>10</v>
          </cell>
          <cell r="BC8">
            <v>11</v>
          </cell>
          <cell r="BD8">
            <v>7</v>
          </cell>
          <cell r="BE8">
            <v>14</v>
          </cell>
          <cell r="BF8">
            <v>5</v>
          </cell>
          <cell r="BG8">
            <v>15</v>
          </cell>
          <cell r="BH8">
            <v>15</v>
          </cell>
          <cell r="BI8">
            <v>3</v>
          </cell>
        </row>
        <row r="9">
          <cell r="AX9">
            <v>20</v>
          </cell>
          <cell r="AY9">
            <v>27</v>
          </cell>
          <cell r="AZ9">
            <v>20</v>
          </cell>
          <cell r="BA9">
            <v>37</v>
          </cell>
          <cell r="BB9">
            <v>22</v>
          </cell>
          <cell r="BC9">
            <v>24</v>
          </cell>
          <cell r="BD9">
            <v>22</v>
          </cell>
          <cell r="BE9">
            <v>23</v>
          </cell>
          <cell r="BF9">
            <v>13</v>
          </cell>
          <cell r="BG9">
            <v>25</v>
          </cell>
          <cell r="BH9">
            <v>31</v>
          </cell>
          <cell r="BI9">
            <v>13</v>
          </cell>
        </row>
        <row r="25">
          <cell r="Z25">
            <v>0</v>
          </cell>
          <cell r="AA25">
            <v>1</v>
          </cell>
          <cell r="AB25">
            <v>5</v>
          </cell>
          <cell r="AC25">
            <v>1</v>
          </cell>
          <cell r="AD25">
            <v>1</v>
          </cell>
          <cell r="AE25">
            <v>1</v>
          </cell>
          <cell r="AF25">
            <v>3</v>
          </cell>
          <cell r="AG25">
            <v>0</v>
          </cell>
          <cell r="AH25">
            <v>2</v>
          </cell>
          <cell r="AI25">
            <v>0</v>
          </cell>
          <cell r="AJ25">
            <v>1</v>
          </cell>
          <cell r="AK25">
            <v>1</v>
          </cell>
          <cell r="AL25">
            <v>1</v>
          </cell>
          <cell r="AM25">
            <v>2</v>
          </cell>
          <cell r="AN25">
            <v>1</v>
          </cell>
          <cell r="AO25">
            <v>2</v>
          </cell>
          <cell r="AP25">
            <v>0</v>
          </cell>
          <cell r="AQ25">
            <v>5</v>
          </cell>
          <cell r="AR25">
            <v>2</v>
          </cell>
          <cell r="AS25">
            <v>0</v>
          </cell>
          <cell r="AT25">
            <v>3</v>
          </cell>
          <cell r="AU25">
            <v>0</v>
          </cell>
          <cell r="AV25">
            <v>1</v>
          </cell>
          <cell r="AW25">
            <v>2</v>
          </cell>
          <cell r="AX25">
            <v>1</v>
          </cell>
          <cell r="AY25">
            <v>1</v>
          </cell>
          <cell r="AZ25">
            <v>1</v>
          </cell>
          <cell r="BA25">
            <v>3</v>
          </cell>
          <cell r="BB25">
            <v>0</v>
          </cell>
          <cell r="BC25">
            <v>0</v>
          </cell>
          <cell r="BD25">
            <v>1</v>
          </cell>
          <cell r="BE25">
            <v>1</v>
          </cell>
          <cell r="BF25">
            <v>1</v>
          </cell>
          <cell r="BG25">
            <v>0</v>
          </cell>
          <cell r="BH25">
            <v>0</v>
          </cell>
          <cell r="BI25">
            <v>0</v>
          </cell>
          <cell r="BJ25">
            <v>0</v>
          </cell>
          <cell r="BK25">
            <v>0</v>
          </cell>
          <cell r="BL25">
            <v>1</v>
          </cell>
          <cell r="BM25">
            <v>1</v>
          </cell>
          <cell r="BN25">
            <v>2</v>
          </cell>
          <cell r="BO25">
            <v>0</v>
          </cell>
          <cell r="BP25">
            <v>1</v>
          </cell>
          <cell r="BQ25">
            <v>2</v>
          </cell>
          <cell r="BR25">
            <v>0</v>
          </cell>
          <cell r="BS25">
            <v>0</v>
          </cell>
          <cell r="BT25">
            <v>0</v>
          </cell>
          <cell r="BU25">
            <v>2</v>
          </cell>
        </row>
        <row r="26">
          <cell r="AX26">
            <v>2</v>
          </cell>
          <cell r="AY26">
            <v>0</v>
          </cell>
          <cell r="AZ26">
            <v>2</v>
          </cell>
          <cell r="BA26">
            <v>0</v>
          </cell>
          <cell r="BB26">
            <v>1</v>
          </cell>
          <cell r="BE26">
            <v>1</v>
          </cell>
          <cell r="BJ26">
            <v>0</v>
          </cell>
          <cell r="BK26">
            <v>1</v>
          </cell>
          <cell r="BL26">
            <v>0</v>
          </cell>
          <cell r="BM26">
            <v>0</v>
          </cell>
          <cell r="BN26">
            <v>0</v>
          </cell>
          <cell r="BO26">
            <v>0</v>
          </cell>
          <cell r="BP26">
            <v>0</v>
          </cell>
          <cell r="BQ26">
            <v>0</v>
          </cell>
          <cell r="BR26">
            <v>0</v>
          </cell>
          <cell r="BS26">
            <v>0</v>
          </cell>
        </row>
        <row r="27">
          <cell r="AX27">
            <v>0</v>
          </cell>
          <cell r="AY27">
            <v>3</v>
          </cell>
          <cell r="AZ27">
            <v>0</v>
          </cell>
          <cell r="BA27">
            <v>3</v>
          </cell>
          <cell r="BB27">
            <v>1</v>
          </cell>
          <cell r="BC27">
            <v>3</v>
          </cell>
          <cell r="BD27">
            <v>0</v>
          </cell>
          <cell r="BE27">
            <v>13</v>
          </cell>
          <cell r="BF27">
            <v>0</v>
          </cell>
          <cell r="BG27">
            <v>1</v>
          </cell>
          <cell r="BH27">
            <v>1</v>
          </cell>
          <cell r="BI27">
            <v>0</v>
          </cell>
          <cell r="BJ27">
            <v>2</v>
          </cell>
          <cell r="BK27">
            <v>0</v>
          </cell>
          <cell r="BL27">
            <v>0</v>
          </cell>
          <cell r="BM27">
            <v>0</v>
          </cell>
          <cell r="BN27">
            <v>0</v>
          </cell>
          <cell r="BO27">
            <v>1</v>
          </cell>
          <cell r="BP27">
            <v>1</v>
          </cell>
          <cell r="BQ27">
            <v>0</v>
          </cell>
          <cell r="BR27">
            <v>0</v>
          </cell>
          <cell r="BS27">
            <v>2</v>
          </cell>
        </row>
        <row r="28">
          <cell r="AX28">
            <v>0</v>
          </cell>
          <cell r="AY28">
            <v>0</v>
          </cell>
          <cell r="AZ28">
            <v>1</v>
          </cell>
          <cell r="BA28">
            <v>0</v>
          </cell>
          <cell r="BB28">
            <v>0</v>
          </cell>
          <cell r="BC28">
            <v>0</v>
          </cell>
          <cell r="BD28">
            <v>0</v>
          </cell>
          <cell r="BE28">
            <v>1</v>
          </cell>
          <cell r="BF28">
            <v>1</v>
          </cell>
          <cell r="BG28">
            <v>1</v>
          </cell>
          <cell r="BH28">
            <v>1</v>
          </cell>
          <cell r="BI28">
            <v>0</v>
          </cell>
          <cell r="BJ28">
            <v>3</v>
          </cell>
          <cell r="BK28">
            <v>2</v>
          </cell>
          <cell r="BL28">
            <v>6</v>
          </cell>
          <cell r="BM28">
            <v>0</v>
          </cell>
          <cell r="BN28">
            <v>0</v>
          </cell>
          <cell r="BO28">
            <v>0</v>
          </cell>
          <cell r="BP28">
            <v>0</v>
          </cell>
          <cell r="BQ28">
            <v>0</v>
          </cell>
          <cell r="BR28">
            <v>0</v>
          </cell>
          <cell r="BS28">
            <v>0</v>
          </cell>
        </row>
        <row r="29">
          <cell r="AX29">
            <v>1</v>
          </cell>
          <cell r="AY29">
            <v>2</v>
          </cell>
          <cell r="AZ29">
            <v>5</v>
          </cell>
          <cell r="BA29">
            <v>6</v>
          </cell>
          <cell r="BB29">
            <v>1</v>
          </cell>
          <cell r="BC29">
            <v>3</v>
          </cell>
          <cell r="BD29">
            <v>0</v>
          </cell>
          <cell r="BE29">
            <v>2</v>
          </cell>
          <cell r="BF29">
            <v>1</v>
          </cell>
          <cell r="BG29">
            <v>2</v>
          </cell>
          <cell r="BH29">
            <v>3</v>
          </cell>
          <cell r="BI29">
            <v>0</v>
          </cell>
          <cell r="BJ29">
            <v>1</v>
          </cell>
          <cell r="BK29">
            <v>3</v>
          </cell>
          <cell r="BL29">
            <v>0</v>
          </cell>
          <cell r="BM29">
            <v>1</v>
          </cell>
          <cell r="BN29">
            <v>0</v>
          </cell>
          <cell r="BO29">
            <v>1</v>
          </cell>
          <cell r="BP29">
            <v>0</v>
          </cell>
          <cell r="BQ29">
            <v>0</v>
          </cell>
          <cell r="BR29">
            <v>0</v>
          </cell>
          <cell r="BS29">
            <v>0</v>
          </cell>
        </row>
        <row r="31">
          <cell r="AX31">
            <v>4</v>
          </cell>
          <cell r="AY31">
            <v>6</v>
          </cell>
          <cell r="AZ31">
            <v>9</v>
          </cell>
          <cell r="BA31">
            <v>12</v>
          </cell>
          <cell r="BB31">
            <v>3</v>
          </cell>
          <cell r="BC31">
            <v>6</v>
          </cell>
          <cell r="BD31">
            <v>1</v>
          </cell>
          <cell r="BE31">
            <v>18</v>
          </cell>
          <cell r="BF31">
            <v>3</v>
          </cell>
          <cell r="BG31">
            <v>4</v>
          </cell>
          <cell r="BH31">
            <v>5</v>
          </cell>
          <cell r="BI31">
            <v>0</v>
          </cell>
          <cell r="BJ31">
            <v>6</v>
          </cell>
          <cell r="BK31">
            <v>6</v>
          </cell>
          <cell r="BL31">
            <v>7</v>
          </cell>
          <cell r="BM31">
            <v>2</v>
          </cell>
          <cell r="BN31">
            <v>2</v>
          </cell>
          <cell r="BO31">
            <v>2</v>
          </cell>
          <cell r="BP31">
            <v>2</v>
          </cell>
          <cell r="BQ31">
            <v>2</v>
          </cell>
          <cell r="BR31">
            <v>0</v>
          </cell>
          <cell r="BS31">
            <v>2</v>
          </cell>
        </row>
      </sheetData>
      <sheetData sheetId="35">
        <row r="2">
          <cell r="B2" t="str">
            <v xml:space="preserve"> - </v>
          </cell>
          <cell r="C2" t="str">
            <v xml:space="preserve"> - </v>
          </cell>
          <cell r="D2">
            <v>0.97</v>
          </cell>
          <cell r="E2" t="str">
            <v xml:space="preserve"> - </v>
          </cell>
          <cell r="F2" t="str">
            <v xml:space="preserve"> - </v>
          </cell>
          <cell r="G2">
            <v>1</v>
          </cell>
          <cell r="H2" t="str">
            <v xml:space="preserve"> - </v>
          </cell>
          <cell r="I2" t="str">
            <v xml:space="preserve"> - </v>
          </cell>
          <cell r="J2">
            <v>0.99</v>
          </cell>
          <cell r="K2" t="str">
            <v xml:space="preserve"> - </v>
          </cell>
          <cell r="L2" t="str">
            <v xml:space="preserve"> - </v>
          </cell>
          <cell r="M2">
            <v>0.96</v>
          </cell>
          <cell r="N2" t="str">
            <v xml:space="preserve"> - </v>
          </cell>
          <cell r="O2" t="str">
            <v xml:space="preserve"> - </v>
          </cell>
          <cell r="P2">
            <v>0.99</v>
          </cell>
          <cell r="Q2" t="str">
            <v xml:space="preserve"> - </v>
          </cell>
          <cell r="R2" t="str">
            <v xml:space="preserve"> - </v>
          </cell>
          <cell r="S2">
            <v>0.99</v>
          </cell>
          <cell r="T2" t="str">
            <v xml:space="preserve"> - </v>
          </cell>
          <cell r="U2" t="str">
            <v xml:space="preserve"> - </v>
          </cell>
          <cell r="V2">
            <v>0.99</v>
          </cell>
          <cell r="W2" t="str">
            <v xml:space="preserve"> - </v>
          </cell>
          <cell r="X2" t="str">
            <v xml:space="preserve"> - </v>
          </cell>
          <cell r="Y2">
            <v>0.99</v>
          </cell>
          <cell r="Z2" t="str">
            <v xml:space="preserve"> - </v>
          </cell>
          <cell r="AA2" t="str">
            <v xml:space="preserve"> - </v>
          </cell>
          <cell r="AB2">
            <v>1</v>
          </cell>
          <cell r="AC2" t="str">
            <v xml:space="preserve"> - </v>
          </cell>
          <cell r="AD2" t="str">
            <v xml:space="preserve"> - </v>
          </cell>
          <cell r="AE2">
            <v>0.98</v>
          </cell>
          <cell r="AF2" t="str">
            <v xml:space="preserve"> - </v>
          </cell>
          <cell r="AG2" t="str">
            <v xml:space="preserve"> - </v>
          </cell>
          <cell r="AH2">
            <v>0.95</v>
          </cell>
          <cell r="AI2" t="str">
            <v xml:space="preserve"> - </v>
          </cell>
          <cell r="AJ2" t="str">
            <v xml:space="preserve"> - </v>
          </cell>
        </row>
        <row r="3">
          <cell r="B3" t="str">
            <v xml:space="preserve"> - </v>
          </cell>
          <cell r="C3" t="str">
            <v xml:space="preserve"> - </v>
          </cell>
          <cell r="D3">
            <v>64</v>
          </cell>
          <cell r="E3" t="str">
            <v xml:space="preserve"> - </v>
          </cell>
          <cell r="F3" t="str">
            <v xml:space="preserve"> - </v>
          </cell>
          <cell r="G3">
            <v>38</v>
          </cell>
          <cell r="H3" t="str">
            <v xml:space="preserve"> - </v>
          </cell>
          <cell r="I3" t="str">
            <v xml:space="preserve"> - </v>
          </cell>
          <cell r="J3">
            <v>120</v>
          </cell>
          <cell r="K3" t="str">
            <v xml:space="preserve"> - </v>
          </cell>
          <cell r="L3" t="str">
            <v xml:space="preserve"> - </v>
          </cell>
          <cell r="M3">
            <v>172</v>
          </cell>
          <cell r="N3" t="str">
            <v xml:space="preserve"> - </v>
          </cell>
          <cell r="O3" t="str">
            <v xml:space="preserve"> - </v>
          </cell>
          <cell r="P3">
            <v>330</v>
          </cell>
          <cell r="Q3" t="str">
            <v xml:space="preserve"> - </v>
          </cell>
          <cell r="R3" t="str">
            <v xml:space="preserve"> - </v>
          </cell>
          <cell r="S3">
            <v>93</v>
          </cell>
          <cell r="T3" t="str">
            <v xml:space="preserve"> - </v>
          </cell>
          <cell r="U3" t="str">
            <v xml:space="preserve"> - </v>
          </cell>
          <cell r="V3">
            <v>118</v>
          </cell>
          <cell r="W3" t="str">
            <v xml:space="preserve"> - </v>
          </cell>
          <cell r="X3" t="str">
            <v xml:space="preserve"> - </v>
          </cell>
          <cell r="Y3">
            <v>146</v>
          </cell>
          <cell r="Z3" t="str">
            <v xml:space="preserve"> - </v>
          </cell>
          <cell r="AA3" t="str">
            <v xml:space="preserve"> - </v>
          </cell>
          <cell r="AB3">
            <v>90</v>
          </cell>
          <cell r="AC3" t="str">
            <v xml:space="preserve"> - </v>
          </cell>
          <cell r="AD3" t="str">
            <v xml:space="preserve"> - </v>
          </cell>
          <cell r="AE3">
            <v>0</v>
          </cell>
          <cell r="AF3" t="str">
            <v xml:space="preserve"> - </v>
          </cell>
          <cell r="AG3" t="str">
            <v xml:space="preserve"> - </v>
          </cell>
          <cell r="AH3">
            <v>40</v>
          </cell>
          <cell r="AI3" t="str">
            <v xml:space="preserve"> - </v>
          </cell>
          <cell r="AJ3" t="str">
            <v xml:space="preserve"> - </v>
          </cell>
        </row>
        <row r="4">
          <cell r="B4" t="str">
            <v xml:space="preserve"> - </v>
          </cell>
          <cell r="C4" t="str">
            <v xml:space="preserve"> - </v>
          </cell>
          <cell r="D4">
            <v>0.99</v>
          </cell>
          <cell r="E4" t="str">
            <v xml:space="preserve"> - </v>
          </cell>
          <cell r="F4" t="str">
            <v xml:space="preserve"> - </v>
          </cell>
          <cell r="G4">
            <v>0.99</v>
          </cell>
          <cell r="H4" t="str">
            <v xml:space="preserve"> - </v>
          </cell>
          <cell r="I4" t="str">
            <v xml:space="preserve"> - </v>
          </cell>
          <cell r="J4">
            <v>1</v>
          </cell>
          <cell r="K4" t="str">
            <v xml:space="preserve"> - </v>
          </cell>
          <cell r="L4" t="str">
            <v xml:space="preserve"> - </v>
          </cell>
          <cell r="M4">
            <v>0.96799999999999997</v>
          </cell>
          <cell r="N4" t="str">
            <v xml:space="preserve"> - </v>
          </cell>
          <cell r="O4" t="str">
            <v xml:space="preserve"> - </v>
          </cell>
          <cell r="P4">
            <v>1</v>
          </cell>
          <cell r="Q4" t="str">
            <v xml:space="preserve"> - </v>
          </cell>
          <cell r="R4" t="str">
            <v xml:space="preserve"> - </v>
          </cell>
          <cell r="S4">
            <v>0.99</v>
          </cell>
          <cell r="T4" t="str">
            <v xml:space="preserve"> - </v>
          </cell>
          <cell r="U4" t="str">
            <v xml:space="preserve"> - </v>
          </cell>
          <cell r="V4">
            <v>1</v>
          </cell>
          <cell r="W4" t="str">
            <v xml:space="preserve"> - </v>
          </cell>
          <cell r="X4" t="str">
            <v xml:space="preserve"> - </v>
          </cell>
          <cell r="Y4">
            <v>0.99</v>
          </cell>
          <cell r="Z4" t="str">
            <v xml:space="preserve"> - </v>
          </cell>
          <cell r="AA4" t="str">
            <v xml:space="preserve"> - </v>
          </cell>
          <cell r="AC4" t="str">
            <v xml:space="preserve"> - </v>
          </cell>
          <cell r="AD4" t="str">
            <v xml:space="preserve"> - </v>
          </cell>
          <cell r="AE4">
            <v>0.97</v>
          </cell>
          <cell r="AF4" t="str">
            <v xml:space="preserve"> - </v>
          </cell>
          <cell r="AG4" t="str">
            <v xml:space="preserve"> - </v>
          </cell>
          <cell r="AH4">
            <v>0.98</v>
          </cell>
          <cell r="AI4" t="str">
            <v xml:space="preserve"> - </v>
          </cell>
          <cell r="AJ4" t="str">
            <v xml:space="preserve"> - </v>
          </cell>
        </row>
      </sheetData>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7-18"/>
      <sheetName val="18-19"/>
      <sheetName val="19-20"/>
      <sheetName val="20-21"/>
      <sheetName val="21-22"/>
      <sheetName val="22-23"/>
      <sheetName val="23-24"/>
      <sheetName val="24-25"/>
    </sheetNames>
    <sheetDataSet>
      <sheetData sheetId="0"/>
      <sheetData sheetId="1"/>
      <sheetData sheetId="2"/>
      <sheetData sheetId="3"/>
      <sheetData sheetId="4"/>
      <sheetData sheetId="5"/>
      <sheetData sheetId="6">
        <row r="2">
          <cell r="O2">
            <v>976</v>
          </cell>
        </row>
        <row r="7">
          <cell r="O7">
            <v>0.79405737704918034</v>
          </cell>
        </row>
        <row r="8">
          <cell r="O8">
            <v>0.65676229508196726</v>
          </cell>
        </row>
        <row r="9">
          <cell r="O9">
            <v>0.57274590163934425</v>
          </cell>
        </row>
        <row r="10">
          <cell r="O10">
            <v>0.31147540983606559</v>
          </cell>
        </row>
        <row r="13">
          <cell r="O13">
            <v>421</v>
          </cell>
        </row>
        <row r="18">
          <cell r="O18">
            <v>0.66745843230403801</v>
          </cell>
        </row>
        <row r="19">
          <cell r="O19">
            <v>0.65083135391923985</v>
          </cell>
        </row>
        <row r="20">
          <cell r="O20">
            <v>0.54869358669833734</v>
          </cell>
        </row>
        <row r="21">
          <cell r="O21">
            <v>0.30403800475059384</v>
          </cell>
        </row>
        <row r="24">
          <cell r="O24">
            <v>386</v>
          </cell>
        </row>
        <row r="29">
          <cell r="O29">
            <v>0.94041450777202074</v>
          </cell>
        </row>
        <row r="30">
          <cell r="O30">
            <v>0.69689119170984459</v>
          </cell>
        </row>
        <row r="31">
          <cell r="O31">
            <v>0.5803108808290155</v>
          </cell>
        </row>
        <row r="32">
          <cell r="O32">
            <v>0.32642487046632124</v>
          </cell>
        </row>
        <row r="36">
          <cell r="O36">
            <v>169</v>
          </cell>
        </row>
        <row r="41">
          <cell r="O41">
            <v>0.71597633136094674</v>
          </cell>
        </row>
        <row r="42">
          <cell r="O42">
            <v>0.62130177514792895</v>
          </cell>
        </row>
        <row r="43">
          <cell r="O43">
            <v>0.61538461538461542</v>
          </cell>
        </row>
        <row r="44">
          <cell r="O44">
            <v>0.29585798816568049</v>
          </cell>
        </row>
      </sheetData>
      <sheetData sheetId="7">
        <row r="2">
          <cell r="E2">
            <v>80</v>
          </cell>
          <cell r="F2">
            <v>119</v>
          </cell>
          <cell r="G2">
            <v>94</v>
          </cell>
          <cell r="H2">
            <v>79</v>
          </cell>
          <cell r="I2">
            <v>114</v>
          </cell>
          <cell r="J2">
            <v>89</v>
          </cell>
          <cell r="K2">
            <v>86</v>
          </cell>
          <cell r="L2">
            <v>115</v>
          </cell>
          <cell r="M2">
            <v>91</v>
          </cell>
          <cell r="N2">
            <v>89</v>
          </cell>
          <cell r="O2">
            <v>1176</v>
          </cell>
          <cell r="R2">
            <v>976</v>
          </cell>
        </row>
        <row r="7">
          <cell r="F7">
            <v>0.61344537815126055</v>
          </cell>
          <cell r="G7">
            <v>0.61702127659574468</v>
          </cell>
          <cell r="H7">
            <v>0.69620253164556967</v>
          </cell>
          <cell r="I7">
            <v>0.80701754385964908</v>
          </cell>
          <cell r="J7">
            <v>0.6966292134831461</v>
          </cell>
          <cell r="K7">
            <v>0.73255813953488369</v>
          </cell>
          <cell r="L7">
            <v>0.6</v>
          </cell>
          <cell r="M7">
            <v>0.65934065934065933</v>
          </cell>
          <cell r="N7">
            <v>0.7752808988764045</v>
          </cell>
          <cell r="O7">
            <v>0.63350340136054417</v>
          </cell>
          <cell r="R7">
            <v>0.79405737704918034</v>
          </cell>
        </row>
        <row r="8">
          <cell r="F8">
            <v>0.62184873949579833</v>
          </cell>
          <cell r="G8">
            <v>0.5957446808510638</v>
          </cell>
          <cell r="H8">
            <v>0.87341772151898733</v>
          </cell>
          <cell r="I8">
            <v>0.43859649122807015</v>
          </cell>
          <cell r="J8">
            <v>0.6853932584269663</v>
          </cell>
          <cell r="K8">
            <v>0.69767441860465118</v>
          </cell>
          <cell r="L8">
            <v>0.59130434782608698</v>
          </cell>
          <cell r="M8">
            <v>0.63736263736263732</v>
          </cell>
          <cell r="N8">
            <v>0.7865168539325843</v>
          </cell>
          <cell r="O8">
            <v>0.62840136054421769</v>
          </cell>
          <cell r="R8">
            <v>0.65676229508196726</v>
          </cell>
        </row>
        <row r="9">
          <cell r="F9">
            <v>0.40336134453781514</v>
          </cell>
          <cell r="G9">
            <v>0.52127659574468088</v>
          </cell>
          <cell r="H9">
            <v>0.620253164556962</v>
          </cell>
          <cell r="I9">
            <v>0.43859649122807015</v>
          </cell>
          <cell r="J9">
            <v>0.7528089887640449</v>
          </cell>
          <cell r="K9">
            <v>0.58139534883720934</v>
          </cell>
          <cell r="L9">
            <v>0.46956521739130436</v>
          </cell>
          <cell r="M9">
            <v>0.63736263736263732</v>
          </cell>
          <cell r="N9">
            <v>0.5617977528089888</v>
          </cell>
          <cell r="O9">
            <v>0.53996598639455784</v>
          </cell>
          <cell r="R9">
            <v>0.57274590163934425</v>
          </cell>
        </row>
        <row r="10">
          <cell r="F10">
            <v>0.25210084033613445</v>
          </cell>
          <cell r="G10">
            <v>0.32978723404255317</v>
          </cell>
          <cell r="H10">
            <v>0.34177215189873417</v>
          </cell>
          <cell r="I10">
            <v>0.26315789473684209</v>
          </cell>
          <cell r="J10">
            <v>0.23595505617977527</v>
          </cell>
          <cell r="K10">
            <v>0.19767441860465115</v>
          </cell>
          <cell r="L10">
            <v>0.21739130434782608</v>
          </cell>
          <cell r="M10">
            <v>0.37362637362637363</v>
          </cell>
          <cell r="N10">
            <v>0.34831460674157305</v>
          </cell>
          <cell r="O10">
            <v>0.28741496598639454</v>
          </cell>
          <cell r="R10">
            <v>0.31045081967213117</v>
          </cell>
        </row>
        <row r="13">
          <cell r="E13">
            <v>38</v>
          </cell>
          <cell r="F13">
            <v>53</v>
          </cell>
          <cell r="G13">
            <v>27</v>
          </cell>
          <cell r="H13">
            <v>28</v>
          </cell>
          <cell r="I13">
            <v>47</v>
          </cell>
          <cell r="J13">
            <v>33</v>
          </cell>
          <cell r="K13">
            <v>41</v>
          </cell>
          <cell r="L13">
            <v>39</v>
          </cell>
          <cell r="M13">
            <v>34</v>
          </cell>
          <cell r="N13">
            <v>38</v>
          </cell>
          <cell r="O13">
            <v>475</v>
          </cell>
          <cell r="R13">
            <v>421</v>
          </cell>
        </row>
        <row r="18">
          <cell r="E18">
            <v>0.28947368421052633</v>
          </cell>
          <cell r="F18">
            <v>0.62264150943396224</v>
          </cell>
          <cell r="G18">
            <v>0.70370370370370372</v>
          </cell>
          <cell r="H18">
            <v>0.8571428571428571</v>
          </cell>
          <cell r="I18">
            <v>1</v>
          </cell>
          <cell r="J18">
            <v>0.81818181818181823</v>
          </cell>
          <cell r="K18">
            <v>0.56097560975609762</v>
          </cell>
          <cell r="L18">
            <v>0.4358974358974359</v>
          </cell>
          <cell r="M18">
            <v>0.52941176470588236</v>
          </cell>
          <cell r="N18">
            <v>0.63157894736842102</v>
          </cell>
          <cell r="O18">
            <v>0.60842105263157897</v>
          </cell>
          <cell r="R18">
            <v>0.66745843230403801</v>
          </cell>
        </row>
        <row r="19">
          <cell r="E19">
            <v>0.42105263157894735</v>
          </cell>
          <cell r="F19">
            <v>0.62264150943396224</v>
          </cell>
          <cell r="G19">
            <v>0.7407407407407407</v>
          </cell>
          <cell r="H19">
            <v>0.8571428571428571</v>
          </cell>
          <cell r="I19">
            <v>0.7021276595744681</v>
          </cell>
          <cell r="J19">
            <v>0.60606060606060608</v>
          </cell>
          <cell r="K19">
            <v>0.65853658536585369</v>
          </cell>
          <cell r="L19">
            <v>0.46153846153846156</v>
          </cell>
          <cell r="M19">
            <v>0.61764705882352944</v>
          </cell>
          <cell r="N19">
            <v>0.63157894736842102</v>
          </cell>
          <cell r="O19">
            <v>0.61052631578947369</v>
          </cell>
          <cell r="R19">
            <v>0.65083135391923985</v>
          </cell>
        </row>
        <row r="20">
          <cell r="E20">
            <v>0.57894736842105265</v>
          </cell>
          <cell r="F20">
            <v>0.30188679245283018</v>
          </cell>
          <cell r="G20">
            <v>0.33333333333333331</v>
          </cell>
          <cell r="H20">
            <v>0.6785714285714286</v>
          </cell>
          <cell r="I20">
            <v>0.36170212765957449</v>
          </cell>
          <cell r="J20">
            <v>0.75757575757575757</v>
          </cell>
          <cell r="K20">
            <v>0.43902439024390244</v>
          </cell>
          <cell r="L20">
            <v>0.35897435897435898</v>
          </cell>
          <cell r="M20">
            <v>0.70588235294117652</v>
          </cell>
          <cell r="N20">
            <v>0.44736842105263158</v>
          </cell>
          <cell r="O20">
            <v>0.50105263157894742</v>
          </cell>
          <cell r="R20">
            <v>0.54869358669833734</v>
          </cell>
        </row>
        <row r="21">
          <cell r="E21">
            <v>0.34210526315789475</v>
          </cell>
          <cell r="F21">
            <v>0.28301886792452829</v>
          </cell>
          <cell r="G21">
            <v>0.40740740740740738</v>
          </cell>
          <cell r="H21">
            <v>0.2857142857142857</v>
          </cell>
          <cell r="I21">
            <v>0.25531914893617019</v>
          </cell>
          <cell r="J21">
            <v>0.30303030303030304</v>
          </cell>
          <cell r="K21">
            <v>0.14634146341463414</v>
          </cell>
          <cell r="L21">
            <v>0.15384615384615385</v>
          </cell>
          <cell r="M21">
            <v>0.35294117647058826</v>
          </cell>
          <cell r="N21">
            <v>0.39473684210526316</v>
          </cell>
          <cell r="O21">
            <v>0.29263157894736841</v>
          </cell>
          <cell r="R21">
            <v>0.30403800475059384</v>
          </cell>
        </row>
        <row r="25">
          <cell r="C25">
            <v>44</v>
          </cell>
          <cell r="D25">
            <v>40</v>
          </cell>
          <cell r="E25">
            <v>27</v>
          </cell>
          <cell r="F25">
            <v>49</v>
          </cell>
          <cell r="G25">
            <v>49</v>
          </cell>
          <cell r="H25">
            <v>32</v>
          </cell>
          <cell r="I25">
            <v>52</v>
          </cell>
          <cell r="J25">
            <v>41</v>
          </cell>
          <cell r="K25">
            <v>31</v>
          </cell>
          <cell r="L25">
            <v>61</v>
          </cell>
          <cell r="M25">
            <v>45</v>
          </cell>
          <cell r="N25">
            <v>37</v>
          </cell>
          <cell r="O25">
            <v>508</v>
          </cell>
          <cell r="R25">
            <v>386</v>
          </cell>
        </row>
        <row r="30">
          <cell r="C30">
            <v>0.65909090909090906</v>
          </cell>
          <cell r="D30">
            <v>0.55000000000000004</v>
          </cell>
          <cell r="E30">
            <v>0.55555555555555558</v>
          </cell>
          <cell r="F30">
            <v>0.63265306122448983</v>
          </cell>
          <cell r="G30">
            <v>0.65306122448979587</v>
          </cell>
          <cell r="H30">
            <v>0.625</v>
          </cell>
          <cell r="I30">
            <v>0.78846153846153844</v>
          </cell>
          <cell r="J30">
            <v>0.70731707317073167</v>
          </cell>
          <cell r="K30">
            <v>0.90322580645161288</v>
          </cell>
          <cell r="L30">
            <v>0.80327868852459017</v>
          </cell>
          <cell r="M30">
            <v>0.84444444444444444</v>
          </cell>
          <cell r="N30">
            <v>0.86486486486486491</v>
          </cell>
          <cell r="O30">
            <v>0.72047244094488194</v>
          </cell>
        </row>
        <row r="31">
          <cell r="C31">
            <v>0.40909090909090912</v>
          </cell>
          <cell r="D31">
            <v>0.75</v>
          </cell>
          <cell r="E31">
            <v>0.88888888888888884</v>
          </cell>
          <cell r="F31">
            <v>0.73469387755102045</v>
          </cell>
          <cell r="G31">
            <v>0.5714285714285714</v>
          </cell>
          <cell r="H31">
            <v>1.125</v>
          </cell>
          <cell r="I31">
            <v>0.69230769230769229</v>
          </cell>
          <cell r="J31">
            <v>0.75609756097560976</v>
          </cell>
          <cell r="K31">
            <v>0.64516129032258063</v>
          </cell>
          <cell r="L31">
            <v>0.68852459016393441</v>
          </cell>
          <cell r="M31">
            <v>0.68888888888888888</v>
          </cell>
          <cell r="N31">
            <v>1</v>
          </cell>
          <cell r="O31">
            <v>0.72637795275590555</v>
          </cell>
        </row>
        <row r="32">
          <cell r="C32">
            <v>0.47727272727272729</v>
          </cell>
          <cell r="D32">
            <v>0.5</v>
          </cell>
          <cell r="E32">
            <v>0.62962962962962965</v>
          </cell>
          <cell r="F32">
            <v>0.51020408163265307</v>
          </cell>
          <cell r="G32">
            <v>0.59183673469387754</v>
          </cell>
          <cell r="H32">
            <v>0.65625</v>
          </cell>
          <cell r="I32">
            <v>0.44230769230769229</v>
          </cell>
          <cell r="J32">
            <v>0.85365853658536583</v>
          </cell>
          <cell r="K32">
            <v>0.70967741935483875</v>
          </cell>
          <cell r="L32">
            <v>0.5901639344262295</v>
          </cell>
          <cell r="M32">
            <v>0.62222222222222223</v>
          </cell>
          <cell r="N32">
            <v>0.72972972972972971</v>
          </cell>
          <cell r="O32">
            <v>0.59842519685039375</v>
          </cell>
        </row>
        <row r="33">
          <cell r="C33">
            <v>0.38636363636363635</v>
          </cell>
          <cell r="D33">
            <v>0.22500000000000001</v>
          </cell>
          <cell r="E33">
            <v>0.29629629629629628</v>
          </cell>
          <cell r="F33">
            <v>0.22448979591836735</v>
          </cell>
          <cell r="G33">
            <v>0.2857142857142857</v>
          </cell>
          <cell r="H33">
            <v>0.34375</v>
          </cell>
          <cell r="I33">
            <v>0.25</v>
          </cell>
          <cell r="J33">
            <v>0.17073170731707318</v>
          </cell>
          <cell r="K33">
            <v>0.25806451612903225</v>
          </cell>
          <cell r="L33">
            <v>0.27868852459016391</v>
          </cell>
          <cell r="M33">
            <v>0.42222222222222222</v>
          </cell>
          <cell r="N33">
            <v>0.32432432432432434</v>
          </cell>
          <cell r="O33">
            <v>0.2874015748031496</v>
          </cell>
        </row>
        <row r="37">
          <cell r="C37">
            <v>15</v>
          </cell>
          <cell r="D37">
            <v>24</v>
          </cell>
          <cell r="E37">
            <v>15</v>
          </cell>
          <cell r="F37">
            <v>17</v>
          </cell>
          <cell r="G37">
            <v>18</v>
          </cell>
          <cell r="H37">
            <v>19</v>
          </cell>
          <cell r="I37">
            <v>15</v>
          </cell>
          <cell r="J37">
            <v>15</v>
          </cell>
          <cell r="K37">
            <v>14</v>
          </cell>
          <cell r="L37">
            <v>15</v>
          </cell>
          <cell r="M37">
            <v>12</v>
          </cell>
          <cell r="N37">
            <v>14</v>
          </cell>
          <cell r="O37">
            <v>193</v>
          </cell>
          <cell r="R37">
            <v>169</v>
          </cell>
        </row>
        <row r="42">
          <cell r="C42">
            <v>0.6</v>
          </cell>
          <cell r="D42">
            <v>0.29166666666666669</v>
          </cell>
          <cell r="E42">
            <v>0.33333333333333331</v>
          </cell>
          <cell r="F42">
            <v>0.52941176470588236</v>
          </cell>
          <cell r="G42">
            <v>0.3888888888888889</v>
          </cell>
          <cell r="H42">
            <v>0.57894736842105265</v>
          </cell>
          <cell r="I42">
            <v>0.26666666666666666</v>
          </cell>
          <cell r="J42">
            <v>0.4</v>
          </cell>
          <cell r="K42">
            <v>0.8571428571428571</v>
          </cell>
          <cell r="L42">
            <v>0.2</v>
          </cell>
          <cell r="M42">
            <v>0.33333333333333331</v>
          </cell>
          <cell r="N42">
            <v>0.9285714285714286</v>
          </cell>
          <cell r="O42">
            <v>0.46632124352331605</v>
          </cell>
          <cell r="R42">
            <v>0.71597633136094674</v>
          </cell>
        </row>
        <row r="43">
          <cell r="C43">
            <v>0.53333333333333333</v>
          </cell>
          <cell r="D43">
            <v>0.66666666666666663</v>
          </cell>
          <cell r="E43">
            <v>0.46666666666666667</v>
          </cell>
          <cell r="F43">
            <v>0.29411764705882354</v>
          </cell>
          <cell r="G43">
            <v>0.44444444444444442</v>
          </cell>
          <cell r="H43">
            <v>0.47368421052631576</v>
          </cell>
          <cell r="I43">
            <v>0.8</v>
          </cell>
          <cell r="J43">
            <v>0.66666666666666663</v>
          </cell>
          <cell r="K43">
            <v>0.9285714285714286</v>
          </cell>
          <cell r="L43">
            <v>0.53333333333333333</v>
          </cell>
          <cell r="M43">
            <v>0.5</v>
          </cell>
          <cell r="N43">
            <v>0.6428571428571429</v>
          </cell>
          <cell r="O43">
            <v>0.57512953367875652</v>
          </cell>
          <cell r="R43">
            <v>0.62130177514792895</v>
          </cell>
        </row>
        <row r="44">
          <cell r="C44">
            <v>0.6</v>
          </cell>
          <cell r="D44">
            <v>0.375</v>
          </cell>
          <cell r="E44">
            <v>0.33333333333333331</v>
          </cell>
          <cell r="F44">
            <v>0.41176470588235292</v>
          </cell>
          <cell r="G44">
            <v>0.61111111111111116</v>
          </cell>
          <cell r="H44">
            <v>0.47368421052631576</v>
          </cell>
          <cell r="I44">
            <v>0.66666666666666663</v>
          </cell>
          <cell r="J44">
            <v>0.46666666666666667</v>
          </cell>
          <cell r="K44">
            <v>0.7142857142857143</v>
          </cell>
          <cell r="L44">
            <v>0.26666666666666666</v>
          </cell>
          <cell r="M44">
            <v>0.5</v>
          </cell>
          <cell r="N44">
            <v>0.42857142857142855</v>
          </cell>
          <cell r="O44">
            <v>0.48186528497409326</v>
          </cell>
          <cell r="R44">
            <v>0.61538461538461542</v>
          </cell>
        </row>
        <row r="45">
          <cell r="C45">
            <v>0.4</v>
          </cell>
          <cell r="D45">
            <v>0.16666666666666666</v>
          </cell>
          <cell r="E45">
            <v>0.26666666666666666</v>
          </cell>
          <cell r="F45">
            <v>0.23529411764705882</v>
          </cell>
          <cell r="G45">
            <v>0.33333333333333331</v>
          </cell>
          <cell r="H45">
            <v>0.42105263157894735</v>
          </cell>
          <cell r="I45">
            <v>0.33333333333333331</v>
          </cell>
          <cell r="J45">
            <v>0.26666666666666666</v>
          </cell>
          <cell r="K45">
            <v>0.21428571428571427</v>
          </cell>
          <cell r="L45">
            <v>0.13333333333333333</v>
          </cell>
          <cell r="M45">
            <v>0.25</v>
          </cell>
          <cell r="N45">
            <v>0.2857142857142857</v>
          </cell>
          <cell r="O45">
            <v>0.27461139896373055</v>
          </cell>
          <cell r="R45">
            <v>0.29585798816568049</v>
          </cell>
        </row>
      </sheetData>
    </sheetDataSet>
  </externalBook>
</externalLink>
</file>

<file path=xl/theme/theme1.xml><?xml version="1.0" encoding="utf-8"?>
<a:theme xmlns:a="http://schemas.openxmlformats.org/drawingml/2006/main" name="Office Theme">
  <a:themeElements>
    <a:clrScheme name="BI Colours">
      <a:dk1>
        <a:sysClr val="windowText" lastClr="000000"/>
      </a:dk1>
      <a:lt1>
        <a:sysClr val="window" lastClr="FFFFFF"/>
      </a:lt1>
      <a:dk2>
        <a:srgbClr val="44546A"/>
      </a:dk2>
      <a:lt2>
        <a:srgbClr val="E7E6E6"/>
      </a:lt2>
      <a:accent1>
        <a:srgbClr val="477CBF"/>
      </a:accent1>
      <a:accent2>
        <a:srgbClr val="FCB247"/>
      </a:accent2>
      <a:accent3>
        <a:srgbClr val="E84599"/>
      </a:accent3>
      <a:accent4>
        <a:srgbClr val="72C48F"/>
      </a:accent4>
      <a:accent5>
        <a:srgbClr val="AE91C4"/>
      </a:accent5>
      <a:accent6>
        <a:srgbClr val="4B4B4B"/>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581"/>
  <sheetViews>
    <sheetView topLeftCell="A552" zoomScale="80" zoomScaleNormal="80" workbookViewId="0">
      <pane xSplit="3" topLeftCell="AM1" activePane="topRight" state="frozen"/>
      <selection activeCell="A413" sqref="A413"/>
      <selection pane="topRight" activeCell="AR576" sqref="AR576"/>
    </sheetView>
  </sheetViews>
  <sheetFormatPr defaultRowHeight="15.5" x14ac:dyDescent="0.35"/>
  <cols>
    <col min="2" max="2" width="54.69140625" bestFit="1" customWidth="1"/>
    <col min="3" max="3" width="32.4609375" customWidth="1"/>
  </cols>
  <sheetData>
    <row r="1" spans="2:51" x14ac:dyDescent="0.35">
      <c r="B1" s="44" t="s">
        <v>203</v>
      </c>
      <c r="C1" s="33"/>
      <c r="D1" s="302">
        <v>44287</v>
      </c>
      <c r="E1" s="302">
        <v>44317</v>
      </c>
      <c r="F1" s="302">
        <v>44348</v>
      </c>
      <c r="G1" s="302">
        <v>44378</v>
      </c>
      <c r="H1" s="302">
        <v>44409</v>
      </c>
      <c r="I1" s="302">
        <v>44440</v>
      </c>
      <c r="J1" s="302">
        <v>44470</v>
      </c>
      <c r="K1" s="302">
        <v>44501</v>
      </c>
      <c r="L1" s="302">
        <v>44531</v>
      </c>
      <c r="M1" s="302">
        <v>44562</v>
      </c>
      <c r="N1" s="302">
        <v>44593</v>
      </c>
      <c r="O1" s="302">
        <v>44621</v>
      </c>
      <c r="P1" s="302">
        <v>44652</v>
      </c>
      <c r="Q1" s="302">
        <v>44682</v>
      </c>
      <c r="R1" s="302">
        <v>44713</v>
      </c>
      <c r="S1" s="302">
        <v>44743</v>
      </c>
      <c r="T1" s="302">
        <v>44774</v>
      </c>
      <c r="U1" s="302">
        <v>44805</v>
      </c>
      <c r="V1" s="302">
        <v>44835</v>
      </c>
      <c r="W1" s="302">
        <v>44866</v>
      </c>
      <c r="X1" s="302">
        <v>44896</v>
      </c>
      <c r="Y1" s="302">
        <v>44927</v>
      </c>
      <c r="Z1" s="302">
        <v>44958</v>
      </c>
      <c r="AA1" s="302">
        <v>44986</v>
      </c>
      <c r="AB1" s="302">
        <v>45017</v>
      </c>
      <c r="AC1" s="302">
        <v>45047</v>
      </c>
      <c r="AD1" s="302">
        <v>45078</v>
      </c>
      <c r="AE1" s="302">
        <v>45108</v>
      </c>
      <c r="AF1" s="302">
        <v>45139</v>
      </c>
      <c r="AG1" s="302">
        <v>45170</v>
      </c>
      <c r="AH1" s="302">
        <v>45200</v>
      </c>
      <c r="AI1" s="302">
        <v>45231</v>
      </c>
      <c r="AJ1" s="302">
        <v>45261</v>
      </c>
      <c r="AK1" s="302">
        <v>45292</v>
      </c>
      <c r="AL1" s="302">
        <v>45323</v>
      </c>
      <c r="AM1" s="302">
        <v>45352</v>
      </c>
      <c r="AN1" s="302">
        <v>45383</v>
      </c>
      <c r="AO1" s="302">
        <v>45413</v>
      </c>
      <c r="AP1" s="302">
        <v>45444</v>
      </c>
      <c r="AQ1" s="302">
        <v>45474</v>
      </c>
      <c r="AR1" s="302">
        <v>45505</v>
      </c>
      <c r="AS1" s="302">
        <v>45536</v>
      </c>
      <c r="AT1" s="302">
        <v>45566</v>
      </c>
      <c r="AU1" s="302">
        <v>45597</v>
      </c>
      <c r="AV1" s="302">
        <v>45627</v>
      </c>
      <c r="AW1" s="302">
        <v>45658</v>
      </c>
      <c r="AX1" s="302">
        <v>45689</v>
      </c>
      <c r="AY1" s="302">
        <v>45717</v>
      </c>
    </row>
    <row r="2" spans="2:51" ht="23" x14ac:dyDescent="0.5">
      <c r="C2" s="351" t="s">
        <v>0</v>
      </c>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row>
    <row r="3" spans="2:51" x14ac:dyDescent="0.35">
      <c r="C3" s="352" t="s">
        <v>56</v>
      </c>
      <c r="D3" s="29">
        <v>44287</v>
      </c>
      <c r="E3" s="29">
        <v>44317</v>
      </c>
      <c r="F3" s="29">
        <v>44348</v>
      </c>
      <c r="G3" s="29">
        <v>44378</v>
      </c>
      <c r="H3" s="29">
        <v>44409</v>
      </c>
      <c r="I3" s="29">
        <v>44440</v>
      </c>
      <c r="J3" s="29">
        <v>44470</v>
      </c>
      <c r="K3" s="29">
        <v>44501</v>
      </c>
      <c r="L3" s="29">
        <v>44531</v>
      </c>
      <c r="M3" s="29">
        <v>44562</v>
      </c>
      <c r="N3" s="29">
        <v>44593</v>
      </c>
      <c r="O3" s="29">
        <v>44621</v>
      </c>
      <c r="P3" s="29">
        <v>44652</v>
      </c>
      <c r="Q3" s="29">
        <v>44682</v>
      </c>
      <c r="R3" s="29">
        <v>44713</v>
      </c>
      <c r="S3" s="29">
        <v>44743</v>
      </c>
      <c r="T3" s="29">
        <v>44774</v>
      </c>
      <c r="U3" s="29">
        <v>44805</v>
      </c>
      <c r="V3" s="29">
        <v>44835</v>
      </c>
      <c r="W3" s="29">
        <v>44866</v>
      </c>
      <c r="X3" s="29">
        <v>44896</v>
      </c>
      <c r="Y3" s="29">
        <v>44927</v>
      </c>
      <c r="Z3" s="29">
        <v>44958</v>
      </c>
      <c r="AA3" s="29">
        <v>44986</v>
      </c>
      <c r="AB3" s="29">
        <v>45017</v>
      </c>
      <c r="AC3" s="29">
        <v>45047</v>
      </c>
      <c r="AD3" s="29">
        <v>45078</v>
      </c>
      <c r="AE3" s="29">
        <v>45108</v>
      </c>
      <c r="AF3" s="29">
        <v>45139</v>
      </c>
      <c r="AG3" s="29">
        <v>45170</v>
      </c>
      <c r="AH3" s="29">
        <v>45200</v>
      </c>
      <c r="AI3" s="29">
        <v>45231</v>
      </c>
      <c r="AJ3" s="29">
        <v>45261</v>
      </c>
      <c r="AK3" s="29">
        <v>45292</v>
      </c>
      <c r="AL3" s="29">
        <v>45323</v>
      </c>
      <c r="AM3" s="29">
        <v>45352</v>
      </c>
      <c r="AN3" s="29">
        <v>45383</v>
      </c>
      <c r="AO3" s="29">
        <v>45413</v>
      </c>
      <c r="AP3" s="29">
        <v>45444</v>
      </c>
      <c r="AQ3" s="29">
        <v>45474</v>
      </c>
      <c r="AR3" s="29">
        <v>45505</v>
      </c>
      <c r="AS3" s="29">
        <v>45536</v>
      </c>
      <c r="AT3" s="29">
        <v>45566</v>
      </c>
      <c r="AU3" s="29">
        <v>45597</v>
      </c>
      <c r="AV3" s="29">
        <v>45627</v>
      </c>
      <c r="AW3" s="29">
        <v>45658</v>
      </c>
      <c r="AX3" s="29">
        <v>45689</v>
      </c>
      <c r="AY3" s="29">
        <v>45717</v>
      </c>
    </row>
    <row r="4" spans="2:51" x14ac:dyDescent="0.35">
      <c r="B4" t="str">
        <f>CONCATENATE($C$2,C4)</f>
        <v>WarwickshireTotal Recorded Crime</v>
      </c>
      <c r="C4" s="352" t="s">
        <v>33</v>
      </c>
      <c r="D4" s="32">
        <f>[2]Force!CH2</f>
        <v>2939</v>
      </c>
      <c r="E4" s="32">
        <f>[2]Force!CI2</f>
        <v>3307</v>
      </c>
      <c r="F4" s="32">
        <f>[2]Force!CJ2</f>
        <v>3418</v>
      </c>
      <c r="G4" s="32">
        <f>[2]Force!CK2</f>
        <v>3571</v>
      </c>
      <c r="H4" s="32">
        <f>[2]Force!CL2</f>
        <v>3354</v>
      </c>
      <c r="I4" s="32">
        <f>[2]Force!CM2</f>
        <v>3364</v>
      </c>
      <c r="J4" s="32">
        <f>[2]Force!CN2</f>
        <v>3544</v>
      </c>
      <c r="K4" s="32">
        <f>[2]Force!CO2</f>
        <v>3525</v>
      </c>
      <c r="L4" s="32">
        <f>[2]Force!CP2</f>
        <v>3152</v>
      </c>
      <c r="M4" s="32">
        <f>[2]Force!CQ2</f>
        <v>3124</v>
      </c>
      <c r="N4" s="32">
        <f>[2]Force!CR2</f>
        <v>2962</v>
      </c>
      <c r="O4" s="32">
        <f>[2]Force!CS2</f>
        <v>3582</v>
      </c>
      <c r="P4" s="32">
        <f>[2]Force!CT2</f>
        <v>3516</v>
      </c>
      <c r="Q4" s="32">
        <f>[2]Force!CU2</f>
        <v>3527</v>
      </c>
      <c r="R4" s="32">
        <f>[2]Force!CV2</f>
        <v>3487</v>
      </c>
      <c r="S4" s="32">
        <f>[2]Force!CW2</f>
        <v>3822</v>
      </c>
      <c r="T4" s="32">
        <f>[2]Force!CX2</f>
        <v>3673</v>
      </c>
      <c r="U4" s="32">
        <f>[2]Force!CY2</f>
        <v>3409</v>
      </c>
      <c r="V4" s="32">
        <f>[2]Force!CZ2</f>
        <v>3630</v>
      </c>
      <c r="W4" s="32">
        <f>[2]Force!DA2</f>
        <v>3369</v>
      </c>
      <c r="X4" s="32">
        <f>[2]Force!DB2</f>
        <v>2969</v>
      </c>
      <c r="Y4" s="32">
        <f>[2]Force!DC2</f>
        <v>3347</v>
      </c>
      <c r="Z4" s="32">
        <f>[2]Force!DD2</f>
        <v>3258</v>
      </c>
      <c r="AA4" s="32">
        <f>[2]Force!DE2</f>
        <v>3546</v>
      </c>
      <c r="AB4" s="32">
        <f>[2]Force!DF2</f>
        <v>3261</v>
      </c>
      <c r="AC4" s="32">
        <f>[2]Force!DG2</f>
        <v>3370</v>
      </c>
      <c r="AD4" s="32">
        <f>[2]Force!DH2</f>
        <v>3564</v>
      </c>
      <c r="AE4" s="32">
        <f>[2]Force!DI2</f>
        <v>3534</v>
      </c>
      <c r="AF4" s="32">
        <f>[2]Force!DJ2</f>
        <v>3196</v>
      </c>
      <c r="AG4" s="32">
        <f>[2]Force!DK2</f>
        <v>3356</v>
      </c>
      <c r="AH4" s="32">
        <f>[2]Force!DL2</f>
        <v>3405</v>
      </c>
      <c r="AI4" s="32">
        <f>[2]Force!DM2</f>
        <v>3144</v>
      </c>
      <c r="AJ4" s="32">
        <f>[2]Force!DN2</f>
        <v>3183</v>
      </c>
      <c r="AK4" s="32">
        <f>[2]Force!DO2</f>
        <v>3277</v>
      </c>
      <c r="AL4" s="32">
        <f>[2]Force!DP2</f>
        <v>3098</v>
      </c>
      <c r="AM4" s="32">
        <f>[2]Force!DQ2</f>
        <v>3302</v>
      </c>
      <c r="AN4" s="32">
        <f>[2]Force!DR2</f>
        <v>3367</v>
      </c>
      <c r="AO4" s="32">
        <f>[2]Force!DS2</f>
        <v>3549</v>
      </c>
      <c r="AP4" s="32">
        <f>[2]Force!DT2</f>
        <v>3370</v>
      </c>
      <c r="AQ4" s="32">
        <f>[2]Force!DU2</f>
        <v>3695</v>
      </c>
      <c r="AR4" s="32">
        <f>[2]Force!DV2</f>
        <v>3320</v>
      </c>
      <c r="AS4" s="32">
        <f>[2]Force!DW2</f>
        <v>3297</v>
      </c>
      <c r="AT4" s="32">
        <f>[2]Force!DX2</f>
        <v>3450</v>
      </c>
      <c r="AU4" s="32">
        <f>[2]Force!DY2</f>
        <v>3068</v>
      </c>
      <c r="AV4" s="32">
        <f>[2]Force!DZ2</f>
        <v>3107</v>
      </c>
      <c r="AW4" s="32">
        <f>[2]Force!EA2</f>
        <v>3036</v>
      </c>
      <c r="AX4" s="32">
        <f>[2]Force!EB2</f>
        <v>2833</v>
      </c>
      <c r="AY4" s="32">
        <f>[2]Force!EC2</f>
        <v>3276</v>
      </c>
    </row>
    <row r="5" spans="2:51" x14ac:dyDescent="0.35">
      <c r="B5" t="str">
        <f t="shared" ref="B5:B43" si="0">CONCATENATE($C$2,C5)</f>
        <v>Warwickshire</v>
      </c>
      <c r="C5" s="352"/>
      <c r="D5" s="32">
        <f>[2]Force!CH3</f>
        <v>0</v>
      </c>
      <c r="E5" s="32">
        <f>[2]Force!CI3</f>
        <v>0</v>
      </c>
      <c r="F5" s="32">
        <f>[2]Force!CJ3</f>
        <v>0</v>
      </c>
      <c r="G5" s="32">
        <f>[2]Force!CK3</f>
        <v>0</v>
      </c>
      <c r="H5" s="32">
        <f>[2]Force!CL3</f>
        <v>0</v>
      </c>
      <c r="I5" s="32">
        <f>[2]Force!CM3</f>
        <v>0</v>
      </c>
      <c r="J5" s="32">
        <f>[2]Force!CN3</f>
        <v>0</v>
      </c>
      <c r="K5" s="32">
        <f>[2]Force!CO3</f>
        <v>0</v>
      </c>
      <c r="L5" s="32">
        <f>[2]Force!CP3</f>
        <v>0</v>
      </c>
      <c r="M5" s="32">
        <f>[2]Force!CQ3</f>
        <v>0</v>
      </c>
      <c r="N5" s="32">
        <f>[2]Force!CR3</f>
        <v>0</v>
      </c>
      <c r="O5" s="32">
        <f>[2]Force!CS3</f>
        <v>0</v>
      </c>
      <c r="P5" s="32">
        <f>[2]Force!CT3</f>
        <v>0</v>
      </c>
      <c r="Q5" s="32">
        <f>[2]Force!CU3</f>
        <v>0</v>
      </c>
      <c r="R5" s="32">
        <f>[2]Force!CV3</f>
        <v>0</v>
      </c>
      <c r="S5" s="32">
        <f>[2]Force!CW3</f>
        <v>0</v>
      </c>
      <c r="T5" s="32">
        <f>[2]Force!CX3</f>
        <v>0</v>
      </c>
      <c r="U5" s="32">
        <f>[2]Force!CY3</f>
        <v>0</v>
      </c>
      <c r="V5" s="32">
        <f>[2]Force!CZ3</f>
        <v>0</v>
      </c>
      <c r="W5" s="32">
        <f>[2]Force!DA3</f>
        <v>0</v>
      </c>
      <c r="X5" s="32">
        <f>[2]Force!DB3</f>
        <v>0</v>
      </c>
      <c r="Y5" s="32">
        <f>[2]Force!DC3</f>
        <v>0</v>
      </c>
      <c r="Z5" s="32">
        <f>[2]Force!DD3</f>
        <v>0</v>
      </c>
      <c r="AA5" s="32">
        <f>[2]Force!DE3</f>
        <v>0</v>
      </c>
      <c r="AB5" s="32">
        <f>[2]Force!DF3</f>
        <v>0</v>
      </c>
      <c r="AC5" s="32">
        <f>[2]Force!DG3</f>
        <v>0</v>
      </c>
      <c r="AD5" s="32">
        <f>[2]Force!DH3</f>
        <v>0</v>
      </c>
      <c r="AE5" s="32">
        <f>[2]Force!DI3</f>
        <v>0</v>
      </c>
      <c r="AF5" s="32">
        <f>[2]Force!DJ3</f>
        <v>0</v>
      </c>
      <c r="AG5" s="32">
        <f>[2]Force!DK3</f>
        <v>0</v>
      </c>
      <c r="AH5" s="32">
        <f>[2]Force!DL3</f>
        <v>0</v>
      </c>
      <c r="AI5" s="32">
        <f>[2]Force!DM3</f>
        <v>0</v>
      </c>
      <c r="AJ5" s="32">
        <f>[2]Force!DN3</f>
        <v>0</v>
      </c>
      <c r="AK5" s="32">
        <f>[2]Force!DO3</f>
        <v>0</v>
      </c>
      <c r="AL5" s="32">
        <f>[2]Force!DP3</f>
        <v>0</v>
      </c>
      <c r="AM5" s="32">
        <f>[2]Force!DQ3</f>
        <v>0</v>
      </c>
      <c r="AN5" s="32">
        <f>[2]Force!DR3</f>
        <v>0</v>
      </c>
      <c r="AO5" s="32">
        <f>[2]Force!DS3</f>
        <v>0</v>
      </c>
      <c r="AP5" s="32">
        <f>[2]Force!DT3</f>
        <v>0</v>
      </c>
      <c r="AQ5" s="32">
        <f>[2]Force!DU3</f>
        <v>0</v>
      </c>
      <c r="AR5" s="32">
        <f>[2]Force!DV3</f>
        <v>0</v>
      </c>
      <c r="AS5" s="32">
        <f>[2]Force!DW3</f>
        <v>0</v>
      </c>
      <c r="AT5" s="32">
        <f>[2]Force!DX3</f>
        <v>0</v>
      </c>
      <c r="AU5" s="32">
        <f>[2]Force!DY3</f>
        <v>0</v>
      </c>
      <c r="AV5" s="32">
        <f>[2]Force!DZ3</f>
        <v>0</v>
      </c>
      <c r="AW5" s="32">
        <f>[2]Force!EA3</f>
        <v>0</v>
      </c>
      <c r="AX5" s="32">
        <f>[2]Force!EB3</f>
        <v>0</v>
      </c>
      <c r="AY5" s="32">
        <f>[2]Force!EC3</f>
        <v>0</v>
      </c>
    </row>
    <row r="6" spans="2:51" x14ac:dyDescent="0.35">
      <c r="B6" t="str">
        <f t="shared" ref="B6:B12" si="1">CONCATENATE($C$2,C6)</f>
        <v>WarwickshireViolence With Injury</v>
      </c>
      <c r="C6" s="352" t="s">
        <v>39</v>
      </c>
      <c r="D6" s="32">
        <f>[2]Force!CH4</f>
        <v>349</v>
      </c>
      <c r="E6" s="32">
        <f>[2]Force!CI4</f>
        <v>349</v>
      </c>
      <c r="F6" s="32">
        <f>[2]Force!CJ4</f>
        <v>387</v>
      </c>
      <c r="G6" s="32">
        <f>[2]Force!CK4</f>
        <v>407</v>
      </c>
      <c r="H6" s="32">
        <f>[2]Force!CL4</f>
        <v>422</v>
      </c>
      <c r="I6" s="32">
        <f>[2]Force!CM4</f>
        <v>410</v>
      </c>
      <c r="J6" s="32">
        <f>[2]Force!CN4</f>
        <v>397</v>
      </c>
      <c r="K6" s="32">
        <f>[2]Force!CO4</f>
        <v>349</v>
      </c>
      <c r="L6" s="32">
        <f>[2]Force!CP4</f>
        <v>359</v>
      </c>
      <c r="M6" s="32">
        <f>[2]Force!CQ4</f>
        <v>332</v>
      </c>
      <c r="N6" s="32">
        <f>[2]Force!CR4</f>
        <v>319</v>
      </c>
      <c r="O6" s="32">
        <f>[2]Force!CS4</f>
        <v>399</v>
      </c>
      <c r="P6" s="32">
        <f>[2]Force!CT4</f>
        <v>398</v>
      </c>
      <c r="Q6" s="32">
        <f>[2]Force!CU4</f>
        <v>431</v>
      </c>
      <c r="R6" s="32">
        <f>[2]Force!CV4</f>
        <v>430</v>
      </c>
      <c r="S6" s="32">
        <f>[2]Force!CW4</f>
        <v>451</v>
      </c>
      <c r="T6" s="32">
        <f>[2]Force!CX4</f>
        <v>433</v>
      </c>
      <c r="U6" s="32">
        <f>[2]Force!CY4</f>
        <v>374</v>
      </c>
      <c r="V6" s="32">
        <f>[2]Force!CZ4</f>
        <v>394</v>
      </c>
      <c r="W6" s="32">
        <f>[2]Force!DA4</f>
        <v>351</v>
      </c>
      <c r="X6" s="32">
        <f>[2]Force!DB4</f>
        <v>356</v>
      </c>
      <c r="Y6" s="32">
        <f>[2]Force!DC4</f>
        <v>358</v>
      </c>
      <c r="Z6" s="32">
        <f>[2]Force!DD4</f>
        <v>347</v>
      </c>
      <c r="AA6" s="32">
        <f>[2]Force!DE4</f>
        <v>396</v>
      </c>
      <c r="AB6" s="32">
        <f>[2]Force!DF4</f>
        <v>383</v>
      </c>
      <c r="AC6" s="32">
        <f>[2]Force!DG4</f>
        <v>430</v>
      </c>
      <c r="AD6" s="32">
        <f>[2]Force!DH4</f>
        <v>490</v>
      </c>
      <c r="AE6" s="32">
        <f>[2]Force!DI4</f>
        <v>432</v>
      </c>
      <c r="AF6" s="32">
        <f>[2]Force!DJ4</f>
        <v>411</v>
      </c>
      <c r="AG6" s="32">
        <f>[2]Force!DK4</f>
        <v>400</v>
      </c>
      <c r="AH6" s="32">
        <f>[2]Force!DL4</f>
        <v>417</v>
      </c>
      <c r="AI6" s="32">
        <f>[2]Force!DM4</f>
        <v>365</v>
      </c>
      <c r="AJ6" s="32">
        <f>[2]Force!DN4</f>
        <v>425</v>
      </c>
      <c r="AK6" s="32">
        <f>[2]Force!DO4</f>
        <v>372</v>
      </c>
      <c r="AL6" s="32">
        <f>[2]Force!DP4</f>
        <v>359</v>
      </c>
      <c r="AM6" s="32">
        <f>[2]Force!DQ4</f>
        <v>374</v>
      </c>
      <c r="AN6" s="32">
        <f>[2]Force!DR4</f>
        <v>408</v>
      </c>
      <c r="AO6" s="32">
        <f>[2]Force!DS4</f>
        <v>429</v>
      </c>
      <c r="AP6" s="32">
        <f>[2]Force!DT4</f>
        <v>432</v>
      </c>
      <c r="AQ6" s="32">
        <f>[2]Force!DU4</f>
        <v>479</v>
      </c>
      <c r="AR6" s="32">
        <f>[2]Force!DV4</f>
        <v>435</v>
      </c>
      <c r="AS6" s="32">
        <f>[2]Force!DW4</f>
        <v>351</v>
      </c>
      <c r="AT6" s="32">
        <f>[2]Force!DX4</f>
        <v>387</v>
      </c>
      <c r="AU6" s="32">
        <f>[2]Force!DY4</f>
        <v>346</v>
      </c>
      <c r="AV6" s="32">
        <f>[2]Force!DZ4</f>
        <v>424</v>
      </c>
      <c r="AW6" s="32">
        <f>[2]Force!EA4</f>
        <v>369</v>
      </c>
      <c r="AX6" s="32">
        <f>[2]Force!EB4</f>
        <v>332</v>
      </c>
      <c r="AY6" s="32">
        <f>[2]Force!EC4</f>
        <v>418</v>
      </c>
    </row>
    <row r="7" spans="2:51" x14ac:dyDescent="0.35">
      <c r="B7" t="str">
        <f t="shared" si="1"/>
        <v>WarwickshireViolence Without Injury</v>
      </c>
      <c r="C7" s="352" t="s">
        <v>40</v>
      </c>
      <c r="D7" s="32">
        <f>[2]Force!CH5</f>
        <v>893</v>
      </c>
      <c r="E7" s="32">
        <f>[2]Force!CI5</f>
        <v>1034</v>
      </c>
      <c r="F7" s="32">
        <f>[2]Force!CJ5</f>
        <v>1039</v>
      </c>
      <c r="G7" s="32">
        <f>[2]Force!CK5</f>
        <v>1105</v>
      </c>
      <c r="H7" s="32">
        <f>[2]Force!CL5</f>
        <v>973</v>
      </c>
      <c r="I7" s="32">
        <f>[2]Force!CM5</f>
        <v>1023</v>
      </c>
      <c r="J7" s="32">
        <f>[2]Force!CN5</f>
        <v>1031</v>
      </c>
      <c r="K7" s="32">
        <f>[2]Force!CO5</f>
        <v>976</v>
      </c>
      <c r="L7" s="32">
        <f>[2]Force!CP5</f>
        <v>914</v>
      </c>
      <c r="M7" s="32">
        <f>[2]Force!CQ5</f>
        <v>893</v>
      </c>
      <c r="N7" s="32">
        <f>[2]Force!CR5</f>
        <v>861</v>
      </c>
      <c r="O7" s="32">
        <f>[2]Force!CS5</f>
        <v>1003</v>
      </c>
      <c r="P7" s="32">
        <f>[2]Force!CT5</f>
        <v>882</v>
      </c>
      <c r="Q7" s="32">
        <f>[2]Force!CU5</f>
        <v>958</v>
      </c>
      <c r="R7" s="32">
        <f>[2]Force!CV5</f>
        <v>947</v>
      </c>
      <c r="S7" s="32">
        <f>[2]Force!CW5</f>
        <v>1023</v>
      </c>
      <c r="T7" s="32">
        <f>[2]Force!CX5</f>
        <v>875</v>
      </c>
      <c r="U7" s="32">
        <f>[2]Force!CY5</f>
        <v>879</v>
      </c>
      <c r="V7" s="32">
        <f>[2]Force!CZ5</f>
        <v>871</v>
      </c>
      <c r="W7" s="32">
        <f>[2]Force!DA5</f>
        <v>901</v>
      </c>
      <c r="X7" s="32">
        <f>[2]Force!DB5</f>
        <v>778</v>
      </c>
      <c r="Y7" s="32">
        <f>[2]Force!DC5</f>
        <v>774</v>
      </c>
      <c r="Z7" s="32">
        <f>[2]Force!DD5</f>
        <v>857</v>
      </c>
      <c r="AA7" s="32">
        <f>[2]Force!DE5</f>
        <v>957</v>
      </c>
      <c r="AB7" s="32">
        <f>[2]Force!DF5</f>
        <v>854</v>
      </c>
      <c r="AC7" s="32">
        <f>[2]Force!DG5</f>
        <v>814</v>
      </c>
      <c r="AD7" s="32">
        <f>[2]Force!DH5</f>
        <v>880</v>
      </c>
      <c r="AE7" s="32">
        <f>[2]Force!DI5</f>
        <v>840</v>
      </c>
      <c r="AF7" s="32">
        <f>[2]Force!DJ5</f>
        <v>794</v>
      </c>
      <c r="AG7" s="32">
        <f>[2]Force!DK5</f>
        <v>847</v>
      </c>
      <c r="AH7" s="32">
        <f>[2]Force!DL5</f>
        <v>881</v>
      </c>
      <c r="AI7" s="32">
        <f>[2]Force!DM5</f>
        <v>852</v>
      </c>
      <c r="AJ7" s="32">
        <f>[2]Force!DN5</f>
        <v>816</v>
      </c>
      <c r="AK7" s="32">
        <f>[2]Force!DO5</f>
        <v>826</v>
      </c>
      <c r="AL7" s="32">
        <f>[2]Force!DP5</f>
        <v>823</v>
      </c>
      <c r="AM7" s="32">
        <f>[2]Force!DQ5</f>
        <v>795</v>
      </c>
      <c r="AN7" s="32">
        <f>[2]Force!DR5</f>
        <v>801</v>
      </c>
      <c r="AO7" s="32">
        <f>[2]Force!DS5</f>
        <v>819</v>
      </c>
      <c r="AP7" s="32">
        <f>[2]Force!DT5</f>
        <v>820</v>
      </c>
      <c r="AQ7" s="32">
        <f>[2]Force!DU5</f>
        <v>902</v>
      </c>
      <c r="AR7" s="32">
        <f>[2]Force!DV5</f>
        <v>733</v>
      </c>
      <c r="AS7" s="32">
        <f>[2]Force!DW5</f>
        <v>771</v>
      </c>
      <c r="AT7" s="32">
        <f>[2]Force!DX5</f>
        <v>773</v>
      </c>
      <c r="AU7" s="32">
        <f>[2]Force!DY5</f>
        <v>742</v>
      </c>
      <c r="AV7" s="32">
        <f>[2]Force!DZ5</f>
        <v>803</v>
      </c>
      <c r="AW7" s="32">
        <f>[2]Force!EA5</f>
        <v>785</v>
      </c>
      <c r="AX7" s="32">
        <f>[2]Force!EB5</f>
        <v>764</v>
      </c>
      <c r="AY7" s="32">
        <f>[2]Force!EC5</f>
        <v>792</v>
      </c>
    </row>
    <row r="8" spans="2:51" x14ac:dyDescent="0.35">
      <c r="B8" t="str">
        <f t="shared" si="1"/>
        <v>WarwickshireRape</v>
      </c>
      <c r="C8" s="352" t="s">
        <v>5</v>
      </c>
      <c r="D8" s="32">
        <f>[2]Force!CH6</f>
        <v>43</v>
      </c>
      <c r="E8" s="32">
        <f>[2]Force!CI6</f>
        <v>33</v>
      </c>
      <c r="F8" s="32">
        <f>[2]Force!CJ6</f>
        <v>61</v>
      </c>
      <c r="G8" s="32">
        <f>[2]Force!CK6</f>
        <v>82</v>
      </c>
      <c r="H8" s="32">
        <f>[2]Force!CL6</f>
        <v>45</v>
      </c>
      <c r="I8" s="32">
        <f>[2]Force!CM6</f>
        <v>51</v>
      </c>
      <c r="J8" s="32">
        <f>[2]Force!CN6</f>
        <v>47</v>
      </c>
      <c r="K8" s="32">
        <f>[2]Force!CO6</f>
        <v>54</v>
      </c>
      <c r="L8" s="32">
        <f>[2]Force!CP6</f>
        <v>41</v>
      </c>
      <c r="M8" s="32">
        <f>[2]Force!CQ6</f>
        <v>38</v>
      </c>
      <c r="N8" s="32">
        <f>[2]Force!CR6</f>
        <v>55</v>
      </c>
      <c r="O8" s="32">
        <f>[2]Force!CS6</f>
        <v>55</v>
      </c>
      <c r="P8" s="32">
        <f>[2]Force!CT6</f>
        <v>46</v>
      </c>
      <c r="Q8" s="32">
        <f>[2]Force!CU6</f>
        <v>33</v>
      </c>
      <c r="R8" s="32">
        <f>[2]Force!CV6</f>
        <v>36</v>
      </c>
      <c r="S8" s="32">
        <f>[2]Force!CW6</f>
        <v>41</v>
      </c>
      <c r="T8" s="32">
        <f>[2]Force!CX6</f>
        <v>41</v>
      </c>
      <c r="U8" s="32">
        <f>[2]Force!CY6</f>
        <v>34</v>
      </c>
      <c r="V8" s="32">
        <f>[2]Force!CZ6</f>
        <v>43</v>
      </c>
      <c r="W8" s="32">
        <f>[2]Force!DA6</f>
        <v>35</v>
      </c>
      <c r="X8" s="32">
        <f>[2]Force!DB6</f>
        <v>54</v>
      </c>
      <c r="Y8" s="32">
        <f>[2]Force!DC6</f>
        <v>46</v>
      </c>
      <c r="Z8" s="32">
        <f>[2]Force!DD6</f>
        <v>39</v>
      </c>
      <c r="AA8" s="32">
        <f>[2]Force!DE6</f>
        <v>46</v>
      </c>
      <c r="AB8" s="32">
        <f>[2]Force!DF6</f>
        <v>30</v>
      </c>
      <c r="AC8" s="32">
        <f>[2]Force!DG6</f>
        <v>50</v>
      </c>
      <c r="AD8" s="32">
        <f>[2]Force!DH6</f>
        <v>40</v>
      </c>
      <c r="AE8" s="32">
        <f>[2]Force!DI6</f>
        <v>33</v>
      </c>
      <c r="AF8" s="32">
        <f>[2]Force!DJ6</f>
        <v>38</v>
      </c>
      <c r="AG8" s="32">
        <f>[2]Force!DK6</f>
        <v>50</v>
      </c>
      <c r="AH8" s="32">
        <f>[2]Force!DL6</f>
        <v>45</v>
      </c>
      <c r="AI8" s="32">
        <f>[2]Force!DM6</f>
        <v>44</v>
      </c>
      <c r="AJ8" s="32">
        <f>[2]Force!DN6</f>
        <v>46</v>
      </c>
      <c r="AK8" s="32">
        <f>[2]Force!DO6</f>
        <v>48</v>
      </c>
      <c r="AL8" s="32">
        <f>[2]Force!DP6</f>
        <v>34</v>
      </c>
      <c r="AM8" s="32">
        <f>[2]Force!DQ6</f>
        <v>45</v>
      </c>
      <c r="AN8" s="32">
        <f>[2]Force!DR6</f>
        <v>45</v>
      </c>
      <c r="AO8" s="32">
        <f>[2]Force!DS6</f>
        <v>39</v>
      </c>
      <c r="AP8" s="32">
        <f>[2]Force!DT6</f>
        <v>38</v>
      </c>
      <c r="AQ8" s="32">
        <f>[2]Force!DU6</f>
        <v>47</v>
      </c>
      <c r="AR8" s="32">
        <f>[2]Force!DV6</f>
        <v>44</v>
      </c>
      <c r="AS8" s="32">
        <f>[2]Force!DW6</f>
        <v>41</v>
      </c>
      <c r="AT8" s="32">
        <f>[2]Force!DX6</f>
        <v>53</v>
      </c>
      <c r="AU8" s="32">
        <f>[2]Force!DY6</f>
        <v>45</v>
      </c>
      <c r="AV8" s="32">
        <f>[2]Force!DZ6</f>
        <v>48</v>
      </c>
      <c r="AW8" s="32">
        <f>[2]Force!EA6</f>
        <v>66</v>
      </c>
      <c r="AX8" s="32">
        <f>[2]Force!EB6</f>
        <v>40</v>
      </c>
      <c r="AY8" s="32">
        <f>[2]Force!EC6</f>
        <v>44</v>
      </c>
    </row>
    <row r="9" spans="2:51" x14ac:dyDescent="0.35">
      <c r="B9" t="str">
        <f t="shared" si="1"/>
        <v>WarwickshireOther Sexual Offences</v>
      </c>
      <c r="C9" s="352" t="s">
        <v>35</v>
      </c>
      <c r="D9" s="32">
        <f>[2]Force!CH7</f>
        <v>66</v>
      </c>
      <c r="E9" s="32">
        <f>[2]Force!CI7</f>
        <v>97</v>
      </c>
      <c r="F9" s="32">
        <f>[2]Force!CJ7</f>
        <v>109</v>
      </c>
      <c r="G9" s="32">
        <f>[2]Force!CK7</f>
        <v>86</v>
      </c>
      <c r="H9" s="32">
        <f>[2]Force!CL7</f>
        <v>63</v>
      </c>
      <c r="I9" s="32">
        <f>[2]Force!CM7</f>
        <v>84</v>
      </c>
      <c r="J9" s="32">
        <f>[2]Force!CN7</f>
        <v>91</v>
      </c>
      <c r="K9" s="32">
        <f>[2]Force!CO7</f>
        <v>93</v>
      </c>
      <c r="L9" s="32">
        <f>[2]Force!CP7</f>
        <v>67</v>
      </c>
      <c r="M9" s="32">
        <f>[2]Force!CQ7</f>
        <v>81</v>
      </c>
      <c r="N9" s="32">
        <f>[2]Force!CR7</f>
        <v>73</v>
      </c>
      <c r="O9" s="32">
        <f>[2]Force!CS7</f>
        <v>97</v>
      </c>
      <c r="P9" s="32">
        <f>[2]Force!CT7</f>
        <v>94</v>
      </c>
      <c r="Q9" s="32">
        <f>[2]Force!CU7</f>
        <v>85</v>
      </c>
      <c r="R9" s="32">
        <f>[2]Force!CV7</f>
        <v>98</v>
      </c>
      <c r="S9" s="32">
        <f>[2]Force!CW7</f>
        <v>117</v>
      </c>
      <c r="T9" s="32">
        <f>[2]Force!CX7</f>
        <v>86</v>
      </c>
      <c r="U9" s="32">
        <f>[2]Force!CY7</f>
        <v>87</v>
      </c>
      <c r="V9" s="32">
        <f>[2]Force!CZ7</f>
        <v>100</v>
      </c>
      <c r="W9" s="32">
        <f>[2]Force!DA7</f>
        <v>101</v>
      </c>
      <c r="X9" s="32">
        <f>[2]Force!DB7</f>
        <v>61</v>
      </c>
      <c r="Y9" s="32">
        <f>[2]Force!DC7</f>
        <v>95</v>
      </c>
      <c r="Z9" s="32">
        <f>[2]Force!DD7</f>
        <v>84</v>
      </c>
      <c r="AA9" s="32">
        <f>[2]Force!DE7</f>
        <v>112</v>
      </c>
      <c r="AB9" s="32">
        <f>[2]Force!DF7</f>
        <v>68</v>
      </c>
      <c r="AC9" s="32">
        <f>[2]Force!DG7</f>
        <v>84</v>
      </c>
      <c r="AD9" s="32">
        <f>[2]Force!DH7</f>
        <v>112</v>
      </c>
      <c r="AE9" s="32">
        <f>[2]Force!DI7</f>
        <v>88</v>
      </c>
      <c r="AF9" s="32">
        <f>[2]Force!DJ7</f>
        <v>86</v>
      </c>
      <c r="AG9" s="32">
        <f>[2]Force!DK7</f>
        <v>89</v>
      </c>
      <c r="AH9" s="32">
        <f>[2]Force!DL7</f>
        <v>136</v>
      </c>
      <c r="AI9" s="32">
        <f>[2]Force!DM7</f>
        <v>82</v>
      </c>
      <c r="AJ9" s="32">
        <f>[2]Force!DN7</f>
        <v>102</v>
      </c>
      <c r="AK9" s="32">
        <f>[2]Force!DO7</f>
        <v>95</v>
      </c>
      <c r="AL9" s="32">
        <f>[2]Force!DP7</f>
        <v>97</v>
      </c>
      <c r="AM9" s="32">
        <f>[2]Force!DQ7</f>
        <v>87</v>
      </c>
      <c r="AN9" s="32">
        <f>[2]Force!DR7</f>
        <v>107</v>
      </c>
      <c r="AO9" s="32">
        <f>[2]Force!DS7</f>
        <v>147</v>
      </c>
      <c r="AP9" s="32">
        <f>[2]Force!DT7</f>
        <v>117</v>
      </c>
      <c r="AQ9" s="32">
        <f>[2]Force!DU7</f>
        <v>94</v>
      </c>
      <c r="AR9" s="32">
        <f>[2]Force!DV7</f>
        <v>90</v>
      </c>
      <c r="AS9" s="32">
        <f>[2]Force!DW7</f>
        <v>82</v>
      </c>
      <c r="AT9" s="32">
        <f>[2]Force!DX7</f>
        <v>127</v>
      </c>
      <c r="AU9" s="32">
        <f>[2]Force!DY7</f>
        <v>102</v>
      </c>
      <c r="AV9" s="32">
        <f>[2]Force!DZ7</f>
        <v>106</v>
      </c>
      <c r="AW9" s="32">
        <f>[2]Force!EA7</f>
        <v>93</v>
      </c>
      <c r="AX9" s="32">
        <f>[2]Force!EB7</f>
        <v>108</v>
      </c>
      <c r="AY9" s="32">
        <f>[2]Force!EC7</f>
        <v>129</v>
      </c>
    </row>
    <row r="10" spans="2:51" x14ac:dyDescent="0.35">
      <c r="B10" t="str">
        <f t="shared" si="1"/>
        <v>WarwickshireBusiness Robbery</v>
      </c>
      <c r="C10" s="352" t="s">
        <v>36</v>
      </c>
      <c r="D10" s="32">
        <f>[2]Force!CH8</f>
        <v>3</v>
      </c>
      <c r="E10" s="32">
        <f>[2]Force!CI8</f>
        <v>3</v>
      </c>
      <c r="F10" s="32">
        <f>[2]Force!CJ8</f>
        <v>2</v>
      </c>
      <c r="G10" s="32">
        <f>[2]Force!CK8</f>
        <v>6</v>
      </c>
      <c r="H10" s="32">
        <f>[2]Force!CL8</f>
        <v>1</v>
      </c>
      <c r="I10" s="32">
        <f>[2]Force!CM8</f>
        <v>1</v>
      </c>
      <c r="J10" s="32" t="str">
        <f>[2]Force!CN8</f>
        <v>0</v>
      </c>
      <c r="K10" s="32">
        <f>[2]Force!CO8</f>
        <v>5</v>
      </c>
      <c r="L10" s="32">
        <f>[2]Force!CP8</f>
        <v>1</v>
      </c>
      <c r="M10" s="32">
        <f>[2]Force!CQ8</f>
        <v>4</v>
      </c>
      <c r="N10" s="32">
        <f>[2]Force!CR8</f>
        <v>1</v>
      </c>
      <c r="O10" s="32">
        <f>[2]Force!CS8</f>
        <v>4</v>
      </c>
      <c r="P10" s="32">
        <f>[2]Force!CT8</f>
        <v>1</v>
      </c>
      <c r="Q10" s="32">
        <f>[2]Force!CU8</f>
        <v>6</v>
      </c>
      <c r="R10" s="32">
        <f>[2]Force!CV8</f>
        <v>4</v>
      </c>
      <c r="S10" s="32">
        <f>[2]Force!CW8</f>
        <v>0</v>
      </c>
      <c r="T10" s="32">
        <f>[2]Force!CX8</f>
        <v>3</v>
      </c>
      <c r="U10" s="32">
        <f>[2]Force!CY8</f>
        <v>0</v>
      </c>
      <c r="V10" s="32">
        <f>[2]Force!CZ8</f>
        <v>2</v>
      </c>
      <c r="W10" s="32">
        <f>[2]Force!DA8</f>
        <v>3</v>
      </c>
      <c r="X10" s="32">
        <f>[2]Force!DB8</f>
        <v>2</v>
      </c>
      <c r="Y10" s="32">
        <f>[2]Force!DC8</f>
        <v>4</v>
      </c>
      <c r="Z10" s="32">
        <f>[2]Force!DD8</f>
        <v>5</v>
      </c>
      <c r="AA10" s="32">
        <f>[2]Force!DE8</f>
        <v>4</v>
      </c>
      <c r="AB10" s="32">
        <f>[2]Force!DF8</f>
        <v>3</v>
      </c>
      <c r="AC10" s="32">
        <f>[2]Force!DG8</f>
        <v>5</v>
      </c>
      <c r="AD10" s="32">
        <f>[2]Force!DH8</f>
        <v>5</v>
      </c>
      <c r="AE10" s="32">
        <f>[2]Force!DI8</f>
        <v>1</v>
      </c>
      <c r="AF10" s="32">
        <f>[2]Force!DJ8</f>
        <v>3</v>
      </c>
      <c r="AG10" s="32">
        <f>[2]Force!DK8</f>
        <v>2</v>
      </c>
      <c r="AH10" s="32">
        <f>[2]Force!DL8</f>
        <v>10</v>
      </c>
      <c r="AI10" s="32">
        <f>[2]Force!DM8</f>
        <v>5</v>
      </c>
      <c r="AJ10" s="32">
        <f>[2]Force!DN8</f>
        <v>4</v>
      </c>
      <c r="AK10" s="32">
        <f>[2]Force!DO8</f>
        <v>2</v>
      </c>
      <c r="AL10" s="32">
        <f>[2]Force!DP8</f>
        <v>1</v>
      </c>
      <c r="AM10" s="32">
        <f>[2]Force!DQ8</f>
        <v>2</v>
      </c>
      <c r="AN10" s="32">
        <f>[2]Force!DR8</f>
        <v>7</v>
      </c>
      <c r="AO10" s="32">
        <f>[2]Force!DS8</f>
        <v>3</v>
      </c>
      <c r="AP10" s="32">
        <f>[2]Force!DT8</f>
        <v>3</v>
      </c>
      <c r="AQ10" s="32">
        <f>[2]Force!DU8</f>
        <v>3</v>
      </c>
      <c r="AR10" s="32">
        <f>[2]Force!DV8</f>
        <v>2</v>
      </c>
      <c r="AS10" s="32">
        <f>[2]Force!DW8</f>
        <v>7</v>
      </c>
      <c r="AT10" s="32">
        <f>[2]Force!DX8</f>
        <v>6</v>
      </c>
      <c r="AU10" s="32">
        <f>[2]Force!DY8</f>
        <v>4</v>
      </c>
      <c r="AV10" s="32">
        <f>[2]Force!DZ8</f>
        <v>12</v>
      </c>
      <c r="AW10" s="32">
        <f>[2]Force!EA8</f>
        <v>13</v>
      </c>
      <c r="AX10" s="32">
        <f>[2]Force!EB8</f>
        <v>15</v>
      </c>
      <c r="AY10" s="32">
        <f>[2]Force!EC8</f>
        <v>18</v>
      </c>
    </row>
    <row r="11" spans="2:51" x14ac:dyDescent="0.35">
      <c r="B11" t="str">
        <f t="shared" si="1"/>
        <v>WarwickshirePersonal Robbery</v>
      </c>
      <c r="C11" s="352" t="s">
        <v>37</v>
      </c>
      <c r="D11" s="32">
        <f>[2]Force!CH9</f>
        <v>21</v>
      </c>
      <c r="E11" s="32">
        <f>[2]Force!CI9</f>
        <v>17</v>
      </c>
      <c r="F11" s="32">
        <f>[2]Force!CJ9</f>
        <v>34</v>
      </c>
      <c r="G11" s="32">
        <f>[2]Force!CK9</f>
        <v>33</v>
      </c>
      <c r="H11" s="32">
        <f>[2]Force!CL9</f>
        <v>33</v>
      </c>
      <c r="I11" s="32">
        <f>[2]Force!CM9</f>
        <v>20</v>
      </c>
      <c r="J11" s="32">
        <f>[2]Force!CN9</f>
        <v>27</v>
      </c>
      <c r="K11" s="32">
        <f>[2]Force!CO9</f>
        <v>33</v>
      </c>
      <c r="L11" s="32">
        <f>[2]Force!CP9</f>
        <v>22</v>
      </c>
      <c r="M11" s="32">
        <f>[2]Force!CQ9</f>
        <v>26</v>
      </c>
      <c r="N11" s="32">
        <f>[2]Force!CR9</f>
        <v>31</v>
      </c>
      <c r="O11" s="32">
        <f>[2]Force!CS9</f>
        <v>28</v>
      </c>
      <c r="P11" s="32">
        <f>[2]Force!CT9</f>
        <v>25</v>
      </c>
      <c r="Q11" s="32">
        <f>[2]Force!CU9</f>
        <v>28</v>
      </c>
      <c r="R11" s="32">
        <f>[2]Force!CV9</f>
        <v>35</v>
      </c>
      <c r="S11" s="32">
        <f>[2]Force!CW9</f>
        <v>30</v>
      </c>
      <c r="T11" s="32">
        <f>[2]Force!CX9</f>
        <v>30</v>
      </c>
      <c r="U11" s="32">
        <f>[2]Force!CY9</f>
        <v>22</v>
      </c>
      <c r="V11" s="32">
        <f>[2]Force!CZ9</f>
        <v>23</v>
      </c>
      <c r="W11" s="32">
        <f>[2]Force!DA9</f>
        <v>25</v>
      </c>
      <c r="X11" s="32">
        <f>[2]Force!DB9</f>
        <v>26</v>
      </c>
      <c r="Y11" s="32">
        <f>[2]Force!DC9</f>
        <v>26</v>
      </c>
      <c r="Z11" s="32">
        <f>[2]Force!DD9</f>
        <v>36</v>
      </c>
      <c r="AA11" s="32">
        <f>[2]Force!DE9</f>
        <v>24</v>
      </c>
      <c r="AB11" s="32">
        <f>[2]Force!DF9</f>
        <v>24</v>
      </c>
      <c r="AC11" s="32">
        <f>[2]Force!DG9</f>
        <v>31</v>
      </c>
      <c r="AD11" s="32">
        <f>[2]Force!DH9</f>
        <v>27</v>
      </c>
      <c r="AE11" s="32">
        <f>[2]Force!DI9</f>
        <v>43</v>
      </c>
      <c r="AF11" s="32">
        <f>[2]Force!DJ9</f>
        <v>38</v>
      </c>
      <c r="AG11" s="32">
        <f>[2]Force!DK9</f>
        <v>28</v>
      </c>
      <c r="AH11" s="32">
        <f>[2]Force!DL9</f>
        <v>17</v>
      </c>
      <c r="AI11" s="32">
        <f>[2]Force!DM9</f>
        <v>19</v>
      </c>
      <c r="AJ11" s="32">
        <f>[2]Force!DN9</f>
        <v>27</v>
      </c>
      <c r="AK11" s="32">
        <f>[2]Force!DO9</f>
        <v>30</v>
      </c>
      <c r="AL11" s="32">
        <f>[2]Force!DP9</f>
        <v>24</v>
      </c>
      <c r="AM11" s="32">
        <f>[2]Force!DQ9</f>
        <v>38</v>
      </c>
      <c r="AN11" s="32">
        <f>[2]Force!DR9</f>
        <v>30</v>
      </c>
      <c r="AO11" s="32">
        <f>[2]Force!DS9</f>
        <v>30</v>
      </c>
      <c r="AP11" s="32">
        <f>[2]Force!DT9</f>
        <v>42</v>
      </c>
      <c r="AQ11" s="32">
        <f>[2]Force!DU9</f>
        <v>34</v>
      </c>
      <c r="AR11" s="32">
        <f>[2]Force!DV9</f>
        <v>34</v>
      </c>
      <c r="AS11" s="32">
        <f>[2]Force!DW9</f>
        <v>36</v>
      </c>
      <c r="AT11" s="32">
        <f>[2]Force!DX9</f>
        <v>20</v>
      </c>
      <c r="AU11" s="32">
        <f>[2]Force!DY9</f>
        <v>22</v>
      </c>
      <c r="AV11" s="32">
        <f>[2]Force!DZ9</f>
        <v>18</v>
      </c>
      <c r="AW11" s="32">
        <f>[2]Force!EA9</f>
        <v>12</v>
      </c>
      <c r="AX11" s="32">
        <f>[2]Force!EB9</f>
        <v>21</v>
      </c>
      <c r="AY11" s="32">
        <f>[2]Force!EC9</f>
        <v>27</v>
      </c>
    </row>
    <row r="12" spans="2:51" x14ac:dyDescent="0.35">
      <c r="B12" t="str">
        <f t="shared" si="1"/>
        <v>WarwickshireBurglary Residential</v>
      </c>
      <c r="C12" s="352" t="s">
        <v>31</v>
      </c>
      <c r="D12" s="32">
        <f>[2]Force!CH10</f>
        <v>80</v>
      </c>
      <c r="E12" s="32">
        <f>[2]Force!CI10</f>
        <v>108</v>
      </c>
      <c r="F12" s="32">
        <f>[2]Force!CJ10</f>
        <v>119</v>
      </c>
      <c r="G12" s="32">
        <f>[2]Force!CK10</f>
        <v>109</v>
      </c>
      <c r="H12" s="32">
        <f>[2]Force!CL10</f>
        <v>93</v>
      </c>
      <c r="I12" s="32">
        <f>[2]Force!CM10</f>
        <v>136</v>
      </c>
      <c r="J12" s="32">
        <f>[2]Force!CN10</f>
        <v>141</v>
      </c>
      <c r="K12" s="32">
        <f>[2]Force!CO10</f>
        <v>128</v>
      </c>
      <c r="L12" s="32">
        <f>[2]Force!CP10</f>
        <v>112</v>
      </c>
      <c r="M12" s="32">
        <f>[2]Force!CQ10</f>
        <v>112</v>
      </c>
      <c r="N12" s="32">
        <f>[2]Force!CR10</f>
        <v>120</v>
      </c>
      <c r="O12" s="32">
        <f>[2]Force!CS10</f>
        <v>143</v>
      </c>
      <c r="P12" s="32">
        <f>[2]Force!CT10</f>
        <v>141</v>
      </c>
      <c r="Q12" s="32">
        <f>[2]Force!CU10</f>
        <v>102</v>
      </c>
      <c r="R12" s="32">
        <f>[2]Force!CV10</f>
        <v>120</v>
      </c>
      <c r="S12" s="32">
        <f>[2]Force!CW10</f>
        <v>117</v>
      </c>
      <c r="T12" s="32">
        <f>[2]Force!CX10</f>
        <v>120</v>
      </c>
      <c r="U12" s="32">
        <f>[2]Force!CY10</f>
        <v>119</v>
      </c>
      <c r="V12" s="32">
        <f>[2]Force!CZ10</f>
        <v>149</v>
      </c>
      <c r="W12" s="32">
        <f>[2]Force!DA10</f>
        <v>129</v>
      </c>
      <c r="X12" s="32">
        <f>[2]Force!DB10</f>
        <v>112</v>
      </c>
      <c r="Y12" s="32">
        <f>[2]Force!DC10</f>
        <v>139</v>
      </c>
      <c r="Z12" s="32">
        <f>[2]Force!DD10</f>
        <v>107</v>
      </c>
      <c r="AA12" s="32">
        <f>[2]Force!DE10</f>
        <v>138</v>
      </c>
      <c r="AB12" s="32">
        <f>[2]Force!DF10</f>
        <v>147</v>
      </c>
      <c r="AC12" s="32">
        <f>[2]Force!DG10</f>
        <v>118</v>
      </c>
      <c r="AD12" s="32">
        <f>[2]Force!DH10</f>
        <v>116</v>
      </c>
      <c r="AE12" s="32">
        <f>[2]Force!DI10</f>
        <v>127</v>
      </c>
      <c r="AF12" s="32">
        <f>[2]Force!DJ10</f>
        <v>99</v>
      </c>
      <c r="AG12" s="32">
        <f>[2]Force!DK10</f>
        <v>116</v>
      </c>
      <c r="AH12" s="32">
        <f>[2]Force!DL10</f>
        <v>132</v>
      </c>
      <c r="AI12" s="32">
        <f>[2]Force!DM10</f>
        <v>127</v>
      </c>
      <c r="AJ12" s="32">
        <f>[2]Force!DN10</f>
        <v>111</v>
      </c>
      <c r="AK12" s="32">
        <f>[2]Force!DO10</f>
        <v>124</v>
      </c>
      <c r="AL12" s="32">
        <f>[2]Force!DP10</f>
        <v>120</v>
      </c>
      <c r="AM12" s="32">
        <f>[2]Force!DQ10</f>
        <v>120</v>
      </c>
      <c r="AN12" s="32">
        <f>[2]Force!DR10</f>
        <v>137</v>
      </c>
      <c r="AO12" s="32">
        <f>[2]Force!DS10</f>
        <v>118</v>
      </c>
      <c r="AP12" s="32">
        <f>[2]Force!DT10</f>
        <v>121</v>
      </c>
      <c r="AQ12" s="32">
        <f>[2]Force!DU10</f>
        <v>150</v>
      </c>
      <c r="AR12" s="32">
        <f>[2]Force!DV10</f>
        <v>134</v>
      </c>
      <c r="AS12" s="32">
        <f>[2]Force!DW10</f>
        <v>139</v>
      </c>
      <c r="AT12" s="32">
        <f>[2]Force!DX10</f>
        <v>146</v>
      </c>
      <c r="AU12" s="32">
        <f>[2]Force!DY10</f>
        <v>120</v>
      </c>
      <c r="AV12" s="32">
        <f>[2]Force!DZ10</f>
        <v>145</v>
      </c>
      <c r="AW12" s="32">
        <f>[2]Force!EA10</f>
        <v>136</v>
      </c>
      <c r="AX12" s="32">
        <f>[2]Force!EB10</f>
        <v>113</v>
      </c>
      <c r="AY12" s="32">
        <f>[2]Force!EC10</f>
        <v>133</v>
      </c>
    </row>
    <row r="13" spans="2:51" x14ac:dyDescent="0.35">
      <c r="B13" t="str">
        <f t="shared" si="0"/>
        <v>WarwickshireBurglary Business and Community</v>
      </c>
      <c r="C13" s="352" t="s">
        <v>55</v>
      </c>
      <c r="D13" s="32">
        <f>[2]Force!CH11</f>
        <v>54</v>
      </c>
      <c r="E13" s="32">
        <f>[2]Force!CI11</f>
        <v>35</v>
      </c>
      <c r="F13" s="32">
        <f>[2]Force!CJ11</f>
        <v>42</v>
      </c>
      <c r="G13" s="32">
        <f>[2]Force!CK11</f>
        <v>50</v>
      </c>
      <c r="H13" s="32">
        <f>[2]Force!CL11</f>
        <v>52</v>
      </c>
      <c r="I13" s="32">
        <f>[2]Force!CM11</f>
        <v>35</v>
      </c>
      <c r="J13" s="32">
        <f>[2]Force!CN11</f>
        <v>37</v>
      </c>
      <c r="K13" s="32">
        <f>[2]Force!CO11</f>
        <v>63</v>
      </c>
      <c r="L13" s="32">
        <f>[2]Force!CP11</f>
        <v>53</v>
      </c>
      <c r="M13" s="32">
        <f>[2]Force!CQ11</f>
        <v>67</v>
      </c>
      <c r="N13" s="32">
        <f>[2]Force!CR11</f>
        <v>55</v>
      </c>
      <c r="O13" s="32">
        <f>[2]Force!CS11</f>
        <v>56</v>
      </c>
      <c r="P13" s="32">
        <f>[2]Force!CT11</f>
        <v>69</v>
      </c>
      <c r="Q13" s="32">
        <f>[2]Force!CU11</f>
        <v>57</v>
      </c>
      <c r="R13" s="32">
        <f>[2]Force!CV11</f>
        <v>40</v>
      </c>
      <c r="S13" s="32">
        <f>[2]Force!CW11</f>
        <v>59</v>
      </c>
      <c r="T13" s="32">
        <f>[2]Force!CX11</f>
        <v>89</v>
      </c>
      <c r="U13" s="32">
        <f>[2]Force!CY11</f>
        <v>54</v>
      </c>
      <c r="V13" s="32">
        <f>[2]Force!CZ11</f>
        <v>68</v>
      </c>
      <c r="W13" s="32">
        <f>[2]Force!DA11</f>
        <v>70</v>
      </c>
      <c r="X13" s="32">
        <f>[2]Force!DB11</f>
        <v>71</v>
      </c>
      <c r="Y13" s="32">
        <f>[2]Force!DC11</f>
        <v>95</v>
      </c>
      <c r="Z13" s="32">
        <f>[2]Force!DD11</f>
        <v>79</v>
      </c>
      <c r="AA13" s="32">
        <f>[2]Force!DE11</f>
        <v>62</v>
      </c>
      <c r="AB13" s="32">
        <f>[2]Force!DF11</f>
        <v>58</v>
      </c>
      <c r="AC13" s="32">
        <f>[2]Force!DG11</f>
        <v>51</v>
      </c>
      <c r="AD13" s="32">
        <f>[2]Force!DH11</f>
        <v>51</v>
      </c>
      <c r="AE13" s="32">
        <f>[2]Force!DI11</f>
        <v>58</v>
      </c>
      <c r="AF13" s="32">
        <f>[2]Force!DJ11</f>
        <v>76</v>
      </c>
      <c r="AG13" s="32">
        <f>[2]Force!DK11</f>
        <v>82</v>
      </c>
      <c r="AH13" s="32">
        <f>[2]Force!DL11</f>
        <v>76</v>
      </c>
      <c r="AI13" s="32">
        <f>[2]Force!DM11</f>
        <v>70</v>
      </c>
      <c r="AJ13" s="32">
        <f>[2]Force!DN11</f>
        <v>61</v>
      </c>
      <c r="AK13" s="32">
        <f>[2]Force!DO11</f>
        <v>80</v>
      </c>
      <c r="AL13" s="32">
        <f>[2]Force!DP11</f>
        <v>50</v>
      </c>
      <c r="AM13" s="32">
        <f>[2]Force!DQ11</f>
        <v>67</v>
      </c>
      <c r="AN13" s="32">
        <f>[2]Force!DR11</f>
        <v>39</v>
      </c>
      <c r="AO13" s="32">
        <f>[2]Force!DS11</f>
        <v>87</v>
      </c>
      <c r="AP13" s="32">
        <f>[2]Force!DT11</f>
        <v>56</v>
      </c>
      <c r="AQ13" s="32">
        <f>[2]Force!DU11</f>
        <v>69</v>
      </c>
      <c r="AR13" s="32">
        <f>[2]Force!DV11</f>
        <v>81</v>
      </c>
      <c r="AS13" s="32">
        <f>[2]Force!DW11</f>
        <v>60</v>
      </c>
      <c r="AT13" s="32">
        <f>[2]Force!DX11</f>
        <v>46</v>
      </c>
      <c r="AU13" s="32">
        <f>[2]Force!DY11</f>
        <v>58</v>
      </c>
      <c r="AV13" s="32">
        <f>[2]Force!DZ11</f>
        <v>53</v>
      </c>
      <c r="AW13" s="32">
        <f>[2]Force!EA11</f>
        <v>60</v>
      </c>
      <c r="AX13" s="32">
        <f>[2]Force!EB11</f>
        <v>39</v>
      </c>
      <c r="AY13" s="32">
        <f>[2]Force!EC11</f>
        <v>51</v>
      </c>
    </row>
    <row r="14" spans="2:51" x14ac:dyDescent="0.35">
      <c r="B14" t="str">
        <f>CONCATENATE($C$2,C14)</f>
        <v>WarwickshireVehicle Offences</v>
      </c>
      <c r="C14" s="352" t="s">
        <v>38</v>
      </c>
      <c r="D14" s="32">
        <f>[2]Force!CH12</f>
        <v>206</v>
      </c>
      <c r="E14" s="32">
        <f>[2]Force!CI12</f>
        <v>236</v>
      </c>
      <c r="F14" s="32">
        <f>[2]Force!CJ12</f>
        <v>210</v>
      </c>
      <c r="G14" s="32">
        <f>[2]Force!CK12</f>
        <v>277</v>
      </c>
      <c r="H14" s="32">
        <f>[2]Force!CL12</f>
        <v>297</v>
      </c>
      <c r="I14" s="32">
        <f>[2]Force!CM12</f>
        <v>250</v>
      </c>
      <c r="J14" s="32">
        <f>[2]Force!CN12</f>
        <v>254</v>
      </c>
      <c r="K14" s="32">
        <f>[2]Force!CO12</f>
        <v>413</v>
      </c>
      <c r="L14" s="32">
        <f>[2]Force!CP12</f>
        <v>299</v>
      </c>
      <c r="M14" s="32">
        <f>[2]Force!CQ12</f>
        <v>314</v>
      </c>
      <c r="N14" s="32">
        <f>[2]Force!CR12</f>
        <v>279</v>
      </c>
      <c r="O14" s="32">
        <f>[2]Force!CS12</f>
        <v>386</v>
      </c>
      <c r="P14" s="32">
        <f>[2]Force!CT12</f>
        <v>384</v>
      </c>
      <c r="Q14" s="32">
        <f>[2]Force!CU12</f>
        <v>369</v>
      </c>
      <c r="R14" s="32">
        <f>[2]Force!CV12</f>
        <v>371</v>
      </c>
      <c r="S14" s="32">
        <f>[2]Force!CW12</f>
        <v>402</v>
      </c>
      <c r="T14" s="32">
        <f>[2]Force!CX12</f>
        <v>399</v>
      </c>
      <c r="U14" s="32">
        <f>[2]Force!CY12</f>
        <v>437</v>
      </c>
      <c r="V14" s="32">
        <f>[2]Force!CZ12</f>
        <v>464</v>
      </c>
      <c r="W14" s="32">
        <f>[2]Force!DA12</f>
        <v>403</v>
      </c>
      <c r="X14" s="32">
        <f>[2]Force!DB12</f>
        <v>305</v>
      </c>
      <c r="Y14" s="32">
        <f>[2]Force!DC12</f>
        <v>473</v>
      </c>
      <c r="Z14" s="32">
        <f>[2]Force!DD12</f>
        <v>354</v>
      </c>
      <c r="AA14" s="32">
        <f>[2]Force!DE12</f>
        <v>345</v>
      </c>
      <c r="AB14" s="32">
        <f>[2]Force!DF12</f>
        <v>362</v>
      </c>
      <c r="AC14" s="32">
        <f>[2]Force!DG12</f>
        <v>333</v>
      </c>
      <c r="AD14" s="32">
        <f>[2]Force!DH12</f>
        <v>323</v>
      </c>
      <c r="AE14" s="32">
        <f>[2]Force!DI12</f>
        <v>402</v>
      </c>
      <c r="AF14" s="32">
        <f>[2]Force!DJ12</f>
        <v>324</v>
      </c>
      <c r="AG14" s="32">
        <f>[2]Force!DK12</f>
        <v>323</v>
      </c>
      <c r="AH14" s="32">
        <f>[2]Force!DL12</f>
        <v>318</v>
      </c>
      <c r="AI14" s="32">
        <f>[2]Force!DM12</f>
        <v>339</v>
      </c>
      <c r="AJ14" s="32">
        <f>[2]Force!DN12</f>
        <v>343</v>
      </c>
      <c r="AK14" s="32">
        <f>[2]Force!DO12</f>
        <v>335</v>
      </c>
      <c r="AL14" s="32">
        <f>[2]Force!DP12</f>
        <v>292</v>
      </c>
      <c r="AM14" s="32">
        <f>[2]Force!DQ12</f>
        <v>380</v>
      </c>
      <c r="AN14" s="32">
        <f>[2]Force!DR12</f>
        <v>389</v>
      </c>
      <c r="AO14" s="32">
        <f>[2]Force!DS12</f>
        <v>370</v>
      </c>
      <c r="AP14" s="32">
        <f>[2]Force!DT12</f>
        <v>353</v>
      </c>
      <c r="AQ14" s="32">
        <f>[2]Force!DU12</f>
        <v>306</v>
      </c>
      <c r="AR14" s="32">
        <f>[2]Force!DV12</f>
        <v>321</v>
      </c>
      <c r="AS14" s="32">
        <f>[2]Force!DW12</f>
        <v>353</v>
      </c>
      <c r="AT14" s="32">
        <f>[2]Force!DX12</f>
        <v>425</v>
      </c>
      <c r="AU14" s="32">
        <f>[2]Force!DY12</f>
        <v>322</v>
      </c>
      <c r="AV14" s="32">
        <f>[2]Force!DZ12</f>
        <v>295</v>
      </c>
      <c r="AW14" s="32">
        <f>[2]Force!EA12</f>
        <v>320</v>
      </c>
      <c r="AX14" s="32">
        <f>[2]Force!EB12</f>
        <v>233</v>
      </c>
      <c r="AY14" s="32">
        <f>[2]Force!EC12</f>
        <v>278</v>
      </c>
    </row>
    <row r="15" spans="2:51" x14ac:dyDescent="0.35">
      <c r="B15" t="str">
        <f>CONCATENATE($C$2,C15)</f>
        <v>WarwickshireShoplifting</v>
      </c>
      <c r="C15" s="352" t="s">
        <v>17</v>
      </c>
      <c r="D15" s="32">
        <f>[2]Force!CH13</f>
        <v>134</v>
      </c>
      <c r="E15" s="32">
        <f>[2]Force!CI13</f>
        <v>178</v>
      </c>
      <c r="F15" s="32">
        <f>[2]Force!CJ13</f>
        <v>161</v>
      </c>
      <c r="G15" s="32">
        <f>[2]Force!CK13</f>
        <v>182</v>
      </c>
      <c r="H15" s="32">
        <f>[2]Force!CL13</f>
        <v>188</v>
      </c>
      <c r="I15" s="32">
        <f>[2]Force!CM13</f>
        <v>177</v>
      </c>
      <c r="J15" s="32">
        <f>[2]Force!CN13</f>
        <v>192</v>
      </c>
      <c r="K15" s="32">
        <f>[2]Force!CO13</f>
        <v>208</v>
      </c>
      <c r="L15" s="32">
        <f>[2]Force!CP13</f>
        <v>175</v>
      </c>
      <c r="M15" s="32">
        <f>[2]Force!CQ13</f>
        <v>155</v>
      </c>
      <c r="N15" s="32">
        <f>[2]Force!CR13</f>
        <v>175</v>
      </c>
      <c r="O15" s="32">
        <f>[2]Force!CS13</f>
        <v>199</v>
      </c>
      <c r="P15" s="32">
        <f>[2]Force!CT13</f>
        <v>180</v>
      </c>
      <c r="Q15" s="32">
        <f>[2]Force!CU13</f>
        <v>190</v>
      </c>
      <c r="R15" s="32">
        <f>[2]Force!CV13</f>
        <v>164</v>
      </c>
      <c r="S15" s="32">
        <f>[2]Force!CW13</f>
        <v>147</v>
      </c>
      <c r="T15" s="32">
        <f>[2]Force!CX13</f>
        <v>258</v>
      </c>
      <c r="U15" s="32">
        <f>[2]Force!CY13</f>
        <v>177</v>
      </c>
      <c r="V15" s="32">
        <f>[2]Force!CZ13</f>
        <v>224</v>
      </c>
      <c r="W15" s="32">
        <f>[2]Force!DA13</f>
        <v>194</v>
      </c>
      <c r="X15" s="32">
        <f>[2]Force!DB13</f>
        <v>192</v>
      </c>
      <c r="Y15" s="32">
        <f>[2]Force!DC13</f>
        <v>218</v>
      </c>
      <c r="Z15" s="32">
        <f>[2]Force!DD13</f>
        <v>278</v>
      </c>
      <c r="AA15" s="32">
        <f>[2]Force!DE13</f>
        <v>249</v>
      </c>
      <c r="AB15" s="32">
        <f>[2]Force!DF13</f>
        <v>211</v>
      </c>
      <c r="AC15" s="32">
        <f>[2]Force!DG13</f>
        <v>217</v>
      </c>
      <c r="AD15" s="32">
        <f>[2]Force!DH13</f>
        <v>224</v>
      </c>
      <c r="AE15" s="32">
        <f>[2]Force!DI13</f>
        <v>230</v>
      </c>
      <c r="AF15" s="32">
        <f>[2]Force!DJ13</f>
        <v>193</v>
      </c>
      <c r="AG15" s="32">
        <f>[2]Force!DK13</f>
        <v>242</v>
      </c>
      <c r="AH15" s="32">
        <f>[2]Force!DL13</f>
        <v>251</v>
      </c>
      <c r="AI15" s="32">
        <f>[2]Force!DM13</f>
        <v>267</v>
      </c>
      <c r="AJ15" s="32">
        <f>[2]Force!DN13</f>
        <v>229</v>
      </c>
      <c r="AK15" s="32">
        <f>[2]Force!DO13</f>
        <v>292</v>
      </c>
      <c r="AL15" s="32">
        <f>[2]Force!DP13</f>
        <v>291</v>
      </c>
      <c r="AM15" s="32">
        <f>[2]Force!DQ13</f>
        <v>326</v>
      </c>
      <c r="AN15" s="32">
        <f>[2]Force!DR13</f>
        <v>345</v>
      </c>
      <c r="AO15" s="32">
        <f>[2]Force!DS13</f>
        <v>303</v>
      </c>
      <c r="AP15" s="32">
        <f>[2]Force!DT13</f>
        <v>257</v>
      </c>
      <c r="AQ15" s="32">
        <f>[2]Force!DU13</f>
        <v>304</v>
      </c>
      <c r="AR15" s="32">
        <f>[2]Force!DV13</f>
        <v>322</v>
      </c>
      <c r="AS15" s="32">
        <f>[2]Force!DW13</f>
        <v>318</v>
      </c>
      <c r="AT15" s="32">
        <f>[2]Force!DX13</f>
        <v>359</v>
      </c>
      <c r="AU15" s="32">
        <f>[2]Force!DY13</f>
        <v>251</v>
      </c>
      <c r="AV15" s="32">
        <f>[2]Force!DZ13</f>
        <v>217</v>
      </c>
      <c r="AW15" s="32">
        <f>[2]Force!EA13</f>
        <v>240</v>
      </c>
      <c r="AX15" s="32">
        <f>[2]Force!EB13</f>
        <v>266</v>
      </c>
      <c r="AY15" s="32">
        <f>[2]Force!EC13</f>
        <v>340</v>
      </c>
    </row>
    <row r="16" spans="2:51" x14ac:dyDescent="0.35">
      <c r="B16" t="str">
        <f t="shared" si="0"/>
        <v>WarwickshireCriminal Damage &amp; Arson</v>
      </c>
      <c r="C16" s="352" t="s">
        <v>34</v>
      </c>
      <c r="D16" s="32">
        <f>[2]Force!CH14</f>
        <v>312</v>
      </c>
      <c r="E16" s="32">
        <f>[2]Force!CI14</f>
        <v>356</v>
      </c>
      <c r="F16" s="32">
        <f>[2]Force!CJ14</f>
        <v>331</v>
      </c>
      <c r="G16" s="32">
        <f>[2]Force!CK14</f>
        <v>311</v>
      </c>
      <c r="H16" s="32">
        <f>[2]Force!CL14</f>
        <v>328</v>
      </c>
      <c r="I16" s="32">
        <f>[2]Force!CM14</f>
        <v>339</v>
      </c>
      <c r="J16" s="32">
        <f>[2]Force!CN14</f>
        <v>388</v>
      </c>
      <c r="K16" s="32">
        <f>[2]Force!CO14</f>
        <v>336</v>
      </c>
      <c r="L16" s="32">
        <f>[2]Force!CP14</f>
        <v>322</v>
      </c>
      <c r="M16" s="32">
        <f>[2]Force!CQ14</f>
        <v>324</v>
      </c>
      <c r="N16" s="32">
        <f>[2]Force!CR14</f>
        <v>241</v>
      </c>
      <c r="O16" s="32">
        <f>[2]Force!CS14</f>
        <v>353</v>
      </c>
      <c r="P16" s="32">
        <f>[2]Force!CT14</f>
        <v>375</v>
      </c>
      <c r="Q16" s="32">
        <f>[2]Force!CU14</f>
        <v>330</v>
      </c>
      <c r="R16" s="32">
        <f>[2]Force!CV14</f>
        <v>337</v>
      </c>
      <c r="S16" s="32">
        <f>[2]Force!CW14</f>
        <v>388</v>
      </c>
      <c r="T16" s="32">
        <f>[2]Force!CX14</f>
        <v>389</v>
      </c>
      <c r="U16" s="32">
        <f>[2]Force!CY14</f>
        <v>317</v>
      </c>
      <c r="V16" s="32">
        <f>[2]Force!CZ14</f>
        <v>329</v>
      </c>
      <c r="W16" s="32">
        <f>[2]Force!DA14</f>
        <v>300</v>
      </c>
      <c r="X16" s="32">
        <f>[2]Force!DB14</f>
        <v>318</v>
      </c>
      <c r="Y16" s="32">
        <f>[2]Force!DC14</f>
        <v>285</v>
      </c>
      <c r="Z16" s="32">
        <f>[2]Force!DD14</f>
        <v>276</v>
      </c>
      <c r="AA16" s="32">
        <f>[2]Force!DE14</f>
        <v>319</v>
      </c>
      <c r="AB16" s="32">
        <f>[2]Force!DF14</f>
        <v>310</v>
      </c>
      <c r="AC16" s="32">
        <f>[2]Force!DG14</f>
        <v>317</v>
      </c>
      <c r="AD16" s="32">
        <f>[2]Force!DH14</f>
        <v>347</v>
      </c>
      <c r="AE16" s="32">
        <f>[2]Force!DI14</f>
        <v>364</v>
      </c>
      <c r="AF16" s="32">
        <f>[2]Force!DJ14</f>
        <v>298</v>
      </c>
      <c r="AG16" s="32">
        <f>[2]Force!DK14</f>
        <v>311</v>
      </c>
      <c r="AH16" s="32">
        <f>[2]Force!DL14</f>
        <v>280</v>
      </c>
      <c r="AI16" s="32">
        <f>[2]Force!DM14</f>
        <v>224</v>
      </c>
      <c r="AJ16" s="32">
        <f>[2]Force!DN14</f>
        <v>268</v>
      </c>
      <c r="AK16" s="32">
        <f>[2]Force!DO14</f>
        <v>240</v>
      </c>
      <c r="AL16" s="32">
        <f>[2]Force!DP14</f>
        <v>222</v>
      </c>
      <c r="AM16" s="32">
        <f>[2]Force!DQ14</f>
        <v>248</v>
      </c>
      <c r="AN16" s="32">
        <f>[2]Force!DR14</f>
        <v>267</v>
      </c>
      <c r="AO16" s="32">
        <f>[2]Force!DS14</f>
        <v>288</v>
      </c>
      <c r="AP16" s="32">
        <f>[2]Force!DT14</f>
        <v>276</v>
      </c>
      <c r="AQ16" s="32">
        <f>[2]Force!DU14</f>
        <v>339</v>
      </c>
      <c r="AR16" s="32">
        <f>[2]Force!DV14</f>
        <v>291</v>
      </c>
      <c r="AS16" s="32">
        <f>[2]Force!DW14</f>
        <v>279</v>
      </c>
      <c r="AT16" s="32">
        <f>[2]Force!DX14</f>
        <v>305</v>
      </c>
      <c r="AU16" s="32">
        <f>[2]Force!DY14</f>
        <v>265</v>
      </c>
      <c r="AV16" s="32">
        <f>[2]Force!DZ14</f>
        <v>271</v>
      </c>
      <c r="AW16" s="32">
        <f>[2]Force!EA14</f>
        <v>234</v>
      </c>
      <c r="AX16" s="32">
        <f>[2]Force!EB14</f>
        <v>216</v>
      </c>
      <c r="AY16" s="32">
        <f>[2]Force!EC14</f>
        <v>267</v>
      </c>
    </row>
    <row r="17" spans="2:51" x14ac:dyDescent="0.35">
      <c r="B17" t="str">
        <f t="shared" si="0"/>
        <v>WarwickshireTotal Robbery</v>
      </c>
      <c r="C17" s="352" t="s">
        <v>41</v>
      </c>
      <c r="D17" s="32">
        <f>[2]Force!CH15</f>
        <v>24</v>
      </c>
      <c r="E17" s="32">
        <f>[2]Force!CI15</f>
        <v>20</v>
      </c>
      <c r="F17" s="32">
        <f>[2]Force!CJ15</f>
        <v>36</v>
      </c>
      <c r="G17" s="32">
        <f>[2]Force!CK15</f>
        <v>39</v>
      </c>
      <c r="H17" s="32">
        <f>[2]Force!CL15</f>
        <v>34</v>
      </c>
      <c r="I17" s="32">
        <f>[2]Force!CM15</f>
        <v>21</v>
      </c>
      <c r="J17" s="32">
        <f>[2]Force!CN15</f>
        <v>27</v>
      </c>
      <c r="K17" s="32">
        <f>[2]Force!CO15</f>
        <v>38</v>
      </c>
      <c r="L17" s="32">
        <f>[2]Force!CP15</f>
        <v>23</v>
      </c>
      <c r="M17" s="32">
        <f>[2]Force!CQ15</f>
        <v>30</v>
      </c>
      <c r="N17" s="32">
        <f>[2]Force!CR15</f>
        <v>32</v>
      </c>
      <c r="O17" s="32">
        <f>[2]Force!CS15</f>
        <v>32</v>
      </c>
      <c r="P17" s="32">
        <f>[2]Force!CT15</f>
        <v>26</v>
      </c>
      <c r="Q17" s="32">
        <f>[2]Force!CU15</f>
        <v>34</v>
      </c>
      <c r="R17" s="32">
        <f>[2]Force!CV15</f>
        <v>39</v>
      </c>
      <c r="S17" s="32">
        <f>[2]Force!CW15</f>
        <v>30</v>
      </c>
      <c r="T17" s="32">
        <f>[2]Force!CX15</f>
        <v>33</v>
      </c>
      <c r="U17" s="32">
        <f>[2]Force!CY15</f>
        <v>22</v>
      </c>
      <c r="V17" s="32">
        <f>[2]Force!CZ15</f>
        <v>25</v>
      </c>
      <c r="W17" s="32">
        <f>[2]Force!DA15</f>
        <v>28</v>
      </c>
      <c r="X17" s="32">
        <f>[2]Force!DB15</f>
        <v>28</v>
      </c>
      <c r="Y17" s="32">
        <f>[2]Force!DC15</f>
        <v>30</v>
      </c>
      <c r="Z17" s="32">
        <f>[2]Force!DD15</f>
        <v>41</v>
      </c>
      <c r="AA17" s="32">
        <f>[2]Force!DE15</f>
        <v>28</v>
      </c>
      <c r="AB17" s="32">
        <f>[2]Force!DF15</f>
        <v>27</v>
      </c>
      <c r="AC17" s="32">
        <f>[2]Force!DG15</f>
        <v>36</v>
      </c>
      <c r="AD17" s="32">
        <f>[2]Force!DH15</f>
        <v>32</v>
      </c>
      <c r="AE17" s="32">
        <f>[2]Force!DI15</f>
        <v>44</v>
      </c>
      <c r="AF17" s="32">
        <f>[2]Force!DJ15</f>
        <v>41</v>
      </c>
      <c r="AG17" s="32">
        <f>[2]Force!DK15</f>
        <v>30</v>
      </c>
      <c r="AH17" s="32">
        <f>[2]Force!DL15</f>
        <v>27</v>
      </c>
      <c r="AI17" s="32">
        <f>[2]Force!DM15</f>
        <v>24</v>
      </c>
      <c r="AJ17" s="32">
        <f>[2]Force!DN15</f>
        <v>31</v>
      </c>
      <c r="AK17" s="32">
        <f>[2]Force!DO15</f>
        <v>32</v>
      </c>
      <c r="AL17" s="32">
        <f>[2]Force!DP15</f>
        <v>25</v>
      </c>
      <c r="AM17" s="32">
        <f>[2]Force!DQ15</f>
        <v>40</v>
      </c>
      <c r="AN17" s="32">
        <f>[2]Force!DR15</f>
        <v>37</v>
      </c>
      <c r="AO17" s="32">
        <f>[2]Force!DS15</f>
        <v>33</v>
      </c>
      <c r="AP17" s="32">
        <f>[2]Force!DT15</f>
        <v>45</v>
      </c>
      <c r="AQ17" s="32">
        <f>[2]Force!DU15</f>
        <v>37</v>
      </c>
      <c r="AR17" s="32">
        <f>[2]Force!DV15</f>
        <v>36</v>
      </c>
      <c r="AS17" s="32">
        <f>[2]Force!DW15</f>
        <v>43</v>
      </c>
      <c r="AT17" s="32">
        <f>[2]Force!DX15</f>
        <v>26</v>
      </c>
      <c r="AU17" s="32">
        <f>[2]Force!DY15</f>
        <v>26</v>
      </c>
      <c r="AV17" s="32">
        <f>[2]Force!DZ15</f>
        <v>30</v>
      </c>
      <c r="AW17" s="32">
        <f>[2]Force!EA15</f>
        <v>25</v>
      </c>
      <c r="AX17" s="32">
        <f>[2]Force!EB15</f>
        <v>36</v>
      </c>
      <c r="AY17" s="32">
        <f>[2]Force!EC15</f>
        <v>45</v>
      </c>
    </row>
    <row r="18" spans="2:51" x14ac:dyDescent="0.35">
      <c r="B18" t="str">
        <f t="shared" si="0"/>
        <v>WarwickshireTotal VAP &amp; Sexual Offences</v>
      </c>
      <c r="C18" s="352" t="s">
        <v>42</v>
      </c>
      <c r="D18" s="32">
        <f>[2]Force!CH16</f>
        <v>1353</v>
      </c>
      <c r="E18" s="32">
        <f>[2]Force!CI16</f>
        <v>1514</v>
      </c>
      <c r="F18" s="32">
        <f>[2]Force!CJ16</f>
        <v>1597</v>
      </c>
      <c r="G18" s="32">
        <f>[2]Force!CK16</f>
        <v>1682</v>
      </c>
      <c r="H18" s="32">
        <f>[2]Force!CL16</f>
        <v>1504</v>
      </c>
      <c r="I18" s="32">
        <f>[2]Force!CM16</f>
        <v>1570</v>
      </c>
      <c r="J18" s="32">
        <f>[2]Force!CN16</f>
        <v>1566</v>
      </c>
      <c r="K18" s="32">
        <f>[2]Force!CO16</f>
        <v>1473</v>
      </c>
      <c r="L18" s="32">
        <f>[2]Force!CP16</f>
        <v>1381</v>
      </c>
      <c r="M18" s="32">
        <f>[2]Force!CQ16</f>
        <v>1345</v>
      </c>
      <c r="N18" s="32">
        <f>[2]Force!CR16</f>
        <v>1308</v>
      </c>
      <c r="O18" s="32">
        <f>[2]Force!CS16</f>
        <v>1554</v>
      </c>
      <c r="P18" s="32">
        <f>[2]Force!CT16</f>
        <v>1420</v>
      </c>
      <c r="Q18" s="32">
        <f>[2]Force!CU16</f>
        <v>1507</v>
      </c>
      <c r="R18" s="32">
        <f>[2]Force!CV16</f>
        <v>1511</v>
      </c>
      <c r="S18" s="32">
        <f>[2]Force!CW16</f>
        <v>1632</v>
      </c>
      <c r="T18" s="32">
        <f>[2]Force!CX16</f>
        <v>1435</v>
      </c>
      <c r="U18" s="32">
        <f>[2]Force!CY16</f>
        <v>1374</v>
      </c>
      <c r="V18" s="32">
        <f>[2]Force!CZ16</f>
        <v>1408</v>
      </c>
      <c r="W18" s="32">
        <f>[2]Force!DA16</f>
        <v>1388</v>
      </c>
      <c r="X18" s="32">
        <f>[2]Force!DB16</f>
        <v>1249</v>
      </c>
      <c r="Y18" s="32">
        <f>[2]Force!DC16</f>
        <v>1273</v>
      </c>
      <c r="Z18" s="32">
        <f>[2]Force!DD16</f>
        <v>1327</v>
      </c>
      <c r="AA18" s="32">
        <f>[2]Force!DE16</f>
        <v>1511</v>
      </c>
      <c r="AB18" s="32">
        <f>[2]Force!DF16</f>
        <v>1335</v>
      </c>
      <c r="AC18" s="32">
        <f>[2]Force!DG16</f>
        <v>1378</v>
      </c>
      <c r="AD18" s="32">
        <f>[2]Force!DH16</f>
        <v>1522</v>
      </c>
      <c r="AE18" s="32">
        <f>[2]Force!DI16</f>
        <v>1393</v>
      </c>
      <c r="AF18" s="32">
        <f>[2]Force!DJ16</f>
        <v>1329</v>
      </c>
      <c r="AG18" s="32">
        <f>[2]Force!DK16</f>
        <v>1386</v>
      </c>
      <c r="AH18" s="32">
        <f>[2]Force!DL16</f>
        <v>1479</v>
      </c>
      <c r="AI18" s="32">
        <f>[2]Force!DM16</f>
        <v>1343</v>
      </c>
      <c r="AJ18" s="32">
        <f>[2]Force!DN16</f>
        <v>1389</v>
      </c>
      <c r="AK18" s="32">
        <f>[2]Force!DO16</f>
        <v>1341</v>
      </c>
      <c r="AL18" s="32">
        <f>[2]Force!DP16</f>
        <v>1313</v>
      </c>
      <c r="AM18" s="32">
        <f>[2]Force!DQ16</f>
        <v>1301</v>
      </c>
      <c r="AN18" s="32">
        <f>[2]Force!DR16</f>
        <v>1361</v>
      </c>
      <c r="AO18" s="32">
        <f>[2]Force!DS16</f>
        <v>1434</v>
      </c>
      <c r="AP18" s="32">
        <f>[2]Force!DT16</f>
        <v>1407</v>
      </c>
      <c r="AQ18" s="32">
        <f>[2]Force!DU16</f>
        <v>1522</v>
      </c>
      <c r="AR18" s="32">
        <f>[2]Force!DV16</f>
        <v>1302</v>
      </c>
      <c r="AS18" s="32">
        <f>[2]Force!DW16</f>
        <v>1245</v>
      </c>
      <c r="AT18" s="32">
        <f>[2]Force!DX16</f>
        <v>1340</v>
      </c>
      <c r="AU18" s="32">
        <f>[2]Force!DY16</f>
        <v>1235</v>
      </c>
      <c r="AV18" s="32">
        <f>[2]Force!DZ16</f>
        <v>1381</v>
      </c>
      <c r="AW18" s="32">
        <f>[2]Force!EA16</f>
        <v>1313</v>
      </c>
      <c r="AX18" s="32">
        <f>[2]Force!EB16</f>
        <v>1244</v>
      </c>
      <c r="AY18" s="32">
        <f>[2]Force!EC16</f>
        <v>1383</v>
      </c>
    </row>
    <row r="19" spans="2:51" x14ac:dyDescent="0.35">
      <c r="B19" t="str">
        <f t="shared" si="0"/>
        <v>Warwickshire</v>
      </c>
      <c r="C19" s="352"/>
      <c r="D19" s="32">
        <f>[2]Force!CH17</f>
        <v>0</v>
      </c>
      <c r="E19" s="32">
        <f>[2]Force!CI17</f>
        <v>0</v>
      </c>
      <c r="F19" s="32">
        <f>[2]Force!CJ17</f>
        <v>0</v>
      </c>
      <c r="G19" s="32">
        <f>[2]Force!CK17</f>
        <v>0</v>
      </c>
      <c r="H19" s="32">
        <f>[2]Force!CL17</f>
        <v>0</v>
      </c>
      <c r="I19" s="32">
        <f>[2]Force!CM17</f>
        <v>0</v>
      </c>
      <c r="J19" s="32">
        <f>[2]Force!CN17</f>
        <v>0</v>
      </c>
      <c r="K19" s="32">
        <f>[2]Force!CO17</f>
        <v>0</v>
      </c>
      <c r="L19" s="32">
        <f>[2]Force!CP17</f>
        <v>0</v>
      </c>
      <c r="M19" s="32">
        <f>[2]Force!CQ17</f>
        <v>0</v>
      </c>
      <c r="N19" s="32">
        <f>[2]Force!CR17</f>
        <v>0</v>
      </c>
      <c r="O19" s="32">
        <f>[2]Force!CS17</f>
        <v>0</v>
      </c>
      <c r="P19" s="32">
        <f>[2]Force!CT17</f>
        <v>0</v>
      </c>
      <c r="Q19" s="32">
        <f>[2]Force!CU17</f>
        <v>0</v>
      </c>
      <c r="R19" s="32">
        <f>[2]Force!CV17</f>
        <v>0</v>
      </c>
      <c r="S19" s="32">
        <f>[2]Force!CW17</f>
        <v>0</v>
      </c>
      <c r="T19" s="32">
        <f>[2]Force!CX17</f>
        <v>0</v>
      </c>
      <c r="U19" s="32">
        <f>[2]Force!CY17</f>
        <v>0</v>
      </c>
      <c r="V19" s="32">
        <f>[2]Force!CZ17</f>
        <v>0</v>
      </c>
      <c r="W19" s="32">
        <f>[2]Force!DA17</f>
        <v>0</v>
      </c>
      <c r="X19" s="32">
        <f>[2]Force!DB17</f>
        <v>0</v>
      </c>
      <c r="Y19" s="32">
        <f>[2]Force!DC17</f>
        <v>0</v>
      </c>
      <c r="Z19" s="32">
        <f>[2]Force!DD17</f>
        <v>0</v>
      </c>
      <c r="AA19" s="32">
        <f>[2]Force!DE17</f>
        <v>0</v>
      </c>
      <c r="AB19" s="32">
        <f>[2]Force!DF17</f>
        <v>0</v>
      </c>
      <c r="AC19" s="32">
        <f>[2]Force!DG17</f>
        <v>0</v>
      </c>
      <c r="AD19" s="32">
        <f>[2]Force!DH17</f>
        <v>0</v>
      </c>
      <c r="AE19" s="32">
        <f>[2]Force!DI17</f>
        <v>0</v>
      </c>
      <c r="AF19" s="32">
        <f>[2]Force!DJ17</f>
        <v>0</v>
      </c>
      <c r="AG19" s="32">
        <f>[2]Force!DK17</f>
        <v>0</v>
      </c>
      <c r="AH19" s="32">
        <f>[2]Force!DL17</f>
        <v>0</v>
      </c>
      <c r="AI19" s="32">
        <f>[2]Force!DM17</f>
        <v>0</v>
      </c>
      <c r="AJ19" s="32">
        <f>[2]Force!DN17</f>
        <v>0</v>
      </c>
      <c r="AK19" s="32">
        <f>[2]Force!DO17</f>
        <v>0</v>
      </c>
      <c r="AL19" s="32">
        <f>[2]Force!DP17</f>
        <v>0</v>
      </c>
      <c r="AM19" s="32">
        <f>[2]Force!DQ17</f>
        <v>0</v>
      </c>
      <c r="AN19" s="32">
        <f>[2]Force!DR17</f>
        <v>0</v>
      </c>
      <c r="AO19" s="32">
        <f>[2]Force!DS17</f>
        <v>0</v>
      </c>
      <c r="AP19" s="32">
        <f>[2]Force!DT17</f>
        <v>0</v>
      </c>
      <c r="AQ19" s="32">
        <f>[2]Force!DU17</f>
        <v>0</v>
      </c>
      <c r="AR19" s="32">
        <f>[2]Force!DV17</f>
        <v>0</v>
      </c>
      <c r="AS19" s="32">
        <f>[2]Force!DW17</f>
        <v>0</v>
      </c>
      <c r="AT19" s="32">
        <f>[2]Force!DX17</f>
        <v>0</v>
      </c>
      <c r="AU19" s="32">
        <f>[2]Force!DY17</f>
        <v>0</v>
      </c>
      <c r="AV19" s="32">
        <f>[2]Force!DZ17</f>
        <v>0</v>
      </c>
      <c r="AW19" s="32">
        <f>[2]Force!EA17</f>
        <v>0</v>
      </c>
      <c r="AX19" s="32">
        <f>[2]Force!EB17</f>
        <v>0</v>
      </c>
      <c r="AY19" s="32">
        <f>[2]Force!EC17</f>
        <v>0</v>
      </c>
    </row>
    <row r="20" spans="2:51" x14ac:dyDescent="0.35">
      <c r="B20" t="str">
        <f t="shared" si="0"/>
        <v>WarwickshireVAP With Injury - Alcohol Related</v>
      </c>
      <c r="C20" s="352" t="s">
        <v>43</v>
      </c>
      <c r="D20" s="32">
        <f>[2]Force!CH18</f>
        <v>39</v>
      </c>
      <c r="E20" s="32">
        <f>[2]Force!CI18</f>
        <v>33</v>
      </c>
      <c r="F20" s="32">
        <f>[2]Force!CJ18</f>
        <v>54</v>
      </c>
      <c r="G20" s="32">
        <f>[2]Force!CK18</f>
        <v>54</v>
      </c>
      <c r="H20" s="32">
        <f>[2]Force!CL18</f>
        <v>51</v>
      </c>
      <c r="I20" s="32">
        <f>[2]Force!CM18</f>
        <v>54</v>
      </c>
      <c r="J20" s="32">
        <f>[2]Force!CN18</f>
        <v>45</v>
      </c>
      <c r="K20" s="32">
        <f>[2]Force!CO18</f>
        <v>39</v>
      </c>
      <c r="L20" s="32">
        <f>[2]Force!CP18</f>
        <v>54</v>
      </c>
      <c r="M20" s="32">
        <f>[2]Force!CQ18</f>
        <v>47</v>
      </c>
      <c r="N20" s="32">
        <f>[2]Force!CR18</f>
        <v>43</v>
      </c>
      <c r="O20" s="32">
        <f>[2]Force!CS18</f>
        <v>31</v>
      </c>
      <c r="P20" s="32">
        <f>[2]Force!CT18</f>
        <v>42</v>
      </c>
      <c r="Q20" s="32">
        <f>[2]Force!CU18</f>
        <v>54</v>
      </c>
      <c r="R20" s="32">
        <f>[2]Force!CV18</f>
        <v>42</v>
      </c>
      <c r="S20" s="32">
        <f>[2]Force!CW18</f>
        <v>56</v>
      </c>
      <c r="T20" s="32">
        <f>[2]Force!CX18</f>
        <v>46</v>
      </c>
      <c r="U20" s="32">
        <f>[2]Force!CY18</f>
        <v>34</v>
      </c>
      <c r="V20" s="32">
        <f>[2]Force!CZ18</f>
        <v>47</v>
      </c>
      <c r="W20" s="32">
        <f>[2]Force!DA18</f>
        <v>23</v>
      </c>
      <c r="X20" s="32">
        <f>[2]Force!DB18</f>
        <v>45</v>
      </c>
      <c r="Y20" s="32">
        <f>[2]Force!DC18</f>
        <v>27</v>
      </c>
      <c r="Z20" s="32">
        <f>[2]Force!DD18</f>
        <v>34</v>
      </c>
      <c r="AA20" s="32">
        <f>[2]Force!DE18</f>
        <v>39</v>
      </c>
      <c r="AB20" s="32">
        <f>[2]Force!DF18</f>
        <v>30</v>
      </c>
      <c r="AC20" s="32">
        <f>[2]Force!DG18</f>
        <v>56</v>
      </c>
      <c r="AD20" s="32">
        <f>[2]Force!DH18</f>
        <v>46</v>
      </c>
      <c r="AE20" s="32">
        <f>[2]Force!DI18</f>
        <v>53</v>
      </c>
      <c r="AF20" s="32">
        <f>[2]Force!DJ18</f>
        <v>42</v>
      </c>
      <c r="AG20" s="32">
        <f>[2]Force!DK18</f>
        <v>39</v>
      </c>
      <c r="AH20" s="32">
        <f>[2]Force!DL18</f>
        <v>38</v>
      </c>
      <c r="AI20" s="32">
        <f>[2]Force!DM18</f>
        <v>50</v>
      </c>
      <c r="AJ20" s="32">
        <f>[2]Force!DN18</f>
        <v>58</v>
      </c>
      <c r="AK20" s="32">
        <f>[2]Force!DO18</f>
        <v>35</v>
      </c>
      <c r="AL20" s="32">
        <f>[2]Force!DP18</f>
        <v>26</v>
      </c>
      <c r="AM20" s="32">
        <f>[2]Force!DQ18</f>
        <v>50</v>
      </c>
      <c r="AN20" s="32">
        <f>[2]Force!DR18</f>
        <v>42</v>
      </c>
      <c r="AO20" s="32">
        <f>[2]Force!DS18</f>
        <v>48</v>
      </c>
      <c r="AP20" s="32">
        <f>[2]Force!DT18</f>
        <v>38</v>
      </c>
      <c r="AQ20" s="32">
        <f>[2]Force!DU18</f>
        <v>31</v>
      </c>
      <c r="AR20" s="32">
        <f>[2]Force!DV18</f>
        <v>25</v>
      </c>
      <c r="AS20" s="32">
        <f>[2]Force!DW18</f>
        <v>15</v>
      </c>
      <c r="AT20" s="32">
        <f>[2]Force!DX18</f>
        <v>38</v>
      </c>
      <c r="AU20" s="32">
        <f>[2]Force!DY18</f>
        <v>36</v>
      </c>
      <c r="AV20" s="32">
        <f>[2]Force!DZ18</f>
        <v>27</v>
      </c>
      <c r="AW20" s="32">
        <f>[2]Force!EA18</f>
        <v>31</v>
      </c>
      <c r="AX20" s="32">
        <f>[2]Force!EB18</f>
        <v>29</v>
      </c>
      <c r="AY20" s="32">
        <f>[2]Force!EC18</f>
        <v>15</v>
      </c>
    </row>
    <row r="21" spans="2:51" s="64" customFormat="1" x14ac:dyDescent="0.35">
      <c r="B21" s="64" t="str">
        <f t="shared" si="0"/>
        <v>WarwickshireVAP Without Injury - Alcohol Related</v>
      </c>
      <c r="C21" s="352" t="s">
        <v>198</v>
      </c>
      <c r="D21" s="32">
        <f>[2]Force!CH19</f>
        <v>47</v>
      </c>
      <c r="E21" s="32">
        <f>[2]Force!CI19</f>
        <v>56</v>
      </c>
      <c r="F21" s="32">
        <f>[2]Force!CJ19</f>
        <v>75</v>
      </c>
      <c r="G21" s="32">
        <f>[2]Force!CK19</f>
        <v>73</v>
      </c>
      <c r="H21" s="32">
        <f>[2]Force!CL19</f>
        <v>57</v>
      </c>
      <c r="I21" s="32">
        <f>[2]Force!CM19</f>
        <v>51</v>
      </c>
      <c r="J21" s="32">
        <f>[2]Force!CN19</f>
        <v>63</v>
      </c>
      <c r="K21" s="32">
        <f>[2]Force!CO19</f>
        <v>65</v>
      </c>
      <c r="L21" s="32">
        <f>[2]Force!CP19</f>
        <v>73</v>
      </c>
      <c r="M21" s="32">
        <f>[2]Force!CQ19</f>
        <v>57</v>
      </c>
      <c r="N21" s="32">
        <f>[2]Force!CR19</f>
        <v>54</v>
      </c>
      <c r="O21" s="32">
        <f>[2]Force!CS19</f>
        <v>66</v>
      </c>
      <c r="P21" s="32">
        <f>[2]Force!CT19</f>
        <v>61</v>
      </c>
      <c r="Q21" s="32">
        <f>[2]Force!CU19</f>
        <v>63</v>
      </c>
      <c r="R21" s="32">
        <f>[2]Force!CV19</f>
        <v>61</v>
      </c>
      <c r="S21" s="32">
        <f>[2]Force!CW19</f>
        <v>82</v>
      </c>
      <c r="T21" s="32">
        <f>[2]Force!CX19</f>
        <v>38</v>
      </c>
      <c r="U21" s="32">
        <f>[2]Force!CY19</f>
        <v>50</v>
      </c>
      <c r="V21" s="32">
        <f>[2]Force!CZ19</f>
        <v>57</v>
      </c>
      <c r="W21" s="32">
        <f>[2]Force!DA19</f>
        <v>39</v>
      </c>
      <c r="X21" s="32">
        <f>[2]Force!DB19</f>
        <v>52</v>
      </c>
      <c r="Y21" s="32">
        <f>[2]Force!DC19</f>
        <v>50</v>
      </c>
      <c r="Z21" s="32">
        <f>[2]Force!DD19</f>
        <v>44</v>
      </c>
      <c r="AA21" s="32">
        <f>[2]Force!DE19</f>
        <v>59</v>
      </c>
      <c r="AB21" s="32">
        <f>[2]Force!DF19</f>
        <v>50</v>
      </c>
      <c r="AC21" s="32">
        <f>[2]Force!DG19</f>
        <v>47</v>
      </c>
      <c r="AD21" s="32">
        <f>[2]Force!DH19</f>
        <v>61</v>
      </c>
      <c r="AE21" s="32">
        <f>[2]Force!DI19</f>
        <v>50</v>
      </c>
      <c r="AF21" s="32">
        <f>[2]Force!DJ19</f>
        <v>43</v>
      </c>
      <c r="AG21" s="32">
        <f>[2]Force!DK19</f>
        <v>47</v>
      </c>
      <c r="AH21" s="32">
        <f>[2]Force!DL19</f>
        <v>42</v>
      </c>
      <c r="AI21" s="32">
        <f>[2]Force!DM19</f>
        <v>44</v>
      </c>
      <c r="AJ21" s="32">
        <f>[2]Force!DN19</f>
        <v>58</v>
      </c>
      <c r="AK21" s="32">
        <f>[2]Force!DO19</f>
        <v>49</v>
      </c>
      <c r="AL21" s="32">
        <f>[2]Force!DP19</f>
        <v>28</v>
      </c>
      <c r="AM21" s="32">
        <f>[2]Force!DQ19</f>
        <v>44</v>
      </c>
      <c r="AN21" s="32">
        <f>[2]Force!DR19</f>
        <v>36</v>
      </c>
      <c r="AO21" s="32">
        <f>[2]Force!DS19</f>
        <v>63</v>
      </c>
      <c r="AP21" s="32">
        <f>[2]Force!DT19</f>
        <v>47</v>
      </c>
      <c r="AQ21" s="32">
        <f>[2]Force!DU19</f>
        <v>52</v>
      </c>
      <c r="AR21" s="32">
        <f>[2]Force!DV19</f>
        <v>28</v>
      </c>
      <c r="AS21" s="32">
        <f>[2]Force!DW19</f>
        <v>34</v>
      </c>
      <c r="AT21" s="32">
        <f>[2]Force!DX19</f>
        <v>35</v>
      </c>
      <c r="AU21" s="32">
        <f>[2]Force!DY19</f>
        <v>35</v>
      </c>
      <c r="AV21" s="32">
        <f>[2]Force!DZ19</f>
        <v>36</v>
      </c>
      <c r="AW21" s="32">
        <f>[2]Force!EA19</f>
        <v>39</v>
      </c>
      <c r="AX21" s="32">
        <f>[2]Force!EB19</f>
        <v>31</v>
      </c>
      <c r="AY21" s="32">
        <f>[2]Force!EC19</f>
        <v>38</v>
      </c>
    </row>
    <row r="22" spans="2:51" x14ac:dyDescent="0.35">
      <c r="B22" t="str">
        <f t="shared" si="0"/>
        <v>WarwickshireVAP With Injury - Drug Related</v>
      </c>
      <c r="C22" s="352" t="s">
        <v>44</v>
      </c>
      <c r="D22" s="32">
        <f>[2]Force!CH20</f>
        <v>3</v>
      </c>
      <c r="E22" s="32">
        <f>[2]Force!CI20</f>
        <v>0</v>
      </c>
      <c r="F22" s="32">
        <f>[2]Force!CJ20</f>
        <v>3</v>
      </c>
      <c r="G22" s="32">
        <f>[2]Force!CK20</f>
        <v>3</v>
      </c>
      <c r="H22" s="32">
        <f>[2]Force!CL20</f>
        <v>1</v>
      </c>
      <c r="I22" s="32">
        <f>[2]Force!CM20</f>
        <v>4</v>
      </c>
      <c r="J22" s="32">
        <f>[2]Force!CN20</f>
        <v>3</v>
      </c>
      <c r="K22" s="32">
        <f>[2]Force!CO20</f>
        <v>6</v>
      </c>
      <c r="L22" s="32">
        <f>[2]Force!CP20</f>
        <v>6</v>
      </c>
      <c r="M22" s="32">
        <f>[2]Force!CQ20</f>
        <v>1</v>
      </c>
      <c r="N22" s="32">
        <f>[2]Force!CR20</f>
        <v>2</v>
      </c>
      <c r="O22" s="32">
        <f>[2]Force!CS20</f>
        <v>0</v>
      </c>
      <c r="P22" s="32">
        <f>[2]Force!CT20</f>
        <v>3</v>
      </c>
      <c r="Q22" s="32">
        <f>[2]Force!CU20</f>
        <v>5</v>
      </c>
      <c r="R22" s="32">
        <f>[2]Force!CV20</f>
        <v>1</v>
      </c>
      <c r="S22" s="32">
        <f>[2]Force!CW20</f>
        <v>3</v>
      </c>
      <c r="T22" s="32">
        <f>[2]Force!CX20</f>
        <v>3</v>
      </c>
      <c r="U22" s="32">
        <f>[2]Force!CY20</f>
        <v>0</v>
      </c>
      <c r="V22" s="32">
        <f>[2]Force!CZ20</f>
        <v>3</v>
      </c>
      <c r="W22" s="32">
        <f>[2]Force!DA20</f>
        <v>3</v>
      </c>
      <c r="X22" s="32">
        <f>[2]Force!DB20</f>
        <v>4</v>
      </c>
      <c r="Y22" s="32">
        <f>[2]Force!DC20</f>
        <v>2</v>
      </c>
      <c r="Z22" s="32">
        <f>[2]Force!DD20</f>
        <v>1</v>
      </c>
      <c r="AA22" s="32">
        <f>[2]Force!DE20</f>
        <v>3</v>
      </c>
      <c r="AB22" s="32">
        <f>[2]Force!DF20</f>
        <v>1</v>
      </c>
      <c r="AC22" s="32">
        <f>[2]Force!DG20</f>
        <v>4</v>
      </c>
      <c r="AD22" s="32">
        <f>[2]Force!DH20</f>
        <v>3</v>
      </c>
      <c r="AE22" s="32">
        <f>[2]Force!DI20</f>
        <v>6</v>
      </c>
      <c r="AF22" s="32">
        <f>[2]Force!DJ20</f>
        <v>4</v>
      </c>
      <c r="AG22" s="32">
        <f>[2]Force!DK20</f>
        <v>2</v>
      </c>
      <c r="AH22" s="32">
        <f>[2]Force!DL20</f>
        <v>2</v>
      </c>
      <c r="AI22" s="32">
        <f>[2]Force!DM20</f>
        <v>1</v>
      </c>
      <c r="AJ22" s="32">
        <f>[2]Force!DN20</f>
        <v>5</v>
      </c>
      <c r="AK22" s="32">
        <f>[2]Force!DO20</f>
        <v>2</v>
      </c>
      <c r="AL22" s="32">
        <f>[2]Force!DP20</f>
        <v>1</v>
      </c>
      <c r="AM22" s="32">
        <f>[2]Force!DQ20</f>
        <v>2</v>
      </c>
      <c r="AN22" s="32">
        <f>[2]Force!DR20</f>
        <v>5</v>
      </c>
      <c r="AO22" s="32">
        <f>[2]Force!DS20</f>
        <v>7</v>
      </c>
      <c r="AP22" s="32">
        <f>[2]Force!DT20</f>
        <v>6</v>
      </c>
      <c r="AQ22" s="32">
        <f>[2]Force!DU20</f>
        <v>4</v>
      </c>
      <c r="AR22" s="32">
        <f>[2]Force!DV20</f>
        <v>2</v>
      </c>
      <c r="AS22" s="32">
        <f>[2]Force!DW20</f>
        <v>0</v>
      </c>
      <c r="AT22" s="32">
        <f>[2]Force!DX20</f>
        <v>1</v>
      </c>
      <c r="AU22" s="32">
        <f>[2]Force!DY20</f>
        <v>1</v>
      </c>
      <c r="AV22" s="32">
        <f>[2]Force!DZ20</f>
        <v>2</v>
      </c>
      <c r="AW22" s="32">
        <f>[2]Force!EA20</f>
        <v>1</v>
      </c>
      <c r="AX22" s="32">
        <f>[2]Force!EB20</f>
        <v>1</v>
      </c>
      <c r="AY22" s="32">
        <f>[2]Force!EC20</f>
        <v>0</v>
      </c>
    </row>
    <row r="23" spans="2:51" s="64" customFormat="1" x14ac:dyDescent="0.35">
      <c r="B23" s="64" t="str">
        <f t="shared" si="0"/>
        <v>WarwickshireVAP Without Injury - Drug Related</v>
      </c>
      <c r="C23" s="352" t="s">
        <v>199</v>
      </c>
      <c r="D23" s="32">
        <f>[2]Force!CH21</f>
        <v>6</v>
      </c>
      <c r="E23" s="32">
        <f>[2]Force!CI21</f>
        <v>3</v>
      </c>
      <c r="F23" s="32">
        <f>[2]Force!CJ21</f>
        <v>4</v>
      </c>
      <c r="G23" s="32">
        <f>[2]Force!CK21</f>
        <v>3</v>
      </c>
      <c r="H23" s="32">
        <f>[2]Force!CL21</f>
        <v>1</v>
      </c>
      <c r="I23" s="32">
        <f>[2]Force!CM21</f>
        <v>1</v>
      </c>
      <c r="J23" s="32">
        <f>[2]Force!CN21</f>
        <v>9</v>
      </c>
      <c r="K23" s="32">
        <f>[2]Force!CO21</f>
        <v>0</v>
      </c>
      <c r="L23" s="32">
        <f>[2]Force!CP21</f>
        <v>1</v>
      </c>
      <c r="M23" s="32">
        <f>[2]Force!CQ21</f>
        <v>1</v>
      </c>
      <c r="N23" s="32">
        <f>[2]Force!CR21</f>
        <v>1</v>
      </c>
      <c r="O23" s="32">
        <f>[2]Force!CS21</f>
        <v>2</v>
      </c>
      <c r="P23" s="32">
        <f>[2]Force!CT21</f>
        <v>2</v>
      </c>
      <c r="Q23" s="32">
        <f>[2]Force!CU21</f>
        <v>4</v>
      </c>
      <c r="R23" s="32">
        <f>[2]Force!CV21</f>
        <v>10</v>
      </c>
      <c r="S23" s="32">
        <f>[2]Force!CW21</f>
        <v>1</v>
      </c>
      <c r="T23" s="32">
        <f>[2]Force!CX21</f>
        <v>3</v>
      </c>
      <c r="U23" s="32">
        <f>[2]Force!CY21</f>
        <v>4</v>
      </c>
      <c r="V23" s="32">
        <f>[2]Force!CZ21</f>
        <v>1</v>
      </c>
      <c r="W23" s="32">
        <f>[2]Force!DA21</f>
        <v>3</v>
      </c>
      <c r="X23" s="32">
        <f>[2]Force!DB21</f>
        <v>2</v>
      </c>
      <c r="Y23" s="32">
        <f>[2]Force!DC21</f>
        <v>11</v>
      </c>
      <c r="Z23" s="32">
        <f>[2]Force!DD21</f>
        <v>4</v>
      </c>
      <c r="AA23" s="32">
        <f>[2]Force!DE21</f>
        <v>4</v>
      </c>
      <c r="AB23" s="32">
        <f>[2]Force!DF21</f>
        <v>4</v>
      </c>
      <c r="AC23" s="32">
        <f>[2]Force!DG21</f>
        <v>2</v>
      </c>
      <c r="AD23" s="32">
        <f>[2]Force!DH21</f>
        <v>5</v>
      </c>
      <c r="AE23" s="32">
        <f>[2]Force!DI21</f>
        <v>4</v>
      </c>
      <c r="AF23" s="32">
        <f>[2]Force!DJ21</f>
        <v>3</v>
      </c>
      <c r="AG23" s="32">
        <f>[2]Force!DK21</f>
        <v>7</v>
      </c>
      <c r="AH23" s="32">
        <f>[2]Force!DL21</f>
        <v>8</v>
      </c>
      <c r="AI23" s="32">
        <f>[2]Force!DM21</f>
        <v>3</v>
      </c>
      <c r="AJ23" s="32">
        <f>[2]Force!DN21</f>
        <v>3</v>
      </c>
      <c r="AK23" s="32">
        <f>[2]Force!DO21</f>
        <v>5</v>
      </c>
      <c r="AL23" s="32">
        <f>[2]Force!DP21</f>
        <v>0</v>
      </c>
      <c r="AM23" s="32">
        <f>[2]Force!DQ21</f>
        <v>2</v>
      </c>
      <c r="AN23" s="32">
        <f>[2]Force!DR21</f>
        <v>3</v>
      </c>
      <c r="AO23" s="32">
        <f>[2]Force!DS21</f>
        <v>4</v>
      </c>
      <c r="AP23" s="32">
        <f>[2]Force!DT21</f>
        <v>2</v>
      </c>
      <c r="AQ23" s="32">
        <f>[2]Force!DU21</f>
        <v>7</v>
      </c>
      <c r="AR23" s="32">
        <f>[2]Force!DV21</f>
        <v>2</v>
      </c>
      <c r="AS23" s="32">
        <f>[2]Force!DW21</f>
        <v>4</v>
      </c>
      <c r="AT23" s="32">
        <f>[2]Force!DX21</f>
        <v>1</v>
      </c>
      <c r="AU23" s="32">
        <f>[2]Force!DY21</f>
        <v>3</v>
      </c>
      <c r="AV23" s="32">
        <f>[2]Force!DZ21</f>
        <v>4</v>
      </c>
      <c r="AW23" s="32">
        <f>[2]Force!EA21</f>
        <v>3</v>
      </c>
      <c r="AX23" s="32">
        <f>[2]Force!EB21</f>
        <v>2</v>
      </c>
      <c r="AY23" s="32">
        <f>[2]Force!EC21</f>
        <v>2</v>
      </c>
    </row>
    <row r="24" spans="2:51" x14ac:dyDescent="0.35">
      <c r="B24" t="str">
        <f t="shared" si="0"/>
        <v>WarwickshireVAP With Injury- Domestic Abuse Related</v>
      </c>
      <c r="C24" s="352" t="s">
        <v>45</v>
      </c>
      <c r="D24" s="32">
        <f>[2]Force!CH22</f>
        <v>136</v>
      </c>
      <c r="E24" s="32">
        <f>[2]Force!CI22</f>
        <v>124</v>
      </c>
      <c r="F24" s="32">
        <f>[2]Force!CJ22</f>
        <v>123</v>
      </c>
      <c r="G24" s="32">
        <f>[2]Force!CK22</f>
        <v>148</v>
      </c>
      <c r="H24" s="32">
        <f>[2]Force!CL22</f>
        <v>126</v>
      </c>
      <c r="I24" s="32">
        <f>[2]Force!CM22</f>
        <v>144</v>
      </c>
      <c r="J24" s="32">
        <f>[2]Force!CN22</f>
        <v>137</v>
      </c>
      <c r="K24" s="32">
        <f>[2]Force!CO22</f>
        <v>109</v>
      </c>
      <c r="L24" s="32">
        <f>[2]Force!CP22</f>
        <v>116</v>
      </c>
      <c r="M24" s="32">
        <f>[2]Force!CQ22</f>
        <v>112</v>
      </c>
      <c r="N24" s="32">
        <f>[2]Force!CR22</f>
        <v>102</v>
      </c>
      <c r="O24" s="32">
        <f>[2]Force!CS22</f>
        <v>122</v>
      </c>
      <c r="P24" s="32">
        <f>[2]Force!CT22</f>
        <v>155</v>
      </c>
      <c r="Q24" s="32">
        <f>[2]Force!CU22</f>
        <v>149</v>
      </c>
      <c r="R24" s="32">
        <f>[2]Force!CV22</f>
        <v>126</v>
      </c>
      <c r="S24" s="32">
        <f>[2]Force!CW22</f>
        <v>153</v>
      </c>
      <c r="T24" s="32">
        <f>[2]Force!CX22</f>
        <v>159</v>
      </c>
      <c r="U24" s="32">
        <f>[2]Force!CY22</f>
        <v>125</v>
      </c>
      <c r="V24" s="32">
        <f>[2]Force!CZ22</f>
        <v>130</v>
      </c>
      <c r="W24" s="32">
        <f>[2]Force!DA22</f>
        <v>120</v>
      </c>
      <c r="X24" s="32">
        <f>[2]Force!DB22</f>
        <v>146</v>
      </c>
      <c r="Y24" s="32">
        <f>[2]Force!DC22</f>
        <v>127</v>
      </c>
      <c r="Z24" s="32">
        <f>[2]Force!DD22</f>
        <v>123</v>
      </c>
      <c r="AA24" s="32">
        <f>[2]Force!DE22</f>
        <v>135</v>
      </c>
      <c r="AB24" s="32">
        <f>[2]Force!DF22</f>
        <v>142</v>
      </c>
      <c r="AC24" s="32">
        <f>[2]Force!DG22</f>
        <v>136</v>
      </c>
      <c r="AD24" s="32">
        <f>[2]Force!DH22</f>
        <v>163</v>
      </c>
      <c r="AE24" s="32">
        <f>[2]Force!DI22</f>
        <v>154</v>
      </c>
      <c r="AF24" s="32">
        <f>[2]Force!DJ22</f>
        <v>154</v>
      </c>
      <c r="AG24" s="32">
        <f>[2]Force!DK22</f>
        <v>129</v>
      </c>
      <c r="AH24" s="32">
        <f>[2]Force!DL22</f>
        <v>118</v>
      </c>
      <c r="AI24" s="32">
        <f>[2]Force!DM22</f>
        <v>137</v>
      </c>
      <c r="AJ24" s="32">
        <f>[2]Force!DN22</f>
        <v>143</v>
      </c>
      <c r="AK24" s="32">
        <f>[2]Force!DO22</f>
        <v>134</v>
      </c>
      <c r="AL24" s="32">
        <f>[2]Force!DP22</f>
        <v>111</v>
      </c>
      <c r="AM24" s="32">
        <f>[2]Force!DQ22</f>
        <v>120</v>
      </c>
      <c r="AN24" s="32">
        <f>[2]Force!DR22</f>
        <v>133</v>
      </c>
      <c r="AO24" s="32">
        <f>[2]Force!DS22</f>
        <v>142</v>
      </c>
      <c r="AP24" s="32">
        <f>[2]Force!DT22</f>
        <v>143</v>
      </c>
      <c r="AQ24" s="32">
        <f>[2]Force!DU22</f>
        <v>154</v>
      </c>
      <c r="AR24" s="32">
        <f>[2]Force!DV22</f>
        <v>145</v>
      </c>
      <c r="AS24" s="32">
        <f>[2]Force!DW22</f>
        <v>100</v>
      </c>
      <c r="AT24" s="32">
        <f>[2]Force!DX22</f>
        <v>108</v>
      </c>
      <c r="AU24" s="32">
        <f>[2]Force!DY22</f>
        <v>119</v>
      </c>
      <c r="AV24" s="32">
        <f>[2]Force!DZ22</f>
        <v>139</v>
      </c>
      <c r="AW24" s="32">
        <f>[2]Force!EA22</f>
        <v>127</v>
      </c>
      <c r="AX24" s="32">
        <f>[2]Force!EB22</f>
        <v>134</v>
      </c>
      <c r="AY24" s="32">
        <f>[2]Force!EC22</f>
        <v>128</v>
      </c>
    </row>
    <row r="25" spans="2:51" s="64" customFormat="1" x14ac:dyDescent="0.35">
      <c r="B25" s="64" t="str">
        <f t="shared" si="0"/>
        <v>WarwickshireVAP Without Injury- Domestic Abuse Related</v>
      </c>
      <c r="C25" s="352" t="s">
        <v>191</v>
      </c>
      <c r="D25" s="32">
        <f>[2]Force!CH23</f>
        <v>350</v>
      </c>
      <c r="E25" s="32">
        <f>[2]Force!CI23</f>
        <v>430</v>
      </c>
      <c r="F25" s="32">
        <f>[2]Force!CJ23</f>
        <v>394</v>
      </c>
      <c r="G25" s="32">
        <f>[2]Force!CK23</f>
        <v>376</v>
      </c>
      <c r="H25" s="32">
        <f>[2]Force!CL23</f>
        <v>374</v>
      </c>
      <c r="I25" s="32">
        <f>[2]Force!CM23</f>
        <v>388</v>
      </c>
      <c r="J25" s="32">
        <f>[2]Force!CN23</f>
        <v>396</v>
      </c>
      <c r="K25" s="32">
        <f>[2]Force!CO23</f>
        <v>358</v>
      </c>
      <c r="L25" s="32">
        <f>[2]Force!CP23</f>
        <v>347</v>
      </c>
      <c r="M25" s="32">
        <f>[2]Force!CQ23</f>
        <v>356</v>
      </c>
      <c r="N25" s="32">
        <f>[2]Force!CR23</f>
        <v>322</v>
      </c>
      <c r="O25" s="32">
        <f>[2]Force!CS23</f>
        <v>379</v>
      </c>
      <c r="P25" s="32">
        <f>[2]Force!CT23</f>
        <v>322</v>
      </c>
      <c r="Q25" s="32">
        <f>[2]Force!CU23</f>
        <v>361</v>
      </c>
      <c r="R25" s="32">
        <f>[2]Force!CV23</f>
        <v>351</v>
      </c>
      <c r="S25" s="32">
        <f>[2]Force!CW23</f>
        <v>375</v>
      </c>
      <c r="T25" s="32">
        <f>[2]Force!CX23</f>
        <v>311</v>
      </c>
      <c r="U25" s="32">
        <f>[2]Force!CY23</f>
        <v>342</v>
      </c>
      <c r="V25" s="32">
        <f>[2]Force!CZ23</f>
        <v>297</v>
      </c>
      <c r="W25" s="32">
        <f>[2]Force!DA23</f>
        <v>331</v>
      </c>
      <c r="X25" s="32">
        <f>[2]Force!DB23</f>
        <v>318</v>
      </c>
      <c r="Y25" s="32">
        <f>[2]Force!DC23</f>
        <v>263</v>
      </c>
      <c r="Z25" s="32">
        <f>[2]Force!DD23</f>
        <v>337</v>
      </c>
      <c r="AA25" s="32">
        <f>[2]Force!DE23</f>
        <v>352</v>
      </c>
      <c r="AB25" s="32">
        <f>[2]Force!DF23</f>
        <v>306</v>
      </c>
      <c r="AC25" s="32">
        <f>[2]Force!DG23</f>
        <v>315</v>
      </c>
      <c r="AD25" s="32">
        <f>[2]Force!DH23</f>
        <v>266</v>
      </c>
      <c r="AE25" s="32">
        <f>[2]Force!DI23</f>
        <v>330</v>
      </c>
      <c r="AF25" s="32">
        <f>[2]Force!DJ23</f>
        <v>290</v>
      </c>
      <c r="AG25" s="32">
        <f>[2]Force!DK23</f>
        <v>292</v>
      </c>
      <c r="AH25" s="32">
        <f>[2]Force!DL23</f>
        <v>314</v>
      </c>
      <c r="AI25" s="32">
        <f>[2]Force!DM23</f>
        <v>302</v>
      </c>
      <c r="AJ25" s="32">
        <f>[2]Force!DN23</f>
        <v>300</v>
      </c>
      <c r="AK25" s="32">
        <f>[2]Force!DO23</f>
        <v>308</v>
      </c>
      <c r="AL25" s="32">
        <f>[2]Force!DP23</f>
        <v>267</v>
      </c>
      <c r="AM25" s="32">
        <f>[2]Force!DQ23</f>
        <v>300</v>
      </c>
      <c r="AN25" s="32">
        <f>[2]Force!DR23</f>
        <v>313</v>
      </c>
      <c r="AO25" s="32">
        <f>[2]Force!DS23</f>
        <v>280</v>
      </c>
      <c r="AP25" s="32">
        <f>[2]Force!DT23</f>
        <v>289</v>
      </c>
      <c r="AQ25" s="32">
        <f>[2]Force!DU23</f>
        <v>320</v>
      </c>
      <c r="AR25" s="32">
        <f>[2]Force!DV23</f>
        <v>318</v>
      </c>
      <c r="AS25" s="32">
        <f>[2]Force!DW23</f>
        <v>279</v>
      </c>
      <c r="AT25" s="32">
        <f>[2]Force!DX23</f>
        <v>269</v>
      </c>
      <c r="AU25" s="32">
        <f>[2]Force!DY23</f>
        <v>268</v>
      </c>
      <c r="AV25" s="32">
        <f>[2]Force!DZ23</f>
        <v>325</v>
      </c>
      <c r="AW25" s="32">
        <f>[2]Force!EA23</f>
        <v>293</v>
      </c>
      <c r="AX25" s="32">
        <f>[2]Force!EB23</f>
        <v>311</v>
      </c>
      <c r="AY25" s="32">
        <f>[2]Force!EC23</f>
        <v>306</v>
      </c>
    </row>
    <row r="26" spans="2:51" x14ac:dyDescent="0.35">
      <c r="B26" t="str">
        <f t="shared" si="0"/>
        <v>Warwickshire</v>
      </c>
      <c r="C26" s="352"/>
      <c r="D26" s="32">
        <f>[2]Force!CH24</f>
        <v>0</v>
      </c>
      <c r="E26" s="32">
        <f>[2]Force!CI24</f>
        <v>0</v>
      </c>
      <c r="F26" s="32">
        <f>[2]Force!CJ24</f>
        <v>0</v>
      </c>
      <c r="G26" s="32">
        <f>[2]Force!CK24</f>
        <v>0</v>
      </c>
      <c r="H26" s="32">
        <f>[2]Force!CL24</f>
        <v>0</v>
      </c>
      <c r="I26" s="32">
        <f>[2]Force!CM24</f>
        <v>0</v>
      </c>
      <c r="J26" s="32">
        <f>[2]Force!CN24</f>
        <v>0</v>
      </c>
      <c r="K26" s="32">
        <f>[2]Force!CO24</f>
        <v>0</v>
      </c>
      <c r="L26" s="32">
        <f>[2]Force!CP24</f>
        <v>0</v>
      </c>
      <c r="M26" s="32">
        <f>[2]Force!CQ24</f>
        <v>0</v>
      </c>
      <c r="N26" s="32">
        <f>[2]Force!CR24</f>
        <v>0</v>
      </c>
      <c r="O26" s="32">
        <f>[2]Force!CS24</f>
        <v>0</v>
      </c>
      <c r="P26" s="32">
        <f>[2]Force!CT24</f>
        <v>0</v>
      </c>
      <c r="Q26" s="32">
        <f>[2]Force!CU24</f>
        <v>0</v>
      </c>
      <c r="R26" s="32">
        <f>[2]Force!CV24</f>
        <v>0</v>
      </c>
      <c r="S26" s="32">
        <f>[2]Force!CW24</f>
        <v>0</v>
      </c>
      <c r="T26" s="32">
        <f>[2]Force!CX24</f>
        <v>0</v>
      </c>
      <c r="U26" s="32">
        <f>[2]Force!CY24</f>
        <v>0</v>
      </c>
      <c r="V26" s="32">
        <f>[2]Force!CZ24</f>
        <v>0</v>
      </c>
      <c r="W26" s="32">
        <f>[2]Force!DA24</f>
        <v>0</v>
      </c>
      <c r="X26" s="32">
        <f>[2]Force!DB24</f>
        <v>0</v>
      </c>
      <c r="Y26" s="32">
        <f>[2]Force!DC24</f>
        <v>0</v>
      </c>
      <c r="Z26" s="32">
        <f>[2]Force!DD24</f>
        <v>0</v>
      </c>
      <c r="AA26" s="32">
        <f>[2]Force!DE24</f>
        <v>0</v>
      </c>
      <c r="AB26" s="32">
        <f>[2]Force!DF24</f>
        <v>0</v>
      </c>
      <c r="AC26" s="32">
        <f>[2]Force!DG24</f>
        <v>0</v>
      </c>
      <c r="AD26" s="32">
        <f>[2]Force!DH24</f>
        <v>0</v>
      </c>
      <c r="AE26" s="32">
        <f>[2]Force!DI24</f>
        <v>0</v>
      </c>
      <c r="AF26" s="32">
        <f>[2]Force!DJ24</f>
        <v>0</v>
      </c>
      <c r="AG26" s="32">
        <f>[2]Force!DK24</f>
        <v>0</v>
      </c>
      <c r="AH26" s="32">
        <f>[2]Force!DL24</f>
        <v>0</v>
      </c>
      <c r="AI26" s="32">
        <f>[2]Force!DM24</f>
        <v>0</v>
      </c>
      <c r="AJ26" s="32">
        <f>[2]Force!DN24</f>
        <v>0</v>
      </c>
      <c r="AK26" s="32">
        <f>[2]Force!DO24</f>
        <v>0</v>
      </c>
      <c r="AL26" s="32">
        <f>[2]Force!DP24</f>
        <v>0</v>
      </c>
      <c r="AM26" s="32">
        <f>[2]Force!DQ24</f>
        <v>0</v>
      </c>
      <c r="AN26" s="32">
        <f>[2]Force!DR24</f>
        <v>0</v>
      </c>
      <c r="AO26" s="32">
        <f>[2]Force!DS24</f>
        <v>0</v>
      </c>
      <c r="AP26" s="32">
        <f>[2]Force!DT24</f>
        <v>0</v>
      </c>
      <c r="AQ26" s="32">
        <f>[2]Force!DU24</f>
        <v>0</v>
      </c>
      <c r="AR26" s="32">
        <f>[2]Force!DV24</f>
        <v>0</v>
      </c>
      <c r="AS26" s="32">
        <f>[2]Force!DW24</f>
        <v>0</v>
      </c>
      <c r="AT26" s="32">
        <f>[2]Force!DX24</f>
        <v>0</v>
      </c>
      <c r="AU26" s="32">
        <f>[2]Force!DY24</f>
        <v>0</v>
      </c>
      <c r="AV26" s="32">
        <f>[2]Force!DZ24</f>
        <v>0</v>
      </c>
      <c r="AW26" s="32">
        <f>[2]Force!EA24</f>
        <v>0</v>
      </c>
      <c r="AX26" s="32">
        <f>[2]Force!EB24</f>
        <v>0</v>
      </c>
      <c r="AY26" s="32">
        <f>[2]Force!EC24</f>
        <v>0</v>
      </c>
    </row>
    <row r="27" spans="2:51" x14ac:dyDescent="0.35">
      <c r="B27" t="str">
        <f t="shared" si="0"/>
        <v>WarwickshireSection 18</v>
      </c>
      <c r="C27" s="352" t="s">
        <v>53</v>
      </c>
      <c r="D27" s="32">
        <f>[2]Force!CH25</f>
        <v>15</v>
      </c>
      <c r="E27" s="32">
        <f>[2]Force!CI25</f>
        <v>22</v>
      </c>
      <c r="F27" s="32">
        <f>[2]Force!CJ25</f>
        <v>44</v>
      </c>
      <c r="G27" s="32">
        <f>[2]Force!CK25</f>
        <v>34</v>
      </c>
      <c r="H27" s="32">
        <f>[2]Force!CL25</f>
        <v>29</v>
      </c>
      <c r="I27" s="32">
        <f>[2]Force!CM25</f>
        <v>24</v>
      </c>
      <c r="J27" s="32">
        <f>[2]Force!CN25</f>
        <v>26</v>
      </c>
      <c r="K27" s="32">
        <f>[2]Force!CO25</f>
        <v>23</v>
      </c>
      <c r="L27" s="32">
        <f>[2]Force!CP25</f>
        <v>21</v>
      </c>
      <c r="M27" s="32">
        <f>[2]Force!CQ25</f>
        <v>23</v>
      </c>
      <c r="N27" s="32">
        <f>[2]Force!CR25</f>
        <v>31</v>
      </c>
      <c r="O27" s="32">
        <f>[2]Force!CS25</f>
        <v>19</v>
      </c>
      <c r="P27" s="32">
        <f>[2]Force!CT25</f>
        <v>25</v>
      </c>
      <c r="Q27" s="32">
        <f>[2]Force!CU25</f>
        <v>29</v>
      </c>
      <c r="R27" s="32">
        <f>[2]Force!CV25</f>
        <v>35</v>
      </c>
      <c r="S27" s="32">
        <f>[2]Force!CW25</f>
        <v>24</v>
      </c>
      <c r="T27" s="32">
        <f>[2]Force!CX25</f>
        <v>28</v>
      </c>
      <c r="U27" s="32">
        <f>[2]Force!CY25</f>
        <v>21</v>
      </c>
      <c r="V27" s="32">
        <f>[2]Force!CZ25</f>
        <v>23</v>
      </c>
      <c r="W27" s="32">
        <f>[2]Force!DA25</f>
        <v>20</v>
      </c>
      <c r="X27" s="32">
        <f>[2]Force!DB25</f>
        <v>19</v>
      </c>
      <c r="Y27" s="32">
        <f>[2]Force!DC25</f>
        <v>36</v>
      </c>
      <c r="Z27" s="32">
        <f>[2]Force!DD25</f>
        <v>17</v>
      </c>
      <c r="AA27" s="32">
        <f>[2]Force!DE25</f>
        <v>28</v>
      </c>
      <c r="AB27" s="32">
        <f>[2]Force!DF25</f>
        <v>28</v>
      </c>
      <c r="AC27" s="32">
        <f>[2]Force!DG25</f>
        <v>32</v>
      </c>
      <c r="AD27" s="32">
        <f>[2]Force!DH25</f>
        <v>28</v>
      </c>
      <c r="AE27" s="32">
        <f>[2]Force!DI25</f>
        <v>31</v>
      </c>
      <c r="AF27" s="32">
        <f>[2]Force!DJ25</f>
        <v>28</v>
      </c>
      <c r="AG27" s="32">
        <f>[2]Force!DK25</f>
        <v>36</v>
      </c>
      <c r="AH27" s="32">
        <f>[2]Force!DL25</f>
        <v>19</v>
      </c>
      <c r="AI27" s="32">
        <f>[2]Force!DM25</f>
        <v>13</v>
      </c>
      <c r="AJ27" s="32">
        <f>[2]Force!DN25</f>
        <v>25</v>
      </c>
      <c r="AK27" s="32">
        <f>[2]Force!DO25</f>
        <v>18</v>
      </c>
      <c r="AL27" s="32">
        <f>[2]Force!DP25</f>
        <v>31</v>
      </c>
      <c r="AM27" s="32">
        <f>[2]Force!DQ25</f>
        <v>28</v>
      </c>
      <c r="AN27" s="32">
        <f>[2]Force!DR25</f>
        <v>21</v>
      </c>
      <c r="AO27" s="32">
        <f>[2]Force!DS25</f>
        <v>29</v>
      </c>
      <c r="AP27" s="32">
        <f>[2]Force!DT25</f>
        <v>20</v>
      </c>
      <c r="AQ27" s="32">
        <f>[2]Force!DU25</f>
        <v>24</v>
      </c>
      <c r="AR27" s="32">
        <f>[2]Force!DV25</f>
        <v>35</v>
      </c>
      <c r="AS27" s="32">
        <f>[2]Force!DW25</f>
        <v>28</v>
      </c>
      <c r="AT27" s="32">
        <f>[2]Force!DX25</f>
        <v>22</v>
      </c>
      <c r="AU27" s="32">
        <f>[2]Force!DY25</f>
        <v>29</v>
      </c>
      <c r="AV27" s="32">
        <f>[2]Force!DZ25</f>
        <v>28</v>
      </c>
      <c r="AW27" s="32">
        <f>[2]Force!EA25</f>
        <v>22</v>
      </c>
      <c r="AX27" s="32">
        <f>[2]Force!EB25</f>
        <v>17</v>
      </c>
      <c r="AY27" s="32">
        <f>[2]Force!EC25</f>
        <v>23</v>
      </c>
    </row>
    <row r="28" spans="2:51" x14ac:dyDescent="0.35">
      <c r="B28" t="str">
        <f t="shared" si="0"/>
        <v>WarwickshireSection 20</v>
      </c>
      <c r="C28" s="352" t="s">
        <v>54</v>
      </c>
      <c r="D28" s="32">
        <f>[2]Force!CH26</f>
        <v>22</v>
      </c>
      <c r="E28" s="32">
        <f>[2]Force!CI26</f>
        <v>12</v>
      </c>
      <c r="F28" s="32">
        <f>[2]Force!CJ26</f>
        <v>18</v>
      </c>
      <c r="G28" s="32">
        <f>[2]Force!CK26</f>
        <v>23</v>
      </c>
      <c r="H28" s="32">
        <f>[2]Force!CL26</f>
        <v>17</v>
      </c>
      <c r="I28" s="32">
        <f>[2]Force!CM26</f>
        <v>10</v>
      </c>
      <c r="J28" s="32">
        <f>[2]Force!CN26</f>
        <v>18</v>
      </c>
      <c r="K28" s="32">
        <f>[2]Force!CO26</f>
        <v>13</v>
      </c>
      <c r="L28" s="32">
        <f>[2]Force!CP26</f>
        <v>17</v>
      </c>
      <c r="M28" s="32">
        <f>[2]Force!CQ26</f>
        <v>11</v>
      </c>
      <c r="N28" s="32">
        <f>[2]Force!CR26</f>
        <v>12</v>
      </c>
      <c r="O28" s="32">
        <f>[2]Force!CS26</f>
        <v>18</v>
      </c>
      <c r="P28" s="32">
        <f>[2]Force!CT26</f>
        <v>9</v>
      </c>
      <c r="Q28" s="32">
        <f>[2]Force!CU26</f>
        <v>19</v>
      </c>
      <c r="R28" s="32">
        <f>[2]Force!CV26</f>
        <v>15</v>
      </c>
      <c r="S28" s="32">
        <f>[2]Force!CW26</f>
        <v>6</v>
      </c>
      <c r="T28" s="32">
        <f>[2]Force!CX26</f>
        <v>14</v>
      </c>
      <c r="U28" s="32">
        <f>[2]Force!CY26</f>
        <v>11</v>
      </c>
      <c r="V28" s="32">
        <f>[2]Force!CZ26</f>
        <v>17</v>
      </c>
      <c r="W28" s="32">
        <f>[2]Force!DA26</f>
        <v>14</v>
      </c>
      <c r="X28" s="32">
        <f>[2]Force!DB26</f>
        <v>14</v>
      </c>
      <c r="Y28" s="32">
        <f>[2]Force!DC26</f>
        <v>6</v>
      </c>
      <c r="Z28" s="32">
        <f>[2]Force!DD26</f>
        <v>14</v>
      </c>
      <c r="AA28" s="32">
        <f>[2]Force!DE26</f>
        <v>16</v>
      </c>
      <c r="AB28" s="32">
        <f>[2]Force!DF26</f>
        <v>18</v>
      </c>
      <c r="AC28" s="32">
        <f>[2]Force!DG26</f>
        <v>12</v>
      </c>
      <c r="AD28" s="32">
        <f>[2]Force!DH26</f>
        <v>17</v>
      </c>
      <c r="AE28" s="32">
        <f>[2]Force!DI26</f>
        <v>18</v>
      </c>
      <c r="AF28" s="32">
        <f>[2]Force!DJ26</f>
        <v>19</v>
      </c>
      <c r="AG28" s="32">
        <f>[2]Force!DK26</f>
        <v>12</v>
      </c>
      <c r="AH28" s="32">
        <f>[2]Force!DL26</f>
        <v>13</v>
      </c>
      <c r="AI28" s="32">
        <f>[2]Force!DM26</f>
        <v>16</v>
      </c>
      <c r="AJ28" s="32">
        <f>[2]Force!DN26</f>
        <v>17</v>
      </c>
      <c r="AK28" s="32">
        <f>[2]Force!DO26</f>
        <v>12</v>
      </c>
      <c r="AL28" s="32">
        <f>[2]Force!DP26</f>
        <v>12</v>
      </c>
      <c r="AM28" s="32">
        <f>[2]Force!DQ26</f>
        <v>13</v>
      </c>
      <c r="AN28" s="32">
        <f>[2]Force!DR26</f>
        <v>13</v>
      </c>
      <c r="AO28" s="32">
        <f>[2]Force!DS26</f>
        <v>19</v>
      </c>
      <c r="AP28" s="32">
        <f>[2]Force!DT26</f>
        <v>23</v>
      </c>
      <c r="AQ28" s="32">
        <f>[2]Force!DU26</f>
        <v>14</v>
      </c>
      <c r="AR28" s="32">
        <f>[2]Force!DV26</f>
        <v>14</v>
      </c>
      <c r="AS28" s="32">
        <f>[2]Force!DW26</f>
        <v>15</v>
      </c>
      <c r="AT28" s="32">
        <f>[2]Force!DX26</f>
        <v>25</v>
      </c>
      <c r="AU28" s="32">
        <f>[2]Force!DY26</f>
        <v>14</v>
      </c>
      <c r="AV28" s="32">
        <f>[2]Force!DZ26</f>
        <v>20</v>
      </c>
      <c r="AW28" s="32">
        <f>[2]Force!EA26</f>
        <v>8</v>
      </c>
      <c r="AX28" s="32">
        <f>[2]Force!EB26</f>
        <v>14</v>
      </c>
      <c r="AY28" s="32">
        <f>[2]Force!EC26</f>
        <v>21</v>
      </c>
    </row>
    <row r="29" spans="2:51" x14ac:dyDescent="0.35">
      <c r="B29" t="str">
        <f t="shared" si="0"/>
        <v>Warwickshire</v>
      </c>
      <c r="C29" s="352"/>
      <c r="D29" s="32">
        <f>[2]Force!CH27</f>
        <v>0</v>
      </c>
      <c r="E29" s="32">
        <f>[2]Force!CI27</f>
        <v>0</v>
      </c>
      <c r="F29" s="32">
        <f>[2]Force!CJ27</f>
        <v>0</v>
      </c>
      <c r="G29" s="32">
        <f>[2]Force!CK27</f>
        <v>0</v>
      </c>
      <c r="H29" s="32">
        <f>[2]Force!CL27</f>
        <v>0</v>
      </c>
      <c r="I29" s="32">
        <f>[2]Force!CM27</f>
        <v>0</v>
      </c>
      <c r="J29" s="32">
        <f>[2]Force!CN27</f>
        <v>0</v>
      </c>
      <c r="K29" s="32">
        <f>[2]Force!CO27</f>
        <v>0</v>
      </c>
      <c r="L29" s="32">
        <f>[2]Force!CP27</f>
        <v>0</v>
      </c>
      <c r="M29" s="32">
        <f>[2]Force!CQ27</f>
        <v>0</v>
      </c>
      <c r="N29" s="32">
        <f>[2]Force!CR27</f>
        <v>0</v>
      </c>
      <c r="O29" s="32">
        <f>[2]Force!CS27</f>
        <v>0</v>
      </c>
      <c r="P29" s="32">
        <f>[2]Force!CT27</f>
        <v>0</v>
      </c>
      <c r="Q29" s="32">
        <f>[2]Force!CU27</f>
        <v>0</v>
      </c>
      <c r="R29" s="32">
        <f>[2]Force!CV27</f>
        <v>0</v>
      </c>
      <c r="S29" s="32">
        <f>[2]Force!CW27</f>
        <v>0</v>
      </c>
      <c r="T29" s="32">
        <f>[2]Force!CX27</f>
        <v>0</v>
      </c>
      <c r="U29" s="32">
        <f>[2]Force!CY27</f>
        <v>0</v>
      </c>
      <c r="V29" s="32">
        <f>[2]Force!CZ27</f>
        <v>0</v>
      </c>
      <c r="W29" s="32">
        <f>[2]Force!DA27</f>
        <v>0</v>
      </c>
      <c r="X29" s="32">
        <f>[2]Force!DB27</f>
        <v>0</v>
      </c>
      <c r="Y29" s="32">
        <f>[2]Force!DC27</f>
        <v>0</v>
      </c>
      <c r="Z29" s="32">
        <f>[2]Force!DD27</f>
        <v>0</v>
      </c>
      <c r="AA29" s="32">
        <f>[2]Force!DE27</f>
        <v>0</v>
      </c>
      <c r="AB29" s="32">
        <f>[2]Force!DF27</f>
        <v>0</v>
      </c>
      <c r="AC29" s="32">
        <f>[2]Force!DG27</f>
        <v>0</v>
      </c>
      <c r="AD29" s="32">
        <f>[2]Force!DH27</f>
        <v>0</v>
      </c>
      <c r="AE29" s="32">
        <f>[2]Force!DI27</f>
        <v>0</v>
      </c>
      <c r="AF29" s="32">
        <f>[2]Force!DJ27</f>
        <v>0</v>
      </c>
      <c r="AG29" s="32">
        <f>[2]Force!DK27</f>
        <v>0</v>
      </c>
      <c r="AH29" s="32">
        <f>[2]Force!DL27</f>
        <v>0</v>
      </c>
      <c r="AI29" s="32">
        <f>[2]Force!DM27</f>
        <v>0</v>
      </c>
      <c r="AJ29" s="32">
        <f>[2]Force!DN27</f>
        <v>0</v>
      </c>
      <c r="AK29" s="32">
        <f>[2]Force!DO27</f>
        <v>0</v>
      </c>
      <c r="AL29" s="32">
        <f>[2]Force!DP27</f>
        <v>0</v>
      </c>
      <c r="AM29" s="32">
        <f>[2]Force!DQ27</f>
        <v>0</v>
      </c>
      <c r="AN29" s="32">
        <f>[2]Force!DR27</f>
        <v>0</v>
      </c>
      <c r="AO29" s="32">
        <f>[2]Force!DS27</f>
        <v>0</v>
      </c>
      <c r="AP29" s="32">
        <f>[2]Force!DT27</f>
        <v>0</v>
      </c>
      <c r="AQ29" s="32">
        <f>[2]Force!DU27</f>
        <v>0</v>
      </c>
      <c r="AR29" s="32">
        <f>[2]Force!DV27</f>
        <v>0</v>
      </c>
      <c r="AS29" s="32">
        <f>[2]Force!DW27</f>
        <v>0</v>
      </c>
      <c r="AT29" s="32">
        <f>[2]Force!DX27</f>
        <v>0</v>
      </c>
      <c r="AU29" s="32">
        <f>[2]Force!DY27</f>
        <v>0</v>
      </c>
      <c r="AV29" s="32">
        <f>[2]Force!DZ27</f>
        <v>0</v>
      </c>
      <c r="AW29" s="32">
        <f>[2]Force!EA27</f>
        <v>0</v>
      </c>
      <c r="AX29" s="32">
        <f>[2]Force!EB27</f>
        <v>0</v>
      </c>
      <c r="AY29" s="32">
        <f>[2]Force!EC27</f>
        <v>0</v>
      </c>
    </row>
    <row r="30" spans="2:51" x14ac:dyDescent="0.35">
      <c r="B30" t="str">
        <f t="shared" si="0"/>
        <v>WarwickshireAggravated Vehicle Taking</v>
      </c>
      <c r="C30" s="352" t="s">
        <v>46</v>
      </c>
      <c r="D30" s="32">
        <f>[2]Force!CH28</f>
        <v>3</v>
      </c>
      <c r="E30" s="32">
        <f>[2]Force!CI28</f>
        <v>3</v>
      </c>
      <c r="F30" s="32">
        <f>[2]Force!CJ28</f>
        <v>9</v>
      </c>
      <c r="G30" s="32">
        <f>[2]Force!CK28</f>
        <v>5</v>
      </c>
      <c r="H30" s="32">
        <f>[2]Force!CL28</f>
        <v>3</v>
      </c>
      <c r="I30" s="32">
        <f>[2]Force!CM28</f>
        <v>5</v>
      </c>
      <c r="J30" s="32">
        <f>[2]Force!CN28</f>
        <v>3</v>
      </c>
      <c r="K30" s="32">
        <f>[2]Force!CO28</f>
        <v>2</v>
      </c>
      <c r="L30" s="32">
        <f>[2]Force!CP28</f>
        <v>10</v>
      </c>
      <c r="M30" s="32">
        <f>[2]Force!CQ28</f>
        <v>3</v>
      </c>
      <c r="N30" s="32">
        <f>[2]Force!CR28</f>
        <v>5</v>
      </c>
      <c r="O30" s="32">
        <f>[2]Force!CS28</f>
        <v>5</v>
      </c>
      <c r="P30" s="32">
        <f>[2]Force!CT28</f>
        <v>4</v>
      </c>
      <c r="Q30" s="32">
        <f>[2]Force!CU28</f>
        <v>7</v>
      </c>
      <c r="R30" s="32">
        <f>[2]Force!CV28</f>
        <v>4</v>
      </c>
      <c r="S30" s="32">
        <f>[2]Force!CW28</f>
        <v>3</v>
      </c>
      <c r="T30" s="32">
        <f>[2]Force!CX28</f>
        <v>4</v>
      </c>
      <c r="U30" s="32">
        <f>[2]Force!CY28</f>
        <v>4</v>
      </c>
      <c r="V30" s="32">
        <f>[2]Force!CZ28</f>
        <v>3</v>
      </c>
      <c r="W30" s="32">
        <f>[2]Force!DA28</f>
        <v>7</v>
      </c>
      <c r="X30" s="32">
        <f>[2]Force!DB28</f>
        <v>4</v>
      </c>
      <c r="Y30" s="32">
        <f>[2]Force!DC28</f>
        <v>11</v>
      </c>
      <c r="Z30" s="32">
        <f>[2]Force!DD28</f>
        <v>3</v>
      </c>
      <c r="AA30" s="32">
        <f>[2]Force!DE28</f>
        <v>6</v>
      </c>
      <c r="AB30" s="32">
        <f>[2]Force!DF28</f>
        <v>6</v>
      </c>
      <c r="AC30" s="32">
        <f>[2]Force!DG28</f>
        <v>8</v>
      </c>
      <c r="AD30" s="32">
        <f>[2]Force!DH28</f>
        <v>2</v>
      </c>
      <c r="AE30" s="32">
        <f>[2]Force!DI28</f>
        <v>6</v>
      </c>
      <c r="AF30" s="32">
        <f>[2]Force!DJ28</f>
        <v>4</v>
      </c>
      <c r="AG30" s="32">
        <f>[2]Force!DK28</f>
        <v>8</v>
      </c>
      <c r="AH30" s="32">
        <f>[2]Force!DL28</f>
        <v>6</v>
      </c>
      <c r="AI30" s="32">
        <f>[2]Force!DM28</f>
        <v>3</v>
      </c>
      <c r="AJ30" s="32">
        <f>[2]Force!DN28</f>
        <v>6</v>
      </c>
      <c r="AK30" s="32">
        <f>[2]Force!DO28</f>
        <v>8</v>
      </c>
      <c r="AL30" s="32">
        <f>[2]Force!DP28</f>
        <v>4</v>
      </c>
      <c r="AM30" s="32">
        <f>[2]Force!DQ28</f>
        <v>3</v>
      </c>
      <c r="AN30" s="32">
        <f>[2]Force!DR28</f>
        <v>5</v>
      </c>
      <c r="AO30" s="32">
        <f>[2]Force!DS28</f>
        <v>5</v>
      </c>
      <c r="AP30" s="32">
        <f>[2]Force!DT28</f>
        <v>3</v>
      </c>
      <c r="AQ30" s="32">
        <f>[2]Force!DU28</f>
        <v>5</v>
      </c>
      <c r="AR30" s="32">
        <f>[2]Force!DV28</f>
        <v>2</v>
      </c>
      <c r="AS30" s="32">
        <f>[2]Force!DW28</f>
        <v>1</v>
      </c>
      <c r="AT30" s="32">
        <f>[2]Force!DX28</f>
        <v>5</v>
      </c>
      <c r="AU30" s="32">
        <f>[2]Force!DY28</f>
        <v>6</v>
      </c>
      <c r="AV30" s="32">
        <f>[2]Force!DZ28</f>
        <v>3</v>
      </c>
      <c r="AW30" s="32">
        <f>[2]Force!EA28</f>
        <v>3</v>
      </c>
      <c r="AX30" s="32">
        <f>[2]Force!EB28</f>
        <v>5</v>
      </c>
      <c r="AY30" s="32">
        <f>[2]Force!EC28</f>
        <v>6</v>
      </c>
    </row>
    <row r="31" spans="2:51" x14ac:dyDescent="0.35">
      <c r="B31" t="str">
        <f t="shared" si="0"/>
        <v>WarwickshireInterfering with a Motor Vehicle</v>
      </c>
      <c r="C31" s="352" t="s">
        <v>47</v>
      </c>
      <c r="D31" s="32">
        <f>[2]Force!CH29</f>
        <v>49</v>
      </c>
      <c r="E31" s="32">
        <f>[2]Force!CI29</f>
        <v>50</v>
      </c>
      <c r="F31" s="32">
        <f>[2]Force!CJ29</f>
        <v>47</v>
      </c>
      <c r="G31" s="32">
        <f>[2]Force!CK29</f>
        <v>40</v>
      </c>
      <c r="H31" s="32">
        <f>[2]Force!CL29</f>
        <v>56</v>
      </c>
      <c r="I31" s="32">
        <f>[2]Force!CM29</f>
        <v>52</v>
      </c>
      <c r="J31" s="32">
        <f>[2]Force!CN29</f>
        <v>58</v>
      </c>
      <c r="K31" s="32">
        <f>[2]Force!CO29</f>
        <v>106</v>
      </c>
      <c r="L31" s="32">
        <f>[2]Force!CP29</f>
        <v>55</v>
      </c>
      <c r="M31" s="32">
        <f>[2]Force!CQ29</f>
        <v>65</v>
      </c>
      <c r="N31" s="32">
        <f>[2]Force!CR29</f>
        <v>49</v>
      </c>
      <c r="O31" s="32">
        <f>[2]Force!CS29</f>
        <v>49</v>
      </c>
      <c r="P31" s="32">
        <f>[2]Force!CT29</f>
        <v>77</v>
      </c>
      <c r="Q31" s="32">
        <f>[2]Force!CU29</f>
        <v>66</v>
      </c>
      <c r="R31" s="32">
        <f>[2]Force!CV29</f>
        <v>75</v>
      </c>
      <c r="S31" s="32">
        <f>[2]Force!CW29</f>
        <v>85</v>
      </c>
      <c r="T31" s="32">
        <f>[2]Force!CX29</f>
        <v>76</v>
      </c>
      <c r="U31" s="32">
        <f>[2]Force!CY29</f>
        <v>75</v>
      </c>
      <c r="V31" s="32">
        <f>[2]Force!CZ29</f>
        <v>110</v>
      </c>
      <c r="W31" s="32">
        <f>[2]Force!DA29</f>
        <v>72</v>
      </c>
      <c r="X31" s="32">
        <f>[2]Force!DB29</f>
        <v>59</v>
      </c>
      <c r="Y31" s="32">
        <f>[2]Force!DC29</f>
        <v>128</v>
      </c>
      <c r="Z31" s="32">
        <f>[2]Force!DD29</f>
        <v>70</v>
      </c>
      <c r="AA31" s="32">
        <f>[2]Force!DE29</f>
        <v>88</v>
      </c>
      <c r="AB31" s="32">
        <f>[2]Force!DF29</f>
        <v>59</v>
      </c>
      <c r="AC31" s="32">
        <f>[2]Force!DG29</f>
        <v>68</v>
      </c>
      <c r="AD31" s="32">
        <f>[2]Force!DH29</f>
        <v>56</v>
      </c>
      <c r="AE31" s="32">
        <f>[2]Force!DI29</f>
        <v>74</v>
      </c>
      <c r="AF31" s="32">
        <f>[2]Force!DJ29</f>
        <v>48</v>
      </c>
      <c r="AG31" s="32">
        <f>[2]Force!DK29</f>
        <v>56</v>
      </c>
      <c r="AH31" s="32">
        <f>[2]Force!DL29</f>
        <v>69</v>
      </c>
      <c r="AI31" s="32">
        <f>[2]Force!DM29</f>
        <v>77</v>
      </c>
      <c r="AJ31" s="32">
        <f>[2]Force!DN29</f>
        <v>82</v>
      </c>
      <c r="AK31" s="32">
        <f>[2]Force!DO29</f>
        <v>105</v>
      </c>
      <c r="AL31" s="32">
        <f>[2]Force!DP29</f>
        <v>81</v>
      </c>
      <c r="AM31" s="32">
        <f>[2]Force!DQ29</f>
        <v>92</v>
      </c>
      <c r="AN31" s="32">
        <f>[2]Force!DR29</f>
        <v>93</v>
      </c>
      <c r="AO31" s="32">
        <f>[2]Force!DS29</f>
        <v>96</v>
      </c>
      <c r="AP31" s="32">
        <f>[2]Force!DT29</f>
        <v>57</v>
      </c>
      <c r="AQ31" s="32">
        <f>[2]Force!DU29</f>
        <v>74</v>
      </c>
      <c r="AR31" s="32">
        <f>[2]Force!DV29</f>
        <v>66</v>
      </c>
      <c r="AS31" s="32">
        <f>[2]Force!DW29</f>
        <v>88</v>
      </c>
      <c r="AT31" s="32">
        <f>[2]Force!DX29</f>
        <v>109</v>
      </c>
      <c r="AU31" s="32">
        <f>[2]Force!DY29</f>
        <v>67</v>
      </c>
      <c r="AV31" s="32">
        <f>[2]Force!DZ29</f>
        <v>54</v>
      </c>
      <c r="AW31" s="32">
        <f>[2]Force!EA29</f>
        <v>61</v>
      </c>
      <c r="AX31" s="32">
        <f>[2]Force!EB29</f>
        <v>45</v>
      </c>
      <c r="AY31" s="32">
        <f>[2]Force!EC29</f>
        <v>41</v>
      </c>
    </row>
    <row r="32" spans="2:51" x14ac:dyDescent="0.35">
      <c r="B32" t="str">
        <f t="shared" si="0"/>
        <v>WarwickshireTheft From A Vehicle</v>
      </c>
      <c r="C32" s="352" t="s">
        <v>48</v>
      </c>
      <c r="D32" s="32">
        <f>[2]Force!CH30</f>
        <v>117</v>
      </c>
      <c r="E32" s="32">
        <f>[2]Force!CI30</f>
        <v>127</v>
      </c>
      <c r="F32" s="32">
        <f>[2]Force!CJ30</f>
        <v>112</v>
      </c>
      <c r="G32" s="32">
        <f>[2]Force!CK30</f>
        <v>170</v>
      </c>
      <c r="H32" s="32">
        <f>[2]Force!CL30</f>
        <v>174</v>
      </c>
      <c r="I32" s="32">
        <f>[2]Force!CM30</f>
        <v>131</v>
      </c>
      <c r="J32" s="32">
        <f>[2]Force!CN30</f>
        <v>126</v>
      </c>
      <c r="K32" s="32">
        <f>[2]Force!CO30</f>
        <v>225</v>
      </c>
      <c r="L32" s="32">
        <f>[2]Force!CP30</f>
        <v>150</v>
      </c>
      <c r="M32" s="32">
        <f>[2]Force!CQ30</f>
        <v>166</v>
      </c>
      <c r="N32" s="32">
        <f>[2]Force!CR30</f>
        <v>142</v>
      </c>
      <c r="O32" s="32">
        <f>[2]Force!CS30</f>
        <v>229</v>
      </c>
      <c r="P32" s="32">
        <f>[2]Force!CT30</f>
        <v>218</v>
      </c>
      <c r="Q32" s="32">
        <f>[2]Force!CU30</f>
        <v>212</v>
      </c>
      <c r="R32" s="32">
        <f>[2]Force!CV30</f>
        <v>187</v>
      </c>
      <c r="S32" s="32">
        <f>[2]Force!CW30</f>
        <v>195</v>
      </c>
      <c r="T32" s="32">
        <f>[2]Force!CX30</f>
        <v>222</v>
      </c>
      <c r="U32" s="32">
        <f>[2]Force!CY30</f>
        <v>245</v>
      </c>
      <c r="V32" s="32">
        <f>[2]Force!CZ30</f>
        <v>237</v>
      </c>
      <c r="W32" s="32">
        <f>[2]Force!DA30</f>
        <v>228</v>
      </c>
      <c r="X32" s="32">
        <f>[2]Force!DB30</f>
        <v>150</v>
      </c>
      <c r="Y32" s="32">
        <f>[2]Force!DC30</f>
        <v>233</v>
      </c>
      <c r="Z32" s="32">
        <f>[2]Force!DD30</f>
        <v>175</v>
      </c>
      <c r="AA32" s="32">
        <f>[2]Force!DE30</f>
        <v>158</v>
      </c>
      <c r="AB32" s="32">
        <f>[2]Force!DF30</f>
        <v>193</v>
      </c>
      <c r="AC32" s="32">
        <f>[2]Force!DG30</f>
        <v>156</v>
      </c>
      <c r="AD32" s="32">
        <f>[2]Force!DH30</f>
        <v>178</v>
      </c>
      <c r="AE32" s="32">
        <f>[2]Force!DI30</f>
        <v>228</v>
      </c>
      <c r="AF32" s="32">
        <f>[2]Force!DJ30</f>
        <v>168</v>
      </c>
      <c r="AG32" s="32">
        <f>[2]Force!DK30</f>
        <v>163</v>
      </c>
      <c r="AH32" s="32">
        <f>[2]Force!DL30</f>
        <v>169</v>
      </c>
      <c r="AI32" s="32">
        <f>[2]Force!DM30</f>
        <v>178</v>
      </c>
      <c r="AJ32" s="32">
        <f>[2]Force!DN30</f>
        <v>190</v>
      </c>
      <c r="AK32" s="32">
        <f>[2]Force!DO30</f>
        <v>141</v>
      </c>
      <c r="AL32" s="32">
        <f>[2]Force!DP30</f>
        <v>121</v>
      </c>
      <c r="AM32" s="32">
        <f>[2]Force!DQ30</f>
        <v>172</v>
      </c>
      <c r="AN32" s="32">
        <f>[2]Force!DR30</f>
        <v>179</v>
      </c>
      <c r="AO32" s="32">
        <f>[2]Force!DS30</f>
        <v>175</v>
      </c>
      <c r="AP32" s="32">
        <f>[2]Force!DT30</f>
        <v>187</v>
      </c>
      <c r="AQ32" s="32">
        <f>[2]Force!DU30</f>
        <v>161</v>
      </c>
      <c r="AR32" s="32">
        <f>[2]Force!DV30</f>
        <v>165</v>
      </c>
      <c r="AS32" s="32">
        <f>[2]Force!DW30</f>
        <v>174</v>
      </c>
      <c r="AT32" s="32">
        <f>[2]Force!DX30</f>
        <v>199</v>
      </c>
      <c r="AU32" s="32">
        <f>[2]Force!DY30</f>
        <v>171</v>
      </c>
      <c r="AV32" s="32">
        <f>[2]Force!DZ30</f>
        <v>126</v>
      </c>
      <c r="AW32" s="32">
        <f>[2]Force!EA30</f>
        <v>148</v>
      </c>
      <c r="AX32" s="32">
        <f>[2]Force!EB30</f>
        <v>117</v>
      </c>
      <c r="AY32" s="32">
        <f>[2]Force!EC30</f>
        <v>116</v>
      </c>
    </row>
    <row r="33" spans="2:51" x14ac:dyDescent="0.35">
      <c r="B33" t="str">
        <f t="shared" si="0"/>
        <v>WarwickshireTheft Or Unauthorised Taking Of A Motor Vehicle</v>
      </c>
      <c r="C33" s="352" t="s">
        <v>49</v>
      </c>
      <c r="D33" s="32">
        <f>[2]Force!CH31</f>
        <v>37</v>
      </c>
      <c r="E33" s="32">
        <f>[2]Force!CI31</f>
        <v>56</v>
      </c>
      <c r="F33" s="32">
        <f>[2]Force!CJ31</f>
        <v>42</v>
      </c>
      <c r="G33" s="32">
        <f>[2]Force!CK31</f>
        <v>62</v>
      </c>
      <c r="H33" s="32">
        <f>[2]Force!CL31</f>
        <v>64</v>
      </c>
      <c r="I33" s="32">
        <f>[2]Force!CM31</f>
        <v>62</v>
      </c>
      <c r="J33" s="32">
        <f>[2]Force!CN31</f>
        <v>67</v>
      </c>
      <c r="K33" s="32">
        <f>[2]Force!CO31</f>
        <v>80</v>
      </c>
      <c r="L33" s="32">
        <f>[2]Force!CP31</f>
        <v>84</v>
      </c>
      <c r="M33" s="32">
        <f>[2]Force!CQ31</f>
        <v>80</v>
      </c>
      <c r="N33" s="32">
        <f>[2]Force!CR31</f>
        <v>83</v>
      </c>
      <c r="O33" s="32">
        <f>[2]Force!CS31</f>
        <v>103</v>
      </c>
      <c r="P33" s="32">
        <f>[2]Force!CT31</f>
        <v>85</v>
      </c>
      <c r="Q33" s="32">
        <f>[2]Force!CU31</f>
        <v>84</v>
      </c>
      <c r="R33" s="32">
        <f>[2]Force!CV31</f>
        <v>105</v>
      </c>
      <c r="S33" s="32">
        <f>[2]Force!CW31</f>
        <v>119</v>
      </c>
      <c r="T33" s="32">
        <f>[2]Force!CX31</f>
        <v>97</v>
      </c>
      <c r="U33" s="32">
        <f>[2]Force!CY31</f>
        <v>113</v>
      </c>
      <c r="V33" s="32">
        <f>[2]Force!CZ31</f>
        <v>114</v>
      </c>
      <c r="W33" s="32">
        <f>[2]Force!DA31</f>
        <v>96</v>
      </c>
      <c r="X33" s="32">
        <f>[2]Force!DB31</f>
        <v>92</v>
      </c>
      <c r="Y33" s="32">
        <f>[2]Force!DC31</f>
        <v>101</v>
      </c>
      <c r="Z33" s="32">
        <f>[2]Force!DD31</f>
        <v>106</v>
      </c>
      <c r="AA33" s="32">
        <f>[2]Force!DE31</f>
        <v>93</v>
      </c>
      <c r="AB33" s="32">
        <f>[2]Force!DF31</f>
        <v>104</v>
      </c>
      <c r="AC33" s="32">
        <f>[2]Force!DG31</f>
        <v>101</v>
      </c>
      <c r="AD33" s="32">
        <f>[2]Force!DH31</f>
        <v>87</v>
      </c>
      <c r="AE33" s="32">
        <f>[2]Force!DI31</f>
        <v>94</v>
      </c>
      <c r="AF33" s="32">
        <f>[2]Force!DJ31</f>
        <v>104</v>
      </c>
      <c r="AG33" s="32">
        <f>[2]Force!DK31</f>
        <v>96</v>
      </c>
      <c r="AH33" s="32">
        <f>[2]Force!DL31</f>
        <v>74</v>
      </c>
      <c r="AI33" s="32">
        <f>[2]Force!DM31</f>
        <v>81</v>
      </c>
      <c r="AJ33" s="32">
        <f>[2]Force!DN31</f>
        <v>65</v>
      </c>
      <c r="AK33" s="32">
        <f>[2]Force!DO31</f>
        <v>81</v>
      </c>
      <c r="AL33" s="32">
        <f>[2]Force!DP31</f>
        <v>86</v>
      </c>
      <c r="AM33" s="32">
        <f>[2]Force!DQ31</f>
        <v>113</v>
      </c>
      <c r="AN33" s="32">
        <f>[2]Force!DR31</f>
        <v>112</v>
      </c>
      <c r="AO33" s="32">
        <f>[2]Force!DS31</f>
        <v>94</v>
      </c>
      <c r="AP33" s="32">
        <f>[2]Force!DT31</f>
        <v>106</v>
      </c>
      <c r="AQ33" s="32">
        <f>[2]Force!DU31</f>
        <v>66</v>
      </c>
      <c r="AR33" s="32">
        <f>[2]Force!DV31</f>
        <v>88</v>
      </c>
      <c r="AS33" s="32">
        <f>[2]Force!DW31</f>
        <v>90</v>
      </c>
      <c r="AT33" s="32">
        <f>[2]Force!DX31</f>
        <v>112</v>
      </c>
      <c r="AU33" s="32">
        <f>[2]Force!DY31</f>
        <v>78</v>
      </c>
      <c r="AV33" s="32">
        <f>[2]Force!DZ31</f>
        <v>112</v>
      </c>
      <c r="AW33" s="32">
        <f>[2]Force!EA31</f>
        <v>108</v>
      </c>
      <c r="AX33" s="32">
        <f>[2]Force!EB31</f>
        <v>66</v>
      </c>
      <c r="AY33" s="32">
        <f>[2]Force!EC31</f>
        <v>115</v>
      </c>
    </row>
    <row r="34" spans="2:51" x14ac:dyDescent="0.35">
      <c r="B34" t="str">
        <f>CONCATENATE($C$2,C34)</f>
        <v>WarwickshireTotal Vehicle Crime</v>
      </c>
      <c r="C34" s="352" t="s">
        <v>50</v>
      </c>
      <c r="D34" s="32">
        <f>[2]Force!CH32</f>
        <v>206</v>
      </c>
      <c r="E34" s="32">
        <f>[2]Force!CI32</f>
        <v>236</v>
      </c>
      <c r="F34" s="32">
        <f>[2]Force!CJ32</f>
        <v>210</v>
      </c>
      <c r="G34" s="32">
        <f>[2]Force!CK32</f>
        <v>277</v>
      </c>
      <c r="H34" s="32">
        <f>[2]Force!CL32</f>
        <v>297</v>
      </c>
      <c r="I34" s="32">
        <f>[2]Force!CM32</f>
        <v>250</v>
      </c>
      <c r="J34" s="32">
        <f>[2]Force!CN32</f>
        <v>254</v>
      </c>
      <c r="K34" s="32">
        <f>[2]Force!CO32</f>
        <v>413</v>
      </c>
      <c r="L34" s="32">
        <f>[2]Force!CP32</f>
        <v>299</v>
      </c>
      <c r="M34" s="32">
        <f>[2]Force!CQ32</f>
        <v>314</v>
      </c>
      <c r="N34" s="32">
        <f>[2]Force!CR32</f>
        <v>279</v>
      </c>
      <c r="O34" s="32">
        <f>[2]Force!CS32</f>
        <v>386</v>
      </c>
      <c r="P34" s="32">
        <f>[2]Force!CT32</f>
        <v>384</v>
      </c>
      <c r="Q34" s="32">
        <f>[2]Force!CU32</f>
        <v>369</v>
      </c>
      <c r="R34" s="32">
        <f>[2]Force!CV32</f>
        <v>371</v>
      </c>
      <c r="S34" s="32">
        <f>[2]Force!CW32</f>
        <v>402</v>
      </c>
      <c r="T34" s="32">
        <f>[2]Force!CX32</f>
        <v>399</v>
      </c>
      <c r="U34" s="32">
        <f>[2]Force!CY32</f>
        <v>437</v>
      </c>
      <c r="V34" s="32">
        <f>[2]Force!CZ32</f>
        <v>464</v>
      </c>
      <c r="W34" s="32">
        <f>[2]Force!DA32</f>
        <v>403</v>
      </c>
      <c r="X34" s="32">
        <f>[2]Force!DB32</f>
        <v>305</v>
      </c>
      <c r="Y34" s="32">
        <f>[2]Force!DC32</f>
        <v>473</v>
      </c>
      <c r="Z34" s="32">
        <f>[2]Force!DD32</f>
        <v>354</v>
      </c>
      <c r="AA34" s="32">
        <f>[2]Force!DE32</f>
        <v>345</v>
      </c>
      <c r="AB34" s="32">
        <f>[2]Force!DF32</f>
        <v>362</v>
      </c>
      <c r="AC34" s="32">
        <f>[2]Force!DG32</f>
        <v>333</v>
      </c>
      <c r="AD34" s="32">
        <f>[2]Force!DH32</f>
        <v>323</v>
      </c>
      <c r="AE34" s="32">
        <f>[2]Force!DI32</f>
        <v>402</v>
      </c>
      <c r="AF34" s="32">
        <f>[2]Force!DJ32</f>
        <v>324</v>
      </c>
      <c r="AG34" s="32">
        <f>[2]Force!DK32</f>
        <v>323</v>
      </c>
      <c r="AH34" s="32">
        <f>[2]Force!DL32</f>
        <v>318</v>
      </c>
      <c r="AI34" s="32">
        <f>[2]Force!DM32</f>
        <v>339</v>
      </c>
      <c r="AJ34" s="32">
        <f>[2]Force!DN32</f>
        <v>343</v>
      </c>
      <c r="AK34" s="32">
        <f>[2]Force!DO32</f>
        <v>335</v>
      </c>
      <c r="AL34" s="32">
        <f>[2]Force!DP32</f>
        <v>292</v>
      </c>
      <c r="AM34" s="32">
        <f>[2]Force!DQ32</f>
        <v>380</v>
      </c>
      <c r="AN34" s="32">
        <f>[2]Force!DR32</f>
        <v>389</v>
      </c>
      <c r="AO34" s="32">
        <f>[2]Force!DS32</f>
        <v>370</v>
      </c>
      <c r="AP34" s="32">
        <f>[2]Force!DT32</f>
        <v>353</v>
      </c>
      <c r="AQ34" s="32">
        <f>[2]Force!DU32</f>
        <v>306</v>
      </c>
      <c r="AR34" s="32">
        <f>[2]Force!DV32</f>
        <v>321</v>
      </c>
      <c r="AS34" s="32">
        <f>[2]Force!DW32</f>
        <v>353</v>
      </c>
      <c r="AT34" s="32">
        <f>[2]Force!DX32</f>
        <v>425</v>
      </c>
      <c r="AU34" s="32">
        <f>[2]Force!DY32</f>
        <v>322</v>
      </c>
      <c r="AV34" s="32">
        <f>[2]Force!DZ32</f>
        <v>295</v>
      </c>
      <c r="AW34" s="32">
        <f>[2]Force!EA32</f>
        <v>320</v>
      </c>
      <c r="AX34" s="32">
        <f>[2]Force!EB32</f>
        <v>233</v>
      </c>
      <c r="AY34" s="32">
        <f>[2]Force!EC32</f>
        <v>278</v>
      </c>
    </row>
    <row r="35" spans="2:51" x14ac:dyDescent="0.35">
      <c r="B35" t="str">
        <f t="shared" si="0"/>
        <v>Warwickshire</v>
      </c>
      <c r="C35" s="352"/>
      <c r="D35" s="32">
        <f>[2]Force!CH33</f>
        <v>0</v>
      </c>
      <c r="E35" s="32">
        <f>[2]Force!CI33</f>
        <v>0</v>
      </c>
      <c r="F35" s="32">
        <f>[2]Force!CJ33</f>
        <v>0</v>
      </c>
      <c r="G35" s="32">
        <f>[2]Force!CK33</f>
        <v>0</v>
      </c>
      <c r="H35" s="32">
        <f>[2]Force!CL33</f>
        <v>0</v>
      </c>
      <c r="I35" s="32">
        <f>[2]Force!CM33</f>
        <v>0</v>
      </c>
      <c r="J35" s="32">
        <f>[2]Force!CN33</f>
        <v>0</v>
      </c>
      <c r="K35" s="32">
        <f>[2]Force!CO33</f>
        <v>0</v>
      </c>
      <c r="L35" s="32">
        <f>[2]Force!CP33</f>
        <v>0</v>
      </c>
      <c r="M35" s="32">
        <f>[2]Force!CQ33</f>
        <v>0</v>
      </c>
      <c r="N35" s="32">
        <f>[2]Force!CR33</f>
        <v>0</v>
      </c>
      <c r="O35" s="32">
        <f>[2]Force!CS33</f>
        <v>0</v>
      </c>
      <c r="P35" s="32">
        <f>[2]Force!CT33</f>
        <v>0</v>
      </c>
      <c r="Q35" s="32">
        <f>[2]Force!CU33</f>
        <v>0</v>
      </c>
      <c r="R35" s="32">
        <f>[2]Force!CV33</f>
        <v>0</v>
      </c>
      <c r="S35" s="32">
        <f>[2]Force!CW33</f>
        <v>0</v>
      </c>
      <c r="T35" s="32">
        <f>[2]Force!CX33</f>
        <v>0</v>
      </c>
      <c r="U35" s="32">
        <f>[2]Force!CY33</f>
        <v>0</v>
      </c>
      <c r="V35" s="32">
        <f>[2]Force!CZ33</f>
        <v>0</v>
      </c>
      <c r="W35" s="32">
        <f>[2]Force!DA33</f>
        <v>0</v>
      </c>
      <c r="X35" s="32">
        <f>[2]Force!DB33</f>
        <v>0</v>
      </c>
      <c r="Y35" s="32">
        <f>[2]Force!DC33</f>
        <v>0</v>
      </c>
      <c r="Z35" s="32">
        <f>[2]Force!DD33</f>
        <v>0</v>
      </c>
      <c r="AA35" s="32">
        <f>[2]Force!DE33</f>
        <v>0</v>
      </c>
      <c r="AB35" s="32">
        <f>[2]Force!DF33</f>
        <v>0</v>
      </c>
      <c r="AC35" s="32">
        <f>[2]Force!DG33</f>
        <v>0</v>
      </c>
      <c r="AD35" s="32">
        <f>[2]Force!DH33</f>
        <v>0</v>
      </c>
      <c r="AE35" s="32">
        <f>[2]Force!DI33</f>
        <v>0</v>
      </c>
      <c r="AF35" s="32">
        <f>[2]Force!DJ33</f>
        <v>0</v>
      </c>
      <c r="AG35" s="32">
        <f>[2]Force!DK33</f>
        <v>0</v>
      </c>
      <c r="AH35" s="32">
        <f>[2]Force!DL33</f>
        <v>0</v>
      </c>
      <c r="AI35" s="32">
        <f>[2]Force!DM33</f>
        <v>0</v>
      </c>
      <c r="AJ35" s="32">
        <f>[2]Force!DN33</f>
        <v>0</v>
      </c>
      <c r="AK35" s="32">
        <f>[2]Force!DO33</f>
        <v>0</v>
      </c>
      <c r="AL35" s="32">
        <f>[2]Force!DP33</f>
        <v>0</v>
      </c>
      <c r="AM35" s="32">
        <f>[2]Force!DQ33</f>
        <v>0</v>
      </c>
      <c r="AN35" s="32">
        <f>[2]Force!DR33</f>
        <v>0</v>
      </c>
      <c r="AO35" s="32">
        <f>[2]Force!DS33</f>
        <v>0</v>
      </c>
      <c r="AP35" s="32">
        <f>[2]Force!DT33</f>
        <v>0</v>
      </c>
      <c r="AQ35" s="32">
        <f>[2]Force!DU33</f>
        <v>0</v>
      </c>
      <c r="AR35" s="32">
        <f>[2]Force!DV33</f>
        <v>0</v>
      </c>
      <c r="AS35" s="32">
        <f>[2]Force!DW33</f>
        <v>0</v>
      </c>
      <c r="AT35" s="32">
        <f>[2]Force!DX33</f>
        <v>0</v>
      </c>
      <c r="AU35" s="32">
        <f>[2]Force!DY33</f>
        <v>0</v>
      </c>
      <c r="AV35" s="32">
        <f>[2]Force!DZ33</f>
        <v>0</v>
      </c>
      <c r="AW35" s="32">
        <f>[2]Force!EA33</f>
        <v>0</v>
      </c>
      <c r="AX35" s="32">
        <f>[2]Force!EB33</f>
        <v>0</v>
      </c>
      <c r="AY35" s="32">
        <f>[2]Force!EC33</f>
        <v>0</v>
      </c>
    </row>
    <row r="36" spans="2:51" x14ac:dyDescent="0.35">
      <c r="B36" t="str">
        <f t="shared" si="0"/>
        <v>WarwickshireHate Offences &amp; Crimed Incidents</v>
      </c>
      <c r="C36" s="352" t="s">
        <v>51</v>
      </c>
      <c r="D36" s="32">
        <f>[2]Force!CH34</f>
        <v>113</v>
      </c>
      <c r="E36" s="32">
        <f>[2]Force!CI34</f>
        <v>105</v>
      </c>
      <c r="F36" s="32">
        <f>[2]Force!CJ34</f>
        <v>115</v>
      </c>
      <c r="G36" s="32">
        <f>[2]Force!CK34</f>
        <v>114</v>
      </c>
      <c r="H36" s="32">
        <f>[2]Force!CL34</f>
        <v>117</v>
      </c>
      <c r="I36" s="32">
        <f>[2]Force!CM34</f>
        <v>106</v>
      </c>
      <c r="J36" s="32">
        <f>[2]Force!CN34</f>
        <v>100</v>
      </c>
      <c r="K36" s="32">
        <f>[2]Force!CO34</f>
        <v>101</v>
      </c>
      <c r="L36" s="32">
        <f>[2]Force!CP34</f>
        <v>91</v>
      </c>
      <c r="M36" s="32">
        <f>[2]Force!CQ34</f>
        <v>86</v>
      </c>
      <c r="N36" s="32">
        <f>[2]Force!CR34</f>
        <v>75</v>
      </c>
      <c r="O36" s="32">
        <f>[2]Force!CS34</f>
        <v>96</v>
      </c>
      <c r="P36" s="32">
        <f>[2]Force!CT34</f>
        <v>90</v>
      </c>
      <c r="Q36" s="32">
        <f>[2]Force!CU34</f>
        <v>107</v>
      </c>
      <c r="R36" s="32">
        <f>[2]Force!CV34</f>
        <v>118</v>
      </c>
      <c r="S36" s="32">
        <f>[2]Force!CW34</f>
        <v>123</v>
      </c>
      <c r="T36" s="32">
        <f>[2]Force!CX34</f>
        <v>102</v>
      </c>
      <c r="U36" s="32">
        <f>[2]Force!CY34</f>
        <v>87</v>
      </c>
      <c r="V36" s="32">
        <f>[2]Force!CZ34</f>
        <v>80</v>
      </c>
      <c r="W36" s="32">
        <f>[2]Force!DA34</f>
        <v>86</v>
      </c>
      <c r="X36" s="32">
        <f>[2]Force!DB34</f>
        <v>77</v>
      </c>
      <c r="Y36" s="32">
        <f>[2]Force!DC34</f>
        <v>82</v>
      </c>
      <c r="Z36" s="32">
        <f>[2]Force!DD34</f>
        <v>69</v>
      </c>
      <c r="AA36" s="32">
        <f>[2]Force!DE34</f>
        <v>97</v>
      </c>
      <c r="AB36" s="32">
        <f>[2]Force!DF34</f>
        <v>95</v>
      </c>
      <c r="AC36" s="32">
        <f>[2]Force!DG34</f>
        <v>76</v>
      </c>
      <c r="AD36" s="32">
        <f>[2]Force!DH34</f>
        <v>83</v>
      </c>
      <c r="AE36" s="32">
        <f>[2]Force!DI34</f>
        <v>95</v>
      </c>
      <c r="AF36" s="32">
        <f>[2]Force!DJ34</f>
        <v>82</v>
      </c>
      <c r="AG36" s="32">
        <f>[2]Force!DK34</f>
        <v>86</v>
      </c>
      <c r="AH36" s="32">
        <f>[2]Force!DL34</f>
        <v>94</v>
      </c>
      <c r="AI36" s="32">
        <f>[2]Force!DM34</f>
        <v>92</v>
      </c>
      <c r="AJ36" s="32">
        <f>[2]Force!DN34</f>
        <v>66</v>
      </c>
      <c r="AK36" s="32">
        <f>[2]Force!DO34</f>
        <v>63</v>
      </c>
      <c r="AL36" s="32">
        <f>[2]Force!DP34</f>
        <v>85</v>
      </c>
      <c r="AM36" s="32">
        <f>[2]Force!DQ34</f>
        <v>78</v>
      </c>
      <c r="AN36" s="32">
        <f>[2]Force!DR34</f>
        <v>60</v>
      </c>
      <c r="AO36" s="32">
        <f>[2]Force!DS34</f>
        <v>87</v>
      </c>
      <c r="AP36" s="32">
        <f>[2]Force!DT34</f>
        <v>93</v>
      </c>
      <c r="AQ36" s="32">
        <f>[2]Force!DU34</f>
        <v>110</v>
      </c>
      <c r="AR36" s="32">
        <f>[2]Force!DV34</f>
        <v>124</v>
      </c>
      <c r="AS36" s="32">
        <f>[2]Force!DW34</f>
        <v>91</v>
      </c>
      <c r="AT36" s="32">
        <f>[2]Force!DX34</f>
        <v>76</v>
      </c>
      <c r="AU36" s="32">
        <f>[2]Force!DY34</f>
        <v>75</v>
      </c>
      <c r="AV36" s="32">
        <f>[2]Force!DZ34</f>
        <v>76</v>
      </c>
      <c r="AW36" s="32">
        <f>[2]Force!EA34</f>
        <v>78</v>
      </c>
      <c r="AX36" s="32">
        <f>[2]Force!EB34</f>
        <v>69</v>
      </c>
      <c r="AY36" s="32">
        <f>[2]Force!EC34</f>
        <v>76</v>
      </c>
    </row>
    <row r="37" spans="2:51" s="64" customFormat="1" x14ac:dyDescent="0.35">
      <c r="B37" s="64" t="str">
        <f t="shared" si="0"/>
        <v>WarwickshireDA Offences &amp; Crimed Incidents</v>
      </c>
      <c r="C37" s="352" t="s">
        <v>200</v>
      </c>
      <c r="D37" s="32">
        <f>[2]Force!CH35</f>
        <v>943</v>
      </c>
      <c r="E37" s="32">
        <f>[2]Force!CI35</f>
        <v>1067</v>
      </c>
      <c r="F37" s="32">
        <f>[2]Force!CJ35</f>
        <v>1087</v>
      </c>
      <c r="G37" s="32">
        <f>[2]Force!CK35</f>
        <v>1086</v>
      </c>
      <c r="H37" s="32">
        <f>[2]Force!CL35</f>
        <v>1053</v>
      </c>
      <c r="I37" s="32">
        <f>[2]Force!CM35</f>
        <v>1125</v>
      </c>
      <c r="J37" s="32">
        <f>[2]Force!CN35</f>
        <v>1023</v>
      </c>
      <c r="K37" s="32">
        <f>[2]Force!CO35</f>
        <v>886</v>
      </c>
      <c r="L37" s="32">
        <f>[2]Force!CP35</f>
        <v>913</v>
      </c>
      <c r="M37" s="32">
        <f>[2]Force!CQ35</f>
        <v>942</v>
      </c>
      <c r="N37" s="32">
        <f>[2]Force!CR35</f>
        <v>833</v>
      </c>
      <c r="O37" s="32">
        <f>[2]Force!CS35</f>
        <v>989</v>
      </c>
      <c r="P37" s="32">
        <f>[2]Force!CT35</f>
        <v>957</v>
      </c>
      <c r="Q37" s="32">
        <f>[2]Force!CU35</f>
        <v>977</v>
      </c>
      <c r="R37" s="32">
        <f>[2]Force!CV35</f>
        <v>932</v>
      </c>
      <c r="S37" s="32">
        <f>[2]Force!CW35</f>
        <v>1039</v>
      </c>
      <c r="T37" s="32">
        <f>[2]Force!CX35</f>
        <v>939</v>
      </c>
      <c r="U37" s="32">
        <f>[2]Force!CY35</f>
        <v>909</v>
      </c>
      <c r="V37" s="32">
        <f>[2]Force!CZ35</f>
        <v>870</v>
      </c>
      <c r="W37" s="32">
        <f>[2]Force!DA35</f>
        <v>831</v>
      </c>
      <c r="X37" s="32">
        <f>[2]Force!DB35</f>
        <v>898</v>
      </c>
      <c r="Y37" s="32">
        <f>[2]Force!DC35</f>
        <v>830</v>
      </c>
      <c r="Z37" s="32">
        <f>[2]Force!DD35</f>
        <v>830</v>
      </c>
      <c r="AA37" s="32">
        <f>[2]Force!DE35</f>
        <v>918</v>
      </c>
      <c r="AB37" s="32">
        <f>[2]Force!DF35</f>
        <v>906</v>
      </c>
      <c r="AC37" s="32">
        <f>[2]Force!DG35</f>
        <v>897</v>
      </c>
      <c r="AD37" s="32">
        <f>[2]Force!DH35</f>
        <v>908</v>
      </c>
      <c r="AE37" s="32">
        <f>[2]Force!DI35</f>
        <v>906</v>
      </c>
      <c r="AF37" s="32">
        <f>[2]Force!DJ35</f>
        <v>877</v>
      </c>
      <c r="AG37" s="32">
        <f>[2]Force!DK35</f>
        <v>788</v>
      </c>
      <c r="AH37" s="32">
        <f>[2]Force!DL35</f>
        <v>857</v>
      </c>
      <c r="AI37" s="32">
        <f>[2]Force!DM35</f>
        <v>833</v>
      </c>
      <c r="AJ37" s="32">
        <f>[2]Force!DN35</f>
        <v>908</v>
      </c>
      <c r="AK37" s="32">
        <f>[2]Force!DO35</f>
        <v>834</v>
      </c>
      <c r="AL37" s="32">
        <f>[2]Force!DP35</f>
        <v>804</v>
      </c>
      <c r="AM37" s="32">
        <f>[2]Force!DQ35</f>
        <v>860</v>
      </c>
      <c r="AN37" s="32">
        <f>[2]Force!DR35</f>
        <v>856</v>
      </c>
      <c r="AO37" s="32">
        <f>[2]Force!DS35</f>
        <v>836</v>
      </c>
      <c r="AP37" s="32">
        <f>[2]Force!DT35</f>
        <v>858</v>
      </c>
      <c r="AQ37" s="32">
        <f>[2]Force!DU35</f>
        <v>927</v>
      </c>
      <c r="AR37" s="32">
        <f>[2]Force!DV35</f>
        <v>892</v>
      </c>
      <c r="AS37" s="32">
        <f>[2]Force!DW35</f>
        <v>825</v>
      </c>
      <c r="AT37" s="32">
        <f>[2]Force!DX35</f>
        <v>830</v>
      </c>
      <c r="AU37" s="32">
        <f>[2]Force!DY35</f>
        <v>774</v>
      </c>
      <c r="AV37" s="32">
        <f>[2]Force!DZ35</f>
        <v>910</v>
      </c>
      <c r="AW37" s="32">
        <f>[2]Force!EA35</f>
        <v>823</v>
      </c>
      <c r="AX37" s="32">
        <f>[2]Force!EB35</f>
        <v>821</v>
      </c>
      <c r="AY37" s="32">
        <f>[2]Force!EC35</f>
        <v>901</v>
      </c>
    </row>
    <row r="38" spans="2:51" s="64" customFormat="1" x14ac:dyDescent="0.35">
      <c r="B38" s="64" t="str">
        <f t="shared" si="0"/>
        <v>WarwickshireVulnerable adult offences and crimed incidents</v>
      </c>
      <c r="C38" s="352" t="s">
        <v>201</v>
      </c>
      <c r="D38" s="32">
        <f>[2]Force!CH36</f>
        <v>552</v>
      </c>
      <c r="E38" s="32">
        <f>[2]Force!CI36</f>
        <v>543</v>
      </c>
      <c r="F38" s="32">
        <f>[2]Force!CJ36</f>
        <v>550</v>
      </c>
      <c r="G38" s="32">
        <f>[2]Force!CK36</f>
        <v>581</v>
      </c>
      <c r="H38" s="32">
        <f>[2]Force!CL36</f>
        <v>494</v>
      </c>
      <c r="I38" s="32">
        <f>[2]Force!CM36</f>
        <v>532</v>
      </c>
      <c r="J38" s="32">
        <f>[2]Force!CN36</f>
        <v>544</v>
      </c>
      <c r="K38" s="32">
        <f>[2]Force!CO36</f>
        <v>498</v>
      </c>
      <c r="L38" s="32">
        <f>[2]Force!CP36</f>
        <v>493</v>
      </c>
      <c r="M38" s="32">
        <f>[2]Force!CQ36</f>
        <v>450</v>
      </c>
      <c r="N38" s="32">
        <f>[2]Force!CR36</f>
        <v>405</v>
      </c>
      <c r="O38" s="32">
        <f>[2]Force!CS36</f>
        <v>453</v>
      </c>
      <c r="P38" s="32">
        <f>[2]Force!CT36</f>
        <v>523</v>
      </c>
      <c r="Q38" s="32">
        <f>[2]Force!CU36</f>
        <v>532</v>
      </c>
      <c r="R38" s="32">
        <f>[2]Force!CV36</f>
        <v>564</v>
      </c>
      <c r="S38" s="32">
        <f>[2]Force!CW36</f>
        <v>566</v>
      </c>
      <c r="T38" s="32">
        <f>[2]Force!CX36</f>
        <v>654</v>
      </c>
      <c r="U38" s="32">
        <f>[2]Force!CY36</f>
        <v>579</v>
      </c>
      <c r="V38" s="32">
        <f>[2]Force!CZ36</f>
        <v>558</v>
      </c>
      <c r="W38" s="32">
        <f>[2]Force!DA36</f>
        <v>551</v>
      </c>
      <c r="X38" s="32">
        <f>[2]Force!DB36</f>
        <v>513</v>
      </c>
      <c r="Y38" s="32">
        <f>[2]Force!DC36</f>
        <v>483</v>
      </c>
      <c r="Z38" s="32">
        <f>[2]Force!DD36</f>
        <v>513</v>
      </c>
      <c r="AA38" s="32">
        <f>[2]Force!DE36</f>
        <v>557</v>
      </c>
      <c r="AB38" s="32">
        <f>[2]Force!DF36</f>
        <v>555</v>
      </c>
      <c r="AC38" s="32">
        <f>[2]Force!DG36</f>
        <v>594</v>
      </c>
      <c r="AD38" s="32">
        <f>[2]Force!DH36</f>
        <v>580</v>
      </c>
      <c r="AE38" s="32">
        <f>[2]Force!DI36</f>
        <v>571</v>
      </c>
      <c r="AF38" s="32">
        <f>[2]Force!DJ36</f>
        <v>511</v>
      </c>
      <c r="AG38" s="32">
        <f>[2]Force!DK36</f>
        <v>499</v>
      </c>
      <c r="AH38" s="32">
        <f>[2]Force!DL36</f>
        <v>541</v>
      </c>
      <c r="AI38" s="32">
        <f>[2]Force!DM36</f>
        <v>503</v>
      </c>
      <c r="AJ38" s="32">
        <f>[2]Force!DN36</f>
        <v>547</v>
      </c>
      <c r="AK38" s="32">
        <f>[2]Force!DO36</f>
        <v>480</v>
      </c>
      <c r="AL38" s="32">
        <f>[2]Force!DP36</f>
        <v>500</v>
      </c>
      <c r="AM38" s="32">
        <f>[2]Force!DQ36</f>
        <v>472</v>
      </c>
      <c r="AN38" s="32">
        <f>[2]Force!DR36</f>
        <v>483</v>
      </c>
      <c r="AO38" s="32">
        <f>[2]Force!DS36</f>
        <v>478</v>
      </c>
      <c r="AP38" s="32">
        <f>[2]Force!DT36</f>
        <v>518</v>
      </c>
      <c r="AQ38" s="32">
        <f>[2]Force!DU36</f>
        <v>511</v>
      </c>
      <c r="AR38" s="32">
        <f>[2]Force!DV36</f>
        <v>474</v>
      </c>
      <c r="AS38" s="32">
        <f>[2]Force!DW36</f>
        <v>442</v>
      </c>
      <c r="AT38" s="32">
        <f>[2]Force!DX36</f>
        <v>493</v>
      </c>
      <c r="AU38" s="32">
        <f>[2]Force!DY36</f>
        <v>455</v>
      </c>
      <c r="AV38" s="32">
        <f>[2]Force!DZ36</f>
        <v>485</v>
      </c>
      <c r="AW38" s="32">
        <f>[2]Force!EA36</f>
        <v>476</v>
      </c>
      <c r="AX38" s="32">
        <f>[2]Force!EB36</f>
        <v>476</v>
      </c>
      <c r="AY38" s="32">
        <f>[2]Force!EC36</f>
        <v>504</v>
      </c>
    </row>
    <row r="39" spans="2:51" s="64" customFormat="1" x14ac:dyDescent="0.35">
      <c r="B39" s="64" t="str">
        <f t="shared" si="0"/>
        <v>WarwickshireCSE offences and crimed incidents</v>
      </c>
      <c r="C39" s="352" t="s">
        <v>202</v>
      </c>
      <c r="D39" s="32">
        <f>[2]Force!CH37</f>
        <v>6</v>
      </c>
      <c r="E39" s="32">
        <f>[2]Force!CI37</f>
        <v>19</v>
      </c>
      <c r="F39" s="32">
        <f>[2]Force!CJ37</f>
        <v>12</v>
      </c>
      <c r="G39" s="32">
        <f>[2]Force!CK37</f>
        <v>43</v>
      </c>
      <c r="H39" s="32">
        <f>[2]Force!CL37</f>
        <v>12</v>
      </c>
      <c r="I39" s="32">
        <f>[2]Force!CM37</f>
        <v>7</v>
      </c>
      <c r="J39" s="32">
        <f>[2]Force!CN37</f>
        <v>10</v>
      </c>
      <c r="K39" s="32">
        <f>[2]Force!CO37</f>
        <v>10</v>
      </c>
      <c r="L39" s="32">
        <f>[2]Force!CP37</f>
        <v>4</v>
      </c>
      <c r="M39" s="32">
        <f>[2]Force!CQ37</f>
        <v>16</v>
      </c>
      <c r="N39" s="32">
        <f>[2]Force!CR37</f>
        <v>5</v>
      </c>
      <c r="O39" s="32">
        <f>[2]Force!CS37</f>
        <v>2</v>
      </c>
      <c r="P39" s="32">
        <f>[2]Force!CT37</f>
        <v>19</v>
      </c>
      <c r="Q39" s="32">
        <f>[2]Force!CU37</f>
        <v>12</v>
      </c>
      <c r="R39" s="32">
        <f>[2]Force!CV37</f>
        <v>11</v>
      </c>
      <c r="S39" s="32">
        <f>[2]Force!CW37</f>
        <v>29</v>
      </c>
      <c r="T39" s="32">
        <f>[2]Force!CX37</f>
        <v>16</v>
      </c>
      <c r="U39" s="32">
        <f>[2]Force!CY37</f>
        <v>27</v>
      </c>
      <c r="V39" s="32">
        <f>[2]Force!CZ37</f>
        <v>16</v>
      </c>
      <c r="W39" s="32">
        <f>[2]Force!DA37</f>
        <v>26</v>
      </c>
      <c r="X39" s="32">
        <f>[2]Force!DB37</f>
        <v>17</v>
      </c>
      <c r="Y39" s="32">
        <f>[2]Force!DC37</f>
        <v>49</v>
      </c>
      <c r="Z39" s="32">
        <f>[2]Force!DD37</f>
        <v>25</v>
      </c>
      <c r="AA39" s="32">
        <f>[2]Force!DE37</f>
        <v>24</v>
      </c>
      <c r="AB39" s="32">
        <f>[2]Force!DF37</f>
        <v>9</v>
      </c>
      <c r="AC39" s="32">
        <f>[2]Force!DG37</f>
        <v>11</v>
      </c>
      <c r="AD39" s="32">
        <f>[2]Force!DH37</f>
        <v>6</v>
      </c>
      <c r="AE39" s="32">
        <f>[2]Force!DI37</f>
        <v>7</v>
      </c>
      <c r="AF39" s="32">
        <f>[2]Force!DJ37</f>
        <v>6</v>
      </c>
      <c r="AG39" s="32">
        <f>[2]Force!DK37</f>
        <v>12</v>
      </c>
      <c r="AH39" s="32">
        <f>[2]Force!DL37</f>
        <v>16</v>
      </c>
      <c r="AI39" s="32">
        <f>[2]Force!DM37</f>
        <v>8</v>
      </c>
      <c r="AJ39" s="32">
        <f>[2]Force!DN37</f>
        <v>12</v>
      </c>
      <c r="AK39" s="32">
        <f>[2]Force!DO37</f>
        <v>28</v>
      </c>
      <c r="AL39" s="32">
        <f>[2]Force!DP37</f>
        <v>10</v>
      </c>
      <c r="AM39" s="32">
        <f>[2]Force!DQ37</f>
        <v>8</v>
      </c>
      <c r="AN39" s="32">
        <f>[2]Force!DR37</f>
        <v>26</v>
      </c>
      <c r="AO39" s="32">
        <f>[2]Force!DS37</f>
        <v>19</v>
      </c>
      <c r="AP39" s="32">
        <f>[2]Force!DT37</f>
        <v>11</v>
      </c>
      <c r="AQ39" s="32">
        <f>[2]Force!DU37</f>
        <v>10</v>
      </c>
      <c r="AR39" s="32">
        <f>[2]Force!DV37</f>
        <v>21</v>
      </c>
      <c r="AS39" s="32">
        <f>[2]Force!DW37</f>
        <v>10</v>
      </c>
      <c r="AT39" s="32">
        <f>[2]Force!DX37</f>
        <v>13</v>
      </c>
      <c r="AU39" s="32">
        <f>[2]Force!DY37</f>
        <v>11</v>
      </c>
      <c r="AV39" s="32">
        <f>[2]Force!DZ37</f>
        <v>8</v>
      </c>
      <c r="AW39" s="32">
        <f>[2]Force!EA37</f>
        <v>9</v>
      </c>
      <c r="AX39" s="32">
        <f>[2]Force!EB37</f>
        <v>26</v>
      </c>
      <c r="AY39" s="32">
        <f>[2]Force!EC37</f>
        <v>21</v>
      </c>
    </row>
    <row r="40" spans="2:51" x14ac:dyDescent="0.35">
      <c r="B40" t="str">
        <f t="shared" si="0"/>
        <v>Warwickshire</v>
      </c>
      <c r="C40" s="352"/>
      <c r="D40" s="32">
        <f>[2]Force!CH38</f>
        <v>0</v>
      </c>
      <c r="E40" s="32">
        <f>[2]Force!CI38</f>
        <v>0</v>
      </c>
      <c r="F40" s="32">
        <f>[2]Force!CJ38</f>
        <v>0</v>
      </c>
      <c r="G40" s="32">
        <f>[2]Force!CK38</f>
        <v>0</v>
      </c>
      <c r="H40" s="32">
        <f>[2]Force!CL38</f>
        <v>0</v>
      </c>
      <c r="I40" s="32">
        <f>[2]Force!CM38</f>
        <v>0</v>
      </c>
      <c r="J40" s="32">
        <f>[2]Force!CN38</f>
        <v>0</v>
      </c>
      <c r="K40" s="32">
        <f>[2]Force!CO38</f>
        <v>0</v>
      </c>
      <c r="L40" s="32">
        <f>[2]Force!CP38</f>
        <v>0</v>
      </c>
      <c r="M40" s="32">
        <f>[2]Force!CQ38</f>
        <v>0</v>
      </c>
      <c r="N40" s="32">
        <f>[2]Force!CR38</f>
        <v>0</v>
      </c>
      <c r="O40" s="32">
        <f>[2]Force!CS38</f>
        <v>0</v>
      </c>
      <c r="P40" s="32">
        <f>[2]Force!CT38</f>
        <v>0</v>
      </c>
      <c r="Q40" s="32">
        <f>[2]Force!CU38</f>
        <v>0</v>
      </c>
      <c r="R40" s="32">
        <f>[2]Force!CV38</f>
        <v>0</v>
      </c>
      <c r="S40" s="32">
        <f>[2]Force!CW38</f>
        <v>0</v>
      </c>
      <c r="T40" s="32">
        <f>[2]Force!CX38</f>
        <v>0</v>
      </c>
      <c r="U40" s="32">
        <f>[2]Force!CY38</f>
        <v>0</v>
      </c>
      <c r="V40" s="32">
        <f>[2]Force!CZ38</f>
        <v>0</v>
      </c>
      <c r="W40" s="32">
        <f>[2]Force!DA38</f>
        <v>0</v>
      </c>
      <c r="X40" s="32">
        <f>[2]Force!DB38</f>
        <v>0</v>
      </c>
      <c r="Y40" s="32">
        <f>[2]Force!DC38</f>
        <v>0</v>
      </c>
      <c r="Z40" s="32">
        <f>[2]Force!DD38</f>
        <v>0</v>
      </c>
      <c r="AA40" s="32">
        <f>[2]Force!DE38</f>
        <v>0</v>
      </c>
      <c r="AB40" s="32">
        <f>[2]Force!DF38</f>
        <v>0</v>
      </c>
      <c r="AC40" s="32">
        <f>[2]Force!DG38</f>
        <v>0</v>
      </c>
      <c r="AD40" s="32">
        <f>[2]Force!DH38</f>
        <v>0</v>
      </c>
      <c r="AE40" s="32">
        <f>[2]Force!DI38</f>
        <v>0</v>
      </c>
      <c r="AF40" s="32">
        <f>[2]Force!DJ38</f>
        <v>0</v>
      </c>
      <c r="AG40" s="32">
        <f>[2]Force!DK38</f>
        <v>0</v>
      </c>
      <c r="AH40" s="32">
        <f>[2]Force!DL38</f>
        <v>0</v>
      </c>
      <c r="AI40" s="32">
        <f>[2]Force!DM38</f>
        <v>0</v>
      </c>
      <c r="AJ40" s="32">
        <f>[2]Force!DN38</f>
        <v>0</v>
      </c>
      <c r="AK40" s="32">
        <f>[2]Force!DO38</f>
        <v>0</v>
      </c>
      <c r="AL40" s="32">
        <f>[2]Force!DP38</f>
        <v>0</v>
      </c>
      <c r="AM40" s="32">
        <f>[2]Force!DQ38</f>
        <v>0</v>
      </c>
      <c r="AN40" s="32">
        <f>[2]Force!DR38</f>
        <v>0</v>
      </c>
      <c r="AO40" s="32">
        <f>[2]Force!DS38</f>
        <v>0</v>
      </c>
      <c r="AP40" s="32">
        <f>[2]Force!DT38</f>
        <v>0</v>
      </c>
      <c r="AQ40" s="32">
        <f>[2]Force!DU38</f>
        <v>0</v>
      </c>
      <c r="AR40" s="32">
        <f>[2]Force!DV38</f>
        <v>0</v>
      </c>
      <c r="AS40" s="32">
        <f>[2]Force!DW38</f>
        <v>0</v>
      </c>
      <c r="AT40" s="32">
        <f>[2]Force!DX38</f>
        <v>0</v>
      </c>
      <c r="AU40" s="32">
        <f>[2]Force!DY38</f>
        <v>0</v>
      </c>
      <c r="AV40" s="32">
        <f>[2]Force!DZ38</f>
        <v>0</v>
      </c>
      <c r="AW40" s="32">
        <f>[2]Force!EA38</f>
        <v>0</v>
      </c>
      <c r="AX40" s="32">
        <f>[2]Force!EB38</f>
        <v>0</v>
      </c>
      <c r="AY40" s="32">
        <f>[2]Force!EC38</f>
        <v>0</v>
      </c>
    </row>
    <row r="41" spans="2:51" x14ac:dyDescent="0.35">
      <c r="B41" t="str">
        <f t="shared" si="0"/>
        <v>WarwickshireBusiness Crime</v>
      </c>
      <c r="C41" s="352" t="s">
        <v>52</v>
      </c>
      <c r="D41" s="32">
        <f>[2]Force!CH39</f>
        <v>344</v>
      </c>
      <c r="E41" s="32">
        <f>[2]Force!CI39</f>
        <v>406</v>
      </c>
      <c r="F41" s="32">
        <f>[2]Force!CJ39</f>
        <v>402</v>
      </c>
      <c r="G41" s="32">
        <f>[2]Force!CK39</f>
        <v>436</v>
      </c>
      <c r="H41" s="32">
        <f>[2]Force!CL39</f>
        <v>412</v>
      </c>
      <c r="I41" s="32">
        <f>[2]Force!CM39</f>
        <v>396</v>
      </c>
      <c r="J41" s="32">
        <f>[2]Force!CN39</f>
        <v>370</v>
      </c>
      <c r="K41" s="32">
        <f>[2]Force!CO39</f>
        <v>481</v>
      </c>
      <c r="L41" s="32">
        <f>[2]Force!CP39</f>
        <v>380</v>
      </c>
      <c r="M41" s="32">
        <f>[2]Force!CQ39</f>
        <v>406</v>
      </c>
      <c r="N41" s="32">
        <f>[2]Force!CR39</f>
        <v>369</v>
      </c>
      <c r="O41" s="32">
        <f>[2]Force!CS39</f>
        <v>459</v>
      </c>
      <c r="P41" s="32">
        <f>[2]Force!CT39</f>
        <v>487</v>
      </c>
      <c r="Q41" s="32">
        <f>[2]Force!CU39</f>
        <v>457</v>
      </c>
      <c r="R41" s="32">
        <f>[2]Force!CV39</f>
        <v>456</v>
      </c>
      <c r="S41" s="32">
        <f>[2]Force!CW39</f>
        <v>417</v>
      </c>
      <c r="T41" s="32">
        <f>[2]Force!CX39</f>
        <v>557</v>
      </c>
      <c r="U41" s="32">
        <f>[2]Force!CY39</f>
        <v>443</v>
      </c>
      <c r="V41" s="32">
        <f>[2]Force!CZ39</f>
        <v>538</v>
      </c>
      <c r="W41" s="32">
        <f>[2]Force!DA39</f>
        <v>491</v>
      </c>
      <c r="X41" s="32">
        <f>[2]Force!DB39</f>
        <v>464</v>
      </c>
      <c r="Y41" s="32">
        <f>[2]Force!DC39</f>
        <v>541</v>
      </c>
      <c r="Z41" s="32">
        <f>[2]Force!DD39</f>
        <v>590</v>
      </c>
      <c r="AA41" s="32">
        <f>[2]Force!DE39</f>
        <v>574</v>
      </c>
      <c r="AB41" s="32">
        <f>[2]Force!DF39</f>
        <v>470</v>
      </c>
      <c r="AC41" s="32">
        <f>[2]Force!DG39</f>
        <v>528</v>
      </c>
      <c r="AD41" s="32">
        <f>[2]Force!DH39</f>
        <v>480</v>
      </c>
      <c r="AE41" s="32">
        <f>[2]Force!DI39</f>
        <v>547</v>
      </c>
      <c r="AF41" s="32">
        <f>[2]Force!DJ39</f>
        <v>459</v>
      </c>
      <c r="AG41" s="32">
        <f>[2]Force!DK39</f>
        <v>541</v>
      </c>
      <c r="AH41" s="32">
        <f>[2]Force!DL39</f>
        <v>552</v>
      </c>
      <c r="AI41" s="32">
        <f>[2]Force!DM39</f>
        <v>591</v>
      </c>
      <c r="AJ41" s="32">
        <f>[2]Force!DN39</f>
        <v>509</v>
      </c>
      <c r="AK41" s="32">
        <f>[2]Force!DO39</f>
        <v>644</v>
      </c>
      <c r="AL41" s="32">
        <f>[2]Force!DP39</f>
        <v>567</v>
      </c>
      <c r="AM41" s="32">
        <f>[2]Force!DQ39</f>
        <v>618</v>
      </c>
      <c r="AN41" s="32">
        <f>[2]Force!DR39</f>
        <v>647</v>
      </c>
      <c r="AO41" s="32">
        <f>[2]Force!DS39</f>
        <v>636</v>
      </c>
      <c r="AP41" s="32">
        <f>[2]Force!DT39</f>
        <v>552</v>
      </c>
      <c r="AQ41" s="32">
        <f>[2]Force!DU39</f>
        <v>631</v>
      </c>
      <c r="AR41" s="32">
        <f>[2]Force!DV39</f>
        <v>615</v>
      </c>
      <c r="AS41" s="32">
        <f>[2]Force!DW39</f>
        <v>631</v>
      </c>
      <c r="AT41" s="32">
        <f>[2]Force!DX39</f>
        <v>633</v>
      </c>
      <c r="AU41" s="32">
        <f>[2]Force!DY39</f>
        <v>485</v>
      </c>
      <c r="AV41" s="32">
        <f>[2]Force!DZ39</f>
        <v>436</v>
      </c>
      <c r="AW41" s="32">
        <f>[2]Force!EA39</f>
        <v>443</v>
      </c>
      <c r="AX41" s="32">
        <f>[2]Force!EB39</f>
        <v>437</v>
      </c>
      <c r="AY41" s="32">
        <f>[2]Force!EC39</f>
        <v>509</v>
      </c>
    </row>
    <row r="42" spans="2:51" x14ac:dyDescent="0.35">
      <c r="B42" t="str">
        <f t="shared" si="0"/>
        <v>Warwickshire</v>
      </c>
      <c r="C42" s="353"/>
      <c r="D42" s="32">
        <f>[2]Force!CH40</f>
        <v>0</v>
      </c>
      <c r="E42" s="32">
        <f>[2]Force!CI40</f>
        <v>0</v>
      </c>
      <c r="F42" s="32">
        <f>[2]Force!CJ40</f>
        <v>0</v>
      </c>
      <c r="G42" s="32">
        <f>[2]Force!CK40</f>
        <v>0</v>
      </c>
      <c r="H42" s="32">
        <f>[2]Force!CL40</f>
        <v>0</v>
      </c>
      <c r="I42" s="32">
        <f>[2]Force!CM40</f>
        <v>0</v>
      </c>
      <c r="J42" s="32">
        <f>[2]Force!CN40</f>
        <v>0</v>
      </c>
      <c r="K42" s="32">
        <f>[2]Force!CO40</f>
        <v>0</v>
      </c>
      <c r="L42" s="32">
        <f>[2]Force!CP40</f>
        <v>0</v>
      </c>
      <c r="M42" s="32">
        <f>[2]Force!CQ40</f>
        <v>0</v>
      </c>
      <c r="N42" s="32">
        <f>[2]Force!CR40</f>
        <v>0</v>
      </c>
      <c r="O42" s="32">
        <f>[2]Force!CS40</f>
        <v>0</v>
      </c>
      <c r="P42" s="32">
        <f>[2]Force!CT40</f>
        <v>0</v>
      </c>
      <c r="Q42" s="32">
        <f>[2]Force!CU40</f>
        <v>0</v>
      </c>
      <c r="R42" s="32">
        <f>[2]Force!CV40</f>
        <v>0</v>
      </c>
      <c r="S42" s="32">
        <f>[2]Force!CW40</f>
        <v>0</v>
      </c>
      <c r="T42" s="32">
        <f>[2]Force!CX40</f>
        <v>0</v>
      </c>
      <c r="U42" s="32">
        <f>[2]Force!CY40</f>
        <v>0</v>
      </c>
      <c r="V42" s="32">
        <f>[2]Force!CZ40</f>
        <v>0</v>
      </c>
      <c r="W42" s="32">
        <f>[2]Force!DA40</f>
        <v>0</v>
      </c>
      <c r="X42" s="32">
        <f>[2]Force!DB40</f>
        <v>0</v>
      </c>
      <c r="Y42" s="32">
        <f>[2]Force!DC40</f>
        <v>0</v>
      </c>
      <c r="Z42" s="32">
        <f>[2]Force!DD40</f>
        <v>0</v>
      </c>
      <c r="AA42" s="32">
        <f>[2]Force!DE40</f>
        <v>0</v>
      </c>
      <c r="AB42" s="32">
        <f>[2]Force!DF40</f>
        <v>0</v>
      </c>
      <c r="AC42" s="32">
        <f>[2]Force!DG40</f>
        <v>0</v>
      </c>
      <c r="AD42" s="32">
        <f>[2]Force!DH40</f>
        <v>0</v>
      </c>
      <c r="AE42" s="32">
        <f>[2]Force!DI40</f>
        <v>0</v>
      </c>
      <c r="AF42" s="32">
        <f>[2]Force!DJ40</f>
        <v>0</v>
      </c>
      <c r="AG42" s="32">
        <f>[2]Force!DK40</f>
        <v>0</v>
      </c>
      <c r="AH42" s="32">
        <f>[2]Force!DL40</f>
        <v>0</v>
      </c>
      <c r="AI42" s="32">
        <f>[2]Force!DM40</f>
        <v>0</v>
      </c>
      <c r="AJ42" s="32">
        <f>[2]Force!DN40</f>
        <v>0</v>
      </c>
      <c r="AK42" s="32">
        <f>[2]Force!DO40</f>
        <v>0</v>
      </c>
      <c r="AL42" s="32">
        <f>[2]Force!DP40</f>
        <v>0</v>
      </c>
      <c r="AM42" s="32">
        <f>[2]Force!DQ40</f>
        <v>0</v>
      </c>
      <c r="AN42" s="32">
        <f>[2]Force!DR40</f>
        <v>0</v>
      </c>
      <c r="AO42" s="32">
        <f>[2]Force!DS40</f>
        <v>0</v>
      </c>
      <c r="AP42" s="32">
        <f>[2]Force!DT40</f>
        <v>0</v>
      </c>
      <c r="AQ42" s="32">
        <f>[2]Force!DU40</f>
        <v>0</v>
      </c>
      <c r="AR42" s="32">
        <f>[2]Force!DV40</f>
        <v>0</v>
      </c>
      <c r="AS42" s="32">
        <f>[2]Force!DW40</f>
        <v>0</v>
      </c>
      <c r="AT42" s="32">
        <f>[2]Force!DX40</f>
        <v>0</v>
      </c>
      <c r="AU42" s="32">
        <f>[2]Force!DY40</f>
        <v>0</v>
      </c>
      <c r="AV42" s="32">
        <f>[2]Force!DZ40</f>
        <v>0</v>
      </c>
      <c r="AW42" s="32">
        <f>[2]Force!EA40</f>
        <v>0</v>
      </c>
      <c r="AX42" s="32">
        <f>[2]Force!EB40</f>
        <v>0</v>
      </c>
      <c r="AY42" s="32">
        <f>[2]Force!EC40</f>
        <v>0</v>
      </c>
    </row>
    <row r="43" spans="2:51" x14ac:dyDescent="0.35">
      <c r="B43" t="str">
        <f t="shared" si="0"/>
        <v>WarwickshireResidential dwelling</v>
      </c>
      <c r="C43" s="352" t="s">
        <v>81</v>
      </c>
      <c r="D43" s="32">
        <f>[2]Force!CH41</f>
        <v>60</v>
      </c>
      <c r="E43" s="32">
        <f>[2]Force!CI41</f>
        <v>72</v>
      </c>
      <c r="F43" s="32">
        <f>[2]Force!CJ41</f>
        <v>82</v>
      </c>
      <c r="G43" s="32">
        <f>[2]Force!CK41</f>
        <v>73</v>
      </c>
      <c r="H43" s="32">
        <f>[2]Force!CL41</f>
        <v>71</v>
      </c>
      <c r="I43" s="32">
        <f>[2]Force!CM41</f>
        <v>101</v>
      </c>
      <c r="J43" s="32">
        <f>[2]Force!CN41</f>
        <v>108</v>
      </c>
      <c r="K43" s="32">
        <f>[2]Force!CO41</f>
        <v>91</v>
      </c>
      <c r="L43" s="32">
        <f>[2]Force!CP41</f>
        <v>70</v>
      </c>
      <c r="M43" s="32">
        <f>[2]Force!CQ41</f>
        <v>71</v>
      </c>
      <c r="N43" s="32">
        <f>[2]Force!CR41</f>
        <v>67</v>
      </c>
      <c r="O43" s="32">
        <f>[2]Force!CS41</f>
        <v>95</v>
      </c>
      <c r="P43" s="32">
        <f>[2]Force!CT41</f>
        <v>100</v>
      </c>
      <c r="Q43" s="32">
        <f>[2]Force!CU41</f>
        <v>78</v>
      </c>
      <c r="R43" s="32">
        <f>[2]Force!CV41</f>
        <v>82</v>
      </c>
      <c r="S43" s="32">
        <f>[2]Force!CW41</f>
        <v>97</v>
      </c>
      <c r="T43" s="32">
        <f>[2]Force!CX41</f>
        <v>97</v>
      </c>
      <c r="U43" s="32">
        <f>[2]Force!CY41</f>
        <v>94</v>
      </c>
      <c r="V43" s="32">
        <f>[2]Force!CZ41</f>
        <v>107</v>
      </c>
      <c r="W43" s="32">
        <f>[2]Force!DA41</f>
        <v>105</v>
      </c>
      <c r="X43" s="32">
        <f>[2]Force!DB41</f>
        <v>91</v>
      </c>
      <c r="Y43" s="32">
        <f>[2]Force!DC41</f>
        <v>100</v>
      </c>
      <c r="Z43" s="32">
        <f>[2]Force!DD41</f>
        <v>84</v>
      </c>
      <c r="AA43" s="32">
        <f>[2]Force!DE41</f>
        <v>98</v>
      </c>
      <c r="AB43" s="32">
        <f>[2]Force!DF41</f>
        <v>115</v>
      </c>
      <c r="AC43" s="32">
        <f>[2]Force!DG41</f>
        <v>91</v>
      </c>
      <c r="AD43" s="32">
        <f>[2]Force!DH41</f>
        <v>83</v>
      </c>
      <c r="AE43" s="32">
        <f>[2]Force!DI41</f>
        <v>95</v>
      </c>
      <c r="AF43" s="32">
        <f>[2]Force!DJ41</f>
        <v>68</v>
      </c>
      <c r="AG43" s="32">
        <f>[2]Force!DK41</f>
        <v>89</v>
      </c>
      <c r="AH43" s="32">
        <f>[2]Force!DL41</f>
        <v>87</v>
      </c>
      <c r="AI43" s="32">
        <f>[2]Force!DM41</f>
        <v>86</v>
      </c>
      <c r="AJ43" s="32">
        <f>[2]Force!DN41</f>
        <v>89</v>
      </c>
      <c r="AK43" s="32">
        <f>[2]Force!DO41</f>
        <v>106</v>
      </c>
      <c r="AL43" s="32">
        <f>[2]Force!DP41</f>
        <v>98</v>
      </c>
      <c r="AM43" s="32">
        <f>[2]Force!DQ41</f>
        <v>94</v>
      </c>
      <c r="AN43" s="32">
        <f>[2]Force!DR41</f>
        <v>99</v>
      </c>
      <c r="AO43" s="32">
        <f>[2]Force!DS41</f>
        <v>81</v>
      </c>
      <c r="AP43" s="32">
        <f>[2]Force!DT41</f>
        <v>87</v>
      </c>
      <c r="AQ43" s="32">
        <f>[2]Force!DU41</f>
        <v>123</v>
      </c>
      <c r="AR43" s="32">
        <f>[2]Force!DV41</f>
        <v>111</v>
      </c>
      <c r="AS43" s="32">
        <f>[2]Force!DW41</f>
        <v>110</v>
      </c>
      <c r="AT43" s="32">
        <f>[2]Force!DX41</f>
        <v>119</v>
      </c>
      <c r="AU43" s="32">
        <f>[2]Force!DY41</f>
        <v>99</v>
      </c>
      <c r="AV43" s="32">
        <f>[2]Force!DZ41</f>
        <v>107</v>
      </c>
      <c r="AW43" s="32">
        <f>[2]Force!EA41</f>
        <v>85</v>
      </c>
      <c r="AX43" s="32">
        <f>[2]Force!EB41</f>
        <v>94</v>
      </c>
      <c r="AY43" s="32">
        <f>[2]Force!EC41</f>
        <v>93</v>
      </c>
    </row>
    <row r="44" spans="2:51" x14ac:dyDescent="0.35">
      <c r="AN44" s="64"/>
      <c r="AO44" s="64"/>
      <c r="AP44" s="64"/>
      <c r="AQ44" s="64"/>
      <c r="AR44" s="64"/>
      <c r="AS44" s="64"/>
      <c r="AT44" s="64"/>
      <c r="AU44" s="64"/>
      <c r="AV44" s="64"/>
      <c r="AW44" s="64"/>
      <c r="AX44" s="64"/>
      <c r="AY44" s="64"/>
    </row>
    <row r="45" spans="2:51" ht="23" x14ac:dyDescent="0.5">
      <c r="C45" s="354" t="s">
        <v>57</v>
      </c>
      <c r="AN45" s="64"/>
      <c r="AO45" s="64"/>
      <c r="AP45" s="64"/>
      <c r="AQ45" s="64"/>
      <c r="AR45" s="64"/>
      <c r="AS45" s="64"/>
      <c r="AT45" s="64"/>
      <c r="AU45" s="64"/>
      <c r="AV45" s="64"/>
      <c r="AW45" s="64"/>
      <c r="AX45" s="64"/>
      <c r="AY45" s="64"/>
    </row>
    <row r="46" spans="2:51" x14ac:dyDescent="0.35">
      <c r="C46" s="329" t="s">
        <v>56</v>
      </c>
      <c r="D46" s="29">
        <v>44287</v>
      </c>
      <c r="E46" s="39">
        <v>44317</v>
      </c>
      <c r="F46" s="39">
        <v>44348</v>
      </c>
      <c r="G46" s="39">
        <v>44378</v>
      </c>
      <c r="H46" s="39">
        <v>44409</v>
      </c>
      <c r="I46" s="39">
        <v>44440</v>
      </c>
      <c r="J46" s="39">
        <v>44470</v>
      </c>
      <c r="K46" s="39">
        <v>44501</v>
      </c>
      <c r="L46" s="39">
        <v>44531</v>
      </c>
      <c r="M46" s="39">
        <v>44562</v>
      </c>
      <c r="N46" s="39">
        <v>44593</v>
      </c>
      <c r="O46" s="39">
        <v>44621</v>
      </c>
      <c r="P46" s="39">
        <v>44652</v>
      </c>
      <c r="Q46" s="39">
        <v>44682</v>
      </c>
      <c r="R46" s="39">
        <v>44713</v>
      </c>
      <c r="S46" s="39">
        <v>44743</v>
      </c>
      <c r="T46" s="39">
        <v>44774</v>
      </c>
      <c r="U46" s="39">
        <v>44805</v>
      </c>
      <c r="V46" s="39">
        <v>44835</v>
      </c>
      <c r="W46" s="39">
        <v>44866</v>
      </c>
      <c r="X46" s="39">
        <v>44896</v>
      </c>
      <c r="Y46" s="39">
        <v>44927</v>
      </c>
      <c r="Z46" s="39">
        <v>44958</v>
      </c>
      <c r="AA46" s="39">
        <v>44986</v>
      </c>
      <c r="AB46" s="39">
        <v>45017</v>
      </c>
      <c r="AC46" s="39">
        <v>45047</v>
      </c>
      <c r="AD46" s="39">
        <v>45078</v>
      </c>
      <c r="AE46" s="39">
        <v>45108</v>
      </c>
      <c r="AF46" s="39">
        <v>45139</v>
      </c>
      <c r="AG46" s="39">
        <v>45170</v>
      </c>
      <c r="AH46" s="39">
        <v>45200</v>
      </c>
      <c r="AI46" s="39">
        <v>45231</v>
      </c>
      <c r="AJ46" s="39">
        <v>45261</v>
      </c>
      <c r="AK46" s="39">
        <v>45292</v>
      </c>
      <c r="AL46" s="39">
        <v>45323</v>
      </c>
      <c r="AM46" s="39">
        <v>45352</v>
      </c>
      <c r="AN46" s="39">
        <v>45383</v>
      </c>
      <c r="AO46" s="39">
        <v>45413</v>
      </c>
      <c r="AP46" s="39">
        <v>45444</v>
      </c>
      <c r="AQ46" s="39">
        <v>45474</v>
      </c>
      <c r="AR46" s="39">
        <v>45505</v>
      </c>
      <c r="AS46" s="39">
        <v>45536</v>
      </c>
      <c r="AT46" s="39">
        <v>45566</v>
      </c>
      <c r="AU46" s="39">
        <v>45597</v>
      </c>
      <c r="AV46" s="39">
        <v>45627</v>
      </c>
      <c r="AW46" s="39">
        <v>45658</v>
      </c>
      <c r="AX46" s="39">
        <v>45689</v>
      </c>
      <c r="AY46" s="39">
        <v>45717</v>
      </c>
    </row>
    <row r="47" spans="2:51" x14ac:dyDescent="0.35">
      <c r="B47" t="str">
        <f>CONCATENATE($C$45,C47)</f>
        <v>North WarwickshireTotal Recorded Crime</v>
      </c>
      <c r="C47" s="329" t="s">
        <v>33</v>
      </c>
      <c r="D47" s="57">
        <f>[2]Districts_Boroughs!CH4</f>
        <v>333</v>
      </c>
      <c r="E47" s="57">
        <f>[2]Districts_Boroughs!CI4</f>
        <v>389</v>
      </c>
      <c r="F47" s="57">
        <f>[2]Districts_Boroughs!CJ4</f>
        <v>371</v>
      </c>
      <c r="G47" s="57">
        <f>[2]Districts_Boroughs!CK4</f>
        <v>379</v>
      </c>
      <c r="H47" s="57">
        <f>[2]Districts_Boroughs!CL4</f>
        <v>323</v>
      </c>
      <c r="I47" s="57">
        <f>[2]Districts_Boroughs!CM4</f>
        <v>357</v>
      </c>
      <c r="J47" s="57">
        <f>[2]Districts_Boroughs!CN4</f>
        <v>341</v>
      </c>
      <c r="K47" s="57">
        <f>[2]Districts_Boroughs!CO4</f>
        <v>380</v>
      </c>
      <c r="L47" s="57">
        <f>[2]Districts_Boroughs!CP4</f>
        <v>357</v>
      </c>
      <c r="M47" s="57">
        <f>[2]Districts_Boroughs!CQ4</f>
        <v>313</v>
      </c>
      <c r="N47" s="57">
        <f>[2]Districts_Boroughs!CR4</f>
        <v>316</v>
      </c>
      <c r="O47" s="57">
        <f>[2]Districts_Boroughs!CS4</f>
        <v>399</v>
      </c>
      <c r="P47" s="57">
        <f>[2]Districts_Boroughs!CT4</f>
        <v>513</v>
      </c>
      <c r="Q47" s="57">
        <f>[2]Districts_Boroughs!CU4</f>
        <v>411</v>
      </c>
      <c r="R47" s="57">
        <f>[2]Districts_Boroughs!CV4</f>
        <v>356</v>
      </c>
      <c r="S47" s="57">
        <f>[2]Districts_Boroughs!CW4</f>
        <v>437</v>
      </c>
      <c r="T47" s="57">
        <f>[2]Districts_Boroughs!CX4</f>
        <v>421</v>
      </c>
      <c r="U47" s="57">
        <f>[2]Districts_Boroughs!CY4</f>
        <v>382</v>
      </c>
      <c r="V47" s="57">
        <f>[2]Districts_Boroughs!CZ4</f>
        <v>401</v>
      </c>
      <c r="W47" s="57">
        <f>[2]Districts_Boroughs!DA4</f>
        <v>403</v>
      </c>
      <c r="X47" s="57">
        <f>[2]Districts_Boroughs!DB4</f>
        <v>382</v>
      </c>
      <c r="Y47" s="57">
        <f>[2]Districts_Boroughs!DC4</f>
        <v>359</v>
      </c>
      <c r="Z47" s="57">
        <f>[2]Districts_Boroughs!DD4</f>
        <v>333</v>
      </c>
      <c r="AA47" s="57">
        <f>[2]Districts_Boroughs!DE4</f>
        <v>408</v>
      </c>
      <c r="AB47" s="57">
        <f>[2]Districts_Boroughs!DF4</f>
        <v>339</v>
      </c>
      <c r="AC47" s="57">
        <f>[2]Districts_Boroughs!DG4</f>
        <v>358</v>
      </c>
      <c r="AD47" s="57">
        <f>[2]Districts_Boroughs!DH4</f>
        <v>381</v>
      </c>
      <c r="AE47" s="57">
        <f>[2]Districts_Boroughs!DI4</f>
        <v>430</v>
      </c>
      <c r="AF47" s="57">
        <f>[2]Districts_Boroughs!DJ4</f>
        <v>348</v>
      </c>
      <c r="AG47" s="57">
        <f>[2]Districts_Boroughs!DK4</f>
        <v>375</v>
      </c>
      <c r="AH47" s="57">
        <f>[2]Districts_Boroughs!DL4</f>
        <v>399</v>
      </c>
      <c r="AI47" s="57">
        <f>[2]Districts_Boroughs!DM4</f>
        <v>386</v>
      </c>
      <c r="AJ47" s="57">
        <f>[2]Districts_Boroughs!DN4</f>
        <v>364</v>
      </c>
      <c r="AK47" s="57">
        <f>[2]Districts_Boroughs!DO4</f>
        <v>343</v>
      </c>
      <c r="AL47" s="57">
        <f>[2]Districts_Boroughs!DP4</f>
        <v>352</v>
      </c>
      <c r="AM47" s="57">
        <f>[2]Districts_Boroughs!DQ4</f>
        <v>387</v>
      </c>
      <c r="AN47" s="57">
        <f>[2]Districts_Boroughs!DR4</f>
        <v>401</v>
      </c>
      <c r="AO47" s="57">
        <f>[2]Districts_Boroughs!DS4</f>
        <v>301</v>
      </c>
      <c r="AP47" s="57">
        <f>[2]Districts_Boroughs!DT4</f>
        <v>335</v>
      </c>
      <c r="AQ47" s="57">
        <f>[2]Districts_Boroughs!DU4</f>
        <v>373</v>
      </c>
      <c r="AR47" s="57">
        <f>[2]Districts_Boroughs!DV4</f>
        <v>351</v>
      </c>
      <c r="AS47" s="57">
        <f>[2]Districts_Boroughs!DW4</f>
        <v>377</v>
      </c>
      <c r="AT47" s="57">
        <f>[2]Districts_Boroughs!DX4</f>
        <v>391</v>
      </c>
      <c r="AU47" s="57">
        <f>[2]Districts_Boroughs!DY4</f>
        <v>331</v>
      </c>
      <c r="AV47" s="57">
        <f>[2]Districts_Boroughs!DZ4</f>
        <v>354</v>
      </c>
      <c r="AW47" s="57">
        <f>[2]Districts_Boroughs!EA4</f>
        <v>319</v>
      </c>
      <c r="AX47" s="57">
        <f>[2]Districts_Boroughs!EB4</f>
        <v>313</v>
      </c>
      <c r="AY47" s="57">
        <f>[2]Districts_Boroughs!EC4</f>
        <v>370</v>
      </c>
    </row>
    <row r="48" spans="2:51" x14ac:dyDescent="0.35">
      <c r="B48" t="str">
        <f t="shared" ref="B48:B87" si="2">CONCATENATE($C$45,C48)</f>
        <v>North Warwickshire</v>
      </c>
      <c r="C48" s="329"/>
      <c r="D48" s="57">
        <f>[2]Districts_Boroughs!CH5</f>
        <v>0</v>
      </c>
      <c r="E48" s="57">
        <f>[2]Districts_Boroughs!CI5</f>
        <v>0</v>
      </c>
      <c r="F48" s="57">
        <f>[2]Districts_Boroughs!CJ5</f>
        <v>0</v>
      </c>
      <c r="G48" s="57">
        <f>[2]Districts_Boroughs!CK5</f>
        <v>0</v>
      </c>
      <c r="H48" s="57">
        <f>[2]Districts_Boroughs!CL5</f>
        <v>0</v>
      </c>
      <c r="I48" s="57">
        <f>[2]Districts_Boroughs!CM5</f>
        <v>0</v>
      </c>
      <c r="J48" s="57">
        <f>[2]Districts_Boroughs!CN5</f>
        <v>0</v>
      </c>
      <c r="K48" s="57">
        <f>[2]Districts_Boroughs!CO5</f>
        <v>0</v>
      </c>
      <c r="L48" s="57">
        <f>[2]Districts_Boroughs!CP5</f>
        <v>0</v>
      </c>
      <c r="M48" s="57">
        <f>[2]Districts_Boroughs!CQ5</f>
        <v>0</v>
      </c>
      <c r="N48" s="57">
        <f>[2]Districts_Boroughs!CR5</f>
        <v>0</v>
      </c>
      <c r="O48" s="57">
        <f>[2]Districts_Boroughs!CS5</f>
        <v>0</v>
      </c>
      <c r="P48" s="57">
        <f>[2]Districts_Boroughs!CT5</f>
        <v>0</v>
      </c>
      <c r="Q48" s="57">
        <f>[2]Districts_Boroughs!CU5</f>
        <v>0</v>
      </c>
      <c r="R48" s="57">
        <f>[2]Districts_Boroughs!CV5</f>
        <v>0</v>
      </c>
      <c r="S48" s="57">
        <f>[2]Districts_Boroughs!CW5</f>
        <v>0</v>
      </c>
      <c r="T48" s="57">
        <f>[2]Districts_Boroughs!CX5</f>
        <v>0</v>
      </c>
      <c r="U48" s="57">
        <f>[2]Districts_Boroughs!CY5</f>
        <v>0</v>
      </c>
      <c r="V48" s="57">
        <f>[2]Districts_Boroughs!CZ5</f>
        <v>0</v>
      </c>
      <c r="W48" s="57">
        <f>[2]Districts_Boroughs!DA5</f>
        <v>0</v>
      </c>
      <c r="X48" s="57">
        <f>[2]Districts_Boroughs!DB5</f>
        <v>0</v>
      </c>
      <c r="Y48" s="57">
        <f>[2]Districts_Boroughs!DC5</f>
        <v>0</v>
      </c>
      <c r="Z48" s="57">
        <f>[2]Districts_Boroughs!DD5</f>
        <v>0</v>
      </c>
      <c r="AA48" s="57">
        <f>[2]Districts_Boroughs!DE5</f>
        <v>0</v>
      </c>
      <c r="AB48" s="57">
        <f>[2]Districts_Boroughs!DF5</f>
        <v>0</v>
      </c>
      <c r="AC48" s="57">
        <f>[2]Districts_Boroughs!DG5</f>
        <v>0</v>
      </c>
      <c r="AD48" s="57">
        <f>[2]Districts_Boroughs!DH5</f>
        <v>0</v>
      </c>
      <c r="AE48" s="57">
        <f>[2]Districts_Boroughs!DI5</f>
        <v>0</v>
      </c>
      <c r="AF48" s="57">
        <f>[2]Districts_Boroughs!DJ5</f>
        <v>0</v>
      </c>
      <c r="AG48" s="57">
        <f>[2]Districts_Boroughs!DK5</f>
        <v>0</v>
      </c>
      <c r="AH48" s="57">
        <f>[2]Districts_Boroughs!DL5</f>
        <v>0</v>
      </c>
      <c r="AI48" s="57">
        <f>[2]Districts_Boroughs!DM5</f>
        <v>0</v>
      </c>
      <c r="AJ48" s="57">
        <f>[2]Districts_Boroughs!DN5</f>
        <v>0</v>
      </c>
      <c r="AK48" s="57">
        <f>[2]Districts_Boroughs!DO5</f>
        <v>0</v>
      </c>
      <c r="AL48" s="57">
        <f>[2]Districts_Boroughs!DP5</f>
        <v>0</v>
      </c>
      <c r="AM48" s="57">
        <f>[2]Districts_Boroughs!DQ5</f>
        <v>0</v>
      </c>
      <c r="AN48" s="57">
        <f>[2]Districts_Boroughs!DR5</f>
        <v>0</v>
      </c>
      <c r="AO48" s="57">
        <f>[2]Districts_Boroughs!DS5</f>
        <v>0</v>
      </c>
      <c r="AP48" s="57">
        <f>[2]Districts_Boroughs!DT5</f>
        <v>0</v>
      </c>
      <c r="AQ48" s="57">
        <f>[2]Districts_Boroughs!DU5</f>
        <v>0</v>
      </c>
      <c r="AR48" s="57">
        <f>[2]Districts_Boroughs!DV5</f>
        <v>0</v>
      </c>
      <c r="AS48" s="57">
        <f>[2]Districts_Boroughs!DW5</f>
        <v>0</v>
      </c>
      <c r="AT48" s="57">
        <f>[2]Districts_Boroughs!DX5</f>
        <v>0</v>
      </c>
      <c r="AU48" s="57">
        <f>[2]Districts_Boroughs!DY5</f>
        <v>0</v>
      </c>
      <c r="AV48" s="57">
        <f>[2]Districts_Boroughs!DZ5</f>
        <v>0</v>
      </c>
      <c r="AW48" s="57">
        <f>[2]Districts_Boroughs!EA5</f>
        <v>0</v>
      </c>
      <c r="AX48" s="57">
        <f>[2]Districts_Boroughs!EB5</f>
        <v>0</v>
      </c>
      <c r="AY48" s="57">
        <f>[2]Districts_Boroughs!EC5</f>
        <v>0</v>
      </c>
    </row>
    <row r="49" spans="2:51" x14ac:dyDescent="0.35">
      <c r="B49" t="str">
        <f t="shared" ref="B49:B55" si="3">CONCATENATE($C$45,C49)</f>
        <v>North WarwickshireViolence With Injury</v>
      </c>
      <c r="C49" s="329" t="s">
        <v>39</v>
      </c>
      <c r="D49" s="57">
        <f>[2]Districts_Boroughs!CH6</f>
        <v>53</v>
      </c>
      <c r="E49" s="57">
        <f>[2]Districts_Boroughs!CI6</f>
        <v>43</v>
      </c>
      <c r="F49" s="57">
        <f>[2]Districts_Boroughs!CJ6</f>
        <v>50</v>
      </c>
      <c r="G49" s="57">
        <f>[2]Districts_Boroughs!CK6</f>
        <v>53</v>
      </c>
      <c r="H49" s="57">
        <f>[2]Districts_Boroughs!CL6</f>
        <v>43</v>
      </c>
      <c r="I49" s="57">
        <f>[2]Districts_Boroughs!CM6</f>
        <v>56</v>
      </c>
      <c r="J49" s="57">
        <f>[2]Districts_Boroughs!CN6</f>
        <v>39</v>
      </c>
      <c r="K49" s="57">
        <f>[2]Districts_Boroughs!CO6</f>
        <v>43</v>
      </c>
      <c r="L49" s="57">
        <f>[2]Districts_Boroughs!CP6</f>
        <v>37</v>
      </c>
      <c r="M49" s="57">
        <f>[2]Districts_Boroughs!CQ6</f>
        <v>34</v>
      </c>
      <c r="N49" s="57">
        <f>[2]Districts_Boroughs!CR6</f>
        <v>29</v>
      </c>
      <c r="O49" s="57">
        <f>[2]Districts_Boroughs!CS6</f>
        <v>45</v>
      </c>
      <c r="P49" s="57">
        <f>[2]Districts_Boroughs!CT6</f>
        <v>50</v>
      </c>
      <c r="Q49" s="57">
        <f>[2]Districts_Boroughs!CU6</f>
        <v>49</v>
      </c>
      <c r="R49" s="57">
        <f>[2]Districts_Boroughs!CV6</f>
        <v>41</v>
      </c>
      <c r="S49" s="57">
        <f>[2]Districts_Boroughs!CW6</f>
        <v>39</v>
      </c>
      <c r="T49" s="57">
        <f>[2]Districts_Boroughs!CX6</f>
        <v>44</v>
      </c>
      <c r="U49" s="57">
        <f>[2]Districts_Boroughs!CY6</f>
        <v>42</v>
      </c>
      <c r="V49" s="57">
        <f>[2]Districts_Boroughs!CZ6</f>
        <v>48</v>
      </c>
      <c r="W49" s="57">
        <f>[2]Districts_Boroughs!DA6</f>
        <v>48</v>
      </c>
      <c r="X49" s="57">
        <f>[2]Districts_Boroughs!DB6</f>
        <v>46</v>
      </c>
      <c r="Y49" s="57">
        <f>[2]Districts_Boroughs!DC6</f>
        <v>39</v>
      </c>
      <c r="Z49" s="57">
        <f>[2]Districts_Boroughs!DD6</f>
        <v>38</v>
      </c>
      <c r="AA49" s="57">
        <f>[2]Districts_Boroughs!DE6</f>
        <v>47</v>
      </c>
      <c r="AB49" s="57">
        <f>[2]Districts_Boroughs!DF6</f>
        <v>38</v>
      </c>
      <c r="AC49" s="57">
        <f>[2]Districts_Boroughs!DG6</f>
        <v>44</v>
      </c>
      <c r="AD49" s="57">
        <f>[2]Districts_Boroughs!DH6</f>
        <v>55</v>
      </c>
      <c r="AE49" s="57">
        <f>[2]Districts_Boroughs!DI6</f>
        <v>54</v>
      </c>
      <c r="AF49" s="57">
        <f>[2]Districts_Boroughs!DJ6</f>
        <v>42</v>
      </c>
      <c r="AG49" s="57">
        <f>[2]Districts_Boroughs!DK6</f>
        <v>49</v>
      </c>
      <c r="AH49" s="57">
        <f>[2]Districts_Boroughs!DL6</f>
        <v>46</v>
      </c>
      <c r="AI49" s="57">
        <f>[2]Districts_Boroughs!DM6</f>
        <v>34</v>
      </c>
      <c r="AJ49" s="57">
        <f>[2]Districts_Boroughs!DN6</f>
        <v>58</v>
      </c>
      <c r="AK49" s="57">
        <f>[2]Districts_Boroughs!DO6</f>
        <v>42</v>
      </c>
      <c r="AL49" s="57">
        <f>[2]Districts_Boroughs!DP6</f>
        <v>36</v>
      </c>
      <c r="AM49" s="57">
        <f>[2]Districts_Boroughs!DQ6</f>
        <v>49</v>
      </c>
      <c r="AN49" s="57">
        <f>[2]Districts_Boroughs!DR6</f>
        <v>41</v>
      </c>
      <c r="AO49" s="57">
        <f>[2]Districts_Boroughs!DS6</f>
        <v>29</v>
      </c>
      <c r="AP49" s="57">
        <f>[2]Districts_Boroughs!DT6</f>
        <v>48</v>
      </c>
      <c r="AQ49" s="57">
        <f>[2]Districts_Boroughs!DU6</f>
        <v>51</v>
      </c>
      <c r="AR49" s="57">
        <f>[2]Districts_Boroughs!DV6</f>
        <v>50</v>
      </c>
      <c r="AS49" s="57">
        <f>[2]Districts_Boroughs!DW6</f>
        <v>38</v>
      </c>
      <c r="AT49" s="57">
        <f>[2]Districts_Boroughs!DX6</f>
        <v>41</v>
      </c>
      <c r="AU49" s="57">
        <f>[2]Districts_Boroughs!DY6</f>
        <v>40</v>
      </c>
      <c r="AV49" s="57">
        <f>[2]Districts_Boroughs!DZ6</f>
        <v>44</v>
      </c>
      <c r="AW49" s="57">
        <f>[2]Districts_Boroughs!EA6</f>
        <v>39</v>
      </c>
      <c r="AX49" s="57">
        <f>[2]Districts_Boroughs!EB6</f>
        <v>41</v>
      </c>
      <c r="AY49" s="57">
        <f>[2]Districts_Boroughs!EC6</f>
        <v>52</v>
      </c>
    </row>
    <row r="50" spans="2:51" x14ac:dyDescent="0.35">
      <c r="B50" t="str">
        <f t="shared" si="3"/>
        <v>North WarwickshireViolence Without Injury</v>
      </c>
      <c r="C50" s="329" t="s">
        <v>40</v>
      </c>
      <c r="D50" s="57">
        <f>[2]Districts_Boroughs!CH7</f>
        <v>92</v>
      </c>
      <c r="E50" s="57">
        <f>[2]Districts_Boroughs!CI7</f>
        <v>128</v>
      </c>
      <c r="F50" s="57">
        <f>[2]Districts_Boroughs!CJ7</f>
        <v>113</v>
      </c>
      <c r="G50" s="57">
        <f>[2]Districts_Boroughs!CK7</f>
        <v>108</v>
      </c>
      <c r="H50" s="57">
        <f>[2]Districts_Boroughs!CL7</f>
        <v>92</v>
      </c>
      <c r="I50" s="57">
        <f>[2]Districts_Boroughs!CM7</f>
        <v>92</v>
      </c>
      <c r="J50" s="57">
        <f>[2]Districts_Boroughs!CN7</f>
        <v>90</v>
      </c>
      <c r="K50" s="57">
        <f>[2]Districts_Boroughs!CO7</f>
        <v>96</v>
      </c>
      <c r="L50" s="57">
        <f>[2]Districts_Boroughs!CP7</f>
        <v>97</v>
      </c>
      <c r="M50" s="57">
        <f>[2]Districts_Boroughs!CQ7</f>
        <v>98</v>
      </c>
      <c r="N50" s="57">
        <f>[2]Districts_Boroughs!CR7</f>
        <v>80</v>
      </c>
      <c r="O50" s="57">
        <f>[2]Districts_Boroughs!CS7</f>
        <v>114</v>
      </c>
      <c r="P50" s="57">
        <f>[2]Districts_Boroughs!CT7</f>
        <v>83</v>
      </c>
      <c r="Q50" s="57">
        <f>[2]Districts_Boroughs!CU7</f>
        <v>102</v>
      </c>
      <c r="R50" s="57">
        <f>[2]Districts_Boroughs!CV7</f>
        <v>89</v>
      </c>
      <c r="S50" s="57">
        <f>[2]Districts_Boroughs!CW7</f>
        <v>100</v>
      </c>
      <c r="T50" s="57">
        <f>[2]Districts_Boroughs!CX7</f>
        <v>105</v>
      </c>
      <c r="U50" s="57">
        <f>[2]Districts_Boroughs!CY7</f>
        <v>87</v>
      </c>
      <c r="V50" s="57">
        <f>[2]Districts_Boroughs!CZ7</f>
        <v>78</v>
      </c>
      <c r="W50" s="57">
        <f>[2]Districts_Boroughs!DA7</f>
        <v>115</v>
      </c>
      <c r="X50" s="57">
        <f>[2]Districts_Boroughs!DB7</f>
        <v>81</v>
      </c>
      <c r="Y50" s="57">
        <f>[2]Districts_Boroughs!DC7</f>
        <v>70</v>
      </c>
      <c r="Z50" s="57">
        <f>[2]Districts_Boroughs!DD7</f>
        <v>83</v>
      </c>
      <c r="AA50" s="57">
        <f>[2]Districts_Boroughs!DE7</f>
        <v>108</v>
      </c>
      <c r="AB50" s="57">
        <f>[2]Districts_Boroughs!DF7</f>
        <v>86</v>
      </c>
      <c r="AC50" s="57">
        <f>[2]Districts_Boroughs!DG7</f>
        <v>85</v>
      </c>
      <c r="AD50" s="57">
        <f>[2]Districts_Boroughs!DH7</f>
        <v>87</v>
      </c>
      <c r="AE50" s="57">
        <f>[2]Districts_Boroughs!DI7</f>
        <v>83</v>
      </c>
      <c r="AF50" s="57">
        <f>[2]Districts_Boroughs!DJ7</f>
        <v>78</v>
      </c>
      <c r="AG50" s="57">
        <f>[2]Districts_Boroughs!DK7</f>
        <v>69</v>
      </c>
      <c r="AH50" s="57">
        <f>[2]Districts_Boroughs!DL7</f>
        <v>89</v>
      </c>
      <c r="AI50" s="57">
        <f>[2]Districts_Boroughs!DM7</f>
        <v>100</v>
      </c>
      <c r="AJ50" s="57">
        <f>[2]Districts_Boroughs!DN7</f>
        <v>75</v>
      </c>
      <c r="AK50" s="57">
        <f>[2]Districts_Boroughs!DO7</f>
        <v>81</v>
      </c>
      <c r="AL50" s="57">
        <f>[2]Districts_Boroughs!DP7</f>
        <v>86</v>
      </c>
      <c r="AM50" s="57">
        <f>[2]Districts_Boroughs!DQ7</f>
        <v>88</v>
      </c>
      <c r="AN50" s="57">
        <f>[2]Districts_Boroughs!DR7</f>
        <v>82</v>
      </c>
      <c r="AO50" s="57">
        <f>[2]Districts_Boroughs!DS7</f>
        <v>78</v>
      </c>
      <c r="AP50" s="57">
        <f>[2]Districts_Boroughs!DT7</f>
        <v>82</v>
      </c>
      <c r="AQ50" s="57">
        <f>[2]Districts_Boroughs!DU7</f>
        <v>94</v>
      </c>
      <c r="AR50" s="57">
        <f>[2]Districts_Boroughs!DV7</f>
        <v>70</v>
      </c>
      <c r="AS50" s="57">
        <f>[2]Districts_Boroughs!DW7</f>
        <v>74</v>
      </c>
      <c r="AT50" s="57">
        <f>[2]Districts_Boroughs!DX7</f>
        <v>65</v>
      </c>
      <c r="AU50" s="57">
        <f>[2]Districts_Boroughs!DY7</f>
        <v>68</v>
      </c>
      <c r="AV50" s="57">
        <f>[2]Districts_Boroughs!DZ7</f>
        <v>80</v>
      </c>
      <c r="AW50" s="57">
        <f>[2]Districts_Boroughs!EA7</f>
        <v>69</v>
      </c>
      <c r="AX50" s="57">
        <f>[2]Districts_Boroughs!EB7</f>
        <v>79</v>
      </c>
      <c r="AY50" s="57">
        <f>[2]Districts_Boroughs!EC7</f>
        <v>100</v>
      </c>
    </row>
    <row r="51" spans="2:51" x14ac:dyDescent="0.35">
      <c r="B51" t="str">
        <f t="shared" si="3"/>
        <v>North WarwickshireRape</v>
      </c>
      <c r="C51" s="329" t="s">
        <v>5</v>
      </c>
      <c r="D51" s="57">
        <f>[2]Districts_Boroughs!CH8</f>
        <v>5</v>
      </c>
      <c r="E51" s="57">
        <f>[2]Districts_Boroughs!CI8</f>
        <v>4</v>
      </c>
      <c r="F51" s="57">
        <f>[2]Districts_Boroughs!CJ8</f>
        <v>7</v>
      </c>
      <c r="G51" s="57">
        <f>[2]Districts_Boroughs!CK8</f>
        <v>3</v>
      </c>
      <c r="H51" s="57">
        <f>[2]Districts_Boroughs!CL8</f>
        <v>3</v>
      </c>
      <c r="I51" s="57" t="str">
        <f>[2]Districts_Boroughs!CM8</f>
        <v>0</v>
      </c>
      <c r="J51" s="57">
        <f>[2]Districts_Boroughs!CN8</f>
        <v>4</v>
      </c>
      <c r="K51" s="57">
        <f>[2]Districts_Boroughs!CO8</f>
        <v>2</v>
      </c>
      <c r="L51" s="57">
        <f>[2]Districts_Boroughs!CP8</f>
        <v>5</v>
      </c>
      <c r="M51" s="57">
        <f>[2]Districts_Boroughs!CQ8</f>
        <v>7</v>
      </c>
      <c r="N51" s="57">
        <f>[2]Districts_Boroughs!CR8</f>
        <v>4</v>
      </c>
      <c r="O51" s="57">
        <f>[2]Districts_Boroughs!CS8</f>
        <v>4</v>
      </c>
      <c r="P51" s="57">
        <f>[2]Districts_Boroughs!CT8</f>
        <v>3</v>
      </c>
      <c r="Q51" s="57">
        <f>[2]Districts_Boroughs!CU8</f>
        <v>2</v>
      </c>
      <c r="R51" s="57">
        <f>[2]Districts_Boroughs!CV8</f>
        <v>4</v>
      </c>
      <c r="S51" s="57">
        <f>[2]Districts_Boroughs!CW8</f>
        <v>5</v>
      </c>
      <c r="T51" s="57">
        <f>[2]Districts_Boroughs!CX8</f>
        <v>2</v>
      </c>
      <c r="U51" s="57">
        <f>[2]Districts_Boroughs!CY8</f>
        <v>0</v>
      </c>
      <c r="V51" s="57">
        <f>[2]Districts_Boroughs!CZ8</f>
        <v>3</v>
      </c>
      <c r="W51" s="57">
        <f>[2]Districts_Boroughs!DA8</f>
        <v>4</v>
      </c>
      <c r="X51" s="57">
        <f>[2]Districts_Boroughs!DB8</f>
        <v>3</v>
      </c>
      <c r="Y51" s="57">
        <f>[2]Districts_Boroughs!DC8</f>
        <v>1</v>
      </c>
      <c r="Z51" s="57">
        <f>[2]Districts_Boroughs!DD8</f>
        <v>2</v>
      </c>
      <c r="AA51" s="57">
        <f>[2]Districts_Boroughs!DE8</f>
        <v>3</v>
      </c>
      <c r="AB51" s="57">
        <f>[2]Districts_Boroughs!DF8</f>
        <v>4</v>
      </c>
      <c r="AC51" s="57">
        <f>[2]Districts_Boroughs!DG8</f>
        <v>4</v>
      </c>
      <c r="AD51" s="57">
        <f>[2]Districts_Boroughs!DH8</f>
        <v>3</v>
      </c>
      <c r="AE51" s="57">
        <f>[2]Districts_Boroughs!DI8</f>
        <v>3</v>
      </c>
      <c r="AF51" s="57">
        <f>[2]Districts_Boroughs!DJ8</f>
        <v>1</v>
      </c>
      <c r="AG51" s="57">
        <f>[2]Districts_Boroughs!DK8</f>
        <v>1</v>
      </c>
      <c r="AH51" s="57">
        <f>[2]Districts_Boroughs!DL8</f>
        <v>5</v>
      </c>
      <c r="AI51" s="57">
        <f>[2]Districts_Boroughs!DM8</f>
        <v>3</v>
      </c>
      <c r="AJ51" s="57">
        <f>[2]Districts_Boroughs!DN8</f>
        <v>7</v>
      </c>
      <c r="AK51" s="57">
        <f>[2]Districts_Boroughs!DO8</f>
        <v>4</v>
      </c>
      <c r="AL51" s="57">
        <f>[2]Districts_Boroughs!DP8</f>
        <v>4</v>
      </c>
      <c r="AM51" s="57">
        <f>[2]Districts_Boroughs!DQ8</f>
        <v>4</v>
      </c>
      <c r="AN51" s="57">
        <f>[2]Districts_Boroughs!DR8</f>
        <v>2</v>
      </c>
      <c r="AO51" s="57">
        <f>[2]Districts_Boroughs!DS8</f>
        <v>0</v>
      </c>
      <c r="AP51" s="57">
        <f>[2]Districts_Boroughs!DT8</f>
        <v>4</v>
      </c>
      <c r="AQ51" s="57">
        <f>[2]Districts_Boroughs!DU8</f>
        <v>6</v>
      </c>
      <c r="AR51" s="57">
        <f>[2]Districts_Boroughs!DV8</f>
        <v>1</v>
      </c>
      <c r="AS51" s="57">
        <f>[2]Districts_Boroughs!DW8</f>
        <v>7</v>
      </c>
      <c r="AT51" s="57">
        <f>[2]Districts_Boroughs!DX8</f>
        <v>4</v>
      </c>
      <c r="AU51" s="57">
        <f>[2]Districts_Boroughs!DY8</f>
        <v>5</v>
      </c>
      <c r="AV51" s="57">
        <f>[2]Districts_Boroughs!DZ8</f>
        <v>4</v>
      </c>
      <c r="AW51" s="57">
        <f>[2]Districts_Boroughs!EA8</f>
        <v>6</v>
      </c>
      <c r="AX51" s="57">
        <f>[2]Districts_Boroughs!EB8</f>
        <v>3</v>
      </c>
      <c r="AY51" s="57">
        <f>[2]Districts_Boroughs!EC8</f>
        <v>1</v>
      </c>
    </row>
    <row r="52" spans="2:51" x14ac:dyDescent="0.35">
      <c r="B52" t="str">
        <f t="shared" si="3"/>
        <v>North WarwickshireOther Sexual Offences</v>
      </c>
      <c r="C52" s="329" t="s">
        <v>35</v>
      </c>
      <c r="D52" s="57">
        <f>[2]Districts_Boroughs!CH9</f>
        <v>4</v>
      </c>
      <c r="E52" s="57">
        <f>[2]Districts_Boroughs!CI9</f>
        <v>9</v>
      </c>
      <c r="F52" s="57">
        <f>[2]Districts_Boroughs!CJ9</f>
        <v>14</v>
      </c>
      <c r="G52" s="57">
        <f>[2]Districts_Boroughs!CK9</f>
        <v>7</v>
      </c>
      <c r="H52" s="57">
        <f>[2]Districts_Boroughs!CL9</f>
        <v>4</v>
      </c>
      <c r="I52" s="57">
        <f>[2]Districts_Boroughs!CM9</f>
        <v>11</v>
      </c>
      <c r="J52" s="57">
        <f>[2]Districts_Boroughs!CN9</f>
        <v>8</v>
      </c>
      <c r="K52" s="57">
        <f>[2]Districts_Boroughs!CO9</f>
        <v>13</v>
      </c>
      <c r="L52" s="57">
        <f>[2]Districts_Boroughs!CP9</f>
        <v>13</v>
      </c>
      <c r="M52" s="57">
        <f>[2]Districts_Boroughs!CQ9</f>
        <v>8</v>
      </c>
      <c r="N52" s="57">
        <f>[2]Districts_Boroughs!CR9</f>
        <v>4</v>
      </c>
      <c r="O52" s="57">
        <f>[2]Districts_Boroughs!CS9</f>
        <v>8</v>
      </c>
      <c r="P52" s="57">
        <f>[2]Districts_Boroughs!CT9</f>
        <v>5</v>
      </c>
      <c r="Q52" s="57">
        <f>[2]Districts_Boroughs!CU9</f>
        <v>3</v>
      </c>
      <c r="R52" s="57">
        <f>[2]Districts_Boroughs!CV9</f>
        <v>9</v>
      </c>
      <c r="S52" s="57">
        <f>[2]Districts_Boroughs!CW9</f>
        <v>12</v>
      </c>
      <c r="T52" s="57">
        <f>[2]Districts_Boroughs!CX9</f>
        <v>8</v>
      </c>
      <c r="U52" s="57">
        <f>[2]Districts_Boroughs!CY9</f>
        <v>9</v>
      </c>
      <c r="V52" s="57">
        <f>[2]Districts_Boroughs!CZ9</f>
        <v>8</v>
      </c>
      <c r="W52" s="57">
        <f>[2]Districts_Boroughs!DA9</f>
        <v>12</v>
      </c>
      <c r="X52" s="57">
        <f>[2]Districts_Boroughs!DB9</f>
        <v>7</v>
      </c>
      <c r="Y52" s="57">
        <f>[2]Districts_Boroughs!DC9</f>
        <v>7</v>
      </c>
      <c r="Z52" s="57">
        <f>[2]Districts_Boroughs!DD9</f>
        <v>9</v>
      </c>
      <c r="AA52" s="57">
        <f>[2]Districts_Boroughs!DE9</f>
        <v>15</v>
      </c>
      <c r="AB52" s="57">
        <f>[2]Districts_Boroughs!DF9</f>
        <v>7</v>
      </c>
      <c r="AC52" s="57">
        <f>[2]Districts_Boroughs!DG9</f>
        <v>5</v>
      </c>
      <c r="AD52" s="57">
        <f>[2]Districts_Boroughs!DH9</f>
        <v>5</v>
      </c>
      <c r="AE52" s="57">
        <f>[2]Districts_Boroughs!DI9</f>
        <v>7</v>
      </c>
      <c r="AF52" s="57">
        <f>[2]Districts_Boroughs!DJ9</f>
        <v>7</v>
      </c>
      <c r="AG52" s="57">
        <f>[2]Districts_Boroughs!DK9</f>
        <v>8</v>
      </c>
      <c r="AH52" s="57">
        <f>[2]Districts_Boroughs!DL9</f>
        <v>18</v>
      </c>
      <c r="AI52" s="57">
        <f>[2]Districts_Boroughs!DM9</f>
        <v>12</v>
      </c>
      <c r="AJ52" s="57">
        <f>[2]Districts_Boroughs!DN9</f>
        <v>9</v>
      </c>
      <c r="AK52" s="57">
        <f>[2]Districts_Boroughs!DO9</f>
        <v>15</v>
      </c>
      <c r="AL52" s="57">
        <f>[2]Districts_Boroughs!DP9</f>
        <v>10</v>
      </c>
      <c r="AM52" s="57">
        <f>[2]Districts_Boroughs!DQ9</f>
        <v>3</v>
      </c>
      <c r="AN52" s="57">
        <f>[2]Districts_Boroughs!DR9</f>
        <v>12</v>
      </c>
      <c r="AO52" s="57">
        <f>[2]Districts_Boroughs!DS9</f>
        <v>13</v>
      </c>
      <c r="AP52" s="57">
        <f>[2]Districts_Boroughs!DT9</f>
        <v>7</v>
      </c>
      <c r="AQ52" s="57">
        <f>[2]Districts_Boroughs!DU9</f>
        <v>5</v>
      </c>
      <c r="AR52" s="57">
        <f>[2]Districts_Boroughs!DV9</f>
        <v>14</v>
      </c>
      <c r="AS52" s="57">
        <f>[2]Districts_Boroughs!DW9</f>
        <v>11</v>
      </c>
      <c r="AT52" s="57">
        <f>[2]Districts_Boroughs!DX9</f>
        <v>16</v>
      </c>
      <c r="AU52" s="57">
        <f>[2]Districts_Boroughs!DY9</f>
        <v>4</v>
      </c>
      <c r="AV52" s="57">
        <f>[2]Districts_Boroughs!DZ9</f>
        <v>9</v>
      </c>
      <c r="AW52" s="57">
        <f>[2]Districts_Boroughs!EA9</f>
        <v>8</v>
      </c>
      <c r="AX52" s="57">
        <f>[2]Districts_Boroughs!EB9</f>
        <v>9</v>
      </c>
      <c r="AY52" s="57">
        <f>[2]Districts_Boroughs!EC9</f>
        <v>14</v>
      </c>
    </row>
    <row r="53" spans="2:51" x14ac:dyDescent="0.35">
      <c r="B53" t="str">
        <f t="shared" si="3"/>
        <v>North WarwickshireBusiness Robbery</v>
      </c>
      <c r="C53" s="329" t="s">
        <v>36</v>
      </c>
      <c r="D53" s="57" t="str">
        <f>[2]Districts_Boroughs!CH10</f>
        <v>0</v>
      </c>
      <c r="E53" s="57" t="str">
        <f>[2]Districts_Boroughs!CI10</f>
        <v>0</v>
      </c>
      <c r="F53" s="57" t="str">
        <f>[2]Districts_Boroughs!CJ10</f>
        <v>0</v>
      </c>
      <c r="G53" s="57" t="str">
        <f>[2]Districts_Boroughs!CK10</f>
        <v>0</v>
      </c>
      <c r="H53" s="57" t="str">
        <f>[2]Districts_Boroughs!CL10</f>
        <v>0</v>
      </c>
      <c r="I53" s="57" t="str">
        <f>[2]Districts_Boroughs!CM10</f>
        <v>0</v>
      </c>
      <c r="J53" s="57" t="str">
        <f>[2]Districts_Boroughs!CN10</f>
        <v>0</v>
      </c>
      <c r="K53" s="57">
        <f>[2]Districts_Boroughs!CO10</f>
        <v>1</v>
      </c>
      <c r="L53" s="57" t="str">
        <f>[2]Districts_Boroughs!CP10</f>
        <v>0</v>
      </c>
      <c r="M53" s="57">
        <f>[2]Districts_Boroughs!CQ10</f>
        <v>1</v>
      </c>
      <c r="N53" s="57" t="str">
        <f>[2]Districts_Boroughs!CR10</f>
        <v>0</v>
      </c>
      <c r="O53" s="57" t="str">
        <f>[2]Districts_Boroughs!CS10</f>
        <v>0</v>
      </c>
      <c r="P53" s="57">
        <f>[2]Districts_Boroughs!CT10</f>
        <v>0</v>
      </c>
      <c r="Q53" s="57">
        <f>[2]Districts_Boroughs!CU10</f>
        <v>0</v>
      </c>
      <c r="R53" s="57">
        <f>[2]Districts_Boroughs!CV10</f>
        <v>1</v>
      </c>
      <c r="S53" s="57">
        <f>[2]Districts_Boroughs!CW10</f>
        <v>0</v>
      </c>
      <c r="T53" s="57">
        <f>[2]Districts_Boroughs!CX10</f>
        <v>0</v>
      </c>
      <c r="U53" s="57">
        <f>[2]Districts_Boroughs!CY10</f>
        <v>0</v>
      </c>
      <c r="V53" s="57">
        <f>[2]Districts_Boroughs!CZ10</f>
        <v>0</v>
      </c>
      <c r="W53" s="57">
        <f>[2]Districts_Boroughs!DA10</f>
        <v>0</v>
      </c>
      <c r="X53" s="57">
        <f>[2]Districts_Boroughs!DB10</f>
        <v>0</v>
      </c>
      <c r="Y53" s="57">
        <f>[2]Districts_Boroughs!DC10</f>
        <v>1</v>
      </c>
      <c r="Z53" s="57">
        <f>[2]Districts_Boroughs!DD10</f>
        <v>0</v>
      </c>
      <c r="AA53" s="57">
        <f>[2]Districts_Boroughs!DE10</f>
        <v>1</v>
      </c>
      <c r="AB53" s="57">
        <f>[2]Districts_Boroughs!DF10</f>
        <v>0</v>
      </c>
      <c r="AC53" s="57">
        <f>[2]Districts_Boroughs!DG10</f>
        <v>1</v>
      </c>
      <c r="AD53" s="57">
        <f>[2]Districts_Boroughs!DH10</f>
        <v>1</v>
      </c>
      <c r="AE53" s="57">
        <f>[2]Districts_Boroughs!DI10</f>
        <v>0</v>
      </c>
      <c r="AF53" s="57">
        <f>[2]Districts_Boroughs!DJ10</f>
        <v>0</v>
      </c>
      <c r="AG53" s="57">
        <f>[2]Districts_Boroughs!DK10</f>
        <v>0</v>
      </c>
      <c r="AH53" s="57">
        <f>[2]Districts_Boroughs!DL10</f>
        <v>3</v>
      </c>
      <c r="AI53" s="57">
        <f>[2]Districts_Boroughs!DM10</f>
        <v>1</v>
      </c>
      <c r="AJ53" s="57">
        <f>[2]Districts_Boroughs!DN10</f>
        <v>1</v>
      </c>
      <c r="AK53" s="57">
        <f>[2]Districts_Boroughs!DO10</f>
        <v>0</v>
      </c>
      <c r="AL53" s="57">
        <f>[2]Districts_Boroughs!DP10</f>
        <v>0</v>
      </c>
      <c r="AM53" s="57">
        <f>[2]Districts_Boroughs!DQ10</f>
        <v>0</v>
      </c>
      <c r="AN53" s="57">
        <f>[2]Districts_Boroughs!DR10</f>
        <v>2</v>
      </c>
      <c r="AO53" s="57">
        <f>[2]Districts_Boroughs!DS10</f>
        <v>1</v>
      </c>
      <c r="AP53" s="57">
        <f>[2]Districts_Boroughs!DT10</f>
        <v>0</v>
      </c>
      <c r="AQ53" s="57">
        <f>[2]Districts_Boroughs!DU10</f>
        <v>0</v>
      </c>
      <c r="AR53" s="57">
        <f>[2]Districts_Boroughs!DV10</f>
        <v>0</v>
      </c>
      <c r="AS53" s="57">
        <f>[2]Districts_Boroughs!DW10</f>
        <v>0</v>
      </c>
      <c r="AT53" s="57">
        <f>[2]Districts_Boroughs!DX10</f>
        <v>0</v>
      </c>
      <c r="AU53" s="57">
        <f>[2]Districts_Boroughs!DY10</f>
        <v>0</v>
      </c>
      <c r="AV53" s="57">
        <f>[2]Districts_Boroughs!DZ10</f>
        <v>2</v>
      </c>
      <c r="AW53" s="57">
        <f>[2]Districts_Boroughs!EA10</f>
        <v>0</v>
      </c>
      <c r="AX53" s="57">
        <f>[2]Districts_Boroughs!EB10</f>
        <v>3</v>
      </c>
      <c r="AY53" s="57">
        <f>[2]Districts_Boroughs!EC10</f>
        <v>1</v>
      </c>
    </row>
    <row r="54" spans="2:51" x14ac:dyDescent="0.35">
      <c r="B54" t="str">
        <f t="shared" si="3"/>
        <v>North WarwickshirePersonal Robbery</v>
      </c>
      <c r="C54" s="329" t="s">
        <v>37</v>
      </c>
      <c r="D54" s="57">
        <f>[2]Districts_Boroughs!CH11</f>
        <v>2</v>
      </c>
      <c r="E54" s="57">
        <f>[2]Districts_Boroughs!CI11</f>
        <v>3</v>
      </c>
      <c r="F54" s="57">
        <f>[2]Districts_Boroughs!CJ11</f>
        <v>2</v>
      </c>
      <c r="G54" s="57">
        <f>[2]Districts_Boroughs!CK11</f>
        <v>2</v>
      </c>
      <c r="H54" s="57">
        <f>[2]Districts_Boroughs!CL11</f>
        <v>2</v>
      </c>
      <c r="I54" s="57" t="str">
        <f>[2]Districts_Boroughs!CM11</f>
        <v>0</v>
      </c>
      <c r="J54" s="57" t="str">
        <f>[2]Districts_Boroughs!CN11</f>
        <v>0</v>
      </c>
      <c r="K54" s="57" t="str">
        <f>[2]Districts_Boroughs!CO11</f>
        <v>0</v>
      </c>
      <c r="L54" s="57">
        <f>[2]Districts_Boroughs!CP11</f>
        <v>2</v>
      </c>
      <c r="M54" s="57">
        <f>[2]Districts_Boroughs!CQ11</f>
        <v>2</v>
      </c>
      <c r="N54" s="57">
        <f>[2]Districts_Boroughs!CR11</f>
        <v>2</v>
      </c>
      <c r="O54" s="57">
        <f>[2]Districts_Boroughs!CS11</f>
        <v>5</v>
      </c>
      <c r="P54" s="57">
        <f>[2]Districts_Boroughs!CT11</f>
        <v>0</v>
      </c>
      <c r="Q54" s="57">
        <f>[2]Districts_Boroughs!CU11</f>
        <v>4</v>
      </c>
      <c r="R54" s="57">
        <f>[2]Districts_Boroughs!CV11</f>
        <v>3</v>
      </c>
      <c r="S54" s="57">
        <f>[2]Districts_Boroughs!CW11</f>
        <v>2</v>
      </c>
      <c r="T54" s="57">
        <f>[2]Districts_Boroughs!CX11</f>
        <v>4</v>
      </c>
      <c r="U54" s="57">
        <f>[2]Districts_Boroughs!CY11</f>
        <v>3</v>
      </c>
      <c r="V54" s="57">
        <f>[2]Districts_Boroughs!CZ11</f>
        <v>2</v>
      </c>
      <c r="W54" s="57">
        <f>[2]Districts_Boroughs!DA11</f>
        <v>0</v>
      </c>
      <c r="X54" s="57">
        <f>[2]Districts_Boroughs!DB11</f>
        <v>5</v>
      </c>
      <c r="Y54" s="57">
        <f>[2]Districts_Boroughs!DC11</f>
        <v>4</v>
      </c>
      <c r="Z54" s="57">
        <f>[2]Districts_Boroughs!DD11</f>
        <v>1</v>
      </c>
      <c r="AA54" s="57">
        <f>[2]Districts_Boroughs!DE11</f>
        <v>3</v>
      </c>
      <c r="AB54" s="57">
        <f>[2]Districts_Boroughs!DF11</f>
        <v>5</v>
      </c>
      <c r="AC54" s="57">
        <f>[2]Districts_Boroughs!DG11</f>
        <v>1</v>
      </c>
      <c r="AD54" s="57">
        <f>[2]Districts_Boroughs!DH11</f>
        <v>2</v>
      </c>
      <c r="AE54" s="57">
        <f>[2]Districts_Boroughs!DI11</f>
        <v>3</v>
      </c>
      <c r="AF54" s="57">
        <f>[2]Districts_Boroughs!DJ11</f>
        <v>3</v>
      </c>
      <c r="AG54" s="57">
        <f>[2]Districts_Boroughs!DK11</f>
        <v>2</v>
      </c>
      <c r="AH54" s="57">
        <f>[2]Districts_Boroughs!DL11</f>
        <v>1</v>
      </c>
      <c r="AI54" s="57">
        <f>[2]Districts_Boroughs!DM11</f>
        <v>3</v>
      </c>
      <c r="AJ54" s="57">
        <f>[2]Districts_Boroughs!DN11</f>
        <v>5</v>
      </c>
      <c r="AK54" s="57">
        <f>[2]Districts_Boroughs!DO11</f>
        <v>3</v>
      </c>
      <c r="AL54" s="57">
        <f>[2]Districts_Boroughs!DP11</f>
        <v>1</v>
      </c>
      <c r="AM54" s="57">
        <f>[2]Districts_Boroughs!DQ11</f>
        <v>8</v>
      </c>
      <c r="AN54" s="57">
        <f>[2]Districts_Boroughs!DR11</f>
        <v>4</v>
      </c>
      <c r="AO54" s="57">
        <f>[2]Districts_Boroughs!DS11</f>
        <v>1</v>
      </c>
      <c r="AP54" s="57">
        <f>[2]Districts_Boroughs!DT11</f>
        <v>4</v>
      </c>
      <c r="AQ54" s="57">
        <f>[2]Districts_Boroughs!DU11</f>
        <v>1</v>
      </c>
      <c r="AR54" s="57">
        <f>[2]Districts_Boroughs!DV11</f>
        <v>3</v>
      </c>
      <c r="AS54" s="57">
        <f>[2]Districts_Boroughs!DW11</f>
        <v>4</v>
      </c>
      <c r="AT54" s="57">
        <f>[2]Districts_Boroughs!DX11</f>
        <v>4</v>
      </c>
      <c r="AU54" s="57">
        <f>[2]Districts_Boroughs!DY11</f>
        <v>6</v>
      </c>
      <c r="AV54" s="57">
        <f>[2]Districts_Boroughs!DZ11</f>
        <v>0</v>
      </c>
      <c r="AW54" s="57">
        <f>[2]Districts_Boroughs!EA11</f>
        <v>3</v>
      </c>
      <c r="AX54" s="57">
        <f>[2]Districts_Boroughs!EB11</f>
        <v>2</v>
      </c>
      <c r="AY54" s="57">
        <f>[2]Districts_Boroughs!EC11</f>
        <v>1</v>
      </c>
    </row>
    <row r="55" spans="2:51" x14ac:dyDescent="0.35">
      <c r="B55" t="str">
        <f t="shared" si="3"/>
        <v>North WarwickshireBurglary Residential</v>
      </c>
      <c r="C55" s="329" t="s">
        <v>31</v>
      </c>
      <c r="D55" s="57">
        <f>[2]Districts_Boroughs!CH12</f>
        <v>10</v>
      </c>
      <c r="E55" s="57">
        <f>[2]Districts_Boroughs!CI12</f>
        <v>14</v>
      </c>
      <c r="F55" s="57">
        <f>[2]Districts_Boroughs!CJ12</f>
        <v>15</v>
      </c>
      <c r="G55" s="57">
        <f>[2]Districts_Boroughs!CK12</f>
        <v>15</v>
      </c>
      <c r="H55" s="57">
        <f>[2]Districts_Boroughs!CL12</f>
        <v>13</v>
      </c>
      <c r="I55" s="57">
        <f>[2]Districts_Boroughs!CM12</f>
        <v>17</v>
      </c>
      <c r="J55" s="57">
        <f>[2]Districts_Boroughs!CN12</f>
        <v>16</v>
      </c>
      <c r="K55" s="57">
        <f>[2]Districts_Boroughs!CO12</f>
        <v>14</v>
      </c>
      <c r="L55" s="57">
        <f>[2]Districts_Boroughs!CP12</f>
        <v>18</v>
      </c>
      <c r="M55" s="57">
        <f>[2]Districts_Boroughs!CQ12</f>
        <v>11</v>
      </c>
      <c r="N55" s="57">
        <f>[2]Districts_Boroughs!CR12</f>
        <v>13</v>
      </c>
      <c r="O55" s="57">
        <f>[2]Districts_Boroughs!CS12</f>
        <v>12</v>
      </c>
      <c r="P55" s="57">
        <f>[2]Districts_Boroughs!CT12</f>
        <v>20</v>
      </c>
      <c r="Q55" s="57">
        <f>[2]Districts_Boroughs!CU12</f>
        <v>13</v>
      </c>
      <c r="R55" s="57">
        <f>[2]Districts_Boroughs!CV12</f>
        <v>17</v>
      </c>
      <c r="S55" s="57">
        <f>[2]Districts_Boroughs!CW12</f>
        <v>13</v>
      </c>
      <c r="T55" s="57">
        <f>[2]Districts_Boroughs!CX12</f>
        <v>18</v>
      </c>
      <c r="U55" s="57">
        <f>[2]Districts_Boroughs!CY12</f>
        <v>8</v>
      </c>
      <c r="V55" s="57">
        <f>[2]Districts_Boroughs!CZ12</f>
        <v>21</v>
      </c>
      <c r="W55" s="57">
        <f>[2]Districts_Boroughs!DA12</f>
        <v>6</v>
      </c>
      <c r="X55" s="57">
        <f>[2]Districts_Boroughs!DB12</f>
        <v>21</v>
      </c>
      <c r="Y55" s="57">
        <f>[2]Districts_Boroughs!DC12</f>
        <v>20</v>
      </c>
      <c r="Z55" s="57">
        <f>[2]Districts_Boroughs!DD12</f>
        <v>9</v>
      </c>
      <c r="AA55" s="57">
        <f>[2]Districts_Boroughs!DE12</f>
        <v>11</v>
      </c>
      <c r="AB55" s="57">
        <f>[2]Districts_Boroughs!DF12</f>
        <v>13</v>
      </c>
      <c r="AC55" s="57">
        <f>[2]Districts_Boroughs!DG12</f>
        <v>18</v>
      </c>
      <c r="AD55" s="57">
        <f>[2]Districts_Boroughs!DH12</f>
        <v>11</v>
      </c>
      <c r="AE55" s="57">
        <f>[2]Districts_Boroughs!DI12</f>
        <v>25</v>
      </c>
      <c r="AF55" s="57">
        <f>[2]Districts_Boroughs!DJ12</f>
        <v>25</v>
      </c>
      <c r="AG55" s="57">
        <f>[2]Districts_Boroughs!DK12</f>
        <v>17</v>
      </c>
      <c r="AH55" s="57">
        <f>[2]Districts_Boroughs!DL12</f>
        <v>8</v>
      </c>
      <c r="AI55" s="57">
        <f>[2]Districts_Boroughs!DM12</f>
        <v>17</v>
      </c>
      <c r="AJ55" s="57">
        <f>[2]Districts_Boroughs!DN12</f>
        <v>18</v>
      </c>
      <c r="AK55" s="57">
        <f>[2]Districts_Boroughs!DO12</f>
        <v>12</v>
      </c>
      <c r="AL55" s="57">
        <f>[2]Districts_Boroughs!DP12</f>
        <v>12</v>
      </c>
      <c r="AM55" s="57">
        <f>[2]Districts_Boroughs!DQ12</f>
        <v>19</v>
      </c>
      <c r="AN55" s="57">
        <f>[2]Districts_Boroughs!DR12</f>
        <v>24</v>
      </c>
      <c r="AO55" s="57">
        <f>[2]Districts_Boroughs!DS12</f>
        <v>6</v>
      </c>
      <c r="AP55" s="57">
        <f>[2]Districts_Boroughs!DT12</f>
        <v>11</v>
      </c>
      <c r="AQ55" s="57">
        <f>[2]Districts_Boroughs!DU12</f>
        <v>15</v>
      </c>
      <c r="AR55" s="57">
        <f>[2]Districts_Boroughs!DV12</f>
        <v>26</v>
      </c>
      <c r="AS55" s="57">
        <f>[2]Districts_Boroughs!DW12</f>
        <v>25</v>
      </c>
      <c r="AT55" s="57">
        <f>[2]Districts_Boroughs!DX12</f>
        <v>16</v>
      </c>
      <c r="AU55" s="57">
        <f>[2]Districts_Boroughs!DY12</f>
        <v>11</v>
      </c>
      <c r="AV55" s="57">
        <f>[2]Districts_Boroughs!DZ12</f>
        <v>21</v>
      </c>
      <c r="AW55" s="57">
        <f>[2]Districts_Boroughs!EA12</f>
        <v>15</v>
      </c>
      <c r="AX55" s="57">
        <f>[2]Districts_Boroughs!EB12</f>
        <v>15</v>
      </c>
      <c r="AY55" s="57">
        <f>[2]Districts_Boroughs!EC12</f>
        <v>7</v>
      </c>
    </row>
    <row r="56" spans="2:51" x14ac:dyDescent="0.35">
      <c r="B56" t="str">
        <f t="shared" si="2"/>
        <v>North WarwickshireBurglary Business and Community</v>
      </c>
      <c r="C56" s="329" t="s">
        <v>55</v>
      </c>
      <c r="D56" s="57">
        <f>[2]Districts_Boroughs!CH13</f>
        <v>13</v>
      </c>
      <c r="E56" s="57">
        <f>[2]Districts_Boroughs!CI13</f>
        <v>5</v>
      </c>
      <c r="F56" s="57">
        <f>[2]Districts_Boroughs!CJ13</f>
        <v>6</v>
      </c>
      <c r="G56" s="57">
        <f>[2]Districts_Boroughs!CK13</f>
        <v>10</v>
      </c>
      <c r="H56" s="57">
        <f>[2]Districts_Boroughs!CL13</f>
        <v>9</v>
      </c>
      <c r="I56" s="57">
        <f>[2]Districts_Boroughs!CM13</f>
        <v>6</v>
      </c>
      <c r="J56" s="57">
        <f>[2]Districts_Boroughs!CN13</f>
        <v>9</v>
      </c>
      <c r="K56" s="57">
        <f>[2]Districts_Boroughs!CO13</f>
        <v>6</v>
      </c>
      <c r="L56" s="57">
        <f>[2]Districts_Boroughs!CP13</f>
        <v>5</v>
      </c>
      <c r="M56" s="57">
        <f>[2]Districts_Boroughs!CQ13</f>
        <v>12</v>
      </c>
      <c r="N56" s="57">
        <f>[2]Districts_Boroughs!CR13</f>
        <v>8</v>
      </c>
      <c r="O56" s="57">
        <f>[2]Districts_Boroughs!CS13</f>
        <v>16</v>
      </c>
      <c r="P56" s="57">
        <f>[2]Districts_Boroughs!CT13</f>
        <v>10</v>
      </c>
      <c r="Q56" s="57">
        <f>[2]Districts_Boroughs!CU13</f>
        <v>10</v>
      </c>
      <c r="R56" s="57">
        <f>[2]Districts_Boroughs!CV13</f>
        <v>7</v>
      </c>
      <c r="S56" s="57">
        <f>[2]Districts_Boroughs!CW13</f>
        <v>5</v>
      </c>
      <c r="T56" s="57">
        <f>[2]Districts_Boroughs!CX13</f>
        <v>10</v>
      </c>
      <c r="U56" s="57">
        <f>[2]Districts_Boroughs!CY13</f>
        <v>14</v>
      </c>
      <c r="V56" s="57">
        <f>[2]Districts_Boroughs!CZ13</f>
        <v>10</v>
      </c>
      <c r="W56" s="57">
        <f>[2]Districts_Boroughs!DA13</f>
        <v>14</v>
      </c>
      <c r="X56" s="57">
        <f>[2]Districts_Boroughs!DB13</f>
        <v>12</v>
      </c>
      <c r="Y56" s="57">
        <f>[2]Districts_Boroughs!DC13</f>
        <v>15</v>
      </c>
      <c r="Z56" s="57">
        <f>[2]Districts_Boroughs!DD13</f>
        <v>14</v>
      </c>
      <c r="AA56" s="57">
        <f>[2]Districts_Boroughs!DE13</f>
        <v>15</v>
      </c>
      <c r="AB56" s="57">
        <f>[2]Districts_Boroughs!DF13</f>
        <v>11</v>
      </c>
      <c r="AC56" s="57">
        <f>[2]Districts_Boroughs!DG13</f>
        <v>4</v>
      </c>
      <c r="AD56" s="57">
        <f>[2]Districts_Boroughs!DH13</f>
        <v>6</v>
      </c>
      <c r="AE56" s="57">
        <f>[2]Districts_Boroughs!DI13</f>
        <v>8</v>
      </c>
      <c r="AF56" s="57">
        <f>[2]Districts_Boroughs!DJ13</f>
        <v>10</v>
      </c>
      <c r="AG56" s="57">
        <f>[2]Districts_Boroughs!DK13</f>
        <v>15</v>
      </c>
      <c r="AH56" s="57">
        <f>[2]Districts_Boroughs!DL13</f>
        <v>14</v>
      </c>
      <c r="AI56" s="57">
        <f>[2]Districts_Boroughs!DM13</f>
        <v>17</v>
      </c>
      <c r="AJ56" s="57">
        <f>[2]Districts_Boroughs!DN13</f>
        <v>10</v>
      </c>
      <c r="AK56" s="57">
        <f>[2]Districts_Boroughs!DO13</f>
        <v>9</v>
      </c>
      <c r="AL56" s="57">
        <f>[2]Districts_Boroughs!DP13</f>
        <v>7</v>
      </c>
      <c r="AM56" s="57">
        <f>[2]Districts_Boroughs!DQ13</f>
        <v>10</v>
      </c>
      <c r="AN56" s="57">
        <f>[2]Districts_Boroughs!DR13</f>
        <v>5</v>
      </c>
      <c r="AO56" s="57">
        <f>[2]Districts_Boroughs!DS13</f>
        <v>9</v>
      </c>
      <c r="AP56" s="57">
        <f>[2]Districts_Boroughs!DT13</f>
        <v>3</v>
      </c>
      <c r="AQ56" s="57">
        <f>[2]Districts_Boroughs!DU13</f>
        <v>3</v>
      </c>
      <c r="AR56" s="57">
        <f>[2]Districts_Boroughs!DV13</f>
        <v>10</v>
      </c>
      <c r="AS56" s="57">
        <f>[2]Districts_Boroughs!DW13</f>
        <v>11</v>
      </c>
      <c r="AT56" s="57">
        <f>[2]Districts_Boroughs!DX13</f>
        <v>4</v>
      </c>
      <c r="AU56" s="57">
        <f>[2]Districts_Boroughs!DY13</f>
        <v>7</v>
      </c>
      <c r="AV56" s="57">
        <f>[2]Districts_Boroughs!DZ13</f>
        <v>6</v>
      </c>
      <c r="AW56" s="57">
        <f>[2]Districts_Boroughs!EA13</f>
        <v>7</v>
      </c>
      <c r="AX56" s="57">
        <f>[2]Districts_Boroughs!EB13</f>
        <v>5</v>
      </c>
      <c r="AY56" s="57">
        <f>[2]Districts_Boroughs!EC13</f>
        <v>4</v>
      </c>
    </row>
    <row r="57" spans="2:51" x14ac:dyDescent="0.35">
      <c r="B57" t="str">
        <f>CONCATENATE($C$45,C57)</f>
        <v>North WarwickshireVehicle Offences</v>
      </c>
      <c r="C57" s="329" t="s">
        <v>38</v>
      </c>
      <c r="D57" s="57">
        <f>[2]Districts_Boroughs!CH14</f>
        <v>37</v>
      </c>
      <c r="E57" s="57">
        <f>[2]Districts_Boroughs!CI14</f>
        <v>30</v>
      </c>
      <c r="F57" s="57">
        <f>[2]Districts_Boroughs!CJ14</f>
        <v>24</v>
      </c>
      <c r="G57" s="57">
        <f>[2]Districts_Boroughs!CK14</f>
        <v>27</v>
      </c>
      <c r="H57" s="57">
        <f>[2]Districts_Boroughs!CL14</f>
        <v>23</v>
      </c>
      <c r="I57" s="57">
        <f>[2]Districts_Boroughs!CM14</f>
        <v>34</v>
      </c>
      <c r="J57" s="57">
        <f>[2]Districts_Boroughs!CN14</f>
        <v>41</v>
      </c>
      <c r="K57" s="57">
        <f>[2]Districts_Boroughs!CO14</f>
        <v>61</v>
      </c>
      <c r="L57" s="57">
        <f>[2]Districts_Boroughs!CP14</f>
        <v>45</v>
      </c>
      <c r="M57" s="57">
        <f>[2]Districts_Boroughs!CQ14</f>
        <v>28</v>
      </c>
      <c r="N57" s="57">
        <f>[2]Districts_Boroughs!CR14</f>
        <v>57</v>
      </c>
      <c r="O57" s="57">
        <f>[2]Districts_Boroughs!CS14</f>
        <v>47</v>
      </c>
      <c r="P57" s="57">
        <f>[2]Districts_Boroughs!CT14</f>
        <v>58</v>
      </c>
      <c r="Q57" s="57">
        <f>[2]Districts_Boroughs!CU14</f>
        <v>61</v>
      </c>
      <c r="R57" s="57">
        <f>[2]Districts_Boroughs!CV14</f>
        <v>53</v>
      </c>
      <c r="S57" s="57">
        <f>[2]Districts_Boroughs!CW14</f>
        <v>66</v>
      </c>
      <c r="T57" s="57">
        <f>[2]Districts_Boroughs!CX14</f>
        <v>59</v>
      </c>
      <c r="U57" s="57">
        <f>[2]Districts_Boroughs!CY14</f>
        <v>73</v>
      </c>
      <c r="V57" s="57">
        <f>[2]Districts_Boroughs!CZ14</f>
        <v>88</v>
      </c>
      <c r="W57" s="57">
        <f>[2]Districts_Boroughs!DA14</f>
        <v>75</v>
      </c>
      <c r="X57" s="57">
        <f>[2]Districts_Boroughs!DB14</f>
        <v>60</v>
      </c>
      <c r="Y57" s="57">
        <f>[2]Districts_Boroughs!DC14</f>
        <v>60</v>
      </c>
      <c r="Z57" s="57">
        <f>[2]Districts_Boroughs!DD14</f>
        <v>43</v>
      </c>
      <c r="AA57" s="57">
        <f>[2]Districts_Boroughs!DE14</f>
        <v>55</v>
      </c>
      <c r="AB57" s="57">
        <f>[2]Districts_Boroughs!DF14</f>
        <v>40</v>
      </c>
      <c r="AC57" s="57">
        <f>[2]Districts_Boroughs!DG14</f>
        <v>45</v>
      </c>
      <c r="AD57" s="57">
        <f>[2]Districts_Boroughs!DH14</f>
        <v>52</v>
      </c>
      <c r="AE57" s="57">
        <f>[2]Districts_Boroughs!DI14</f>
        <v>74</v>
      </c>
      <c r="AF57" s="57">
        <f>[2]Districts_Boroughs!DJ14</f>
        <v>50</v>
      </c>
      <c r="AG57" s="57">
        <f>[2]Districts_Boroughs!DK14</f>
        <v>57</v>
      </c>
      <c r="AH57" s="57">
        <f>[2]Districts_Boroughs!DL14</f>
        <v>43</v>
      </c>
      <c r="AI57" s="57">
        <f>[2]Districts_Boroughs!DM14</f>
        <v>68</v>
      </c>
      <c r="AJ57" s="57">
        <f>[2]Districts_Boroughs!DN14</f>
        <v>62</v>
      </c>
      <c r="AK57" s="57">
        <f>[2]Districts_Boroughs!DO14</f>
        <v>67</v>
      </c>
      <c r="AL57" s="57">
        <f>[2]Districts_Boroughs!DP14</f>
        <v>70</v>
      </c>
      <c r="AM57" s="57">
        <f>[2]Districts_Boroughs!DQ14</f>
        <v>81</v>
      </c>
      <c r="AN57" s="57">
        <f>[2]Districts_Boroughs!DR14</f>
        <v>94</v>
      </c>
      <c r="AO57" s="57">
        <f>[2]Districts_Boroughs!DS14</f>
        <v>52</v>
      </c>
      <c r="AP57" s="57">
        <f>[2]Districts_Boroughs!DT14</f>
        <v>44</v>
      </c>
      <c r="AQ57" s="57">
        <f>[2]Districts_Boroughs!DU14</f>
        <v>48</v>
      </c>
      <c r="AR57" s="57">
        <f>[2]Districts_Boroughs!DV14</f>
        <v>54</v>
      </c>
      <c r="AS57" s="57">
        <f>[2]Districts_Boroughs!DW14</f>
        <v>79</v>
      </c>
      <c r="AT57" s="57">
        <f>[2]Districts_Boroughs!DX14</f>
        <v>95</v>
      </c>
      <c r="AU57" s="57">
        <f>[2]Districts_Boroughs!DY14</f>
        <v>45</v>
      </c>
      <c r="AV57" s="57">
        <f>[2]Districts_Boroughs!DZ14</f>
        <v>73</v>
      </c>
      <c r="AW57" s="57">
        <f>[2]Districts_Boroughs!EA14</f>
        <v>55</v>
      </c>
      <c r="AX57" s="57">
        <f>[2]Districts_Boroughs!EB14</f>
        <v>56</v>
      </c>
      <c r="AY57" s="57">
        <f>[2]Districts_Boroughs!EC14</f>
        <v>55</v>
      </c>
    </row>
    <row r="58" spans="2:51" x14ac:dyDescent="0.35">
      <c r="B58" t="str">
        <f>CONCATENATE($C$45,C58)</f>
        <v>North WarwickshireShoplifting</v>
      </c>
      <c r="C58" s="329" t="s">
        <v>17</v>
      </c>
      <c r="D58" s="57">
        <f>[2]Districts_Boroughs!CH15</f>
        <v>6</v>
      </c>
      <c r="E58" s="57">
        <f>[2]Districts_Boroughs!CI15</f>
        <v>7</v>
      </c>
      <c r="F58" s="57">
        <f>[2]Districts_Boroughs!CJ15</f>
        <v>14</v>
      </c>
      <c r="G58" s="57">
        <f>[2]Districts_Boroughs!CK15</f>
        <v>10</v>
      </c>
      <c r="H58" s="57">
        <f>[2]Districts_Boroughs!CL15</f>
        <v>10</v>
      </c>
      <c r="I58" s="57">
        <f>[2]Districts_Boroughs!CM15</f>
        <v>9</v>
      </c>
      <c r="J58" s="57">
        <f>[2]Districts_Boroughs!CN15</f>
        <v>10</v>
      </c>
      <c r="K58" s="57">
        <f>[2]Districts_Boroughs!CO15</f>
        <v>11</v>
      </c>
      <c r="L58" s="57">
        <f>[2]Districts_Boroughs!CP15</f>
        <v>17</v>
      </c>
      <c r="M58" s="57">
        <f>[2]Districts_Boroughs!CQ15</f>
        <v>8</v>
      </c>
      <c r="N58" s="57">
        <f>[2]Districts_Boroughs!CR15</f>
        <v>16</v>
      </c>
      <c r="O58" s="57">
        <f>[2]Districts_Boroughs!CS15</f>
        <v>24</v>
      </c>
      <c r="P58" s="57">
        <f>[2]Districts_Boroughs!CT15</f>
        <v>9</v>
      </c>
      <c r="Q58" s="57">
        <f>[2]Districts_Boroughs!CU15</f>
        <v>10</v>
      </c>
      <c r="R58" s="57">
        <f>[2]Districts_Boroughs!CV15</f>
        <v>12</v>
      </c>
      <c r="S58" s="57">
        <f>[2]Districts_Boroughs!CW15</f>
        <v>12</v>
      </c>
      <c r="T58" s="57">
        <f>[2]Districts_Boroughs!CX15</f>
        <v>21</v>
      </c>
      <c r="U58" s="57">
        <f>[2]Districts_Boroughs!CY15</f>
        <v>13</v>
      </c>
      <c r="V58" s="57">
        <f>[2]Districts_Boroughs!CZ15</f>
        <v>18</v>
      </c>
      <c r="W58" s="57">
        <f>[2]Districts_Boroughs!DA15</f>
        <v>9</v>
      </c>
      <c r="X58" s="57">
        <f>[2]Districts_Boroughs!DB15</f>
        <v>5</v>
      </c>
      <c r="Y58" s="57">
        <f>[2]Districts_Boroughs!DC15</f>
        <v>14</v>
      </c>
      <c r="Z58" s="57">
        <f>[2]Districts_Boroughs!DD15</f>
        <v>15</v>
      </c>
      <c r="AA58" s="57">
        <f>[2]Districts_Boroughs!DE15</f>
        <v>10</v>
      </c>
      <c r="AB58" s="57">
        <f>[2]Districts_Boroughs!DF15</f>
        <v>13</v>
      </c>
      <c r="AC58" s="57">
        <f>[2]Districts_Boroughs!DG15</f>
        <v>20</v>
      </c>
      <c r="AD58" s="57">
        <f>[2]Districts_Boroughs!DH15</f>
        <v>27</v>
      </c>
      <c r="AE58" s="57">
        <f>[2]Districts_Boroughs!DI15</f>
        <v>17</v>
      </c>
      <c r="AF58" s="57">
        <f>[2]Districts_Boroughs!DJ15</f>
        <v>11</v>
      </c>
      <c r="AG58" s="57">
        <f>[2]Districts_Boroughs!DK15</f>
        <v>25</v>
      </c>
      <c r="AH58" s="57">
        <f>[2]Districts_Boroughs!DL15</f>
        <v>36</v>
      </c>
      <c r="AI58" s="57">
        <f>[2]Districts_Boroughs!DM15</f>
        <v>30</v>
      </c>
      <c r="AJ58" s="57">
        <f>[2]Districts_Boroughs!DN15</f>
        <v>20</v>
      </c>
      <c r="AK58" s="57">
        <f>[2]Districts_Boroughs!DO15</f>
        <v>10</v>
      </c>
      <c r="AL58" s="57">
        <f>[2]Districts_Boroughs!DP15</f>
        <v>10</v>
      </c>
      <c r="AM58" s="57">
        <f>[2]Districts_Boroughs!DQ15</f>
        <v>17</v>
      </c>
      <c r="AN58" s="57">
        <f>[2]Districts_Boroughs!DR15</f>
        <v>10</v>
      </c>
      <c r="AO58" s="57">
        <f>[2]Districts_Boroughs!DS15</f>
        <v>3</v>
      </c>
      <c r="AP58" s="57">
        <f>[2]Districts_Boroughs!DT15</f>
        <v>12</v>
      </c>
      <c r="AQ58" s="57">
        <f>[2]Districts_Boroughs!DU15</f>
        <v>16</v>
      </c>
      <c r="AR58" s="57">
        <f>[2]Districts_Boroughs!DV15</f>
        <v>13</v>
      </c>
      <c r="AS58" s="57">
        <f>[2]Districts_Boroughs!DW15</f>
        <v>12</v>
      </c>
      <c r="AT58" s="57">
        <f>[2]Districts_Boroughs!DX15</f>
        <v>19</v>
      </c>
      <c r="AU58" s="57">
        <f>[2]Districts_Boroughs!DY15</f>
        <v>12</v>
      </c>
      <c r="AV58" s="57">
        <f>[2]Districts_Boroughs!DZ15</f>
        <v>9</v>
      </c>
      <c r="AW58" s="57">
        <f>[2]Districts_Boroughs!EA15</f>
        <v>5</v>
      </c>
      <c r="AX58" s="57">
        <f>[2]Districts_Boroughs!EB15</f>
        <v>17</v>
      </c>
      <c r="AY58" s="57">
        <f>[2]Districts_Boroughs!EC15</f>
        <v>13</v>
      </c>
    </row>
    <row r="59" spans="2:51" x14ac:dyDescent="0.35">
      <c r="B59" t="str">
        <f t="shared" si="2"/>
        <v>North WarwickshireCriminal Damage &amp; Arson</v>
      </c>
      <c r="C59" s="329" t="s">
        <v>34</v>
      </c>
      <c r="D59" s="57">
        <f>[2]Districts_Boroughs!CH16</f>
        <v>33</v>
      </c>
      <c r="E59" s="57">
        <f>[2]Districts_Boroughs!CI16</f>
        <v>39</v>
      </c>
      <c r="F59" s="57">
        <f>[2]Districts_Boroughs!CJ16</f>
        <v>36</v>
      </c>
      <c r="G59" s="57">
        <f>[2]Districts_Boroughs!CK16</f>
        <v>41</v>
      </c>
      <c r="H59" s="57">
        <f>[2]Districts_Boroughs!CL16</f>
        <v>38</v>
      </c>
      <c r="I59" s="57">
        <f>[2]Districts_Boroughs!CM16</f>
        <v>44</v>
      </c>
      <c r="J59" s="57">
        <f>[2]Districts_Boroughs!CN16</f>
        <v>37</v>
      </c>
      <c r="K59" s="57">
        <f>[2]Districts_Boroughs!CO16</f>
        <v>40</v>
      </c>
      <c r="L59" s="57">
        <f>[2]Districts_Boroughs!CP16</f>
        <v>36</v>
      </c>
      <c r="M59" s="57">
        <f>[2]Districts_Boroughs!CQ16</f>
        <v>37</v>
      </c>
      <c r="N59" s="57">
        <f>[2]Districts_Boroughs!CR16</f>
        <v>30</v>
      </c>
      <c r="O59" s="57">
        <f>[2]Districts_Boroughs!CS16</f>
        <v>35</v>
      </c>
      <c r="P59" s="57">
        <f>[2]Districts_Boroughs!CT16</f>
        <v>87</v>
      </c>
      <c r="Q59" s="57">
        <f>[2]Districts_Boroughs!CU16</f>
        <v>48</v>
      </c>
      <c r="R59" s="57">
        <f>[2]Districts_Boroughs!CV16</f>
        <v>39</v>
      </c>
      <c r="S59" s="57">
        <f>[2]Districts_Boroughs!CW16</f>
        <v>50</v>
      </c>
      <c r="T59" s="57">
        <f>[2]Districts_Boroughs!CX16</f>
        <v>45</v>
      </c>
      <c r="U59" s="57">
        <f>[2]Districts_Boroughs!CY16</f>
        <v>42</v>
      </c>
      <c r="V59" s="57">
        <f>[2]Districts_Boroughs!CZ16</f>
        <v>39</v>
      </c>
      <c r="W59" s="57">
        <f>[2]Districts_Boroughs!DA16</f>
        <v>32</v>
      </c>
      <c r="X59" s="57">
        <f>[2]Districts_Boroughs!DB16</f>
        <v>59</v>
      </c>
      <c r="Y59" s="57">
        <f>[2]Districts_Boroughs!DC16</f>
        <v>28</v>
      </c>
      <c r="Z59" s="57">
        <f>[2]Districts_Boroughs!DD16</f>
        <v>26</v>
      </c>
      <c r="AA59" s="57">
        <f>[2]Districts_Boroughs!DE16</f>
        <v>41</v>
      </c>
      <c r="AB59" s="57">
        <f>[2]Districts_Boroughs!DF16</f>
        <v>36</v>
      </c>
      <c r="AC59" s="57">
        <f>[2]Districts_Boroughs!DG16</f>
        <v>34</v>
      </c>
      <c r="AD59" s="57">
        <f>[2]Districts_Boroughs!DH16</f>
        <v>34</v>
      </c>
      <c r="AE59" s="57">
        <f>[2]Districts_Boroughs!DI16</f>
        <v>58</v>
      </c>
      <c r="AF59" s="57">
        <f>[2]Districts_Boroughs!DJ16</f>
        <v>41</v>
      </c>
      <c r="AG59" s="57">
        <f>[2]Districts_Boroughs!DK16</f>
        <v>35</v>
      </c>
      <c r="AH59" s="57">
        <f>[2]Districts_Boroughs!DL16</f>
        <v>38</v>
      </c>
      <c r="AI59" s="57">
        <f>[2]Districts_Boroughs!DM16</f>
        <v>34</v>
      </c>
      <c r="AJ59" s="57">
        <f>[2]Districts_Boroughs!DN16</f>
        <v>26</v>
      </c>
      <c r="AK59" s="57">
        <f>[2]Districts_Boroughs!DO16</f>
        <v>25</v>
      </c>
      <c r="AL59" s="57">
        <f>[2]Districts_Boroughs!DP16</f>
        <v>38</v>
      </c>
      <c r="AM59" s="57">
        <f>[2]Districts_Boroughs!DQ16</f>
        <v>30</v>
      </c>
      <c r="AN59" s="57">
        <f>[2]Districts_Boroughs!DR16</f>
        <v>33</v>
      </c>
      <c r="AO59" s="57">
        <f>[2]Districts_Boroughs!DS16</f>
        <v>31</v>
      </c>
      <c r="AP59" s="57">
        <f>[2]Districts_Boroughs!DT16</f>
        <v>35</v>
      </c>
      <c r="AQ59" s="57">
        <f>[2]Districts_Boroughs!DU16</f>
        <v>40</v>
      </c>
      <c r="AR59" s="57">
        <f>[2]Districts_Boroughs!DV16</f>
        <v>36</v>
      </c>
      <c r="AS59" s="57">
        <f>[2]Districts_Boroughs!DW16</f>
        <v>23</v>
      </c>
      <c r="AT59" s="57">
        <f>[2]Districts_Boroughs!DX16</f>
        <v>50</v>
      </c>
      <c r="AU59" s="57">
        <f>[2]Districts_Boroughs!DY16</f>
        <v>40</v>
      </c>
      <c r="AV59" s="57">
        <f>[2]Districts_Boroughs!DZ16</f>
        <v>34</v>
      </c>
      <c r="AW59" s="57">
        <f>[2]Districts_Boroughs!EA16</f>
        <v>28</v>
      </c>
      <c r="AX59" s="57">
        <f>[2]Districts_Boroughs!EB16</f>
        <v>26</v>
      </c>
      <c r="AY59" s="57">
        <f>[2]Districts_Boroughs!EC16</f>
        <v>30</v>
      </c>
    </row>
    <row r="60" spans="2:51" x14ac:dyDescent="0.35">
      <c r="B60" t="str">
        <f t="shared" si="2"/>
        <v>North WarwickshireTotal Robbery</v>
      </c>
      <c r="C60" s="329" t="s">
        <v>41</v>
      </c>
      <c r="D60" s="57">
        <f>[2]Districts_Boroughs!CH17</f>
        <v>2</v>
      </c>
      <c r="E60" s="57">
        <f>[2]Districts_Boroughs!CI17</f>
        <v>3</v>
      </c>
      <c r="F60" s="57">
        <f>[2]Districts_Boroughs!CJ17</f>
        <v>2</v>
      </c>
      <c r="G60" s="57">
        <f>[2]Districts_Boroughs!CK17</f>
        <v>2</v>
      </c>
      <c r="H60" s="57">
        <f>[2]Districts_Boroughs!CL17</f>
        <v>2</v>
      </c>
      <c r="I60" s="57">
        <f>[2]Districts_Boroughs!CM17</f>
        <v>0</v>
      </c>
      <c r="J60" s="57">
        <f>[2]Districts_Boroughs!CN17</f>
        <v>0</v>
      </c>
      <c r="K60" s="57">
        <f>[2]Districts_Boroughs!CO17</f>
        <v>1</v>
      </c>
      <c r="L60" s="57">
        <f>[2]Districts_Boroughs!CP17</f>
        <v>2</v>
      </c>
      <c r="M60" s="57">
        <f>[2]Districts_Boroughs!CQ17</f>
        <v>3</v>
      </c>
      <c r="N60" s="57">
        <f>[2]Districts_Boroughs!CR17</f>
        <v>2</v>
      </c>
      <c r="O60" s="57">
        <f>[2]Districts_Boroughs!CS17</f>
        <v>5</v>
      </c>
      <c r="P60" s="57">
        <f>[2]Districts_Boroughs!CT17</f>
        <v>0</v>
      </c>
      <c r="Q60" s="57">
        <f>[2]Districts_Boroughs!CU17</f>
        <v>4</v>
      </c>
      <c r="R60" s="57">
        <f>[2]Districts_Boroughs!CV17</f>
        <v>4</v>
      </c>
      <c r="S60" s="57">
        <f>[2]Districts_Boroughs!CW17</f>
        <v>2</v>
      </c>
      <c r="T60" s="57">
        <f>[2]Districts_Boroughs!CX17</f>
        <v>4</v>
      </c>
      <c r="U60" s="57">
        <f>[2]Districts_Boroughs!CY17</f>
        <v>3</v>
      </c>
      <c r="V60" s="57">
        <f>[2]Districts_Boroughs!CZ17</f>
        <v>2</v>
      </c>
      <c r="W60" s="57">
        <f>[2]Districts_Boroughs!DA17</f>
        <v>0</v>
      </c>
      <c r="X60" s="57">
        <f>[2]Districts_Boroughs!DB17</f>
        <v>5</v>
      </c>
      <c r="Y60" s="57">
        <f>[2]Districts_Boroughs!DC17</f>
        <v>5</v>
      </c>
      <c r="Z60" s="57">
        <f>[2]Districts_Boroughs!DD17</f>
        <v>1</v>
      </c>
      <c r="AA60" s="57">
        <f>[2]Districts_Boroughs!DE17</f>
        <v>4</v>
      </c>
      <c r="AB60" s="57">
        <f>[2]Districts_Boroughs!DF17</f>
        <v>5</v>
      </c>
      <c r="AC60" s="57">
        <f>[2]Districts_Boroughs!DG17</f>
        <v>2</v>
      </c>
      <c r="AD60" s="57">
        <f>[2]Districts_Boroughs!DH17</f>
        <v>3</v>
      </c>
      <c r="AE60" s="57">
        <f>[2]Districts_Boroughs!DI17</f>
        <v>3</v>
      </c>
      <c r="AF60" s="57">
        <f>[2]Districts_Boroughs!DJ17</f>
        <v>3</v>
      </c>
      <c r="AG60" s="57">
        <f>[2]Districts_Boroughs!DK17</f>
        <v>2</v>
      </c>
      <c r="AH60" s="57">
        <f>[2]Districts_Boroughs!DL17</f>
        <v>4</v>
      </c>
      <c r="AI60" s="57">
        <f>[2]Districts_Boroughs!DM17</f>
        <v>4</v>
      </c>
      <c r="AJ60" s="57">
        <f>[2]Districts_Boroughs!DN17</f>
        <v>6</v>
      </c>
      <c r="AK60" s="57">
        <f>[2]Districts_Boroughs!DO17</f>
        <v>3</v>
      </c>
      <c r="AL60" s="57">
        <f>[2]Districts_Boroughs!DP17</f>
        <v>1</v>
      </c>
      <c r="AM60" s="57">
        <f>[2]Districts_Boroughs!DQ17</f>
        <v>8</v>
      </c>
      <c r="AN60" s="57">
        <f>[2]Districts_Boroughs!DR17</f>
        <v>6</v>
      </c>
      <c r="AO60" s="57">
        <f>[2]Districts_Boroughs!DS17</f>
        <v>2</v>
      </c>
      <c r="AP60" s="57">
        <f>[2]Districts_Boroughs!DT17</f>
        <v>4</v>
      </c>
      <c r="AQ60" s="57">
        <f>[2]Districts_Boroughs!DU17</f>
        <v>1</v>
      </c>
      <c r="AR60" s="57">
        <f>[2]Districts_Boroughs!DV17</f>
        <v>3</v>
      </c>
      <c r="AS60" s="57">
        <f>[2]Districts_Boroughs!DW17</f>
        <v>4</v>
      </c>
      <c r="AT60" s="57">
        <f>[2]Districts_Boroughs!DX17</f>
        <v>4</v>
      </c>
      <c r="AU60" s="57">
        <f>[2]Districts_Boroughs!DY17</f>
        <v>6</v>
      </c>
      <c r="AV60" s="57">
        <f>[2]Districts_Boroughs!DZ17</f>
        <v>2</v>
      </c>
      <c r="AW60" s="57">
        <f>[2]Districts_Boroughs!EA17</f>
        <v>3</v>
      </c>
      <c r="AX60" s="57">
        <f>[2]Districts_Boroughs!EB17</f>
        <v>5</v>
      </c>
      <c r="AY60" s="57">
        <f>[2]Districts_Boroughs!EC17</f>
        <v>2</v>
      </c>
    </row>
    <row r="61" spans="2:51" x14ac:dyDescent="0.35">
      <c r="B61" t="str">
        <f t="shared" si="2"/>
        <v>North WarwickshireTotal VAP &amp; Sexual Offences</v>
      </c>
      <c r="C61" s="329" t="s">
        <v>42</v>
      </c>
      <c r="D61" s="57">
        <f>[2]Districts_Boroughs!CH18</f>
        <v>154</v>
      </c>
      <c r="E61" s="57">
        <f>[2]Districts_Boroughs!CI18</f>
        <v>184</v>
      </c>
      <c r="F61" s="57">
        <f>[2]Districts_Boroughs!CJ18</f>
        <v>184</v>
      </c>
      <c r="G61" s="57">
        <f>[2]Districts_Boroughs!CK18</f>
        <v>172</v>
      </c>
      <c r="H61" s="57">
        <f>[2]Districts_Boroughs!CL18</f>
        <v>142</v>
      </c>
      <c r="I61" s="57">
        <f>[2]Districts_Boroughs!CM18</f>
        <v>160</v>
      </c>
      <c r="J61" s="57">
        <f>[2]Districts_Boroughs!CN18</f>
        <v>141</v>
      </c>
      <c r="K61" s="57">
        <f>[2]Districts_Boroughs!CO18</f>
        <v>154</v>
      </c>
      <c r="L61" s="57">
        <f>[2]Districts_Boroughs!CP18</f>
        <v>152</v>
      </c>
      <c r="M61" s="57">
        <f>[2]Districts_Boroughs!CQ18</f>
        <v>147</v>
      </c>
      <c r="N61" s="57">
        <f>[2]Districts_Boroughs!CR18</f>
        <v>117</v>
      </c>
      <c r="O61" s="57">
        <f>[2]Districts_Boroughs!CS18</f>
        <v>171</v>
      </c>
      <c r="P61" s="57">
        <f>[2]Districts_Boroughs!CT18</f>
        <v>141</v>
      </c>
      <c r="Q61" s="57">
        <f>[2]Districts_Boroughs!CU18</f>
        <v>156</v>
      </c>
      <c r="R61" s="57">
        <f>[2]Districts_Boroughs!CV18</f>
        <v>143</v>
      </c>
      <c r="S61" s="57">
        <f>[2]Districts_Boroughs!CW18</f>
        <v>156</v>
      </c>
      <c r="T61" s="57">
        <f>[2]Districts_Boroughs!CX18</f>
        <v>159</v>
      </c>
      <c r="U61" s="57">
        <f>[2]Districts_Boroughs!CY18</f>
        <v>138</v>
      </c>
      <c r="V61" s="57">
        <f>[2]Districts_Boroughs!CZ18</f>
        <v>137</v>
      </c>
      <c r="W61" s="57">
        <f>[2]Districts_Boroughs!DA18</f>
        <v>179</v>
      </c>
      <c r="X61" s="57">
        <f>[2]Districts_Boroughs!DB18</f>
        <v>137</v>
      </c>
      <c r="Y61" s="57">
        <f>[2]Districts_Boroughs!DC18</f>
        <v>117</v>
      </c>
      <c r="Z61" s="57">
        <f>[2]Districts_Boroughs!DD18</f>
        <v>132</v>
      </c>
      <c r="AA61" s="57">
        <f>[2]Districts_Boroughs!DE18</f>
        <v>173</v>
      </c>
      <c r="AB61" s="57">
        <f>[2]Districts_Boroughs!DF18</f>
        <v>135</v>
      </c>
      <c r="AC61" s="57">
        <f>[2]Districts_Boroughs!DG18</f>
        <v>138</v>
      </c>
      <c r="AD61" s="57">
        <f>[2]Districts_Boroughs!DH18</f>
        <v>150</v>
      </c>
      <c r="AE61" s="57">
        <f>[2]Districts_Boroughs!DI18</f>
        <v>147</v>
      </c>
      <c r="AF61" s="57">
        <f>[2]Districts_Boroughs!DJ18</f>
        <v>128</v>
      </c>
      <c r="AG61" s="57">
        <f>[2]Districts_Boroughs!DK18</f>
        <v>127</v>
      </c>
      <c r="AH61" s="57">
        <f>[2]Districts_Boroughs!DL18</f>
        <v>158</v>
      </c>
      <c r="AI61" s="57">
        <f>[2]Districts_Boroughs!DM18</f>
        <v>149</v>
      </c>
      <c r="AJ61" s="57">
        <f>[2]Districts_Boroughs!DN18</f>
        <v>149</v>
      </c>
      <c r="AK61" s="57">
        <f>[2]Districts_Boroughs!DO18</f>
        <v>142</v>
      </c>
      <c r="AL61" s="57">
        <f>[2]Districts_Boroughs!DP18</f>
        <v>136</v>
      </c>
      <c r="AM61" s="57">
        <f>[2]Districts_Boroughs!DQ18</f>
        <v>144</v>
      </c>
      <c r="AN61" s="57">
        <f>[2]Districts_Boroughs!DR18</f>
        <v>137</v>
      </c>
      <c r="AO61" s="57">
        <f>[2]Districts_Boroughs!DS18</f>
        <v>120</v>
      </c>
      <c r="AP61" s="57">
        <f>[2]Districts_Boroughs!DT18</f>
        <v>141</v>
      </c>
      <c r="AQ61" s="57">
        <f>[2]Districts_Boroughs!DU18</f>
        <v>156</v>
      </c>
      <c r="AR61" s="57">
        <f>[2]Districts_Boroughs!DV18</f>
        <v>135</v>
      </c>
      <c r="AS61" s="57">
        <f>[2]Districts_Boroughs!DW18</f>
        <v>130</v>
      </c>
      <c r="AT61" s="57">
        <f>[2]Districts_Boroughs!DX18</f>
        <v>126</v>
      </c>
      <c r="AU61" s="57">
        <f>[2]Districts_Boroughs!DY18</f>
        <v>117</v>
      </c>
      <c r="AV61" s="57">
        <f>[2]Districts_Boroughs!DZ18</f>
        <v>137</v>
      </c>
      <c r="AW61" s="57">
        <f>[2]Districts_Boroughs!EA18</f>
        <v>122</v>
      </c>
      <c r="AX61" s="57">
        <f>[2]Districts_Boroughs!EB18</f>
        <v>132</v>
      </c>
      <c r="AY61" s="57">
        <f>[2]Districts_Boroughs!EC18</f>
        <v>167</v>
      </c>
    </row>
    <row r="62" spans="2:51" x14ac:dyDescent="0.35">
      <c r="B62" t="str">
        <f t="shared" si="2"/>
        <v>North Warwickshire</v>
      </c>
      <c r="C62" s="329"/>
      <c r="D62" s="57">
        <f>[2]Districts_Boroughs!CH19</f>
        <v>0</v>
      </c>
      <c r="E62" s="57">
        <f>[2]Districts_Boroughs!CI19</f>
        <v>0</v>
      </c>
      <c r="F62" s="57">
        <f>[2]Districts_Boroughs!CJ19</f>
        <v>0</v>
      </c>
      <c r="G62" s="57">
        <f>[2]Districts_Boroughs!CK19</f>
        <v>0</v>
      </c>
      <c r="H62" s="57">
        <f>[2]Districts_Boroughs!CL19</f>
        <v>0</v>
      </c>
      <c r="I62" s="57">
        <f>[2]Districts_Boroughs!CM19</f>
        <v>0</v>
      </c>
      <c r="J62" s="57">
        <f>[2]Districts_Boroughs!CN19</f>
        <v>0</v>
      </c>
      <c r="K62" s="57">
        <f>[2]Districts_Boroughs!CO19</f>
        <v>0</v>
      </c>
      <c r="L62" s="57">
        <f>[2]Districts_Boroughs!CP19</f>
        <v>0</v>
      </c>
      <c r="M62" s="57">
        <f>[2]Districts_Boroughs!CQ19</f>
        <v>0</v>
      </c>
      <c r="N62" s="57">
        <f>[2]Districts_Boroughs!CR19</f>
        <v>0</v>
      </c>
      <c r="O62" s="57">
        <f>[2]Districts_Boroughs!CS19</f>
        <v>0</v>
      </c>
      <c r="P62" s="57">
        <f>[2]Districts_Boroughs!CT19</f>
        <v>0</v>
      </c>
      <c r="Q62" s="57">
        <f>[2]Districts_Boroughs!CU19</f>
        <v>0</v>
      </c>
      <c r="R62" s="57">
        <f>[2]Districts_Boroughs!CV19</f>
        <v>0</v>
      </c>
      <c r="S62" s="57">
        <f>[2]Districts_Boroughs!CW19</f>
        <v>0</v>
      </c>
      <c r="T62" s="57">
        <f>[2]Districts_Boroughs!CX19</f>
        <v>0</v>
      </c>
      <c r="U62" s="57">
        <f>[2]Districts_Boroughs!CY19</f>
        <v>0</v>
      </c>
      <c r="V62" s="57">
        <f>[2]Districts_Boroughs!CZ19</f>
        <v>0</v>
      </c>
      <c r="W62" s="57">
        <f>[2]Districts_Boroughs!DA19</f>
        <v>0</v>
      </c>
      <c r="X62" s="57">
        <f>[2]Districts_Boroughs!DB19</f>
        <v>0</v>
      </c>
      <c r="Y62" s="57">
        <f>[2]Districts_Boroughs!DC19</f>
        <v>0</v>
      </c>
      <c r="Z62" s="57">
        <f>[2]Districts_Boroughs!DD19</f>
        <v>0</v>
      </c>
      <c r="AA62" s="57">
        <f>[2]Districts_Boroughs!DE19</f>
        <v>0</v>
      </c>
      <c r="AB62" s="57">
        <f>[2]Districts_Boroughs!DF19</f>
        <v>0</v>
      </c>
      <c r="AC62" s="57">
        <f>[2]Districts_Boroughs!DG19</f>
        <v>0</v>
      </c>
      <c r="AD62" s="57">
        <f>[2]Districts_Boroughs!DH19</f>
        <v>0</v>
      </c>
      <c r="AE62" s="57">
        <f>[2]Districts_Boroughs!DI19</f>
        <v>0</v>
      </c>
      <c r="AF62" s="57">
        <f>[2]Districts_Boroughs!DJ19</f>
        <v>0</v>
      </c>
      <c r="AG62" s="57">
        <f>[2]Districts_Boroughs!DK19</f>
        <v>0</v>
      </c>
      <c r="AH62" s="57">
        <f>[2]Districts_Boroughs!DL19</f>
        <v>0</v>
      </c>
      <c r="AI62" s="57">
        <f>[2]Districts_Boroughs!DM19</f>
        <v>0</v>
      </c>
      <c r="AJ62" s="57">
        <f>[2]Districts_Boroughs!DN19</f>
        <v>0</v>
      </c>
      <c r="AK62" s="57">
        <f>[2]Districts_Boroughs!DO19</f>
        <v>0</v>
      </c>
      <c r="AL62" s="57">
        <f>[2]Districts_Boroughs!DP19</f>
        <v>0</v>
      </c>
      <c r="AM62" s="57">
        <f>[2]Districts_Boroughs!DQ19</f>
        <v>0</v>
      </c>
      <c r="AN62" s="57">
        <f>[2]Districts_Boroughs!DR19</f>
        <v>0</v>
      </c>
      <c r="AO62" s="57">
        <f>[2]Districts_Boroughs!DS19</f>
        <v>0</v>
      </c>
      <c r="AP62" s="57">
        <f>[2]Districts_Boroughs!DT19</f>
        <v>0</v>
      </c>
      <c r="AQ62" s="57">
        <f>[2]Districts_Boroughs!DU19</f>
        <v>0</v>
      </c>
      <c r="AR62" s="57">
        <f>[2]Districts_Boroughs!DV19</f>
        <v>0</v>
      </c>
      <c r="AS62" s="57">
        <f>[2]Districts_Boroughs!DW19</f>
        <v>0</v>
      </c>
      <c r="AT62" s="57">
        <f>[2]Districts_Boroughs!DX19</f>
        <v>0</v>
      </c>
      <c r="AU62" s="57">
        <f>[2]Districts_Boroughs!DY19</f>
        <v>0</v>
      </c>
      <c r="AV62" s="57">
        <f>[2]Districts_Boroughs!DZ19</f>
        <v>0</v>
      </c>
      <c r="AW62" s="57">
        <f>[2]Districts_Boroughs!EA19</f>
        <v>0</v>
      </c>
      <c r="AX62" s="57">
        <f>[2]Districts_Boroughs!EB19</f>
        <v>0</v>
      </c>
      <c r="AY62" s="57">
        <f>[2]Districts_Boroughs!EC19</f>
        <v>0</v>
      </c>
    </row>
    <row r="63" spans="2:51" x14ac:dyDescent="0.35">
      <c r="B63" t="str">
        <f t="shared" si="2"/>
        <v>North WarwickshireVAP With Injury - Alcohol Related</v>
      </c>
      <c r="C63" s="329" t="s">
        <v>43</v>
      </c>
      <c r="D63" s="57">
        <f>[2]Districts_Boroughs!CH20</f>
        <v>6</v>
      </c>
      <c r="E63" s="57">
        <f>[2]Districts_Boroughs!CI20</f>
        <v>1</v>
      </c>
      <c r="F63" s="57">
        <f>[2]Districts_Boroughs!CJ20</f>
        <v>7</v>
      </c>
      <c r="G63" s="57">
        <f>[2]Districts_Boroughs!CK20</f>
        <v>7</v>
      </c>
      <c r="H63" s="57">
        <f>[2]Districts_Boroughs!CL20</f>
        <v>2</v>
      </c>
      <c r="I63" s="57">
        <f>[2]Districts_Boroughs!CM20</f>
        <v>3</v>
      </c>
      <c r="J63" s="57">
        <f>[2]Districts_Boroughs!CN20</f>
        <v>7</v>
      </c>
      <c r="K63" s="57">
        <f>[2]Districts_Boroughs!CO20</f>
        <v>2</v>
      </c>
      <c r="L63" s="57">
        <f>[2]Districts_Boroughs!CP20</f>
        <v>6</v>
      </c>
      <c r="M63" s="57">
        <f>[2]Districts_Boroughs!CQ20</f>
        <v>5</v>
      </c>
      <c r="N63" s="57">
        <f>[2]Districts_Boroughs!CR20</f>
        <v>6</v>
      </c>
      <c r="O63" s="57">
        <f>[2]Districts_Boroughs!CS20</f>
        <v>4</v>
      </c>
      <c r="P63" s="57">
        <f>[2]Districts_Boroughs!CT20</f>
        <v>4</v>
      </c>
      <c r="Q63" s="57">
        <f>[2]Districts_Boroughs!CU20</f>
        <v>4</v>
      </c>
      <c r="R63" s="57">
        <f>[2]Districts_Boroughs!CV20</f>
        <v>5</v>
      </c>
      <c r="S63" s="57">
        <f>[2]Districts_Boroughs!CW20</f>
        <v>4</v>
      </c>
      <c r="T63" s="57">
        <f>[2]Districts_Boroughs!CX20</f>
        <v>2</v>
      </c>
      <c r="U63" s="57">
        <f>[2]Districts_Boroughs!CY20</f>
        <v>5</v>
      </c>
      <c r="V63" s="57">
        <f>[2]Districts_Boroughs!CZ20</f>
        <v>5</v>
      </c>
      <c r="W63" s="57">
        <f>[2]Districts_Boroughs!DA20</f>
        <v>2</v>
      </c>
      <c r="X63" s="57">
        <f>[2]Districts_Boroughs!DB20</f>
        <v>8</v>
      </c>
      <c r="Y63" s="57">
        <f>[2]Districts_Boroughs!DC20</f>
        <v>2</v>
      </c>
      <c r="Z63" s="57">
        <f>[2]Districts_Boroughs!DD20</f>
        <v>2</v>
      </c>
      <c r="AA63" s="57">
        <f>[2]Districts_Boroughs!DE20</f>
        <v>11</v>
      </c>
      <c r="AB63" s="57">
        <f>[2]Districts_Boroughs!DF20</f>
        <v>2</v>
      </c>
      <c r="AC63" s="57">
        <f>[2]Districts_Boroughs!DG20</f>
        <v>2</v>
      </c>
      <c r="AD63" s="57">
        <f>[2]Districts_Boroughs!DH20</f>
        <v>6</v>
      </c>
      <c r="AE63" s="57">
        <f>[2]Districts_Boroughs!DI20</f>
        <v>6</v>
      </c>
      <c r="AF63" s="57">
        <f>[2]Districts_Boroughs!DJ20</f>
        <v>6</v>
      </c>
      <c r="AG63" s="57">
        <f>[2]Districts_Boroughs!DK20</f>
        <v>6</v>
      </c>
      <c r="AH63" s="57">
        <f>[2]Districts_Boroughs!DL20</f>
        <v>5</v>
      </c>
      <c r="AI63" s="57">
        <f>[2]Districts_Boroughs!DM20</f>
        <v>3</v>
      </c>
      <c r="AJ63" s="57">
        <f>[2]Districts_Boroughs!DN20</f>
        <v>5</v>
      </c>
      <c r="AK63" s="57">
        <f>[2]Districts_Boroughs!DO20</f>
        <v>5</v>
      </c>
      <c r="AL63" s="57">
        <f>[2]Districts_Boroughs!DP20</f>
        <v>0</v>
      </c>
      <c r="AM63" s="57">
        <f>[2]Districts_Boroughs!DQ20</f>
        <v>8</v>
      </c>
      <c r="AN63" s="57">
        <f>[2]Districts_Boroughs!DR20</f>
        <v>6</v>
      </c>
      <c r="AO63" s="57">
        <f>[2]Districts_Boroughs!DS20</f>
        <v>3</v>
      </c>
      <c r="AP63" s="57">
        <f>[2]Districts_Boroughs!DT20</f>
        <v>7</v>
      </c>
      <c r="AQ63" s="57">
        <f>[2]Districts_Boroughs!DU20</f>
        <v>4</v>
      </c>
      <c r="AR63" s="57">
        <f>[2]Districts_Boroughs!DV20</f>
        <v>6</v>
      </c>
      <c r="AS63" s="57">
        <f>[2]Districts_Boroughs!DW20</f>
        <v>1</v>
      </c>
      <c r="AT63" s="57">
        <f>[2]Districts_Boroughs!DX20</f>
        <v>3</v>
      </c>
      <c r="AU63" s="57">
        <f>[2]Districts_Boroughs!DY20</f>
        <v>7</v>
      </c>
      <c r="AV63" s="57">
        <f>[2]Districts_Boroughs!DZ20</f>
        <v>3</v>
      </c>
      <c r="AW63" s="57">
        <f>[2]Districts_Boroughs!EA20</f>
        <v>4</v>
      </c>
      <c r="AX63" s="57">
        <f>[2]Districts_Boroughs!EB20</f>
        <v>1</v>
      </c>
      <c r="AY63" s="57">
        <f>[2]Districts_Boroughs!EC20</f>
        <v>1</v>
      </c>
    </row>
    <row r="64" spans="2:51" s="64" customFormat="1" x14ac:dyDescent="0.35">
      <c r="B64" s="64" t="str">
        <f t="shared" si="2"/>
        <v>North WarwickshireVAP Without Injury - Alcohol Related</v>
      </c>
      <c r="C64" s="329" t="s">
        <v>198</v>
      </c>
      <c r="D64" s="57">
        <f>[2]Districts_Boroughs!CH21</f>
        <v>11</v>
      </c>
      <c r="E64" s="57">
        <f>[2]Districts_Boroughs!CI21</f>
        <v>5</v>
      </c>
      <c r="F64" s="57">
        <f>[2]Districts_Boroughs!CJ21</f>
        <v>10</v>
      </c>
      <c r="G64" s="57">
        <f>[2]Districts_Boroughs!CK21</f>
        <v>3</v>
      </c>
      <c r="H64" s="57">
        <f>[2]Districts_Boroughs!CL21</f>
        <v>5</v>
      </c>
      <c r="I64" s="57">
        <f>[2]Districts_Boroughs!CM21</f>
        <v>5</v>
      </c>
      <c r="J64" s="57">
        <f>[2]Districts_Boroughs!CN21</f>
        <v>8</v>
      </c>
      <c r="K64" s="57">
        <f>[2]Districts_Boroughs!CO21</f>
        <v>8</v>
      </c>
      <c r="L64" s="57">
        <f>[2]Districts_Boroughs!CP21</f>
        <v>5</v>
      </c>
      <c r="M64" s="57">
        <f>[2]Districts_Boroughs!CQ21</f>
        <v>8</v>
      </c>
      <c r="N64" s="57">
        <f>[2]Districts_Boroughs!CR21</f>
        <v>7</v>
      </c>
      <c r="O64" s="57">
        <f>[2]Districts_Boroughs!CS21</f>
        <v>7</v>
      </c>
      <c r="P64" s="57">
        <f>[2]Districts_Boroughs!CT21</f>
        <v>10</v>
      </c>
      <c r="Q64" s="57">
        <f>[2]Districts_Boroughs!CU21</f>
        <v>6</v>
      </c>
      <c r="R64" s="57">
        <f>[2]Districts_Boroughs!CV21</f>
        <v>6</v>
      </c>
      <c r="S64" s="57">
        <f>[2]Districts_Boroughs!CW21</f>
        <v>8</v>
      </c>
      <c r="T64" s="57">
        <f>[2]Districts_Boroughs!CX21</f>
        <v>2</v>
      </c>
      <c r="U64" s="57">
        <f>[2]Districts_Boroughs!CY21</f>
        <v>4</v>
      </c>
      <c r="V64" s="57">
        <f>[2]Districts_Boroughs!CZ21</f>
        <v>10</v>
      </c>
      <c r="W64" s="57">
        <f>[2]Districts_Boroughs!DA21</f>
        <v>4</v>
      </c>
      <c r="X64" s="57">
        <f>[2]Districts_Boroughs!DB21</f>
        <v>6</v>
      </c>
      <c r="Y64" s="57">
        <f>[2]Districts_Boroughs!DC21</f>
        <v>6</v>
      </c>
      <c r="Z64" s="57">
        <f>[2]Districts_Boroughs!DD21</f>
        <v>4</v>
      </c>
      <c r="AA64" s="57">
        <f>[2]Districts_Boroughs!DE21</f>
        <v>7</v>
      </c>
      <c r="AB64" s="57">
        <f>[2]Districts_Boroughs!DF21</f>
        <v>7</v>
      </c>
      <c r="AC64" s="57">
        <f>[2]Districts_Boroughs!DG21</f>
        <v>4</v>
      </c>
      <c r="AD64" s="57">
        <f>[2]Districts_Boroughs!DH21</f>
        <v>9</v>
      </c>
      <c r="AE64" s="57">
        <f>[2]Districts_Boroughs!DI21</f>
        <v>6</v>
      </c>
      <c r="AF64" s="57">
        <f>[2]Districts_Boroughs!DJ21</f>
        <v>5</v>
      </c>
      <c r="AG64" s="57">
        <f>[2]Districts_Boroughs!DK21</f>
        <v>2</v>
      </c>
      <c r="AH64" s="57">
        <f>[2]Districts_Boroughs!DL21</f>
        <v>4</v>
      </c>
      <c r="AI64" s="57">
        <f>[2]Districts_Boroughs!DM21</f>
        <v>5</v>
      </c>
      <c r="AJ64" s="57">
        <f>[2]Districts_Boroughs!DN21</f>
        <v>5</v>
      </c>
      <c r="AK64" s="57">
        <f>[2]Districts_Boroughs!DO21</f>
        <v>8</v>
      </c>
      <c r="AL64" s="57">
        <f>[2]Districts_Boroughs!DP21</f>
        <v>1</v>
      </c>
      <c r="AM64" s="57">
        <f>[2]Districts_Boroughs!DQ21</f>
        <v>3</v>
      </c>
      <c r="AN64" s="57">
        <f>[2]Districts_Boroughs!DR21</f>
        <v>3</v>
      </c>
      <c r="AO64" s="57">
        <f>[2]Districts_Boroughs!DS21</f>
        <v>1</v>
      </c>
      <c r="AP64" s="57">
        <f>[2]Districts_Boroughs!DT21</f>
        <v>5</v>
      </c>
      <c r="AQ64" s="57">
        <f>[2]Districts_Boroughs!DU21</f>
        <v>6</v>
      </c>
      <c r="AR64" s="57">
        <f>[2]Districts_Boroughs!DV21</f>
        <v>5</v>
      </c>
      <c r="AS64" s="57">
        <f>[2]Districts_Boroughs!DW21</f>
        <v>5</v>
      </c>
      <c r="AT64" s="57">
        <f>[2]Districts_Boroughs!DX21</f>
        <v>1</v>
      </c>
      <c r="AU64" s="57">
        <f>[2]Districts_Boroughs!DY21</f>
        <v>7</v>
      </c>
      <c r="AV64" s="57">
        <f>[2]Districts_Boroughs!DZ21</f>
        <v>1</v>
      </c>
      <c r="AW64" s="57">
        <f>[2]Districts_Boroughs!EA21</f>
        <v>7</v>
      </c>
      <c r="AX64" s="57">
        <f>[2]Districts_Boroughs!EB21</f>
        <v>5</v>
      </c>
      <c r="AY64" s="57">
        <f>[2]Districts_Boroughs!EC21</f>
        <v>4</v>
      </c>
    </row>
    <row r="65" spans="2:51" s="64" customFormat="1" x14ac:dyDescent="0.35">
      <c r="B65" s="64" t="str">
        <f t="shared" si="2"/>
        <v>North WarwickshireAll violence - alcohol related</v>
      </c>
      <c r="C65" s="326" t="s">
        <v>204</v>
      </c>
      <c r="D65" s="619">
        <f t="shared" ref="D65" si="4">SUM(D63:D64)</f>
        <v>17</v>
      </c>
      <c r="E65" s="619">
        <f t="shared" ref="E65:AY65" si="5">SUM(E63:E64)</f>
        <v>6</v>
      </c>
      <c r="F65" s="619">
        <f t="shared" si="5"/>
        <v>17</v>
      </c>
      <c r="G65" s="619">
        <f t="shared" si="5"/>
        <v>10</v>
      </c>
      <c r="H65" s="619">
        <f t="shared" si="5"/>
        <v>7</v>
      </c>
      <c r="I65" s="619">
        <f t="shared" si="5"/>
        <v>8</v>
      </c>
      <c r="J65" s="619">
        <f t="shared" si="5"/>
        <v>15</v>
      </c>
      <c r="K65" s="619">
        <f t="shared" si="5"/>
        <v>10</v>
      </c>
      <c r="L65" s="619">
        <f t="shared" si="5"/>
        <v>11</v>
      </c>
      <c r="M65" s="619">
        <f t="shared" si="5"/>
        <v>13</v>
      </c>
      <c r="N65" s="619">
        <f t="shared" si="5"/>
        <v>13</v>
      </c>
      <c r="O65" s="619">
        <f t="shared" si="5"/>
        <v>11</v>
      </c>
      <c r="P65" s="619">
        <f t="shared" si="5"/>
        <v>14</v>
      </c>
      <c r="Q65" s="619">
        <f t="shared" si="5"/>
        <v>10</v>
      </c>
      <c r="R65" s="619">
        <f t="shared" si="5"/>
        <v>11</v>
      </c>
      <c r="S65" s="619">
        <f t="shared" si="5"/>
        <v>12</v>
      </c>
      <c r="T65" s="619">
        <f t="shared" si="5"/>
        <v>4</v>
      </c>
      <c r="U65" s="619">
        <f t="shared" si="5"/>
        <v>9</v>
      </c>
      <c r="V65" s="619">
        <f t="shared" si="5"/>
        <v>15</v>
      </c>
      <c r="W65" s="619">
        <f t="shared" si="5"/>
        <v>6</v>
      </c>
      <c r="X65" s="619">
        <f t="shared" si="5"/>
        <v>14</v>
      </c>
      <c r="Y65" s="619">
        <f t="shared" si="5"/>
        <v>8</v>
      </c>
      <c r="Z65" s="619">
        <f t="shared" si="5"/>
        <v>6</v>
      </c>
      <c r="AA65" s="619">
        <f t="shared" si="5"/>
        <v>18</v>
      </c>
      <c r="AB65" s="619">
        <f t="shared" si="5"/>
        <v>9</v>
      </c>
      <c r="AC65" s="619">
        <f t="shared" si="5"/>
        <v>6</v>
      </c>
      <c r="AD65" s="619">
        <f t="shared" si="5"/>
        <v>15</v>
      </c>
      <c r="AE65" s="619">
        <f t="shared" si="5"/>
        <v>12</v>
      </c>
      <c r="AF65" s="619">
        <f t="shared" si="5"/>
        <v>11</v>
      </c>
      <c r="AG65" s="619">
        <f t="shared" si="5"/>
        <v>8</v>
      </c>
      <c r="AH65" s="619">
        <f t="shared" si="5"/>
        <v>9</v>
      </c>
      <c r="AI65" s="619">
        <f t="shared" si="5"/>
        <v>8</v>
      </c>
      <c r="AJ65" s="619">
        <f t="shared" si="5"/>
        <v>10</v>
      </c>
      <c r="AK65" s="619">
        <f t="shared" si="5"/>
        <v>13</v>
      </c>
      <c r="AL65" s="619">
        <f t="shared" si="5"/>
        <v>1</v>
      </c>
      <c r="AM65" s="619">
        <f t="shared" si="5"/>
        <v>11</v>
      </c>
      <c r="AN65" s="619">
        <f t="shared" si="5"/>
        <v>9</v>
      </c>
      <c r="AO65" s="619">
        <f t="shared" si="5"/>
        <v>4</v>
      </c>
      <c r="AP65" s="619">
        <f t="shared" si="5"/>
        <v>12</v>
      </c>
      <c r="AQ65" s="619">
        <f t="shared" si="5"/>
        <v>10</v>
      </c>
      <c r="AR65" s="619">
        <f t="shared" si="5"/>
        <v>11</v>
      </c>
      <c r="AS65" s="619">
        <f t="shared" si="5"/>
        <v>6</v>
      </c>
      <c r="AT65" s="619">
        <f t="shared" si="5"/>
        <v>4</v>
      </c>
      <c r="AU65" s="619">
        <f t="shared" si="5"/>
        <v>14</v>
      </c>
      <c r="AV65" s="619">
        <f t="shared" si="5"/>
        <v>4</v>
      </c>
      <c r="AW65" s="619">
        <f t="shared" si="5"/>
        <v>11</v>
      </c>
      <c r="AX65" s="619">
        <f t="shared" si="5"/>
        <v>6</v>
      </c>
      <c r="AY65" s="619">
        <f t="shared" si="5"/>
        <v>5</v>
      </c>
    </row>
    <row r="66" spans="2:51" x14ac:dyDescent="0.35">
      <c r="B66" t="str">
        <f t="shared" si="2"/>
        <v>North WarwickshireVAP With Injury - Drug Related</v>
      </c>
      <c r="C66" s="329" t="s">
        <v>44</v>
      </c>
      <c r="D66" s="57">
        <f>[2]Districts_Boroughs!CH22</f>
        <v>1</v>
      </c>
      <c r="E66" s="57">
        <f>[2]Districts_Boroughs!CI22</f>
        <v>0</v>
      </c>
      <c r="F66" s="57">
        <f>[2]Districts_Boroughs!CJ22</f>
        <v>1</v>
      </c>
      <c r="G66" s="57">
        <f>[2]Districts_Boroughs!CK22</f>
        <v>0</v>
      </c>
      <c r="H66" s="57">
        <f>[2]Districts_Boroughs!CL22</f>
        <v>0</v>
      </c>
      <c r="I66" s="57">
        <f>[2]Districts_Boroughs!CM22</f>
        <v>0</v>
      </c>
      <c r="J66" s="57">
        <f>[2]Districts_Boroughs!CN22</f>
        <v>1</v>
      </c>
      <c r="K66" s="57">
        <f>[2]Districts_Boroughs!CO22</f>
        <v>0</v>
      </c>
      <c r="L66" s="57">
        <f>[2]Districts_Boroughs!CP22</f>
        <v>0</v>
      </c>
      <c r="M66" s="57">
        <f>[2]Districts_Boroughs!CQ22</f>
        <v>0</v>
      </c>
      <c r="N66" s="57">
        <f>[2]Districts_Boroughs!CR22</f>
        <v>0</v>
      </c>
      <c r="O66" s="57">
        <f>[2]Districts_Boroughs!CS22</f>
        <v>0</v>
      </c>
      <c r="P66" s="57">
        <f>[2]Districts_Boroughs!CT22</f>
        <v>0</v>
      </c>
      <c r="Q66" s="57">
        <f>[2]Districts_Boroughs!CU22</f>
        <v>0</v>
      </c>
      <c r="R66" s="57">
        <f>[2]Districts_Boroughs!CV22</f>
        <v>0</v>
      </c>
      <c r="S66" s="57">
        <f>[2]Districts_Boroughs!CW22</f>
        <v>1</v>
      </c>
      <c r="T66" s="57">
        <f>[2]Districts_Boroughs!CX22</f>
        <v>0</v>
      </c>
      <c r="U66" s="57">
        <f>[2]Districts_Boroughs!CY22</f>
        <v>0</v>
      </c>
      <c r="V66" s="57">
        <f>[2]Districts_Boroughs!CZ22</f>
        <v>0</v>
      </c>
      <c r="W66" s="57">
        <f>[2]Districts_Boroughs!DA22</f>
        <v>0</v>
      </c>
      <c r="X66" s="57">
        <f>[2]Districts_Boroughs!DB22</f>
        <v>0</v>
      </c>
      <c r="Y66" s="57">
        <f>[2]Districts_Boroughs!DC22</f>
        <v>0</v>
      </c>
      <c r="Z66" s="57">
        <f>[2]Districts_Boroughs!DD22</f>
        <v>0</v>
      </c>
      <c r="AA66" s="57">
        <f>[2]Districts_Boroughs!DE22</f>
        <v>0</v>
      </c>
      <c r="AB66" s="57">
        <f>[2]Districts_Boroughs!DF22</f>
        <v>0</v>
      </c>
      <c r="AC66" s="57">
        <f>[2]Districts_Boroughs!DG22</f>
        <v>0</v>
      </c>
      <c r="AD66" s="57">
        <f>[2]Districts_Boroughs!DH22</f>
        <v>1</v>
      </c>
      <c r="AE66" s="57">
        <f>[2]Districts_Boroughs!DI22</f>
        <v>1</v>
      </c>
      <c r="AF66" s="57">
        <f>[2]Districts_Boroughs!DJ22</f>
        <v>2</v>
      </c>
      <c r="AG66" s="57">
        <f>[2]Districts_Boroughs!DK22</f>
        <v>0</v>
      </c>
      <c r="AH66" s="57">
        <f>[2]Districts_Boroughs!DL22</f>
        <v>1</v>
      </c>
      <c r="AI66" s="57">
        <f>[2]Districts_Boroughs!DM22</f>
        <v>1</v>
      </c>
      <c r="AJ66" s="57">
        <f>[2]Districts_Boroughs!DN22</f>
        <v>0</v>
      </c>
      <c r="AK66" s="57">
        <f>[2]Districts_Boroughs!DO22</f>
        <v>1</v>
      </c>
      <c r="AL66" s="57">
        <f>[2]Districts_Boroughs!DP22</f>
        <v>0</v>
      </c>
      <c r="AM66" s="57">
        <f>[2]Districts_Boroughs!DQ22</f>
        <v>0</v>
      </c>
      <c r="AN66" s="57">
        <f>[2]Districts_Boroughs!DR22</f>
        <v>0</v>
      </c>
      <c r="AO66" s="57">
        <f>[2]Districts_Boroughs!DS22</f>
        <v>0</v>
      </c>
      <c r="AP66" s="57">
        <f>[2]Districts_Boroughs!DT22</f>
        <v>1</v>
      </c>
      <c r="AQ66" s="57">
        <f>[2]Districts_Boroughs!DU22</f>
        <v>0</v>
      </c>
      <c r="AR66" s="57">
        <f>[2]Districts_Boroughs!DV22</f>
        <v>0</v>
      </c>
      <c r="AS66" s="57">
        <f>[2]Districts_Boroughs!DW22</f>
        <v>0</v>
      </c>
      <c r="AT66" s="57">
        <f>[2]Districts_Boroughs!DX22</f>
        <v>0</v>
      </c>
      <c r="AU66" s="57">
        <f>[2]Districts_Boroughs!DY22</f>
        <v>0</v>
      </c>
      <c r="AV66" s="57">
        <f>[2]Districts_Boroughs!DZ22</f>
        <v>0</v>
      </c>
      <c r="AW66" s="57">
        <f>[2]Districts_Boroughs!EA22</f>
        <v>0</v>
      </c>
      <c r="AX66" s="57">
        <f>[2]Districts_Boroughs!EB22</f>
        <v>1</v>
      </c>
      <c r="AY66" s="57">
        <f>[2]Districts_Boroughs!EC22</f>
        <v>0</v>
      </c>
    </row>
    <row r="67" spans="2:51" s="64" customFormat="1" x14ac:dyDescent="0.35">
      <c r="B67" s="64" t="str">
        <f t="shared" si="2"/>
        <v>North WarwickshireVAP Without Injury - Drug Related</v>
      </c>
      <c r="C67" s="329" t="s">
        <v>199</v>
      </c>
      <c r="D67" s="57">
        <f>[2]Districts_Boroughs!CH23</f>
        <v>0</v>
      </c>
      <c r="E67" s="57">
        <f>[2]Districts_Boroughs!CI23</f>
        <v>1</v>
      </c>
      <c r="F67" s="57">
        <f>[2]Districts_Boroughs!CJ23</f>
        <v>2</v>
      </c>
      <c r="G67" s="57">
        <f>[2]Districts_Boroughs!CK23</f>
        <v>0</v>
      </c>
      <c r="H67" s="57">
        <f>[2]Districts_Boroughs!CL23</f>
        <v>0</v>
      </c>
      <c r="I67" s="57">
        <f>[2]Districts_Boroughs!CM23</f>
        <v>0</v>
      </c>
      <c r="J67" s="57">
        <f>[2]Districts_Boroughs!CN23</f>
        <v>1</v>
      </c>
      <c r="K67" s="57">
        <f>[2]Districts_Boroughs!CO23</f>
        <v>0</v>
      </c>
      <c r="L67" s="57">
        <f>[2]Districts_Boroughs!CP23</f>
        <v>0</v>
      </c>
      <c r="M67" s="57">
        <f>[2]Districts_Boroughs!CQ23</f>
        <v>0</v>
      </c>
      <c r="N67" s="57">
        <f>[2]Districts_Boroughs!CR23</f>
        <v>0</v>
      </c>
      <c r="O67" s="57">
        <f>[2]Districts_Boroughs!CS23</f>
        <v>1</v>
      </c>
      <c r="P67" s="57">
        <f>[2]Districts_Boroughs!CT23</f>
        <v>0</v>
      </c>
      <c r="Q67" s="57">
        <f>[2]Districts_Boroughs!CU23</f>
        <v>0</v>
      </c>
      <c r="R67" s="57">
        <f>[2]Districts_Boroughs!CV23</f>
        <v>1</v>
      </c>
      <c r="S67" s="57">
        <f>[2]Districts_Boroughs!CW23</f>
        <v>1</v>
      </c>
      <c r="T67" s="57">
        <f>[2]Districts_Boroughs!CX23</f>
        <v>0</v>
      </c>
      <c r="U67" s="57">
        <f>[2]Districts_Boroughs!CY23</f>
        <v>0</v>
      </c>
      <c r="V67" s="57">
        <f>[2]Districts_Boroughs!CZ23</f>
        <v>0</v>
      </c>
      <c r="W67" s="57">
        <f>[2]Districts_Boroughs!DA23</f>
        <v>0</v>
      </c>
      <c r="X67" s="57">
        <f>[2]Districts_Boroughs!DB23</f>
        <v>0</v>
      </c>
      <c r="Y67" s="57">
        <f>[2]Districts_Boroughs!DC23</f>
        <v>2</v>
      </c>
      <c r="Z67" s="57">
        <f>[2]Districts_Boroughs!DD23</f>
        <v>0</v>
      </c>
      <c r="AA67" s="57">
        <f>[2]Districts_Boroughs!DE23</f>
        <v>2</v>
      </c>
      <c r="AB67" s="57">
        <f>[2]Districts_Boroughs!DF23</f>
        <v>1</v>
      </c>
      <c r="AC67" s="57">
        <f>[2]Districts_Boroughs!DG23</f>
        <v>0</v>
      </c>
      <c r="AD67" s="57">
        <f>[2]Districts_Boroughs!DH23</f>
        <v>1</v>
      </c>
      <c r="AE67" s="57">
        <f>[2]Districts_Boroughs!DI23</f>
        <v>0</v>
      </c>
      <c r="AF67" s="57">
        <f>[2]Districts_Boroughs!DJ23</f>
        <v>1</v>
      </c>
      <c r="AG67" s="57">
        <f>[2]Districts_Boroughs!DK23</f>
        <v>0</v>
      </c>
      <c r="AH67" s="57">
        <f>[2]Districts_Boroughs!DL23</f>
        <v>0</v>
      </c>
      <c r="AI67" s="57">
        <f>[2]Districts_Boroughs!DM23</f>
        <v>1</v>
      </c>
      <c r="AJ67" s="57">
        <f>[2]Districts_Boroughs!DN23</f>
        <v>0</v>
      </c>
      <c r="AK67" s="57">
        <f>[2]Districts_Boroughs!DO23</f>
        <v>2</v>
      </c>
      <c r="AL67" s="57">
        <f>[2]Districts_Boroughs!DP23</f>
        <v>0</v>
      </c>
      <c r="AM67" s="57">
        <f>[2]Districts_Boroughs!DQ23</f>
        <v>0</v>
      </c>
      <c r="AN67" s="57">
        <f>[2]Districts_Boroughs!DR23</f>
        <v>0</v>
      </c>
      <c r="AO67" s="57">
        <f>[2]Districts_Boroughs!DS23</f>
        <v>0</v>
      </c>
      <c r="AP67" s="57">
        <f>[2]Districts_Boroughs!DT23</f>
        <v>0</v>
      </c>
      <c r="AQ67" s="57">
        <f>[2]Districts_Boroughs!DU23</f>
        <v>0</v>
      </c>
      <c r="AR67" s="57">
        <f>[2]Districts_Boroughs!DV23</f>
        <v>0</v>
      </c>
      <c r="AS67" s="57">
        <f>[2]Districts_Boroughs!DW23</f>
        <v>0</v>
      </c>
      <c r="AT67" s="57">
        <f>[2]Districts_Boroughs!DX23</f>
        <v>0</v>
      </c>
      <c r="AU67" s="57">
        <f>[2]Districts_Boroughs!DY23</f>
        <v>1</v>
      </c>
      <c r="AV67" s="57">
        <f>[2]Districts_Boroughs!DZ23</f>
        <v>0</v>
      </c>
      <c r="AW67" s="57">
        <f>[2]Districts_Boroughs!EA23</f>
        <v>0</v>
      </c>
      <c r="AX67" s="57">
        <f>[2]Districts_Boroughs!EB23</f>
        <v>0</v>
      </c>
      <c r="AY67" s="57">
        <f>[2]Districts_Boroughs!EC23</f>
        <v>0</v>
      </c>
    </row>
    <row r="68" spans="2:51" x14ac:dyDescent="0.35">
      <c r="B68" t="str">
        <f t="shared" si="2"/>
        <v>North WarwickshireVAP With Injury- Domestic Abuse Related</v>
      </c>
      <c r="C68" s="329" t="s">
        <v>45</v>
      </c>
      <c r="D68" s="57">
        <f>[2]Districts_Boroughs!CH24</f>
        <v>21</v>
      </c>
      <c r="E68" s="57">
        <f>[2]Districts_Boroughs!CI24</f>
        <v>13</v>
      </c>
      <c r="F68" s="57">
        <f>[2]Districts_Boroughs!CJ24</f>
        <v>21</v>
      </c>
      <c r="G68" s="57">
        <f>[2]Districts_Boroughs!CK24</f>
        <v>21</v>
      </c>
      <c r="H68" s="57">
        <f>[2]Districts_Boroughs!CL24</f>
        <v>11</v>
      </c>
      <c r="I68" s="57">
        <f>[2]Districts_Boroughs!CM24</f>
        <v>22</v>
      </c>
      <c r="J68" s="57">
        <f>[2]Districts_Boroughs!CN24</f>
        <v>22</v>
      </c>
      <c r="K68" s="57">
        <f>[2]Districts_Boroughs!CO24</f>
        <v>15</v>
      </c>
      <c r="L68" s="57">
        <f>[2]Districts_Boroughs!CP24</f>
        <v>7</v>
      </c>
      <c r="M68" s="57">
        <f>[2]Districts_Boroughs!CQ24</f>
        <v>11</v>
      </c>
      <c r="N68" s="57">
        <f>[2]Districts_Boroughs!CR24</f>
        <v>9</v>
      </c>
      <c r="O68" s="57">
        <f>[2]Districts_Boroughs!CS24</f>
        <v>12</v>
      </c>
      <c r="P68" s="57">
        <f>[2]Districts_Boroughs!CT24</f>
        <v>26</v>
      </c>
      <c r="Q68" s="57">
        <f>[2]Districts_Boroughs!CU24</f>
        <v>13</v>
      </c>
      <c r="R68" s="57">
        <f>[2]Districts_Boroughs!CV24</f>
        <v>15</v>
      </c>
      <c r="S68" s="57">
        <f>[2]Districts_Boroughs!CW24</f>
        <v>15</v>
      </c>
      <c r="T68" s="57">
        <f>[2]Districts_Boroughs!CX24</f>
        <v>16</v>
      </c>
      <c r="U68" s="57">
        <f>[2]Districts_Boroughs!CY24</f>
        <v>17</v>
      </c>
      <c r="V68" s="57">
        <f>[2]Districts_Boroughs!CZ24</f>
        <v>15</v>
      </c>
      <c r="W68" s="57">
        <f>[2]Districts_Boroughs!DA24</f>
        <v>14</v>
      </c>
      <c r="X68" s="57">
        <f>[2]Districts_Boroughs!DB24</f>
        <v>17</v>
      </c>
      <c r="Y68" s="57">
        <f>[2]Districts_Boroughs!DC24</f>
        <v>13</v>
      </c>
      <c r="Z68" s="57">
        <f>[2]Districts_Boroughs!DD24</f>
        <v>11</v>
      </c>
      <c r="AA68" s="57">
        <f>[2]Districts_Boroughs!DE24</f>
        <v>18</v>
      </c>
      <c r="AB68" s="57">
        <f>[2]Districts_Boroughs!DF24</f>
        <v>15</v>
      </c>
      <c r="AC68" s="57">
        <f>[2]Districts_Boroughs!DG24</f>
        <v>11</v>
      </c>
      <c r="AD68" s="57">
        <f>[2]Districts_Boroughs!DH24</f>
        <v>18</v>
      </c>
      <c r="AE68" s="57">
        <f>[2]Districts_Boroughs!DI24</f>
        <v>22</v>
      </c>
      <c r="AF68" s="57">
        <f>[2]Districts_Boroughs!DJ24</f>
        <v>13</v>
      </c>
      <c r="AG68" s="57">
        <f>[2]Districts_Boroughs!DK24</f>
        <v>13</v>
      </c>
      <c r="AH68" s="57">
        <f>[2]Districts_Boroughs!DL24</f>
        <v>17</v>
      </c>
      <c r="AI68" s="57">
        <f>[2]Districts_Boroughs!DM24</f>
        <v>14</v>
      </c>
      <c r="AJ68" s="57">
        <f>[2]Districts_Boroughs!DN24</f>
        <v>23</v>
      </c>
      <c r="AK68" s="57">
        <f>[2]Districts_Boroughs!DO24</f>
        <v>16</v>
      </c>
      <c r="AL68" s="57">
        <f>[2]Districts_Boroughs!DP24</f>
        <v>9</v>
      </c>
      <c r="AM68" s="57">
        <f>[2]Districts_Boroughs!DQ24</f>
        <v>14</v>
      </c>
      <c r="AN68" s="57">
        <f>[2]Districts_Boroughs!DR24</f>
        <v>11</v>
      </c>
      <c r="AO68" s="57">
        <f>[2]Districts_Boroughs!DS24</f>
        <v>8</v>
      </c>
      <c r="AP68" s="57">
        <f>[2]Districts_Boroughs!DT24</f>
        <v>16</v>
      </c>
      <c r="AQ68" s="57">
        <f>[2]Districts_Boroughs!DU24</f>
        <v>19</v>
      </c>
      <c r="AR68" s="57">
        <f>[2]Districts_Boroughs!DV24</f>
        <v>10</v>
      </c>
      <c r="AS68" s="57">
        <f>[2]Districts_Boroughs!DW24</f>
        <v>10</v>
      </c>
      <c r="AT68" s="57">
        <f>[2]Districts_Boroughs!DX24</f>
        <v>11</v>
      </c>
      <c r="AU68" s="57">
        <f>[2]Districts_Boroughs!DY24</f>
        <v>11</v>
      </c>
      <c r="AV68" s="57">
        <f>[2]Districts_Boroughs!DZ24</f>
        <v>16</v>
      </c>
      <c r="AW68" s="57">
        <f>[2]Districts_Boroughs!EA24</f>
        <v>16</v>
      </c>
      <c r="AX68" s="57">
        <f>[2]Districts_Boroughs!EB24</f>
        <v>12</v>
      </c>
      <c r="AY68" s="57">
        <f>[2]Districts_Boroughs!EC24</f>
        <v>17</v>
      </c>
    </row>
    <row r="69" spans="2:51" s="64" customFormat="1" x14ac:dyDescent="0.35">
      <c r="B69" s="64" t="str">
        <f t="shared" si="2"/>
        <v>North WarwickshireVAP Without Injury- Domestic Abuse Related</v>
      </c>
      <c r="C69" s="329" t="s">
        <v>191</v>
      </c>
      <c r="D69" s="57">
        <f>[2]Districts_Boroughs!CH25</f>
        <v>40</v>
      </c>
      <c r="E69" s="57">
        <f>[2]Districts_Boroughs!CI25</f>
        <v>42</v>
      </c>
      <c r="F69" s="57">
        <f>[2]Districts_Boroughs!CJ25</f>
        <v>45</v>
      </c>
      <c r="G69" s="57">
        <f>[2]Districts_Boroughs!CK25</f>
        <v>46</v>
      </c>
      <c r="H69" s="57">
        <f>[2]Districts_Boroughs!CL25</f>
        <v>33</v>
      </c>
      <c r="I69" s="57">
        <f>[2]Districts_Boroughs!CM25</f>
        <v>32</v>
      </c>
      <c r="J69" s="57">
        <f>[2]Districts_Boroughs!CN25</f>
        <v>36</v>
      </c>
      <c r="K69" s="57">
        <f>[2]Districts_Boroughs!CO25</f>
        <v>30</v>
      </c>
      <c r="L69" s="57">
        <f>[2]Districts_Boroughs!CP25</f>
        <v>41</v>
      </c>
      <c r="M69" s="57">
        <f>[2]Districts_Boroughs!CQ25</f>
        <v>43</v>
      </c>
      <c r="N69" s="57">
        <f>[2]Districts_Boroughs!CR25</f>
        <v>27</v>
      </c>
      <c r="O69" s="57">
        <f>[2]Districts_Boroughs!CS25</f>
        <v>39</v>
      </c>
      <c r="P69" s="57">
        <f>[2]Districts_Boroughs!CT25</f>
        <v>36</v>
      </c>
      <c r="Q69" s="57">
        <f>[2]Districts_Boroughs!CU25</f>
        <v>39</v>
      </c>
      <c r="R69" s="57">
        <f>[2]Districts_Boroughs!CV25</f>
        <v>37</v>
      </c>
      <c r="S69" s="57">
        <f>[2]Districts_Boroughs!CW25</f>
        <v>37</v>
      </c>
      <c r="T69" s="57">
        <f>[2]Districts_Boroughs!CX25</f>
        <v>31</v>
      </c>
      <c r="U69" s="57">
        <f>[2]Districts_Boroughs!CY25</f>
        <v>31</v>
      </c>
      <c r="V69" s="57">
        <f>[2]Districts_Boroughs!CZ25</f>
        <v>27</v>
      </c>
      <c r="W69" s="57">
        <f>[2]Districts_Boroughs!DA25</f>
        <v>42</v>
      </c>
      <c r="X69" s="57">
        <f>[2]Districts_Boroughs!DB25</f>
        <v>37</v>
      </c>
      <c r="Y69" s="57">
        <f>[2]Districts_Boroughs!DC25</f>
        <v>23</v>
      </c>
      <c r="Z69" s="57">
        <f>[2]Districts_Boroughs!DD25</f>
        <v>41</v>
      </c>
      <c r="AA69" s="57">
        <f>[2]Districts_Boroughs!DE25</f>
        <v>53</v>
      </c>
      <c r="AB69" s="57">
        <f>[2]Districts_Boroughs!DF25</f>
        <v>30</v>
      </c>
      <c r="AC69" s="57">
        <f>[2]Districts_Boroughs!DG25</f>
        <v>37</v>
      </c>
      <c r="AD69" s="57">
        <f>[2]Districts_Boroughs!DH25</f>
        <v>27</v>
      </c>
      <c r="AE69" s="57">
        <f>[2]Districts_Boroughs!DI25</f>
        <v>38</v>
      </c>
      <c r="AF69" s="57">
        <f>[2]Districts_Boroughs!DJ25</f>
        <v>29</v>
      </c>
      <c r="AG69" s="57">
        <f>[2]Districts_Boroughs!DK25</f>
        <v>21</v>
      </c>
      <c r="AH69" s="57">
        <f>[2]Districts_Boroughs!DL25</f>
        <v>32</v>
      </c>
      <c r="AI69" s="57">
        <f>[2]Districts_Boroughs!DM25</f>
        <v>36</v>
      </c>
      <c r="AJ69" s="57">
        <f>[2]Districts_Boroughs!DN25</f>
        <v>32</v>
      </c>
      <c r="AK69" s="57">
        <f>[2]Districts_Boroughs!DO25</f>
        <v>37</v>
      </c>
      <c r="AL69" s="57">
        <f>[2]Districts_Boroughs!DP25</f>
        <v>23</v>
      </c>
      <c r="AM69" s="57">
        <f>[2]Districts_Boroughs!DQ25</f>
        <v>35</v>
      </c>
      <c r="AN69" s="57">
        <f>[2]Districts_Boroughs!DR25</f>
        <v>28</v>
      </c>
      <c r="AO69" s="57">
        <f>[2]Districts_Boroughs!DS25</f>
        <v>25</v>
      </c>
      <c r="AP69" s="57">
        <f>[2]Districts_Boroughs!DT25</f>
        <v>31</v>
      </c>
      <c r="AQ69" s="57">
        <f>[2]Districts_Boroughs!DU25</f>
        <v>35</v>
      </c>
      <c r="AR69" s="57">
        <f>[2]Districts_Boroughs!DV25</f>
        <v>43</v>
      </c>
      <c r="AS69" s="57">
        <f>[2]Districts_Boroughs!DW25</f>
        <v>29</v>
      </c>
      <c r="AT69" s="57">
        <f>[2]Districts_Boroughs!DX25</f>
        <v>22</v>
      </c>
      <c r="AU69" s="57">
        <f>[2]Districts_Boroughs!DY25</f>
        <v>30</v>
      </c>
      <c r="AV69" s="57">
        <f>[2]Districts_Boroughs!DZ25</f>
        <v>32</v>
      </c>
      <c r="AW69" s="57">
        <f>[2]Districts_Boroughs!EA25</f>
        <v>31</v>
      </c>
      <c r="AX69" s="57">
        <f>[2]Districts_Boroughs!EB25</f>
        <v>31</v>
      </c>
      <c r="AY69" s="57">
        <f>[2]Districts_Boroughs!EC25</f>
        <v>47</v>
      </c>
    </row>
    <row r="70" spans="2:51" x14ac:dyDescent="0.35">
      <c r="B70" t="str">
        <f t="shared" si="2"/>
        <v>North Warwickshire</v>
      </c>
      <c r="C70" s="329"/>
      <c r="D70" s="57">
        <f>[2]Districts_Boroughs!CH26</f>
        <v>0</v>
      </c>
      <c r="E70" s="57">
        <f>[2]Districts_Boroughs!CI26</f>
        <v>0</v>
      </c>
      <c r="F70" s="57">
        <f>[2]Districts_Boroughs!CJ26</f>
        <v>0</v>
      </c>
      <c r="G70" s="57">
        <f>[2]Districts_Boroughs!CK26</f>
        <v>0</v>
      </c>
      <c r="H70" s="57">
        <f>[2]Districts_Boroughs!CL26</f>
        <v>0</v>
      </c>
      <c r="I70" s="57">
        <f>[2]Districts_Boroughs!CM26</f>
        <v>0</v>
      </c>
      <c r="J70" s="57">
        <f>[2]Districts_Boroughs!CN26</f>
        <v>0</v>
      </c>
      <c r="K70" s="57">
        <f>[2]Districts_Boroughs!CO26</f>
        <v>0</v>
      </c>
      <c r="L70" s="57">
        <f>[2]Districts_Boroughs!CP26</f>
        <v>0</v>
      </c>
      <c r="M70" s="57">
        <f>[2]Districts_Boroughs!CQ26</f>
        <v>0</v>
      </c>
      <c r="N70" s="57">
        <f>[2]Districts_Boroughs!CR26</f>
        <v>0</v>
      </c>
      <c r="O70" s="57">
        <f>[2]Districts_Boroughs!CS26</f>
        <v>0</v>
      </c>
      <c r="P70" s="57">
        <f>[2]Districts_Boroughs!CT26</f>
        <v>0</v>
      </c>
      <c r="Q70" s="57">
        <f>[2]Districts_Boroughs!CU26</f>
        <v>0</v>
      </c>
      <c r="R70" s="57">
        <f>[2]Districts_Boroughs!CV26</f>
        <v>0</v>
      </c>
      <c r="S70" s="57">
        <f>[2]Districts_Boroughs!CW26</f>
        <v>0</v>
      </c>
      <c r="T70" s="57">
        <f>[2]Districts_Boroughs!CX26</f>
        <v>0</v>
      </c>
      <c r="U70" s="57">
        <f>[2]Districts_Boroughs!CY26</f>
        <v>0</v>
      </c>
      <c r="V70" s="57">
        <f>[2]Districts_Boroughs!CZ26</f>
        <v>0</v>
      </c>
      <c r="W70" s="57">
        <f>[2]Districts_Boroughs!DA26</f>
        <v>0</v>
      </c>
      <c r="X70" s="57">
        <f>[2]Districts_Boroughs!DB26</f>
        <v>0</v>
      </c>
      <c r="Y70" s="57">
        <f>[2]Districts_Boroughs!DC26</f>
        <v>0</v>
      </c>
      <c r="Z70" s="57">
        <f>[2]Districts_Boroughs!DD26</f>
        <v>0</v>
      </c>
      <c r="AA70" s="57">
        <f>[2]Districts_Boroughs!DE26</f>
        <v>0</v>
      </c>
      <c r="AB70" s="57">
        <f>[2]Districts_Boroughs!DF26</f>
        <v>0</v>
      </c>
      <c r="AC70" s="57">
        <f>[2]Districts_Boroughs!DG26</f>
        <v>0</v>
      </c>
      <c r="AD70" s="57">
        <f>[2]Districts_Boroughs!DH26</f>
        <v>0</v>
      </c>
      <c r="AE70" s="57">
        <f>[2]Districts_Boroughs!DI26</f>
        <v>0</v>
      </c>
      <c r="AF70" s="57">
        <f>[2]Districts_Boroughs!DJ26</f>
        <v>0</v>
      </c>
      <c r="AG70" s="57">
        <f>[2]Districts_Boroughs!DK26</f>
        <v>0</v>
      </c>
      <c r="AH70" s="57">
        <f>[2]Districts_Boroughs!DL26</f>
        <v>0</v>
      </c>
      <c r="AI70" s="57">
        <f>[2]Districts_Boroughs!DM26</f>
        <v>0</v>
      </c>
      <c r="AJ70" s="57">
        <f>[2]Districts_Boroughs!DN26</f>
        <v>0</v>
      </c>
      <c r="AK70" s="57">
        <f>[2]Districts_Boroughs!DO26</f>
        <v>0</v>
      </c>
      <c r="AL70" s="57">
        <f>[2]Districts_Boroughs!DP26</f>
        <v>0</v>
      </c>
      <c r="AM70" s="57">
        <f>[2]Districts_Boroughs!DQ26</f>
        <v>0</v>
      </c>
      <c r="AN70" s="57">
        <f>[2]Districts_Boroughs!DR26</f>
        <v>0</v>
      </c>
      <c r="AO70" s="57">
        <f>[2]Districts_Boroughs!DS26</f>
        <v>0</v>
      </c>
      <c r="AP70" s="57">
        <f>[2]Districts_Boroughs!DT26</f>
        <v>0</v>
      </c>
      <c r="AQ70" s="57">
        <f>[2]Districts_Boroughs!DU26</f>
        <v>0</v>
      </c>
      <c r="AR70" s="57">
        <f>[2]Districts_Boroughs!DV26</f>
        <v>0</v>
      </c>
      <c r="AS70" s="57">
        <f>[2]Districts_Boroughs!DW26</f>
        <v>0</v>
      </c>
      <c r="AT70" s="57">
        <f>[2]Districts_Boroughs!DX26</f>
        <v>0</v>
      </c>
      <c r="AU70" s="57">
        <f>[2]Districts_Boroughs!DY26</f>
        <v>0</v>
      </c>
      <c r="AV70" s="57">
        <f>[2]Districts_Boroughs!DZ26</f>
        <v>0</v>
      </c>
      <c r="AW70" s="57">
        <f>[2]Districts_Boroughs!EA26</f>
        <v>0</v>
      </c>
      <c r="AX70" s="57">
        <f>[2]Districts_Boroughs!EB26</f>
        <v>0</v>
      </c>
      <c r="AY70" s="57">
        <f>[2]Districts_Boroughs!EC26</f>
        <v>0</v>
      </c>
    </row>
    <row r="71" spans="2:51" x14ac:dyDescent="0.35">
      <c r="B71" t="str">
        <f t="shared" si="2"/>
        <v>North WarwickshireSection 18</v>
      </c>
      <c r="C71" s="329" t="s">
        <v>53</v>
      </c>
      <c r="D71" s="57">
        <f>[2]Districts_Boroughs!CH27</f>
        <v>3</v>
      </c>
      <c r="E71" s="57">
        <f>[2]Districts_Boroughs!CI27</f>
        <v>3</v>
      </c>
      <c r="F71" s="57">
        <f>[2]Districts_Boroughs!CJ27</f>
        <v>9</v>
      </c>
      <c r="G71" s="57">
        <f>[2]Districts_Boroughs!CK27</f>
        <v>3</v>
      </c>
      <c r="H71" s="57">
        <f>[2]Districts_Boroughs!CL27</f>
        <v>3</v>
      </c>
      <c r="I71" s="57">
        <f>[2]Districts_Boroughs!CM27</f>
        <v>6</v>
      </c>
      <c r="J71" s="57">
        <f>[2]Districts_Boroughs!CN27</f>
        <v>2</v>
      </c>
      <c r="K71" s="57">
        <f>[2]Districts_Boroughs!CO27</f>
        <v>7</v>
      </c>
      <c r="L71" s="57">
        <f>[2]Districts_Boroughs!CP27</f>
        <v>4</v>
      </c>
      <c r="M71" s="57">
        <f>[2]Districts_Boroughs!CQ27</f>
        <v>0</v>
      </c>
      <c r="N71" s="57">
        <f>[2]Districts_Boroughs!CR27</f>
        <v>3</v>
      </c>
      <c r="O71" s="57">
        <f>[2]Districts_Boroughs!CS27</f>
        <v>1</v>
      </c>
      <c r="P71" s="57">
        <f>[2]Districts_Boroughs!CT27</f>
        <v>1</v>
      </c>
      <c r="Q71" s="57">
        <f>[2]Districts_Boroughs!CU27</f>
        <v>5</v>
      </c>
      <c r="R71" s="57">
        <f>[2]Districts_Boroughs!CV27</f>
        <v>6</v>
      </c>
      <c r="S71" s="57">
        <f>[2]Districts_Boroughs!CW27</f>
        <v>2</v>
      </c>
      <c r="T71" s="57">
        <f>[2]Districts_Boroughs!CX27</f>
        <v>5</v>
      </c>
      <c r="U71" s="57">
        <f>[2]Districts_Boroughs!CY27</f>
        <v>1</v>
      </c>
      <c r="V71" s="57">
        <f>[2]Districts_Boroughs!CZ27</f>
        <v>4</v>
      </c>
      <c r="W71" s="57">
        <f>[2]Districts_Boroughs!DA27</f>
        <v>1</v>
      </c>
      <c r="X71" s="57">
        <f>[2]Districts_Boroughs!DB27</f>
        <v>3</v>
      </c>
      <c r="Y71" s="57">
        <f>[2]Districts_Boroughs!DC27</f>
        <v>4</v>
      </c>
      <c r="Z71" s="57">
        <f>[2]Districts_Boroughs!DD27</f>
        <v>3</v>
      </c>
      <c r="AA71" s="57">
        <f>[2]Districts_Boroughs!DE27</f>
        <v>3</v>
      </c>
      <c r="AB71" s="57">
        <f>[2]Districts_Boroughs!DF27</f>
        <v>2</v>
      </c>
      <c r="AC71" s="57">
        <f>[2]Districts_Boroughs!DG27</f>
        <v>5</v>
      </c>
      <c r="AD71" s="57">
        <f>[2]Districts_Boroughs!DH27</f>
        <v>3</v>
      </c>
      <c r="AE71" s="57">
        <f>[2]Districts_Boroughs!DI27</f>
        <v>6</v>
      </c>
      <c r="AF71" s="57">
        <f>[2]Districts_Boroughs!DJ27</f>
        <v>3</v>
      </c>
      <c r="AG71" s="57">
        <f>[2]Districts_Boroughs!DK27</f>
        <v>5</v>
      </c>
      <c r="AH71" s="57">
        <f>[2]Districts_Boroughs!DL27</f>
        <v>2</v>
      </c>
      <c r="AI71" s="57">
        <f>[2]Districts_Boroughs!DM27</f>
        <v>1</v>
      </c>
      <c r="AJ71" s="57">
        <f>[2]Districts_Boroughs!DN27</f>
        <v>4</v>
      </c>
      <c r="AK71" s="57">
        <f>[2]Districts_Boroughs!DO27</f>
        <v>3</v>
      </c>
      <c r="AL71" s="57">
        <f>[2]Districts_Boroughs!DP27</f>
        <v>3</v>
      </c>
      <c r="AM71" s="57">
        <f>[2]Districts_Boroughs!DQ27</f>
        <v>5</v>
      </c>
      <c r="AN71" s="57">
        <f>[2]Districts_Boroughs!DR27</f>
        <v>3</v>
      </c>
      <c r="AO71" s="57">
        <f>[2]Districts_Boroughs!DS27</f>
        <v>0</v>
      </c>
      <c r="AP71" s="57">
        <f>[2]Districts_Boroughs!DT27</f>
        <v>0</v>
      </c>
      <c r="AQ71" s="57">
        <f>[2]Districts_Boroughs!DU27</f>
        <v>0</v>
      </c>
      <c r="AR71" s="57">
        <f>[2]Districts_Boroughs!DV27</f>
        <v>5</v>
      </c>
      <c r="AS71" s="57">
        <f>[2]Districts_Boroughs!DW27</f>
        <v>3</v>
      </c>
      <c r="AT71" s="57">
        <f>[2]Districts_Boroughs!DX27</f>
        <v>0</v>
      </c>
      <c r="AU71" s="57">
        <f>[2]Districts_Boroughs!DY27</f>
        <v>1</v>
      </c>
      <c r="AV71" s="57">
        <f>[2]Districts_Boroughs!DZ27</f>
        <v>2</v>
      </c>
      <c r="AW71" s="57">
        <f>[2]Districts_Boroughs!EA27</f>
        <v>6</v>
      </c>
      <c r="AX71" s="57">
        <f>[2]Districts_Boroughs!EB27</f>
        <v>3</v>
      </c>
      <c r="AY71" s="57">
        <f>[2]Districts_Boroughs!EC27</f>
        <v>1</v>
      </c>
    </row>
    <row r="72" spans="2:51" x14ac:dyDescent="0.35">
      <c r="B72" t="str">
        <f t="shared" si="2"/>
        <v>North WarwickshireSection 20</v>
      </c>
      <c r="C72" s="329" t="s">
        <v>54</v>
      </c>
      <c r="D72" s="57">
        <f>[2]Districts_Boroughs!CH28</f>
        <v>5</v>
      </c>
      <c r="E72" s="57">
        <f>[2]Districts_Boroughs!CI28</f>
        <v>3</v>
      </c>
      <c r="F72" s="57">
        <f>[2]Districts_Boroughs!CJ28</f>
        <v>3</v>
      </c>
      <c r="G72" s="57">
        <f>[2]Districts_Boroughs!CK28</f>
        <v>3</v>
      </c>
      <c r="H72" s="57">
        <f>[2]Districts_Boroughs!CL28</f>
        <v>2</v>
      </c>
      <c r="I72" s="57">
        <f>[2]Districts_Boroughs!CM28</f>
        <v>0</v>
      </c>
      <c r="J72" s="57">
        <f>[2]Districts_Boroughs!CN28</f>
        <v>0</v>
      </c>
      <c r="K72" s="57">
        <f>[2]Districts_Boroughs!CO28</f>
        <v>2</v>
      </c>
      <c r="L72" s="57">
        <f>[2]Districts_Boroughs!CP28</f>
        <v>3</v>
      </c>
      <c r="M72" s="57">
        <f>[2]Districts_Boroughs!CQ28</f>
        <v>1</v>
      </c>
      <c r="N72" s="57">
        <f>[2]Districts_Boroughs!CR28</f>
        <v>1</v>
      </c>
      <c r="O72" s="57">
        <f>[2]Districts_Boroughs!CS28</f>
        <v>4</v>
      </c>
      <c r="P72" s="57">
        <f>[2]Districts_Boroughs!CT28</f>
        <v>0</v>
      </c>
      <c r="Q72" s="57">
        <f>[2]Districts_Boroughs!CU28</f>
        <v>0</v>
      </c>
      <c r="R72" s="57">
        <f>[2]Districts_Boroughs!CV28</f>
        <v>0</v>
      </c>
      <c r="S72" s="57">
        <f>[2]Districts_Boroughs!CW28</f>
        <v>0</v>
      </c>
      <c r="T72" s="57">
        <f>[2]Districts_Boroughs!CX28</f>
        <v>0</v>
      </c>
      <c r="U72" s="57">
        <f>[2]Districts_Boroughs!CY28</f>
        <v>0</v>
      </c>
      <c r="V72" s="57">
        <f>[2]Districts_Boroughs!CZ28</f>
        <v>4</v>
      </c>
      <c r="W72" s="57">
        <f>[2]Districts_Boroughs!DA28</f>
        <v>2</v>
      </c>
      <c r="X72" s="57">
        <f>[2]Districts_Boroughs!DB28</f>
        <v>1</v>
      </c>
      <c r="Y72" s="57">
        <f>[2]Districts_Boroughs!DC28</f>
        <v>0</v>
      </c>
      <c r="Z72" s="57">
        <f>[2]Districts_Boroughs!DD28</f>
        <v>2</v>
      </c>
      <c r="AA72" s="57">
        <f>[2]Districts_Boroughs!DE28</f>
        <v>1</v>
      </c>
      <c r="AB72" s="57">
        <f>[2]Districts_Boroughs!DF28</f>
        <v>0</v>
      </c>
      <c r="AC72" s="57">
        <f>[2]Districts_Boroughs!DG28</f>
        <v>2</v>
      </c>
      <c r="AD72" s="57">
        <f>[2]Districts_Boroughs!DH28</f>
        <v>0</v>
      </c>
      <c r="AE72" s="57">
        <f>[2]Districts_Boroughs!DI28</f>
        <v>4</v>
      </c>
      <c r="AF72" s="57">
        <f>[2]Districts_Boroughs!DJ28</f>
        <v>2</v>
      </c>
      <c r="AG72" s="57">
        <f>[2]Districts_Boroughs!DK28</f>
        <v>2</v>
      </c>
      <c r="AH72" s="57">
        <f>[2]Districts_Boroughs!DL28</f>
        <v>0</v>
      </c>
      <c r="AI72" s="57">
        <f>[2]Districts_Boroughs!DM28</f>
        <v>1</v>
      </c>
      <c r="AJ72" s="57">
        <f>[2]Districts_Boroughs!DN28</f>
        <v>1</v>
      </c>
      <c r="AK72" s="57">
        <f>[2]Districts_Boroughs!DO28</f>
        <v>1</v>
      </c>
      <c r="AL72" s="57">
        <f>[2]Districts_Boroughs!DP28</f>
        <v>1</v>
      </c>
      <c r="AM72" s="57">
        <f>[2]Districts_Boroughs!DQ28</f>
        <v>0</v>
      </c>
      <c r="AN72" s="57">
        <f>[2]Districts_Boroughs!DR28</f>
        <v>0</v>
      </c>
      <c r="AO72" s="57">
        <f>[2]Districts_Boroughs!DS28</f>
        <v>3</v>
      </c>
      <c r="AP72" s="57">
        <f>[2]Districts_Boroughs!DT28</f>
        <v>1</v>
      </c>
      <c r="AQ72" s="57">
        <f>[2]Districts_Boroughs!DU28</f>
        <v>1</v>
      </c>
      <c r="AR72" s="57">
        <f>[2]Districts_Boroughs!DV28</f>
        <v>0</v>
      </c>
      <c r="AS72" s="57">
        <f>[2]Districts_Boroughs!DW28</f>
        <v>2</v>
      </c>
      <c r="AT72" s="57">
        <f>[2]Districts_Boroughs!DX28</f>
        <v>1</v>
      </c>
      <c r="AU72" s="57">
        <f>[2]Districts_Boroughs!DY28</f>
        <v>1</v>
      </c>
      <c r="AV72" s="57">
        <f>[2]Districts_Boroughs!DZ28</f>
        <v>2</v>
      </c>
      <c r="AW72" s="57">
        <f>[2]Districts_Boroughs!EA28</f>
        <v>0</v>
      </c>
      <c r="AX72" s="57">
        <f>[2]Districts_Boroughs!EB28</f>
        <v>1</v>
      </c>
      <c r="AY72" s="57">
        <f>[2]Districts_Boroughs!EC28</f>
        <v>2</v>
      </c>
    </row>
    <row r="73" spans="2:51" x14ac:dyDescent="0.35">
      <c r="B73" t="str">
        <f t="shared" si="2"/>
        <v>North Warwickshire</v>
      </c>
      <c r="C73" s="329"/>
      <c r="D73" s="57">
        <f>[2]Districts_Boroughs!CH29</f>
        <v>0</v>
      </c>
      <c r="E73" s="57">
        <f>[2]Districts_Boroughs!CI29</f>
        <v>0</v>
      </c>
      <c r="F73" s="57">
        <f>[2]Districts_Boroughs!CJ29</f>
        <v>0</v>
      </c>
      <c r="G73" s="57">
        <f>[2]Districts_Boroughs!CK29</f>
        <v>0</v>
      </c>
      <c r="H73" s="57">
        <f>[2]Districts_Boroughs!CL29</f>
        <v>0</v>
      </c>
      <c r="I73" s="57">
        <f>[2]Districts_Boroughs!CM29</f>
        <v>0</v>
      </c>
      <c r="J73" s="57">
        <f>[2]Districts_Boroughs!CN29</f>
        <v>0</v>
      </c>
      <c r="K73" s="57">
        <f>[2]Districts_Boroughs!CO29</f>
        <v>0</v>
      </c>
      <c r="L73" s="57">
        <f>[2]Districts_Boroughs!CP29</f>
        <v>0</v>
      </c>
      <c r="M73" s="57">
        <f>[2]Districts_Boroughs!CQ29</f>
        <v>0</v>
      </c>
      <c r="N73" s="57">
        <f>[2]Districts_Boroughs!CR29</f>
        <v>0</v>
      </c>
      <c r="O73" s="57">
        <f>[2]Districts_Boroughs!CS29</f>
        <v>0</v>
      </c>
      <c r="P73" s="57">
        <f>[2]Districts_Boroughs!CT29</f>
        <v>0</v>
      </c>
      <c r="Q73" s="57">
        <f>[2]Districts_Boroughs!CU29</f>
        <v>0</v>
      </c>
      <c r="R73" s="57">
        <f>[2]Districts_Boroughs!CV29</f>
        <v>0</v>
      </c>
      <c r="S73" s="57">
        <f>[2]Districts_Boroughs!CW29</f>
        <v>0</v>
      </c>
      <c r="T73" s="57">
        <f>[2]Districts_Boroughs!CX29</f>
        <v>0</v>
      </c>
      <c r="U73" s="57">
        <f>[2]Districts_Boroughs!CY29</f>
        <v>0</v>
      </c>
      <c r="V73" s="57">
        <f>[2]Districts_Boroughs!CZ29</f>
        <v>0</v>
      </c>
      <c r="W73" s="57">
        <f>[2]Districts_Boroughs!DA29</f>
        <v>0</v>
      </c>
      <c r="X73" s="57">
        <f>[2]Districts_Boroughs!DB29</f>
        <v>0</v>
      </c>
      <c r="Y73" s="57">
        <f>[2]Districts_Boroughs!DC29</f>
        <v>0</v>
      </c>
      <c r="Z73" s="57">
        <f>[2]Districts_Boroughs!DD29</f>
        <v>0</v>
      </c>
      <c r="AA73" s="57">
        <f>[2]Districts_Boroughs!DE29</f>
        <v>0</v>
      </c>
      <c r="AB73" s="57">
        <f>[2]Districts_Boroughs!DF29</f>
        <v>0</v>
      </c>
      <c r="AC73" s="57">
        <f>[2]Districts_Boroughs!DG29</f>
        <v>0</v>
      </c>
      <c r="AD73" s="57">
        <f>[2]Districts_Boroughs!DH29</f>
        <v>0</v>
      </c>
      <c r="AE73" s="57">
        <f>[2]Districts_Boroughs!DI29</f>
        <v>0</v>
      </c>
      <c r="AF73" s="57">
        <f>[2]Districts_Boroughs!DJ29</f>
        <v>0</v>
      </c>
      <c r="AG73" s="57">
        <f>[2]Districts_Boroughs!DK29</f>
        <v>0</v>
      </c>
      <c r="AH73" s="57">
        <f>[2]Districts_Boroughs!DL29</f>
        <v>0</v>
      </c>
      <c r="AI73" s="57">
        <f>[2]Districts_Boroughs!DM29</f>
        <v>0</v>
      </c>
      <c r="AJ73" s="57">
        <f>[2]Districts_Boroughs!DN29</f>
        <v>0</v>
      </c>
      <c r="AK73" s="57">
        <f>[2]Districts_Boroughs!DO29</f>
        <v>0</v>
      </c>
      <c r="AL73" s="57">
        <f>[2]Districts_Boroughs!DP29</f>
        <v>0</v>
      </c>
      <c r="AM73" s="57">
        <f>[2]Districts_Boroughs!DQ29</f>
        <v>0</v>
      </c>
      <c r="AN73" s="57">
        <f>[2]Districts_Boroughs!DR29</f>
        <v>0</v>
      </c>
      <c r="AO73" s="57">
        <f>[2]Districts_Boroughs!DS29</f>
        <v>0</v>
      </c>
      <c r="AP73" s="57">
        <f>[2]Districts_Boroughs!DT29</f>
        <v>0</v>
      </c>
      <c r="AQ73" s="57">
        <f>[2]Districts_Boroughs!DU29</f>
        <v>0</v>
      </c>
      <c r="AR73" s="57">
        <f>[2]Districts_Boroughs!DV29</f>
        <v>0</v>
      </c>
      <c r="AS73" s="57">
        <f>[2]Districts_Boroughs!DW29</f>
        <v>0</v>
      </c>
      <c r="AT73" s="57">
        <f>[2]Districts_Boroughs!DX29</f>
        <v>0</v>
      </c>
      <c r="AU73" s="57">
        <f>[2]Districts_Boroughs!DY29</f>
        <v>0</v>
      </c>
      <c r="AV73" s="57">
        <f>[2]Districts_Boroughs!DZ29</f>
        <v>0</v>
      </c>
      <c r="AW73" s="57">
        <f>[2]Districts_Boroughs!EA29</f>
        <v>0</v>
      </c>
      <c r="AX73" s="57">
        <f>[2]Districts_Boroughs!EB29</f>
        <v>0</v>
      </c>
      <c r="AY73" s="57">
        <f>[2]Districts_Boroughs!EC29</f>
        <v>0</v>
      </c>
    </row>
    <row r="74" spans="2:51" x14ac:dyDescent="0.35">
      <c r="B74" t="str">
        <f t="shared" si="2"/>
        <v>North WarwickshireAggravated Vehicle Taking</v>
      </c>
      <c r="C74" s="329" t="s">
        <v>46</v>
      </c>
      <c r="D74" s="57">
        <f>[2]Districts_Boroughs!CH30</f>
        <v>0</v>
      </c>
      <c r="E74" s="57">
        <f>[2]Districts_Boroughs!CI30</f>
        <v>0</v>
      </c>
      <c r="F74" s="57">
        <f>[2]Districts_Boroughs!CJ30</f>
        <v>2</v>
      </c>
      <c r="G74" s="57">
        <f>[2]Districts_Boroughs!CK30</f>
        <v>1</v>
      </c>
      <c r="H74" s="57">
        <f>[2]Districts_Boroughs!CL30</f>
        <v>0</v>
      </c>
      <c r="I74" s="57">
        <f>[2]Districts_Boroughs!CM30</f>
        <v>1</v>
      </c>
      <c r="J74" s="57">
        <f>[2]Districts_Boroughs!CN30</f>
        <v>0</v>
      </c>
      <c r="K74" s="57">
        <f>[2]Districts_Boroughs!CO30</f>
        <v>0</v>
      </c>
      <c r="L74" s="57">
        <f>[2]Districts_Boroughs!CP30</f>
        <v>2</v>
      </c>
      <c r="M74" s="57">
        <f>[2]Districts_Boroughs!CQ30</f>
        <v>0</v>
      </c>
      <c r="N74" s="57">
        <f>[2]Districts_Boroughs!CR30</f>
        <v>1</v>
      </c>
      <c r="O74" s="57">
        <f>[2]Districts_Boroughs!CS30</f>
        <v>2</v>
      </c>
      <c r="P74" s="57">
        <f>[2]Districts_Boroughs!CT30</f>
        <v>1</v>
      </c>
      <c r="Q74" s="57">
        <f>[2]Districts_Boroughs!CU30</f>
        <v>1</v>
      </c>
      <c r="R74" s="57">
        <f>[2]Districts_Boroughs!CV30</f>
        <v>0</v>
      </c>
      <c r="S74" s="57">
        <f>[2]Districts_Boroughs!CW30</f>
        <v>1</v>
      </c>
      <c r="T74" s="57">
        <f>[2]Districts_Boroughs!CX30</f>
        <v>1</v>
      </c>
      <c r="U74" s="57">
        <f>[2]Districts_Boroughs!CY30</f>
        <v>1</v>
      </c>
      <c r="V74" s="57">
        <f>[2]Districts_Boroughs!CZ30</f>
        <v>0</v>
      </c>
      <c r="W74" s="57">
        <f>[2]Districts_Boroughs!DA30</f>
        <v>1</v>
      </c>
      <c r="X74" s="57">
        <f>[2]Districts_Boroughs!DB30</f>
        <v>1</v>
      </c>
      <c r="Y74" s="57">
        <f>[2]Districts_Boroughs!DC30</f>
        <v>2</v>
      </c>
      <c r="Z74" s="57">
        <f>[2]Districts_Boroughs!DD30</f>
        <v>0</v>
      </c>
      <c r="AA74" s="57">
        <f>[2]Districts_Boroughs!DE30</f>
        <v>1</v>
      </c>
      <c r="AB74" s="57">
        <f>[2]Districts_Boroughs!DF30</f>
        <v>1</v>
      </c>
      <c r="AC74" s="57">
        <f>[2]Districts_Boroughs!DG30</f>
        <v>2</v>
      </c>
      <c r="AD74" s="57">
        <f>[2]Districts_Boroughs!DH30</f>
        <v>0</v>
      </c>
      <c r="AE74" s="57">
        <f>[2]Districts_Boroughs!DI30</f>
        <v>1</v>
      </c>
      <c r="AF74" s="57">
        <f>[2]Districts_Boroughs!DJ30</f>
        <v>1</v>
      </c>
      <c r="AG74" s="57">
        <f>[2]Districts_Boroughs!DK30</f>
        <v>1</v>
      </c>
      <c r="AH74" s="57">
        <f>[2]Districts_Boroughs!DL30</f>
        <v>1</v>
      </c>
      <c r="AI74" s="57">
        <f>[2]Districts_Boroughs!DM30</f>
        <v>2</v>
      </c>
      <c r="AJ74" s="57">
        <f>[2]Districts_Boroughs!DN30</f>
        <v>1</v>
      </c>
      <c r="AK74" s="57">
        <f>[2]Districts_Boroughs!DO30</f>
        <v>2</v>
      </c>
      <c r="AL74" s="57">
        <f>[2]Districts_Boroughs!DP30</f>
        <v>0</v>
      </c>
      <c r="AM74" s="57">
        <f>[2]Districts_Boroughs!DQ30</f>
        <v>0</v>
      </c>
      <c r="AN74" s="57">
        <f>[2]Districts_Boroughs!DR30</f>
        <v>0</v>
      </c>
      <c r="AO74" s="57">
        <f>[2]Districts_Boroughs!DS30</f>
        <v>2</v>
      </c>
      <c r="AP74" s="57">
        <f>[2]Districts_Boroughs!DT30</f>
        <v>1</v>
      </c>
      <c r="AQ74" s="57">
        <f>[2]Districts_Boroughs!DU30</f>
        <v>2</v>
      </c>
      <c r="AR74" s="57">
        <f>[2]Districts_Boroughs!DV30</f>
        <v>0</v>
      </c>
      <c r="AS74" s="57">
        <f>[2]Districts_Boroughs!DW30</f>
        <v>0</v>
      </c>
      <c r="AT74" s="57">
        <f>[2]Districts_Boroughs!DX30</f>
        <v>1</v>
      </c>
      <c r="AU74" s="57">
        <f>[2]Districts_Boroughs!DY30</f>
        <v>0</v>
      </c>
      <c r="AV74" s="57">
        <f>[2]Districts_Boroughs!DZ30</f>
        <v>1</v>
      </c>
      <c r="AW74" s="57">
        <f>[2]Districts_Boroughs!EA30</f>
        <v>0</v>
      </c>
      <c r="AX74" s="57">
        <f>[2]Districts_Boroughs!EB30</f>
        <v>0</v>
      </c>
      <c r="AY74" s="57">
        <f>[2]Districts_Boroughs!EC30</f>
        <v>1</v>
      </c>
    </row>
    <row r="75" spans="2:51" x14ac:dyDescent="0.35">
      <c r="B75" t="str">
        <f t="shared" si="2"/>
        <v>North WarwickshireInterfering with a Motor Vehicle</v>
      </c>
      <c r="C75" s="329" t="s">
        <v>47</v>
      </c>
      <c r="D75" s="57">
        <f>[2]Districts_Boroughs!CH31</f>
        <v>7</v>
      </c>
      <c r="E75" s="57">
        <f>[2]Districts_Boroughs!CI31</f>
        <v>7</v>
      </c>
      <c r="F75" s="57">
        <f>[2]Districts_Boroughs!CJ31</f>
        <v>3</v>
      </c>
      <c r="G75" s="57">
        <f>[2]Districts_Boroughs!CK31</f>
        <v>4</v>
      </c>
      <c r="H75" s="57">
        <f>[2]Districts_Boroughs!CL31</f>
        <v>7</v>
      </c>
      <c r="I75" s="57">
        <f>[2]Districts_Boroughs!CM31</f>
        <v>11</v>
      </c>
      <c r="J75" s="57">
        <f>[2]Districts_Boroughs!CN31</f>
        <v>14</v>
      </c>
      <c r="K75" s="57">
        <f>[2]Districts_Boroughs!CO31</f>
        <v>19</v>
      </c>
      <c r="L75" s="57">
        <f>[2]Districts_Boroughs!CP31</f>
        <v>7</v>
      </c>
      <c r="M75" s="57">
        <f>[2]Districts_Boroughs!CQ31</f>
        <v>9</v>
      </c>
      <c r="N75" s="57">
        <f>[2]Districts_Boroughs!CR31</f>
        <v>13</v>
      </c>
      <c r="O75" s="57">
        <f>[2]Districts_Boroughs!CS31</f>
        <v>6</v>
      </c>
      <c r="P75" s="57">
        <f>[2]Districts_Boroughs!CT31</f>
        <v>17</v>
      </c>
      <c r="Q75" s="57">
        <f>[2]Districts_Boroughs!CU31</f>
        <v>11</v>
      </c>
      <c r="R75" s="57">
        <f>[2]Districts_Boroughs!CV31</f>
        <v>7</v>
      </c>
      <c r="S75" s="57">
        <f>[2]Districts_Boroughs!CW31</f>
        <v>12</v>
      </c>
      <c r="T75" s="57">
        <f>[2]Districts_Boroughs!CX31</f>
        <v>15</v>
      </c>
      <c r="U75" s="57">
        <f>[2]Districts_Boroughs!CY31</f>
        <v>21</v>
      </c>
      <c r="V75" s="57">
        <f>[2]Districts_Boroughs!CZ31</f>
        <v>25</v>
      </c>
      <c r="W75" s="57">
        <f>[2]Districts_Boroughs!DA31</f>
        <v>16</v>
      </c>
      <c r="X75" s="57">
        <f>[2]Districts_Boroughs!DB31</f>
        <v>14</v>
      </c>
      <c r="Y75" s="57">
        <f>[2]Districts_Boroughs!DC31</f>
        <v>13</v>
      </c>
      <c r="Z75" s="57">
        <f>[2]Districts_Boroughs!DD31</f>
        <v>8</v>
      </c>
      <c r="AA75" s="57">
        <f>[2]Districts_Boroughs!DE31</f>
        <v>16</v>
      </c>
      <c r="AB75" s="57">
        <f>[2]Districts_Boroughs!DF31</f>
        <v>8</v>
      </c>
      <c r="AC75" s="57">
        <f>[2]Districts_Boroughs!DG31</f>
        <v>10</v>
      </c>
      <c r="AD75" s="57">
        <f>[2]Districts_Boroughs!DH31</f>
        <v>14</v>
      </c>
      <c r="AE75" s="57">
        <f>[2]Districts_Boroughs!DI31</f>
        <v>23</v>
      </c>
      <c r="AF75" s="57">
        <f>[2]Districts_Boroughs!DJ31</f>
        <v>12</v>
      </c>
      <c r="AG75" s="57">
        <f>[2]Districts_Boroughs!DK31</f>
        <v>14</v>
      </c>
      <c r="AH75" s="57">
        <f>[2]Districts_Boroughs!DL31</f>
        <v>9</v>
      </c>
      <c r="AI75" s="57">
        <f>[2]Districts_Boroughs!DM31</f>
        <v>19</v>
      </c>
      <c r="AJ75" s="57">
        <f>[2]Districts_Boroughs!DN31</f>
        <v>22</v>
      </c>
      <c r="AK75" s="57">
        <f>[2]Districts_Boroughs!DO31</f>
        <v>25</v>
      </c>
      <c r="AL75" s="57">
        <f>[2]Districts_Boroughs!DP31</f>
        <v>27</v>
      </c>
      <c r="AM75" s="57">
        <f>[2]Districts_Boroughs!DQ31</f>
        <v>15</v>
      </c>
      <c r="AN75" s="57">
        <f>[2]Districts_Boroughs!DR31</f>
        <v>24</v>
      </c>
      <c r="AO75" s="57">
        <f>[2]Districts_Boroughs!DS31</f>
        <v>17</v>
      </c>
      <c r="AP75" s="57">
        <f>[2]Districts_Boroughs!DT31</f>
        <v>7</v>
      </c>
      <c r="AQ75" s="57">
        <f>[2]Districts_Boroughs!DU31</f>
        <v>13</v>
      </c>
      <c r="AR75" s="57">
        <f>[2]Districts_Boroughs!DV31</f>
        <v>15</v>
      </c>
      <c r="AS75" s="57">
        <f>[2]Districts_Boroughs!DW31</f>
        <v>27</v>
      </c>
      <c r="AT75" s="57">
        <f>[2]Districts_Boroughs!DX31</f>
        <v>41</v>
      </c>
      <c r="AU75" s="57">
        <f>[2]Districts_Boroughs!DY31</f>
        <v>9</v>
      </c>
      <c r="AV75" s="57">
        <f>[2]Districts_Boroughs!DZ31</f>
        <v>15</v>
      </c>
      <c r="AW75" s="57">
        <f>[2]Districts_Boroughs!EA31</f>
        <v>13</v>
      </c>
      <c r="AX75" s="57">
        <f>[2]Districts_Boroughs!EB31</f>
        <v>16</v>
      </c>
      <c r="AY75" s="57">
        <f>[2]Districts_Boroughs!EC31</f>
        <v>4</v>
      </c>
    </row>
    <row r="76" spans="2:51" x14ac:dyDescent="0.35">
      <c r="B76" t="str">
        <f t="shared" si="2"/>
        <v>North WarwickshireTheft From A Vehicle</v>
      </c>
      <c r="C76" s="329" t="s">
        <v>48</v>
      </c>
      <c r="D76" s="57">
        <f>[2]Districts_Boroughs!CH32</f>
        <v>19</v>
      </c>
      <c r="E76" s="57">
        <f>[2]Districts_Boroughs!CI32</f>
        <v>14</v>
      </c>
      <c r="F76" s="57">
        <f>[2]Districts_Boroughs!CJ32</f>
        <v>12</v>
      </c>
      <c r="G76" s="57">
        <f>[2]Districts_Boroughs!CK32</f>
        <v>17</v>
      </c>
      <c r="H76" s="57">
        <f>[2]Districts_Boroughs!CL32</f>
        <v>12</v>
      </c>
      <c r="I76" s="57">
        <f>[2]Districts_Boroughs!CM32</f>
        <v>14</v>
      </c>
      <c r="J76" s="57">
        <f>[2]Districts_Boroughs!CN32</f>
        <v>17</v>
      </c>
      <c r="K76" s="57">
        <f>[2]Districts_Boroughs!CO32</f>
        <v>31</v>
      </c>
      <c r="L76" s="57">
        <f>[2]Districts_Boroughs!CP32</f>
        <v>19</v>
      </c>
      <c r="M76" s="57">
        <f>[2]Districts_Boroughs!CQ32</f>
        <v>9</v>
      </c>
      <c r="N76" s="57">
        <f>[2]Districts_Boroughs!CR32</f>
        <v>19</v>
      </c>
      <c r="O76" s="57">
        <f>[2]Districts_Boroughs!CS32</f>
        <v>16</v>
      </c>
      <c r="P76" s="57">
        <f>[2]Districts_Boroughs!CT32</f>
        <v>24</v>
      </c>
      <c r="Q76" s="57">
        <f>[2]Districts_Boroughs!CU32</f>
        <v>30</v>
      </c>
      <c r="R76" s="57">
        <f>[2]Districts_Boroughs!CV32</f>
        <v>23</v>
      </c>
      <c r="S76" s="57">
        <f>[2]Districts_Boroughs!CW32</f>
        <v>27</v>
      </c>
      <c r="T76" s="57">
        <f>[2]Districts_Boroughs!CX32</f>
        <v>27</v>
      </c>
      <c r="U76" s="57">
        <f>[2]Districts_Boroughs!CY32</f>
        <v>29</v>
      </c>
      <c r="V76" s="57">
        <f>[2]Districts_Boroughs!CZ32</f>
        <v>33</v>
      </c>
      <c r="W76" s="57">
        <f>[2]Districts_Boroughs!DA32</f>
        <v>29</v>
      </c>
      <c r="X76" s="57">
        <f>[2]Districts_Boroughs!DB32</f>
        <v>21</v>
      </c>
      <c r="Y76" s="57">
        <f>[2]Districts_Boroughs!DC32</f>
        <v>29</v>
      </c>
      <c r="Z76" s="57">
        <f>[2]Districts_Boroughs!DD32</f>
        <v>23</v>
      </c>
      <c r="AA76" s="57">
        <f>[2]Districts_Boroughs!DE32</f>
        <v>19</v>
      </c>
      <c r="AB76" s="57">
        <f>[2]Districts_Boroughs!DF32</f>
        <v>21</v>
      </c>
      <c r="AC76" s="57">
        <f>[2]Districts_Boroughs!DG32</f>
        <v>15</v>
      </c>
      <c r="AD76" s="57">
        <f>[2]Districts_Boroughs!DH32</f>
        <v>24</v>
      </c>
      <c r="AE76" s="57">
        <f>[2]Districts_Boroughs!DI32</f>
        <v>36</v>
      </c>
      <c r="AF76" s="57">
        <f>[2]Districts_Boroughs!DJ32</f>
        <v>22</v>
      </c>
      <c r="AG76" s="57">
        <f>[2]Districts_Boroughs!DK32</f>
        <v>27</v>
      </c>
      <c r="AH76" s="57">
        <f>[2]Districts_Boroughs!DL32</f>
        <v>17</v>
      </c>
      <c r="AI76" s="57">
        <f>[2]Districts_Boroughs!DM32</f>
        <v>29</v>
      </c>
      <c r="AJ76" s="57">
        <f>[2]Districts_Boroughs!DN32</f>
        <v>29</v>
      </c>
      <c r="AK76" s="57">
        <f>[2]Districts_Boroughs!DO32</f>
        <v>25</v>
      </c>
      <c r="AL76" s="57">
        <f>[2]Districts_Boroughs!DP32</f>
        <v>27</v>
      </c>
      <c r="AM76" s="57">
        <f>[2]Districts_Boroughs!DQ32</f>
        <v>38</v>
      </c>
      <c r="AN76" s="57">
        <f>[2]Districts_Boroughs!DR32</f>
        <v>30</v>
      </c>
      <c r="AO76" s="57">
        <f>[2]Districts_Boroughs!DS32</f>
        <v>23</v>
      </c>
      <c r="AP76" s="57">
        <f>[2]Districts_Boroughs!DT32</f>
        <v>21</v>
      </c>
      <c r="AQ76" s="57">
        <f>[2]Districts_Boroughs!DU32</f>
        <v>19</v>
      </c>
      <c r="AR76" s="57">
        <f>[2]Districts_Boroughs!DV32</f>
        <v>18</v>
      </c>
      <c r="AS76" s="57">
        <f>[2]Districts_Boroughs!DW32</f>
        <v>20</v>
      </c>
      <c r="AT76" s="57">
        <f>[2]Districts_Boroughs!DX32</f>
        <v>25</v>
      </c>
      <c r="AU76" s="57">
        <f>[2]Districts_Boroughs!DY32</f>
        <v>23</v>
      </c>
      <c r="AV76" s="57">
        <f>[2]Districts_Boroughs!DZ32</f>
        <v>28</v>
      </c>
      <c r="AW76" s="57">
        <f>[2]Districts_Boroughs!EA32</f>
        <v>27</v>
      </c>
      <c r="AX76" s="57">
        <f>[2]Districts_Boroughs!EB32</f>
        <v>25</v>
      </c>
      <c r="AY76" s="57">
        <f>[2]Districts_Boroughs!EC32</f>
        <v>21</v>
      </c>
    </row>
    <row r="77" spans="2:51" x14ac:dyDescent="0.35">
      <c r="B77" t="str">
        <f t="shared" si="2"/>
        <v>North WarwickshireTheft Or Unauthorised Taking Of A Motor Vehicle</v>
      </c>
      <c r="C77" s="329" t="s">
        <v>49</v>
      </c>
      <c r="D77" s="57">
        <f>[2]Districts_Boroughs!CH33</f>
        <v>11</v>
      </c>
      <c r="E77" s="57">
        <f>[2]Districts_Boroughs!CI33</f>
        <v>9</v>
      </c>
      <c r="F77" s="57">
        <f>[2]Districts_Boroughs!CJ33</f>
        <v>7</v>
      </c>
      <c r="G77" s="57">
        <f>[2]Districts_Boroughs!CK33</f>
        <v>5</v>
      </c>
      <c r="H77" s="57">
        <f>[2]Districts_Boroughs!CL33</f>
        <v>4</v>
      </c>
      <c r="I77" s="57">
        <f>[2]Districts_Boroughs!CM33</f>
        <v>8</v>
      </c>
      <c r="J77" s="57">
        <f>[2]Districts_Boroughs!CN33</f>
        <v>10</v>
      </c>
      <c r="K77" s="57">
        <f>[2]Districts_Boroughs!CO33</f>
        <v>11</v>
      </c>
      <c r="L77" s="57">
        <f>[2]Districts_Boroughs!CP33</f>
        <v>17</v>
      </c>
      <c r="M77" s="57">
        <f>[2]Districts_Boroughs!CQ33</f>
        <v>10</v>
      </c>
      <c r="N77" s="57">
        <f>[2]Districts_Boroughs!CR33</f>
        <v>24</v>
      </c>
      <c r="O77" s="57">
        <f>[2]Districts_Boroughs!CS33</f>
        <v>23</v>
      </c>
      <c r="P77" s="57">
        <f>[2]Districts_Boroughs!CT33</f>
        <v>16</v>
      </c>
      <c r="Q77" s="57">
        <f>[2]Districts_Boroughs!CU33</f>
        <v>19</v>
      </c>
      <c r="R77" s="57">
        <f>[2]Districts_Boroughs!CV33</f>
        <v>23</v>
      </c>
      <c r="S77" s="57">
        <f>[2]Districts_Boroughs!CW33</f>
        <v>26</v>
      </c>
      <c r="T77" s="57">
        <f>[2]Districts_Boroughs!CX33</f>
        <v>16</v>
      </c>
      <c r="U77" s="57">
        <f>[2]Districts_Boroughs!CY33</f>
        <v>22</v>
      </c>
      <c r="V77" s="57">
        <f>[2]Districts_Boroughs!CZ33</f>
        <v>30</v>
      </c>
      <c r="W77" s="57">
        <f>[2]Districts_Boroughs!DA33</f>
        <v>29</v>
      </c>
      <c r="X77" s="57">
        <f>[2]Districts_Boroughs!DB33</f>
        <v>24</v>
      </c>
      <c r="Y77" s="57">
        <f>[2]Districts_Boroughs!DC33</f>
        <v>16</v>
      </c>
      <c r="Z77" s="57">
        <f>[2]Districts_Boroughs!DD33</f>
        <v>12</v>
      </c>
      <c r="AA77" s="57">
        <f>[2]Districts_Boroughs!DE33</f>
        <v>19</v>
      </c>
      <c r="AB77" s="57">
        <f>[2]Districts_Boroughs!DF33</f>
        <v>10</v>
      </c>
      <c r="AC77" s="57">
        <f>[2]Districts_Boroughs!DG33</f>
        <v>18</v>
      </c>
      <c r="AD77" s="57">
        <f>[2]Districts_Boroughs!DH33</f>
        <v>14</v>
      </c>
      <c r="AE77" s="57">
        <f>[2]Districts_Boroughs!DI33</f>
        <v>14</v>
      </c>
      <c r="AF77" s="57">
        <f>[2]Districts_Boroughs!DJ33</f>
        <v>15</v>
      </c>
      <c r="AG77" s="57">
        <f>[2]Districts_Boroughs!DK33</f>
        <v>15</v>
      </c>
      <c r="AH77" s="57">
        <f>[2]Districts_Boroughs!DL33</f>
        <v>16</v>
      </c>
      <c r="AI77" s="57">
        <f>[2]Districts_Boroughs!DM33</f>
        <v>18</v>
      </c>
      <c r="AJ77" s="57">
        <f>[2]Districts_Boroughs!DN33</f>
        <v>10</v>
      </c>
      <c r="AK77" s="57">
        <f>[2]Districts_Boroughs!DO33</f>
        <v>15</v>
      </c>
      <c r="AL77" s="57">
        <f>[2]Districts_Boroughs!DP33</f>
        <v>16</v>
      </c>
      <c r="AM77" s="57">
        <f>[2]Districts_Boroughs!DQ33</f>
        <v>28</v>
      </c>
      <c r="AN77" s="57">
        <f>[2]Districts_Boroughs!DR33</f>
        <v>40</v>
      </c>
      <c r="AO77" s="57">
        <f>[2]Districts_Boroughs!DS33</f>
        <v>10</v>
      </c>
      <c r="AP77" s="57">
        <f>[2]Districts_Boroughs!DT33</f>
        <v>15</v>
      </c>
      <c r="AQ77" s="57">
        <f>[2]Districts_Boroughs!DU33</f>
        <v>14</v>
      </c>
      <c r="AR77" s="57">
        <f>[2]Districts_Boroughs!DV33</f>
        <v>21</v>
      </c>
      <c r="AS77" s="57">
        <f>[2]Districts_Boroughs!DW33</f>
        <v>32</v>
      </c>
      <c r="AT77" s="57">
        <f>[2]Districts_Boroughs!DX33</f>
        <v>28</v>
      </c>
      <c r="AU77" s="57">
        <f>[2]Districts_Boroughs!DY33</f>
        <v>13</v>
      </c>
      <c r="AV77" s="57">
        <f>[2]Districts_Boroughs!DZ33</f>
        <v>29</v>
      </c>
      <c r="AW77" s="57">
        <f>[2]Districts_Boroughs!EA33</f>
        <v>15</v>
      </c>
      <c r="AX77" s="57">
        <f>[2]Districts_Boroughs!EB33</f>
        <v>15</v>
      </c>
      <c r="AY77" s="57">
        <f>[2]Districts_Boroughs!EC33</f>
        <v>29</v>
      </c>
    </row>
    <row r="78" spans="2:51" x14ac:dyDescent="0.35">
      <c r="B78" t="str">
        <f t="shared" si="2"/>
        <v>North WarwickshireTotal Vehicle Crime</v>
      </c>
      <c r="C78" s="329" t="s">
        <v>50</v>
      </c>
      <c r="D78" s="57">
        <f>[2]Districts_Boroughs!CH34</f>
        <v>37</v>
      </c>
      <c r="E78" s="57">
        <f>[2]Districts_Boroughs!CI34</f>
        <v>30</v>
      </c>
      <c r="F78" s="57">
        <f>[2]Districts_Boroughs!CJ34</f>
        <v>24</v>
      </c>
      <c r="G78" s="57">
        <f>[2]Districts_Boroughs!CK34</f>
        <v>27</v>
      </c>
      <c r="H78" s="57">
        <f>[2]Districts_Boroughs!CL34</f>
        <v>23</v>
      </c>
      <c r="I78" s="57">
        <f>[2]Districts_Boroughs!CM34</f>
        <v>34</v>
      </c>
      <c r="J78" s="57">
        <f>[2]Districts_Boroughs!CN34</f>
        <v>41</v>
      </c>
      <c r="K78" s="57">
        <f>[2]Districts_Boroughs!CO34</f>
        <v>61</v>
      </c>
      <c r="L78" s="57">
        <f>[2]Districts_Boroughs!CP34</f>
        <v>45</v>
      </c>
      <c r="M78" s="57">
        <f>[2]Districts_Boroughs!CQ34</f>
        <v>28</v>
      </c>
      <c r="N78" s="57">
        <f>[2]Districts_Boroughs!CR34</f>
        <v>57</v>
      </c>
      <c r="O78" s="57">
        <f>[2]Districts_Boroughs!CS34</f>
        <v>47</v>
      </c>
      <c r="P78" s="57">
        <f>[2]Districts_Boroughs!CT34</f>
        <v>58</v>
      </c>
      <c r="Q78" s="57">
        <f>[2]Districts_Boroughs!CU34</f>
        <v>61</v>
      </c>
      <c r="R78" s="57">
        <f>[2]Districts_Boroughs!CV34</f>
        <v>53</v>
      </c>
      <c r="S78" s="57">
        <f>[2]Districts_Boroughs!CW34</f>
        <v>66</v>
      </c>
      <c r="T78" s="57">
        <f>[2]Districts_Boroughs!CX34</f>
        <v>59</v>
      </c>
      <c r="U78" s="57">
        <f>[2]Districts_Boroughs!CY34</f>
        <v>73</v>
      </c>
      <c r="V78" s="57">
        <f>[2]Districts_Boroughs!CZ34</f>
        <v>88</v>
      </c>
      <c r="W78" s="57">
        <f>[2]Districts_Boroughs!DA34</f>
        <v>75</v>
      </c>
      <c r="X78" s="57">
        <f>[2]Districts_Boroughs!DB34</f>
        <v>60</v>
      </c>
      <c r="Y78" s="57">
        <f>[2]Districts_Boroughs!DC34</f>
        <v>60</v>
      </c>
      <c r="Z78" s="57">
        <f>[2]Districts_Boroughs!DD34</f>
        <v>43</v>
      </c>
      <c r="AA78" s="57">
        <f>[2]Districts_Boroughs!DE34</f>
        <v>55</v>
      </c>
      <c r="AB78" s="57">
        <f>[2]Districts_Boroughs!DF34</f>
        <v>40</v>
      </c>
      <c r="AC78" s="57">
        <f>[2]Districts_Boroughs!DG34</f>
        <v>45</v>
      </c>
      <c r="AD78" s="57">
        <f>[2]Districts_Boroughs!DH34</f>
        <v>52</v>
      </c>
      <c r="AE78" s="57">
        <f>[2]Districts_Boroughs!DI34</f>
        <v>74</v>
      </c>
      <c r="AF78" s="57">
        <f>[2]Districts_Boroughs!DJ34</f>
        <v>50</v>
      </c>
      <c r="AG78" s="57">
        <f>[2]Districts_Boroughs!DK34</f>
        <v>57</v>
      </c>
      <c r="AH78" s="57">
        <f>[2]Districts_Boroughs!DL34</f>
        <v>43</v>
      </c>
      <c r="AI78" s="57">
        <f>[2]Districts_Boroughs!DM34</f>
        <v>68</v>
      </c>
      <c r="AJ78" s="57">
        <f>[2]Districts_Boroughs!DN34</f>
        <v>62</v>
      </c>
      <c r="AK78" s="57">
        <f>[2]Districts_Boroughs!DO34</f>
        <v>67</v>
      </c>
      <c r="AL78" s="57">
        <f>[2]Districts_Boroughs!DP34</f>
        <v>70</v>
      </c>
      <c r="AM78" s="57">
        <f>[2]Districts_Boroughs!DQ34</f>
        <v>81</v>
      </c>
      <c r="AN78" s="57">
        <f>[2]Districts_Boroughs!DR34</f>
        <v>94</v>
      </c>
      <c r="AO78" s="57">
        <f>[2]Districts_Boroughs!DS34</f>
        <v>52</v>
      </c>
      <c r="AP78" s="57">
        <f>[2]Districts_Boroughs!DT34</f>
        <v>44</v>
      </c>
      <c r="AQ78" s="57">
        <f>[2]Districts_Boroughs!DU34</f>
        <v>48</v>
      </c>
      <c r="AR78" s="57">
        <f>[2]Districts_Boroughs!DV34</f>
        <v>54</v>
      </c>
      <c r="AS78" s="57">
        <f>[2]Districts_Boroughs!DW34</f>
        <v>79</v>
      </c>
      <c r="AT78" s="57">
        <f>[2]Districts_Boroughs!DX34</f>
        <v>95</v>
      </c>
      <c r="AU78" s="57">
        <f>[2]Districts_Boroughs!DY34</f>
        <v>45</v>
      </c>
      <c r="AV78" s="57">
        <f>[2]Districts_Boroughs!DZ34</f>
        <v>73</v>
      </c>
      <c r="AW78" s="57">
        <f>[2]Districts_Boroughs!EA34</f>
        <v>55</v>
      </c>
      <c r="AX78" s="57">
        <f>[2]Districts_Boroughs!EB34</f>
        <v>56</v>
      </c>
      <c r="AY78" s="57">
        <f>[2]Districts_Boroughs!EC34</f>
        <v>55</v>
      </c>
    </row>
    <row r="79" spans="2:51" x14ac:dyDescent="0.35">
      <c r="B79" t="str">
        <f t="shared" si="2"/>
        <v>North Warwickshire</v>
      </c>
      <c r="C79" s="329"/>
      <c r="D79" s="57">
        <f>[2]Districts_Boroughs!CH35</f>
        <v>0</v>
      </c>
      <c r="E79" s="57">
        <f>[2]Districts_Boroughs!CI35</f>
        <v>0</v>
      </c>
      <c r="F79" s="57">
        <f>[2]Districts_Boroughs!CJ35</f>
        <v>0</v>
      </c>
      <c r="G79" s="57">
        <f>[2]Districts_Boroughs!CK35</f>
        <v>0</v>
      </c>
      <c r="H79" s="57">
        <f>[2]Districts_Boroughs!CL35</f>
        <v>0</v>
      </c>
      <c r="I79" s="57">
        <f>[2]Districts_Boroughs!CM35</f>
        <v>0</v>
      </c>
      <c r="J79" s="57">
        <f>[2]Districts_Boroughs!CN35</f>
        <v>0</v>
      </c>
      <c r="K79" s="57">
        <f>[2]Districts_Boroughs!CO35</f>
        <v>0</v>
      </c>
      <c r="L79" s="57">
        <f>[2]Districts_Boroughs!CP35</f>
        <v>0</v>
      </c>
      <c r="M79" s="57">
        <f>[2]Districts_Boroughs!CQ35</f>
        <v>0</v>
      </c>
      <c r="N79" s="57">
        <f>[2]Districts_Boroughs!CR35</f>
        <v>0</v>
      </c>
      <c r="O79" s="57">
        <f>[2]Districts_Boroughs!CS35</f>
        <v>0</v>
      </c>
      <c r="P79" s="57">
        <f>[2]Districts_Boroughs!CT35</f>
        <v>0</v>
      </c>
      <c r="Q79" s="57">
        <f>[2]Districts_Boroughs!CU35</f>
        <v>0</v>
      </c>
      <c r="R79" s="57">
        <f>[2]Districts_Boroughs!CV35</f>
        <v>0</v>
      </c>
      <c r="S79" s="57">
        <f>[2]Districts_Boroughs!CW35</f>
        <v>0</v>
      </c>
      <c r="T79" s="57">
        <f>[2]Districts_Boroughs!CX35</f>
        <v>0</v>
      </c>
      <c r="U79" s="57">
        <f>[2]Districts_Boroughs!CY35</f>
        <v>0</v>
      </c>
      <c r="V79" s="57">
        <f>[2]Districts_Boroughs!CZ35</f>
        <v>0</v>
      </c>
      <c r="W79" s="57">
        <f>[2]Districts_Boroughs!DA35</f>
        <v>0</v>
      </c>
      <c r="X79" s="57">
        <f>[2]Districts_Boroughs!DB35</f>
        <v>0</v>
      </c>
      <c r="Y79" s="57">
        <f>[2]Districts_Boroughs!DC35</f>
        <v>0</v>
      </c>
      <c r="Z79" s="57">
        <f>[2]Districts_Boroughs!DD35</f>
        <v>0</v>
      </c>
      <c r="AA79" s="57">
        <f>[2]Districts_Boroughs!DE35</f>
        <v>0</v>
      </c>
      <c r="AB79" s="57">
        <f>[2]Districts_Boroughs!DF35</f>
        <v>0</v>
      </c>
      <c r="AC79" s="57">
        <f>[2]Districts_Boroughs!DG35</f>
        <v>0</v>
      </c>
      <c r="AD79" s="57">
        <f>[2]Districts_Boroughs!DH35</f>
        <v>0</v>
      </c>
      <c r="AE79" s="57">
        <f>[2]Districts_Boroughs!DI35</f>
        <v>0</v>
      </c>
      <c r="AF79" s="57">
        <f>[2]Districts_Boroughs!DJ35</f>
        <v>0</v>
      </c>
      <c r="AG79" s="57">
        <f>[2]Districts_Boroughs!DK35</f>
        <v>0</v>
      </c>
      <c r="AH79" s="57">
        <f>[2]Districts_Boroughs!DL35</f>
        <v>0</v>
      </c>
      <c r="AI79" s="57">
        <f>[2]Districts_Boroughs!DM35</f>
        <v>0</v>
      </c>
      <c r="AJ79" s="57">
        <f>[2]Districts_Boroughs!DN35</f>
        <v>0</v>
      </c>
      <c r="AK79" s="57">
        <f>[2]Districts_Boroughs!DO35</f>
        <v>0</v>
      </c>
      <c r="AL79" s="57">
        <f>[2]Districts_Boroughs!DP35</f>
        <v>0</v>
      </c>
      <c r="AM79" s="57">
        <f>[2]Districts_Boroughs!DQ35</f>
        <v>0</v>
      </c>
      <c r="AN79" s="57">
        <f>[2]Districts_Boroughs!DR35</f>
        <v>0</v>
      </c>
      <c r="AO79" s="57">
        <f>[2]Districts_Boroughs!DS35</f>
        <v>0</v>
      </c>
      <c r="AP79" s="57">
        <f>[2]Districts_Boroughs!DT35</f>
        <v>0</v>
      </c>
      <c r="AQ79" s="57">
        <f>[2]Districts_Boroughs!DU35</f>
        <v>0</v>
      </c>
      <c r="AR79" s="57">
        <f>[2]Districts_Boroughs!DV35</f>
        <v>0</v>
      </c>
      <c r="AS79" s="57">
        <f>[2]Districts_Boroughs!DW35</f>
        <v>0</v>
      </c>
      <c r="AT79" s="57">
        <f>[2]Districts_Boroughs!DX35</f>
        <v>0</v>
      </c>
      <c r="AU79" s="57">
        <f>[2]Districts_Boroughs!DY35</f>
        <v>0</v>
      </c>
      <c r="AV79" s="57">
        <f>[2]Districts_Boroughs!DZ35</f>
        <v>0</v>
      </c>
      <c r="AW79" s="57">
        <f>[2]Districts_Boroughs!EA35</f>
        <v>0</v>
      </c>
      <c r="AX79" s="57">
        <f>[2]Districts_Boroughs!EB35</f>
        <v>0</v>
      </c>
      <c r="AY79" s="57">
        <f>[2]Districts_Boroughs!EC35</f>
        <v>0</v>
      </c>
    </row>
    <row r="80" spans="2:51" x14ac:dyDescent="0.35">
      <c r="B80" t="str">
        <f t="shared" si="2"/>
        <v>North WarwickshireHate Offences &amp; Crimed Incidents</v>
      </c>
      <c r="C80" s="329" t="s">
        <v>51</v>
      </c>
      <c r="D80" s="57">
        <f>[2]Districts_Boroughs!CH36</f>
        <v>13</v>
      </c>
      <c r="E80" s="57">
        <f>[2]Districts_Boroughs!CI36</f>
        <v>17</v>
      </c>
      <c r="F80" s="57">
        <f>[2]Districts_Boroughs!CJ36</f>
        <v>12</v>
      </c>
      <c r="G80" s="57">
        <f>[2]Districts_Boroughs!CK36</f>
        <v>13</v>
      </c>
      <c r="H80" s="57">
        <f>[2]Districts_Boroughs!CL36</f>
        <v>8</v>
      </c>
      <c r="I80" s="57">
        <f>[2]Districts_Boroughs!CM36</f>
        <v>6</v>
      </c>
      <c r="J80" s="57">
        <f>[2]Districts_Boroughs!CN36</f>
        <v>8</v>
      </c>
      <c r="K80" s="57">
        <f>[2]Districts_Boroughs!CO36</f>
        <v>10</v>
      </c>
      <c r="L80" s="57">
        <f>[2]Districts_Boroughs!CP36</f>
        <v>4</v>
      </c>
      <c r="M80" s="57">
        <f>[2]Districts_Boroughs!CQ36</f>
        <v>10</v>
      </c>
      <c r="N80" s="57">
        <f>[2]Districts_Boroughs!CR36</f>
        <v>5</v>
      </c>
      <c r="O80" s="57">
        <f>[2]Districts_Boroughs!CS36</f>
        <v>8</v>
      </c>
      <c r="P80" s="57">
        <f>[2]Districts_Boroughs!CT36</f>
        <v>5</v>
      </c>
      <c r="Q80" s="57">
        <f>[2]Districts_Boroughs!CU36</f>
        <v>9</v>
      </c>
      <c r="R80" s="57">
        <f>[2]Districts_Boroughs!CV36</f>
        <v>2</v>
      </c>
      <c r="S80" s="57">
        <f>[2]Districts_Boroughs!CW36</f>
        <v>10</v>
      </c>
      <c r="T80" s="57">
        <f>[2]Districts_Boroughs!CX36</f>
        <v>4</v>
      </c>
      <c r="U80" s="57">
        <f>[2]Districts_Boroughs!CY36</f>
        <v>6</v>
      </c>
      <c r="V80" s="57">
        <f>[2]Districts_Boroughs!CZ36</f>
        <v>5</v>
      </c>
      <c r="W80" s="57">
        <f>[2]Districts_Boroughs!DA36</f>
        <v>8</v>
      </c>
      <c r="X80" s="57">
        <f>[2]Districts_Boroughs!DB36</f>
        <v>6</v>
      </c>
      <c r="Y80" s="57">
        <f>[2]Districts_Boroughs!DC36</f>
        <v>8</v>
      </c>
      <c r="Z80" s="57">
        <f>[2]Districts_Boroughs!DD36</f>
        <v>2</v>
      </c>
      <c r="AA80" s="57">
        <f>[2]Districts_Boroughs!DE36</f>
        <v>12</v>
      </c>
      <c r="AB80" s="57">
        <f>[2]Districts_Boroughs!DF36</f>
        <v>10</v>
      </c>
      <c r="AC80" s="57">
        <f>[2]Districts_Boroughs!DG36</f>
        <v>6</v>
      </c>
      <c r="AD80" s="57">
        <f>[2]Districts_Boroughs!DH36</f>
        <v>10</v>
      </c>
      <c r="AE80" s="57">
        <f>[2]Districts_Boroughs!DI36</f>
        <v>6</v>
      </c>
      <c r="AF80" s="57">
        <f>[2]Districts_Boroughs!DJ36</f>
        <v>6</v>
      </c>
      <c r="AG80" s="57">
        <f>[2]Districts_Boroughs!DK36</f>
        <v>6</v>
      </c>
      <c r="AH80" s="57">
        <f>[2]Districts_Boroughs!DL36</f>
        <v>8</v>
      </c>
      <c r="AI80" s="57">
        <f>[2]Districts_Boroughs!DM36</f>
        <v>6</v>
      </c>
      <c r="AJ80" s="57">
        <f>[2]Districts_Boroughs!DN36</f>
        <v>5</v>
      </c>
      <c r="AK80" s="57">
        <f>[2]Districts_Boroughs!DO36</f>
        <v>2</v>
      </c>
      <c r="AL80" s="57">
        <f>[2]Districts_Boroughs!DP36</f>
        <v>4</v>
      </c>
      <c r="AM80" s="57">
        <f>[2]Districts_Boroughs!DQ36</f>
        <v>8</v>
      </c>
      <c r="AN80" s="57">
        <f>[2]Districts_Boroughs!DR36</f>
        <v>7</v>
      </c>
      <c r="AO80" s="57">
        <f>[2]Districts_Boroughs!DS36</f>
        <v>11</v>
      </c>
      <c r="AP80" s="57">
        <f>[2]Districts_Boroughs!DT36</f>
        <v>5</v>
      </c>
      <c r="AQ80" s="57">
        <f>[2]Districts_Boroughs!DU36</f>
        <v>4</v>
      </c>
      <c r="AR80" s="57">
        <f>[2]Districts_Boroughs!DV36</f>
        <v>9</v>
      </c>
      <c r="AS80" s="57">
        <f>[2]Districts_Boroughs!DW36</f>
        <v>7</v>
      </c>
      <c r="AT80" s="57">
        <f>[2]Districts_Boroughs!DX36</f>
        <v>7</v>
      </c>
      <c r="AU80" s="57">
        <f>[2]Districts_Boroughs!DY36</f>
        <v>5</v>
      </c>
      <c r="AV80" s="57">
        <f>[2]Districts_Boroughs!DZ36</f>
        <v>4</v>
      </c>
      <c r="AW80" s="57">
        <f>[2]Districts_Boroughs!EA36</f>
        <v>11</v>
      </c>
      <c r="AX80" s="57">
        <f>[2]Districts_Boroughs!EB36</f>
        <v>5</v>
      </c>
      <c r="AY80" s="57">
        <f>[2]Districts_Boroughs!EC36</f>
        <v>4</v>
      </c>
    </row>
    <row r="81" spans="2:51" s="64" customFormat="1" x14ac:dyDescent="0.35">
      <c r="B81" s="64" t="str">
        <f t="shared" si="2"/>
        <v>North WarwickshireDA Offences &amp; Crimed Incidents</v>
      </c>
      <c r="C81" s="329" t="s">
        <v>200</v>
      </c>
      <c r="D81" s="57">
        <f>[2]Districts_Boroughs!CH37</f>
        <v>104</v>
      </c>
      <c r="E81" s="57">
        <f>[2]Districts_Boroughs!CI37</f>
        <v>104</v>
      </c>
      <c r="F81" s="57">
        <f>[2]Districts_Boroughs!CJ37</f>
        <v>120</v>
      </c>
      <c r="G81" s="57">
        <f>[2]Districts_Boroughs!CK37</f>
        <v>122</v>
      </c>
      <c r="H81" s="57">
        <f>[2]Districts_Boroughs!CL37</f>
        <v>99</v>
      </c>
      <c r="I81" s="57">
        <f>[2]Districts_Boroughs!CM37</f>
        <v>110</v>
      </c>
      <c r="J81" s="57">
        <f>[2]Districts_Boroughs!CN37</f>
        <v>100</v>
      </c>
      <c r="K81" s="57">
        <f>[2]Districts_Boroughs!CO37</f>
        <v>88</v>
      </c>
      <c r="L81" s="57">
        <f>[2]Districts_Boroughs!CP37</f>
        <v>90</v>
      </c>
      <c r="M81" s="57">
        <f>[2]Districts_Boroughs!CQ37</f>
        <v>102</v>
      </c>
      <c r="N81" s="57">
        <f>[2]Districts_Boroughs!CR37</f>
        <v>87</v>
      </c>
      <c r="O81" s="57">
        <f>[2]Districts_Boroughs!CS37</f>
        <v>118</v>
      </c>
      <c r="P81" s="57">
        <f>[2]Districts_Boroughs!CT37</f>
        <v>113</v>
      </c>
      <c r="Q81" s="57">
        <f>[2]Districts_Boroughs!CU37</f>
        <v>99</v>
      </c>
      <c r="R81" s="57">
        <f>[2]Districts_Boroughs!CV37</f>
        <v>103</v>
      </c>
      <c r="S81" s="57">
        <f>[2]Districts_Boroughs!CW37</f>
        <v>106</v>
      </c>
      <c r="T81" s="57">
        <f>[2]Districts_Boroughs!CX37</f>
        <v>95</v>
      </c>
      <c r="U81" s="57">
        <f>[2]Districts_Boroughs!CY37</f>
        <v>86</v>
      </c>
      <c r="V81" s="57">
        <f>[2]Districts_Boroughs!CZ37</f>
        <v>89</v>
      </c>
      <c r="W81" s="57">
        <f>[2]Districts_Boroughs!DA37</f>
        <v>96</v>
      </c>
      <c r="X81" s="57">
        <f>[2]Districts_Boroughs!DB37</f>
        <v>110</v>
      </c>
      <c r="Y81" s="57">
        <f>[2]Districts_Boroughs!DC37</f>
        <v>88</v>
      </c>
      <c r="Z81" s="57">
        <f>[2]Districts_Boroughs!DD37</f>
        <v>87</v>
      </c>
      <c r="AA81" s="57">
        <f>[2]Districts_Boroughs!DE37</f>
        <v>112</v>
      </c>
      <c r="AB81" s="57">
        <f>[2]Districts_Boroughs!DF37</f>
        <v>97</v>
      </c>
      <c r="AC81" s="57">
        <f>[2]Districts_Boroughs!DG37</f>
        <v>102</v>
      </c>
      <c r="AD81" s="57">
        <f>[2]Districts_Boroughs!DH37</f>
        <v>94</v>
      </c>
      <c r="AE81" s="57">
        <f>[2]Districts_Boroughs!DI37</f>
        <v>106</v>
      </c>
      <c r="AF81" s="57">
        <f>[2]Districts_Boroughs!DJ37</f>
        <v>94</v>
      </c>
      <c r="AG81" s="57">
        <f>[2]Districts_Boroughs!DK37</f>
        <v>64</v>
      </c>
      <c r="AH81" s="57">
        <f>[2]Districts_Boroughs!DL37</f>
        <v>108</v>
      </c>
      <c r="AI81" s="57">
        <f>[2]Districts_Boroughs!DM37</f>
        <v>96</v>
      </c>
      <c r="AJ81" s="57">
        <f>[2]Districts_Boroughs!DN37</f>
        <v>96</v>
      </c>
      <c r="AK81" s="57">
        <f>[2]Districts_Boroughs!DO37</f>
        <v>97</v>
      </c>
      <c r="AL81" s="57">
        <f>[2]Districts_Boroughs!DP37</f>
        <v>84</v>
      </c>
      <c r="AM81" s="57">
        <f>[2]Districts_Boroughs!DQ37</f>
        <v>91</v>
      </c>
      <c r="AN81" s="57">
        <f>[2]Districts_Boroughs!DR37</f>
        <v>91</v>
      </c>
      <c r="AO81" s="57">
        <f>[2]Districts_Boroughs!DS37</f>
        <v>64</v>
      </c>
      <c r="AP81" s="57">
        <f>[2]Districts_Boroughs!DT37</f>
        <v>95</v>
      </c>
      <c r="AQ81" s="57">
        <f>[2]Districts_Boroughs!DU37</f>
        <v>102</v>
      </c>
      <c r="AR81" s="57">
        <f>[2]Districts_Boroughs!DV37</f>
        <v>101</v>
      </c>
      <c r="AS81" s="57">
        <f>[2]Districts_Boroughs!DW37</f>
        <v>86</v>
      </c>
      <c r="AT81" s="57">
        <f>[2]Districts_Boroughs!DX37</f>
        <v>75</v>
      </c>
      <c r="AU81" s="57">
        <f>[2]Districts_Boroughs!DY37</f>
        <v>95</v>
      </c>
      <c r="AV81" s="57">
        <f>[2]Districts_Boroughs!DZ37</f>
        <v>102</v>
      </c>
      <c r="AW81" s="57">
        <f>[2]Districts_Boroughs!EA37</f>
        <v>92</v>
      </c>
      <c r="AX81" s="57">
        <f>[2]Districts_Boroughs!EB37</f>
        <v>80</v>
      </c>
      <c r="AY81" s="57">
        <f>[2]Districts_Boroughs!EC37</f>
        <v>129</v>
      </c>
    </row>
    <row r="82" spans="2:51" s="64" customFormat="1" x14ac:dyDescent="0.35">
      <c r="B82" s="64" t="str">
        <f>CONCATENATE($C$45,C82)</f>
        <v>North WarwickshireVulnerable adult offences and crimed incidents</v>
      </c>
      <c r="C82" s="329" t="s">
        <v>201</v>
      </c>
      <c r="D82" s="57">
        <f>[2]Districts_Boroughs!CH38</f>
        <v>48</v>
      </c>
      <c r="E82" s="57">
        <f>[2]Districts_Boroughs!CI38</f>
        <v>53</v>
      </c>
      <c r="F82" s="57">
        <f>[2]Districts_Boroughs!CJ38</f>
        <v>52</v>
      </c>
      <c r="G82" s="57">
        <f>[2]Districts_Boroughs!CK38</f>
        <v>58</v>
      </c>
      <c r="H82" s="57">
        <f>[2]Districts_Boroughs!CL38</f>
        <v>37</v>
      </c>
      <c r="I82" s="57">
        <f>[2]Districts_Boroughs!CM38</f>
        <v>51</v>
      </c>
      <c r="J82" s="57">
        <f>[2]Districts_Boroughs!CN38</f>
        <v>47</v>
      </c>
      <c r="K82" s="57">
        <f>[2]Districts_Boroughs!CO38</f>
        <v>43</v>
      </c>
      <c r="L82" s="57">
        <f>[2]Districts_Boroughs!CP38</f>
        <v>50</v>
      </c>
      <c r="M82" s="57">
        <f>[2]Districts_Boroughs!CQ38</f>
        <v>31</v>
      </c>
      <c r="N82" s="57">
        <f>[2]Districts_Boroughs!CR38</f>
        <v>35</v>
      </c>
      <c r="O82" s="57">
        <f>[2]Districts_Boroughs!CS38</f>
        <v>31</v>
      </c>
      <c r="P82" s="57">
        <f>[2]Districts_Boroughs!CT38</f>
        <v>54</v>
      </c>
      <c r="Q82" s="57">
        <f>[2]Districts_Boroughs!CU38</f>
        <v>44</v>
      </c>
      <c r="R82" s="57">
        <f>[2]Districts_Boroughs!CV38</f>
        <v>71</v>
      </c>
      <c r="S82" s="57">
        <f>[2]Districts_Boroughs!CW38</f>
        <v>70</v>
      </c>
      <c r="T82" s="57">
        <f>[2]Districts_Boroughs!CX38</f>
        <v>50</v>
      </c>
      <c r="U82" s="57">
        <f>[2]Districts_Boroughs!CY38</f>
        <v>44</v>
      </c>
      <c r="V82" s="57">
        <f>[2]Districts_Boroughs!CZ38</f>
        <v>42</v>
      </c>
      <c r="W82" s="57">
        <f>[2]Districts_Boroughs!DA38</f>
        <v>43</v>
      </c>
      <c r="X82" s="57">
        <f>[2]Districts_Boroughs!DB38</f>
        <v>41</v>
      </c>
      <c r="Y82" s="57">
        <f>[2]Districts_Boroughs!DC38</f>
        <v>31</v>
      </c>
      <c r="Z82" s="57">
        <f>[2]Districts_Boroughs!DD38</f>
        <v>51</v>
      </c>
      <c r="AA82" s="57">
        <f>[2]Districts_Boroughs!DE38</f>
        <v>43</v>
      </c>
      <c r="AB82" s="57">
        <f>[2]Districts_Boroughs!DF38</f>
        <v>43</v>
      </c>
      <c r="AC82" s="57">
        <f>[2]Districts_Boroughs!DG38</f>
        <v>54</v>
      </c>
      <c r="AD82" s="57">
        <f>[2]Districts_Boroughs!DH38</f>
        <v>57</v>
      </c>
      <c r="AE82" s="57">
        <f>[2]Districts_Boroughs!DI38</f>
        <v>51</v>
      </c>
      <c r="AF82" s="57">
        <f>[2]Districts_Boroughs!DJ38</f>
        <v>55</v>
      </c>
      <c r="AG82" s="57">
        <f>[2]Districts_Boroughs!DK38</f>
        <v>35</v>
      </c>
      <c r="AH82" s="57">
        <f>[2]Districts_Boroughs!DL38</f>
        <v>72</v>
      </c>
      <c r="AI82" s="57">
        <f>[2]Districts_Boroughs!DM38</f>
        <v>48</v>
      </c>
      <c r="AJ82" s="57">
        <f>[2]Districts_Boroughs!DN38</f>
        <v>48</v>
      </c>
      <c r="AK82" s="57">
        <f>[2]Districts_Boroughs!DO38</f>
        <v>53</v>
      </c>
      <c r="AL82" s="57">
        <f>[2]Districts_Boroughs!DP38</f>
        <v>50</v>
      </c>
      <c r="AM82" s="57">
        <f>[2]Districts_Boroughs!DQ38</f>
        <v>46</v>
      </c>
      <c r="AN82" s="57">
        <f>[2]Districts_Boroughs!DR38</f>
        <v>43</v>
      </c>
      <c r="AO82" s="57">
        <f>[2]Districts_Boroughs!DS38</f>
        <v>42</v>
      </c>
      <c r="AP82" s="57">
        <f>[2]Districts_Boroughs!DT38</f>
        <v>53</v>
      </c>
      <c r="AQ82" s="57">
        <f>[2]Districts_Boroughs!DU38</f>
        <v>52</v>
      </c>
      <c r="AR82" s="57">
        <f>[2]Districts_Boroughs!DV38</f>
        <v>43</v>
      </c>
      <c r="AS82" s="57">
        <f>[2]Districts_Boroughs!DW38</f>
        <v>38</v>
      </c>
      <c r="AT82" s="57">
        <f>[2]Districts_Boroughs!DX38</f>
        <v>43</v>
      </c>
      <c r="AU82" s="57">
        <f>[2]Districts_Boroughs!DY38</f>
        <v>44</v>
      </c>
      <c r="AV82" s="57">
        <f>[2]Districts_Boroughs!DZ38</f>
        <v>38</v>
      </c>
      <c r="AW82" s="57">
        <f>[2]Districts_Boroughs!EA38</f>
        <v>42</v>
      </c>
      <c r="AX82" s="57">
        <f>[2]Districts_Boroughs!EB38</f>
        <v>37</v>
      </c>
      <c r="AY82" s="57">
        <f>[2]Districts_Boroughs!EC38</f>
        <v>44</v>
      </c>
    </row>
    <row r="83" spans="2:51" s="64" customFormat="1" x14ac:dyDescent="0.35">
      <c r="B83" s="64" t="str">
        <f>CONCATENATE($C$45,C83)</f>
        <v>North WarwickshireCSE offences and crimed incidents</v>
      </c>
      <c r="C83" s="329" t="s">
        <v>202</v>
      </c>
      <c r="D83" s="57">
        <f>[2]Districts_Boroughs!CH39</f>
        <v>0</v>
      </c>
      <c r="E83" s="57">
        <f>[2]Districts_Boroughs!CI39</f>
        <v>0</v>
      </c>
      <c r="F83" s="57">
        <f>[2]Districts_Boroughs!CJ39</f>
        <v>1</v>
      </c>
      <c r="G83" s="57">
        <f>[2]Districts_Boroughs!CK39</f>
        <v>1</v>
      </c>
      <c r="H83" s="57">
        <f>[2]Districts_Boroughs!CL39</f>
        <v>0</v>
      </c>
      <c r="I83" s="57">
        <f>[2]Districts_Boroughs!CM39</f>
        <v>2</v>
      </c>
      <c r="J83" s="57">
        <f>[2]Districts_Boroughs!CN39</f>
        <v>0</v>
      </c>
      <c r="K83" s="57">
        <f>[2]Districts_Boroughs!CO39</f>
        <v>1</v>
      </c>
      <c r="L83" s="57">
        <f>[2]Districts_Boroughs!CP39</f>
        <v>1</v>
      </c>
      <c r="M83" s="57">
        <f>[2]Districts_Boroughs!CQ39</f>
        <v>5</v>
      </c>
      <c r="N83" s="57">
        <f>[2]Districts_Boroughs!CR39</f>
        <v>2</v>
      </c>
      <c r="O83" s="57">
        <f>[2]Districts_Boroughs!CS39</f>
        <v>1</v>
      </c>
      <c r="P83" s="57">
        <f>[2]Districts_Boroughs!CT39</f>
        <v>2</v>
      </c>
      <c r="Q83" s="57">
        <f>[2]Districts_Boroughs!CU39</f>
        <v>1</v>
      </c>
      <c r="R83" s="57">
        <f>[2]Districts_Boroughs!CV39</f>
        <v>1</v>
      </c>
      <c r="S83" s="57">
        <f>[2]Districts_Boroughs!CW39</f>
        <v>3</v>
      </c>
      <c r="T83" s="57">
        <f>[2]Districts_Boroughs!CX39</f>
        <v>0</v>
      </c>
      <c r="U83" s="57">
        <f>[2]Districts_Boroughs!CY39</f>
        <v>2</v>
      </c>
      <c r="V83" s="57">
        <f>[2]Districts_Boroughs!CZ39</f>
        <v>1</v>
      </c>
      <c r="W83" s="57">
        <f>[2]Districts_Boroughs!DA39</f>
        <v>1</v>
      </c>
      <c r="X83" s="57">
        <f>[2]Districts_Boroughs!DB39</f>
        <v>2</v>
      </c>
      <c r="Y83" s="57">
        <f>[2]Districts_Boroughs!DC39</f>
        <v>2</v>
      </c>
      <c r="Z83" s="57">
        <f>[2]Districts_Boroughs!DD39</f>
        <v>4</v>
      </c>
      <c r="AA83" s="57">
        <f>[2]Districts_Boroughs!DE39</f>
        <v>5</v>
      </c>
      <c r="AB83" s="57">
        <f>[2]Districts_Boroughs!DF39</f>
        <v>1</v>
      </c>
      <c r="AC83" s="57">
        <f>[2]Districts_Boroughs!DG39</f>
        <v>0</v>
      </c>
      <c r="AD83" s="57">
        <f>[2]Districts_Boroughs!DH39</f>
        <v>0</v>
      </c>
      <c r="AE83" s="57">
        <f>[2]Districts_Boroughs!DI39</f>
        <v>1</v>
      </c>
      <c r="AF83" s="57">
        <f>[2]Districts_Boroughs!DJ39</f>
        <v>0</v>
      </c>
      <c r="AG83" s="57">
        <f>[2]Districts_Boroughs!DK39</f>
        <v>1</v>
      </c>
      <c r="AH83" s="57">
        <f>[2]Districts_Boroughs!DL39</f>
        <v>2</v>
      </c>
      <c r="AI83" s="57">
        <f>[2]Districts_Boroughs!DM39</f>
        <v>0</v>
      </c>
      <c r="AJ83" s="57">
        <f>[2]Districts_Boroughs!DN39</f>
        <v>0</v>
      </c>
      <c r="AK83" s="57">
        <f>[2]Districts_Boroughs!DO39</f>
        <v>0</v>
      </c>
      <c r="AL83" s="57">
        <f>[2]Districts_Boroughs!DP39</f>
        <v>3</v>
      </c>
      <c r="AM83" s="57">
        <f>[2]Districts_Boroughs!DQ39</f>
        <v>0</v>
      </c>
      <c r="AN83" s="57">
        <f>[2]Districts_Boroughs!DR39</f>
        <v>2</v>
      </c>
      <c r="AO83" s="57">
        <f>[2]Districts_Boroughs!DS39</f>
        <v>0</v>
      </c>
      <c r="AP83" s="57">
        <f>[2]Districts_Boroughs!DT39</f>
        <v>1</v>
      </c>
      <c r="AQ83" s="57">
        <f>[2]Districts_Boroughs!DU39</f>
        <v>0</v>
      </c>
      <c r="AR83" s="57">
        <f>[2]Districts_Boroughs!DV39</f>
        <v>1</v>
      </c>
      <c r="AS83" s="57">
        <f>[2]Districts_Boroughs!DW39</f>
        <v>2</v>
      </c>
      <c r="AT83" s="57">
        <f>[2]Districts_Boroughs!DX39</f>
        <v>3</v>
      </c>
      <c r="AU83" s="57">
        <f>[2]Districts_Boroughs!DY39</f>
        <v>0</v>
      </c>
      <c r="AV83" s="57">
        <f>[2]Districts_Boroughs!DZ39</f>
        <v>0</v>
      </c>
      <c r="AW83" s="57">
        <f>[2]Districts_Boroughs!EA39</f>
        <v>1</v>
      </c>
      <c r="AX83" s="57">
        <f>[2]Districts_Boroughs!EB39</f>
        <v>2</v>
      </c>
      <c r="AY83" s="57">
        <f>[2]Districts_Boroughs!EC39</f>
        <v>3</v>
      </c>
    </row>
    <row r="84" spans="2:51" x14ac:dyDescent="0.35">
      <c r="B84" t="str">
        <f t="shared" si="2"/>
        <v>North Warwickshire</v>
      </c>
      <c r="C84" s="329"/>
      <c r="D84" s="57">
        <f>[2]Districts_Boroughs!CH40</f>
        <v>0</v>
      </c>
      <c r="E84" s="57">
        <f>[2]Districts_Boroughs!CI40</f>
        <v>0</v>
      </c>
      <c r="F84" s="57">
        <f>[2]Districts_Boroughs!CJ40</f>
        <v>0</v>
      </c>
      <c r="G84" s="57">
        <f>[2]Districts_Boroughs!CK40</f>
        <v>0</v>
      </c>
      <c r="H84" s="57">
        <f>[2]Districts_Boroughs!CL40</f>
        <v>0</v>
      </c>
      <c r="I84" s="57">
        <f>[2]Districts_Boroughs!CM40</f>
        <v>0</v>
      </c>
      <c r="J84" s="57">
        <f>[2]Districts_Boroughs!CN40</f>
        <v>0</v>
      </c>
      <c r="K84" s="57">
        <f>[2]Districts_Boroughs!CO40</f>
        <v>0</v>
      </c>
      <c r="L84" s="57">
        <f>[2]Districts_Boroughs!CP40</f>
        <v>0</v>
      </c>
      <c r="M84" s="57">
        <f>[2]Districts_Boroughs!CQ40</f>
        <v>0</v>
      </c>
      <c r="N84" s="57">
        <f>[2]Districts_Boroughs!CR40</f>
        <v>0</v>
      </c>
      <c r="O84" s="57">
        <f>[2]Districts_Boroughs!CS40</f>
        <v>0</v>
      </c>
      <c r="P84" s="57">
        <f>[2]Districts_Boroughs!CT40</f>
        <v>0</v>
      </c>
      <c r="Q84" s="57">
        <f>[2]Districts_Boroughs!CU40</f>
        <v>0</v>
      </c>
      <c r="R84" s="57">
        <f>[2]Districts_Boroughs!CV40</f>
        <v>0</v>
      </c>
      <c r="S84" s="57">
        <f>[2]Districts_Boroughs!CW40</f>
        <v>0</v>
      </c>
      <c r="T84" s="57">
        <f>[2]Districts_Boroughs!CX40</f>
        <v>0</v>
      </c>
      <c r="U84" s="57">
        <f>[2]Districts_Boroughs!CY40</f>
        <v>0</v>
      </c>
      <c r="V84" s="57">
        <f>[2]Districts_Boroughs!CZ40</f>
        <v>0</v>
      </c>
      <c r="W84" s="57">
        <f>[2]Districts_Boroughs!DA40</f>
        <v>0</v>
      </c>
      <c r="X84" s="57">
        <f>[2]Districts_Boroughs!DB40</f>
        <v>0</v>
      </c>
      <c r="Y84" s="57">
        <f>[2]Districts_Boroughs!DC40</f>
        <v>0</v>
      </c>
      <c r="Z84" s="57">
        <f>[2]Districts_Boroughs!DD40</f>
        <v>0</v>
      </c>
      <c r="AA84" s="57">
        <f>[2]Districts_Boroughs!DE40</f>
        <v>0</v>
      </c>
      <c r="AB84" s="57">
        <f>[2]Districts_Boroughs!DF40</f>
        <v>0</v>
      </c>
      <c r="AC84" s="57">
        <f>[2]Districts_Boroughs!DG40</f>
        <v>0</v>
      </c>
      <c r="AD84" s="57">
        <f>[2]Districts_Boroughs!DH40</f>
        <v>0</v>
      </c>
      <c r="AE84" s="57">
        <f>[2]Districts_Boroughs!DI40</f>
        <v>0</v>
      </c>
      <c r="AF84" s="57">
        <f>[2]Districts_Boroughs!DJ40</f>
        <v>0</v>
      </c>
      <c r="AG84" s="57">
        <f>[2]Districts_Boroughs!DK40</f>
        <v>0</v>
      </c>
      <c r="AH84" s="57">
        <f>[2]Districts_Boroughs!DL40</f>
        <v>0</v>
      </c>
      <c r="AI84" s="57">
        <f>[2]Districts_Boroughs!DM40</f>
        <v>0</v>
      </c>
      <c r="AJ84" s="57">
        <f>[2]Districts_Boroughs!DN40</f>
        <v>0</v>
      </c>
      <c r="AK84" s="57">
        <f>[2]Districts_Boroughs!DO40</f>
        <v>0</v>
      </c>
      <c r="AL84" s="57">
        <f>[2]Districts_Boroughs!DP40</f>
        <v>0</v>
      </c>
      <c r="AM84" s="57">
        <f>[2]Districts_Boroughs!DQ40</f>
        <v>0</v>
      </c>
      <c r="AN84" s="57">
        <f>[2]Districts_Boroughs!DR40</f>
        <v>0</v>
      </c>
      <c r="AO84" s="57">
        <f>[2]Districts_Boroughs!DS40</f>
        <v>0</v>
      </c>
      <c r="AP84" s="57">
        <f>[2]Districts_Boroughs!DT40</f>
        <v>0</v>
      </c>
      <c r="AQ84" s="57">
        <f>[2]Districts_Boroughs!DU40</f>
        <v>0</v>
      </c>
      <c r="AR84" s="57">
        <f>[2]Districts_Boroughs!DV40</f>
        <v>0</v>
      </c>
      <c r="AS84" s="57">
        <f>[2]Districts_Boroughs!DW40</f>
        <v>0</v>
      </c>
      <c r="AT84" s="57">
        <f>[2]Districts_Boroughs!DX40</f>
        <v>0</v>
      </c>
      <c r="AU84" s="57">
        <f>[2]Districts_Boroughs!DY40</f>
        <v>0</v>
      </c>
      <c r="AV84" s="57">
        <f>[2]Districts_Boroughs!DZ40</f>
        <v>0</v>
      </c>
      <c r="AW84" s="57">
        <f>[2]Districts_Boroughs!EA40</f>
        <v>0</v>
      </c>
      <c r="AX84" s="57">
        <f>[2]Districts_Boroughs!EB40</f>
        <v>0</v>
      </c>
      <c r="AY84" s="57">
        <f>[2]Districts_Boroughs!EC40</f>
        <v>0</v>
      </c>
    </row>
    <row r="85" spans="2:51" x14ac:dyDescent="0.35">
      <c r="B85" t="str">
        <f t="shared" si="2"/>
        <v>North WarwickshireBusiness Crime</v>
      </c>
      <c r="C85" s="329" t="s">
        <v>52</v>
      </c>
      <c r="D85" s="57">
        <f>[2]Districts_Boroughs!CH41</f>
        <v>42</v>
      </c>
      <c r="E85" s="57">
        <f>[2]Districts_Boroughs!CI41</f>
        <v>56</v>
      </c>
      <c r="F85" s="57">
        <f>[2]Districts_Boroughs!CJ41</f>
        <v>42</v>
      </c>
      <c r="G85" s="57">
        <f>[2]Districts_Boroughs!CK41</f>
        <v>50</v>
      </c>
      <c r="H85" s="57">
        <f>[2]Districts_Boroughs!CL41</f>
        <v>42</v>
      </c>
      <c r="I85" s="57">
        <f>[2]Districts_Boroughs!CM41</f>
        <v>42</v>
      </c>
      <c r="J85" s="57">
        <f>[2]Districts_Boroughs!CN41</f>
        <v>40</v>
      </c>
      <c r="K85" s="57">
        <f>[2]Districts_Boroughs!CO41</f>
        <v>53</v>
      </c>
      <c r="L85" s="57">
        <f>[2]Districts_Boroughs!CP41</f>
        <v>53</v>
      </c>
      <c r="M85" s="57">
        <f>[2]Districts_Boroughs!CQ41</f>
        <v>36</v>
      </c>
      <c r="N85" s="57">
        <f>[2]Districts_Boroughs!CR41</f>
        <v>42</v>
      </c>
      <c r="O85" s="57">
        <f>[2]Districts_Boroughs!CS41</f>
        <v>65</v>
      </c>
      <c r="P85" s="57">
        <f>[2]Districts_Boroughs!CT41</f>
        <v>78</v>
      </c>
      <c r="Q85" s="57">
        <f>[2]Districts_Boroughs!CU41</f>
        <v>40</v>
      </c>
      <c r="R85" s="57">
        <f>[2]Districts_Boroughs!CV41</f>
        <v>52</v>
      </c>
      <c r="S85" s="57">
        <f>[2]Districts_Boroughs!CW41</f>
        <v>58</v>
      </c>
      <c r="T85" s="57">
        <f>[2]Districts_Boroughs!CX41</f>
        <v>76</v>
      </c>
      <c r="U85" s="57">
        <f>[2]Districts_Boroughs!CY41</f>
        <v>66</v>
      </c>
      <c r="V85" s="57">
        <f>[2]Districts_Boroughs!CZ41</f>
        <v>58</v>
      </c>
      <c r="W85" s="57">
        <f>[2]Districts_Boroughs!DA41</f>
        <v>51</v>
      </c>
      <c r="X85" s="57">
        <f>[2]Districts_Boroughs!DB41</f>
        <v>48</v>
      </c>
      <c r="Y85" s="57">
        <f>[2]Districts_Boroughs!DC41</f>
        <v>68</v>
      </c>
      <c r="Z85" s="57">
        <f>[2]Districts_Boroughs!DD41</f>
        <v>62</v>
      </c>
      <c r="AA85" s="57">
        <f>[2]Districts_Boroughs!DE41</f>
        <v>62</v>
      </c>
      <c r="AB85" s="57">
        <f>[2]Districts_Boroughs!DF41</f>
        <v>54</v>
      </c>
      <c r="AC85" s="57">
        <f>[2]Districts_Boroughs!DG41</f>
        <v>55</v>
      </c>
      <c r="AD85" s="57">
        <f>[2]Districts_Boroughs!DH41</f>
        <v>61</v>
      </c>
      <c r="AE85" s="57">
        <f>[2]Districts_Boroughs!DI41</f>
        <v>59</v>
      </c>
      <c r="AF85" s="57">
        <f>[2]Districts_Boroughs!DJ41</f>
        <v>46</v>
      </c>
      <c r="AG85" s="57">
        <f>[2]Districts_Boroughs!DK41</f>
        <v>76</v>
      </c>
      <c r="AH85" s="57">
        <f>[2]Districts_Boroughs!DL41</f>
        <v>82</v>
      </c>
      <c r="AI85" s="57">
        <f>[2]Districts_Boroughs!DM41</f>
        <v>79</v>
      </c>
      <c r="AJ85" s="57">
        <f>[2]Districts_Boroughs!DN41</f>
        <v>70</v>
      </c>
      <c r="AK85" s="57">
        <f>[2]Districts_Boroughs!DO41</f>
        <v>66</v>
      </c>
      <c r="AL85" s="57">
        <f>[2]Districts_Boroughs!DP41</f>
        <v>66</v>
      </c>
      <c r="AM85" s="57">
        <f>[2]Districts_Boroughs!DQ41</f>
        <v>65</v>
      </c>
      <c r="AN85" s="57">
        <f>[2]Districts_Boroughs!DR41</f>
        <v>63</v>
      </c>
      <c r="AO85" s="57">
        <f>[2]Districts_Boroughs!DS41</f>
        <v>40</v>
      </c>
      <c r="AP85" s="57">
        <f>[2]Districts_Boroughs!DT41</f>
        <v>43</v>
      </c>
      <c r="AQ85" s="57">
        <f>[2]Districts_Boroughs!DU41</f>
        <v>60</v>
      </c>
      <c r="AR85" s="57">
        <f>[2]Districts_Boroughs!DV41</f>
        <v>61</v>
      </c>
      <c r="AS85" s="57">
        <f>[2]Districts_Boroughs!DW41</f>
        <v>59</v>
      </c>
      <c r="AT85" s="57">
        <f>[2]Districts_Boroughs!DX41</f>
        <v>61</v>
      </c>
      <c r="AU85" s="57">
        <f>[2]Districts_Boroughs!DY41</f>
        <v>37</v>
      </c>
      <c r="AV85" s="57">
        <f>[2]Districts_Boroughs!DZ41</f>
        <v>42</v>
      </c>
      <c r="AW85" s="57">
        <f>[2]Districts_Boroughs!EA41</f>
        <v>39</v>
      </c>
      <c r="AX85" s="57">
        <f>[2]Districts_Boroughs!EB41</f>
        <v>39</v>
      </c>
      <c r="AY85" s="57">
        <f>[2]Districts_Boroughs!EC41</f>
        <v>31</v>
      </c>
    </row>
    <row r="86" spans="2:51" x14ac:dyDescent="0.35">
      <c r="B86" t="str">
        <f t="shared" si="2"/>
        <v>North Warwickshire</v>
      </c>
      <c r="C86" s="329"/>
      <c r="D86" s="57">
        <f>[2]Districts_Boroughs!CH42</f>
        <v>0</v>
      </c>
      <c r="E86" s="57">
        <f>[2]Districts_Boroughs!CI42</f>
        <v>0</v>
      </c>
      <c r="F86" s="57">
        <f>[2]Districts_Boroughs!CJ42</f>
        <v>0</v>
      </c>
      <c r="G86" s="57">
        <f>[2]Districts_Boroughs!CK42</f>
        <v>0</v>
      </c>
      <c r="H86" s="57">
        <f>[2]Districts_Boroughs!CL42</f>
        <v>0</v>
      </c>
      <c r="I86" s="57">
        <f>[2]Districts_Boroughs!CM42</f>
        <v>0</v>
      </c>
      <c r="J86" s="57">
        <f>[2]Districts_Boroughs!CN42</f>
        <v>0</v>
      </c>
      <c r="K86" s="57">
        <f>[2]Districts_Boroughs!CO42</f>
        <v>0</v>
      </c>
      <c r="L86" s="57">
        <f>[2]Districts_Boroughs!CP42</f>
        <v>0</v>
      </c>
      <c r="M86" s="57">
        <f>[2]Districts_Boroughs!CQ42</f>
        <v>0</v>
      </c>
      <c r="N86" s="57">
        <f>[2]Districts_Boroughs!CR42</f>
        <v>0</v>
      </c>
      <c r="O86" s="57">
        <f>[2]Districts_Boroughs!CS42</f>
        <v>0</v>
      </c>
      <c r="P86" s="57">
        <f>[2]Districts_Boroughs!CT42</f>
        <v>0</v>
      </c>
      <c r="Q86" s="57">
        <f>[2]Districts_Boroughs!CU42</f>
        <v>0</v>
      </c>
      <c r="R86" s="57">
        <f>[2]Districts_Boroughs!CV42</f>
        <v>0</v>
      </c>
      <c r="S86" s="57">
        <f>[2]Districts_Boroughs!CW42</f>
        <v>0</v>
      </c>
      <c r="T86" s="57">
        <f>[2]Districts_Boroughs!CX42</f>
        <v>0</v>
      </c>
      <c r="U86" s="57">
        <f>[2]Districts_Boroughs!CY42</f>
        <v>0</v>
      </c>
      <c r="V86" s="57">
        <f>[2]Districts_Boroughs!CZ42</f>
        <v>0</v>
      </c>
      <c r="W86" s="57">
        <f>[2]Districts_Boroughs!DA42</f>
        <v>0</v>
      </c>
      <c r="X86" s="57">
        <f>[2]Districts_Boroughs!DB42</f>
        <v>0</v>
      </c>
      <c r="Y86" s="57">
        <f>[2]Districts_Boroughs!DC42</f>
        <v>0</v>
      </c>
      <c r="Z86" s="57">
        <f>[2]Districts_Boroughs!DD42</f>
        <v>0</v>
      </c>
      <c r="AA86" s="57">
        <f>[2]Districts_Boroughs!DE42</f>
        <v>0</v>
      </c>
      <c r="AB86" s="57">
        <f>[2]Districts_Boroughs!DF42</f>
        <v>0</v>
      </c>
      <c r="AC86" s="57">
        <f>[2]Districts_Boroughs!DG42</f>
        <v>0</v>
      </c>
      <c r="AD86" s="57">
        <f>[2]Districts_Boroughs!DH42</f>
        <v>0</v>
      </c>
      <c r="AE86" s="57">
        <f>[2]Districts_Boroughs!DI42</f>
        <v>0</v>
      </c>
      <c r="AF86" s="57">
        <f>[2]Districts_Boroughs!DJ42</f>
        <v>0</v>
      </c>
      <c r="AG86" s="57">
        <f>[2]Districts_Boroughs!DK42</f>
        <v>0</v>
      </c>
      <c r="AH86" s="57">
        <f>[2]Districts_Boroughs!DL42</f>
        <v>0</v>
      </c>
      <c r="AI86" s="57">
        <f>[2]Districts_Boroughs!DM42</f>
        <v>0</v>
      </c>
      <c r="AJ86" s="57">
        <f>[2]Districts_Boroughs!DN42</f>
        <v>0</v>
      </c>
      <c r="AK86" s="57">
        <f>[2]Districts_Boroughs!DO42</f>
        <v>0</v>
      </c>
      <c r="AL86" s="57">
        <f>[2]Districts_Boroughs!DP42</f>
        <v>0</v>
      </c>
      <c r="AM86" s="57">
        <f>[2]Districts_Boroughs!DQ42</f>
        <v>0</v>
      </c>
      <c r="AN86" s="57">
        <f>[2]Districts_Boroughs!DR42</f>
        <v>0</v>
      </c>
      <c r="AO86" s="57">
        <f>[2]Districts_Boroughs!DS42</f>
        <v>0</v>
      </c>
      <c r="AP86" s="57">
        <f>[2]Districts_Boroughs!DT42</f>
        <v>0</v>
      </c>
      <c r="AQ86" s="57">
        <f>[2]Districts_Boroughs!DU42</f>
        <v>0</v>
      </c>
      <c r="AR86" s="57">
        <f>[2]Districts_Boroughs!DV42</f>
        <v>0</v>
      </c>
      <c r="AS86" s="57">
        <f>[2]Districts_Boroughs!DW42</f>
        <v>0</v>
      </c>
      <c r="AT86" s="57">
        <f>[2]Districts_Boroughs!DX42</f>
        <v>0</v>
      </c>
      <c r="AU86" s="57">
        <f>[2]Districts_Boroughs!DY42</f>
        <v>0</v>
      </c>
      <c r="AV86" s="57">
        <f>[2]Districts_Boroughs!DZ42</f>
        <v>0</v>
      </c>
      <c r="AW86" s="57">
        <f>[2]Districts_Boroughs!EA42</f>
        <v>0</v>
      </c>
      <c r="AX86" s="57">
        <f>[2]Districts_Boroughs!EB42</f>
        <v>0</v>
      </c>
      <c r="AY86" s="57">
        <f>[2]Districts_Boroughs!EC42</f>
        <v>0</v>
      </c>
    </row>
    <row r="87" spans="2:51" x14ac:dyDescent="0.35">
      <c r="B87" t="str">
        <f t="shared" si="2"/>
        <v>North WarwickshireResidential dwelling</v>
      </c>
      <c r="C87" s="329" t="s">
        <v>81</v>
      </c>
      <c r="D87" s="57">
        <f>[2]Districts_Boroughs!CH43</f>
        <v>8</v>
      </c>
      <c r="E87" s="57">
        <f>[2]Districts_Boroughs!CI43</f>
        <v>8</v>
      </c>
      <c r="F87" s="57">
        <f>[2]Districts_Boroughs!CJ43</f>
        <v>10</v>
      </c>
      <c r="G87" s="57">
        <f>[2]Districts_Boroughs!CK43</f>
        <v>9</v>
      </c>
      <c r="H87" s="57">
        <f>[2]Districts_Boroughs!CL43</f>
        <v>11</v>
      </c>
      <c r="I87" s="57">
        <f>[2]Districts_Boroughs!CM43</f>
        <v>11</v>
      </c>
      <c r="J87" s="57">
        <f>[2]Districts_Boroughs!CN43</f>
        <v>9</v>
      </c>
      <c r="K87" s="57">
        <f>[2]Districts_Boroughs!CO43</f>
        <v>8</v>
      </c>
      <c r="L87" s="57">
        <f>[2]Districts_Boroughs!CP43</f>
        <v>10</v>
      </c>
      <c r="M87" s="57">
        <f>[2]Districts_Boroughs!CQ43</f>
        <v>8</v>
      </c>
      <c r="N87" s="57">
        <f>[2]Districts_Boroughs!CR43</f>
        <v>5</v>
      </c>
      <c r="O87" s="57">
        <f>[2]Districts_Boroughs!CS43</f>
        <v>11</v>
      </c>
      <c r="P87" s="57">
        <f>[2]Districts_Boroughs!CT43</f>
        <v>12</v>
      </c>
      <c r="Q87" s="57">
        <f>[2]Districts_Boroughs!CU43</f>
        <v>11</v>
      </c>
      <c r="R87" s="57">
        <f>[2]Districts_Boroughs!CV43</f>
        <v>10</v>
      </c>
      <c r="S87" s="57">
        <f>[2]Districts_Boroughs!CW43</f>
        <v>10</v>
      </c>
      <c r="T87" s="57">
        <f>[2]Districts_Boroughs!CX43</f>
        <v>15</v>
      </c>
      <c r="U87" s="57">
        <f>[2]Districts_Boroughs!CY43</f>
        <v>8</v>
      </c>
      <c r="V87" s="57">
        <f>[2]Districts_Boroughs!CZ43</f>
        <v>16</v>
      </c>
      <c r="W87" s="57">
        <f>[2]Districts_Boroughs!DA43</f>
        <v>6</v>
      </c>
      <c r="X87" s="57">
        <f>[2]Districts_Boroughs!DB43</f>
        <v>19</v>
      </c>
      <c r="Y87" s="57">
        <f>[2]Districts_Boroughs!DC43</f>
        <v>20</v>
      </c>
      <c r="Z87" s="57">
        <f>[2]Districts_Boroughs!DD43</f>
        <v>9</v>
      </c>
      <c r="AA87" s="57">
        <f>[2]Districts_Boroughs!DE43</f>
        <v>8</v>
      </c>
      <c r="AB87" s="57">
        <f>[2]Districts_Boroughs!DF43</f>
        <v>10</v>
      </c>
      <c r="AC87" s="57">
        <f>[2]Districts_Boroughs!DG43</f>
        <v>17</v>
      </c>
      <c r="AD87" s="57">
        <f>[2]Districts_Boroughs!DH43</f>
        <v>9</v>
      </c>
      <c r="AE87" s="57">
        <f>[2]Districts_Boroughs!DI43</f>
        <v>21</v>
      </c>
      <c r="AF87" s="57">
        <f>[2]Districts_Boroughs!DJ43</f>
        <v>17</v>
      </c>
      <c r="AG87" s="57">
        <f>[2]Districts_Boroughs!DK43</f>
        <v>16</v>
      </c>
      <c r="AH87" s="57">
        <f>[2]Districts_Boroughs!DL43</f>
        <v>8</v>
      </c>
      <c r="AI87" s="57">
        <f>[2]Districts_Boroughs!DM43</f>
        <v>10</v>
      </c>
      <c r="AJ87" s="57">
        <f>[2]Districts_Boroughs!DN43</f>
        <v>9</v>
      </c>
      <c r="AK87" s="57">
        <f>[2]Districts_Boroughs!DO43</f>
        <v>11</v>
      </c>
      <c r="AL87" s="57">
        <f>[2]Districts_Boroughs!DP43</f>
        <v>9</v>
      </c>
      <c r="AM87" s="57">
        <f>[2]Districts_Boroughs!DQ43</f>
        <v>14</v>
      </c>
      <c r="AN87" s="57">
        <f>[2]Districts_Boroughs!DR43</f>
        <v>18</v>
      </c>
      <c r="AO87" s="57">
        <f>[2]Districts_Boroughs!DS43</f>
        <v>5</v>
      </c>
      <c r="AP87" s="57">
        <f>[2]Districts_Boroughs!DT43</f>
        <v>7</v>
      </c>
      <c r="AQ87" s="57">
        <f>[2]Districts_Boroughs!DU43</f>
        <v>8</v>
      </c>
      <c r="AR87" s="57">
        <f>[2]Districts_Boroughs!DV43</f>
        <v>25</v>
      </c>
      <c r="AS87" s="57">
        <f>[2]Districts_Boroughs!DW43</f>
        <v>20</v>
      </c>
      <c r="AT87" s="57">
        <f>[2]Districts_Boroughs!DX43</f>
        <v>12</v>
      </c>
      <c r="AU87" s="57">
        <f>[2]Districts_Boroughs!DY43</f>
        <v>9</v>
      </c>
      <c r="AV87" s="57">
        <f>[2]Districts_Boroughs!DZ43</f>
        <v>20</v>
      </c>
      <c r="AW87" s="57">
        <f>[2]Districts_Boroughs!EA43</f>
        <v>13</v>
      </c>
      <c r="AX87" s="57">
        <f>[2]Districts_Boroughs!EB43</f>
        <v>11</v>
      </c>
      <c r="AY87" s="57">
        <f>[2]Districts_Boroughs!EC43</f>
        <v>4</v>
      </c>
    </row>
    <row r="88" spans="2:51" s="36" customFormat="1" x14ac:dyDescent="0.35"/>
    <row r="89" spans="2:51" s="36" customFormat="1" ht="23" x14ac:dyDescent="0.5">
      <c r="C89" s="355" t="s">
        <v>58</v>
      </c>
    </row>
    <row r="90" spans="2:51" s="36" customFormat="1" x14ac:dyDescent="0.35">
      <c r="C90" s="350" t="s">
        <v>56</v>
      </c>
      <c r="D90" s="39">
        <v>44287</v>
      </c>
      <c r="E90" s="39">
        <v>44317</v>
      </c>
      <c r="F90" s="39">
        <v>44348</v>
      </c>
      <c r="G90" s="39">
        <v>44378</v>
      </c>
      <c r="H90" s="39">
        <v>44409</v>
      </c>
      <c r="I90" s="39">
        <v>44440</v>
      </c>
      <c r="J90" s="39">
        <v>44470</v>
      </c>
      <c r="K90" s="39">
        <v>44501</v>
      </c>
      <c r="L90" s="39">
        <v>44531</v>
      </c>
      <c r="M90" s="39">
        <v>44562</v>
      </c>
      <c r="N90" s="39">
        <v>44593</v>
      </c>
      <c r="O90" s="39">
        <v>44621</v>
      </c>
      <c r="P90" s="39">
        <v>44652</v>
      </c>
      <c r="Q90" s="39">
        <v>44682</v>
      </c>
      <c r="R90" s="39">
        <v>44713</v>
      </c>
      <c r="S90" s="39">
        <v>44743</v>
      </c>
      <c r="T90" s="39">
        <v>44774</v>
      </c>
      <c r="U90" s="39">
        <v>44805</v>
      </c>
      <c r="V90" s="39">
        <v>44835</v>
      </c>
      <c r="W90" s="39">
        <v>44866</v>
      </c>
      <c r="X90" s="39">
        <v>44896</v>
      </c>
      <c r="Y90" s="39">
        <v>44927</v>
      </c>
      <c r="Z90" s="39">
        <v>44958</v>
      </c>
      <c r="AA90" s="39">
        <v>44986</v>
      </c>
      <c r="AB90" s="39">
        <v>45017</v>
      </c>
      <c r="AC90" s="39">
        <v>45047</v>
      </c>
      <c r="AD90" s="39">
        <v>45078</v>
      </c>
      <c r="AE90" s="39">
        <v>45108</v>
      </c>
      <c r="AF90" s="39">
        <v>45139</v>
      </c>
      <c r="AG90" s="39">
        <v>45170</v>
      </c>
      <c r="AH90" s="39">
        <v>45200</v>
      </c>
      <c r="AI90" s="39">
        <v>45231</v>
      </c>
      <c r="AJ90" s="39">
        <v>45261</v>
      </c>
      <c r="AK90" s="39">
        <v>45292</v>
      </c>
      <c r="AL90" s="39">
        <v>45323</v>
      </c>
      <c r="AM90" s="39">
        <v>45352</v>
      </c>
      <c r="AN90" s="39">
        <v>45383</v>
      </c>
      <c r="AO90" s="39">
        <v>45413</v>
      </c>
      <c r="AP90" s="39">
        <v>45444</v>
      </c>
      <c r="AQ90" s="39">
        <v>45474</v>
      </c>
      <c r="AR90" s="39">
        <v>45505</v>
      </c>
      <c r="AS90" s="39">
        <v>45536</v>
      </c>
      <c r="AT90" s="39">
        <v>45566</v>
      </c>
      <c r="AU90" s="39">
        <v>45597</v>
      </c>
      <c r="AV90" s="39">
        <v>45627</v>
      </c>
      <c r="AW90" s="39">
        <v>45658</v>
      </c>
      <c r="AX90" s="39">
        <v>45689</v>
      </c>
      <c r="AY90" s="39">
        <v>45717</v>
      </c>
    </row>
    <row r="91" spans="2:51" x14ac:dyDescent="0.35">
      <c r="B91" t="str">
        <f>CONCATENATE($C$89,C91)</f>
        <v>Nuneaton &amp; BedworthTotal Recorded Crime</v>
      </c>
      <c r="C91" s="350" t="s">
        <v>33</v>
      </c>
      <c r="D91" s="58">
        <f>[2]Districts_Boroughs!CH53</f>
        <v>812</v>
      </c>
      <c r="E91" s="58">
        <f>[2]Districts_Boroughs!CI53</f>
        <v>936</v>
      </c>
      <c r="F91" s="58">
        <f>[2]Districts_Boroughs!CJ53</f>
        <v>896</v>
      </c>
      <c r="G91" s="58">
        <f>[2]Districts_Boroughs!CK53</f>
        <v>1018</v>
      </c>
      <c r="H91" s="58">
        <f>[2]Districts_Boroughs!CL53</f>
        <v>852</v>
      </c>
      <c r="I91" s="58">
        <f>[2]Districts_Boroughs!CM53</f>
        <v>948</v>
      </c>
      <c r="J91" s="58">
        <f>[2]Districts_Boroughs!CN53</f>
        <v>971</v>
      </c>
      <c r="K91" s="58">
        <f>[2]Districts_Boroughs!CO53</f>
        <v>998</v>
      </c>
      <c r="L91" s="58">
        <f>[2]Districts_Boroughs!CP53</f>
        <v>916</v>
      </c>
      <c r="M91" s="58">
        <f>[2]Districts_Boroughs!CQ53</f>
        <v>839</v>
      </c>
      <c r="N91" s="58">
        <f>[2]Districts_Boroughs!CR53</f>
        <v>864</v>
      </c>
      <c r="O91" s="58">
        <f>[2]Districts_Boroughs!CS53</f>
        <v>1060</v>
      </c>
      <c r="P91" s="58">
        <f>[2]Districts_Boroughs!CT53</f>
        <v>995</v>
      </c>
      <c r="Q91" s="58">
        <f>[2]Districts_Boroughs!CU53</f>
        <v>941</v>
      </c>
      <c r="R91" s="58">
        <f>[2]Districts_Boroughs!CV53</f>
        <v>1008</v>
      </c>
      <c r="S91" s="58">
        <f>[2]Districts_Boroughs!CW53</f>
        <v>1026</v>
      </c>
      <c r="T91" s="58">
        <f>[2]Districts_Boroughs!CX53</f>
        <v>989</v>
      </c>
      <c r="U91" s="58">
        <f>[2]Districts_Boroughs!CY53</f>
        <v>916</v>
      </c>
      <c r="V91" s="58">
        <f>[2]Districts_Boroughs!CZ53</f>
        <v>1000</v>
      </c>
      <c r="W91" s="58">
        <f>[2]Districts_Boroughs!DA53</f>
        <v>832</v>
      </c>
      <c r="X91" s="58">
        <f>[2]Districts_Boroughs!DB53</f>
        <v>833</v>
      </c>
      <c r="Y91" s="58">
        <f>[2]Districts_Boroughs!DC53</f>
        <v>965</v>
      </c>
      <c r="Z91" s="58">
        <f>[2]Districts_Boroughs!DD53</f>
        <v>883</v>
      </c>
      <c r="AA91" s="58">
        <f>[2]Districts_Boroughs!DE53</f>
        <v>1027</v>
      </c>
      <c r="AB91" s="58">
        <f>[2]Districts_Boroughs!DF53</f>
        <v>946</v>
      </c>
      <c r="AC91" s="58">
        <f>[2]Districts_Boroughs!DG53</f>
        <v>917</v>
      </c>
      <c r="AD91" s="58">
        <f>[2]Districts_Boroughs!DH53</f>
        <v>975</v>
      </c>
      <c r="AE91" s="58">
        <f>[2]Districts_Boroughs!DI53</f>
        <v>1055</v>
      </c>
      <c r="AF91" s="58">
        <f>[2]Districts_Boroughs!DJ53</f>
        <v>892</v>
      </c>
      <c r="AG91" s="58">
        <f>[2]Districts_Boroughs!DK53</f>
        <v>959</v>
      </c>
      <c r="AH91" s="58">
        <f>[2]Districts_Boroughs!DL53</f>
        <v>1021</v>
      </c>
      <c r="AI91" s="58">
        <f>[2]Districts_Boroughs!DM53</f>
        <v>845</v>
      </c>
      <c r="AJ91" s="58">
        <f>[2]Districts_Boroughs!DN53</f>
        <v>895</v>
      </c>
      <c r="AK91" s="58">
        <f>[2]Districts_Boroughs!DO53</f>
        <v>959</v>
      </c>
      <c r="AL91" s="58">
        <f>[2]Districts_Boroughs!DP53</f>
        <v>859</v>
      </c>
      <c r="AM91" s="58">
        <f>[2]Districts_Boroughs!DQ53</f>
        <v>944</v>
      </c>
      <c r="AN91" s="58">
        <f>[2]Districts_Boroughs!DR53</f>
        <v>980</v>
      </c>
      <c r="AO91" s="58">
        <f>[2]Districts_Boroughs!DS53</f>
        <v>1054</v>
      </c>
      <c r="AP91" s="58">
        <f>[2]Districts_Boroughs!DT53</f>
        <v>1052</v>
      </c>
      <c r="AQ91" s="58">
        <f>[2]Districts_Boroughs!DU53</f>
        <v>1044</v>
      </c>
      <c r="AR91" s="58">
        <f>[2]Districts_Boroughs!DV53</f>
        <v>979</v>
      </c>
      <c r="AS91" s="58">
        <f>[2]Districts_Boroughs!DW53</f>
        <v>972</v>
      </c>
      <c r="AT91" s="58">
        <f>[2]Districts_Boroughs!DX53</f>
        <v>957</v>
      </c>
      <c r="AU91" s="58">
        <f>[2]Districts_Boroughs!DY53</f>
        <v>866</v>
      </c>
      <c r="AV91" s="58">
        <f>[2]Districts_Boroughs!DZ53</f>
        <v>939</v>
      </c>
      <c r="AW91" s="58">
        <f>[2]Districts_Boroughs!EA53</f>
        <v>894</v>
      </c>
      <c r="AX91" s="58">
        <f>[2]Districts_Boroughs!EB53</f>
        <v>810</v>
      </c>
      <c r="AY91" s="58">
        <f>[2]Districts_Boroughs!EC53</f>
        <v>919</v>
      </c>
    </row>
    <row r="92" spans="2:51" x14ac:dyDescent="0.35">
      <c r="B92" t="str">
        <f t="shared" ref="B92:B130" si="6">CONCATENATE($C$89,C92)</f>
        <v>Nuneaton &amp; Bedworth</v>
      </c>
      <c r="C92" s="350"/>
      <c r="D92" s="58">
        <f>[2]Districts_Boroughs!CH54</f>
        <v>0</v>
      </c>
      <c r="E92" s="58">
        <f>[2]Districts_Boroughs!CI54</f>
        <v>0</v>
      </c>
      <c r="F92" s="58">
        <f>[2]Districts_Boroughs!CJ54</f>
        <v>0</v>
      </c>
      <c r="G92" s="58">
        <f>[2]Districts_Boroughs!CK54</f>
        <v>0</v>
      </c>
      <c r="H92" s="58">
        <f>[2]Districts_Boroughs!CL54</f>
        <v>0</v>
      </c>
      <c r="I92" s="58">
        <f>[2]Districts_Boroughs!CM54</f>
        <v>0</v>
      </c>
      <c r="J92" s="58">
        <f>[2]Districts_Boroughs!CN54</f>
        <v>0</v>
      </c>
      <c r="K92" s="58">
        <f>[2]Districts_Boroughs!CO54</f>
        <v>0</v>
      </c>
      <c r="L92" s="58">
        <f>[2]Districts_Boroughs!CP54</f>
        <v>0</v>
      </c>
      <c r="M92" s="58">
        <f>[2]Districts_Boroughs!CQ54</f>
        <v>0</v>
      </c>
      <c r="N92" s="58">
        <f>[2]Districts_Boroughs!CR54</f>
        <v>0</v>
      </c>
      <c r="O92" s="58">
        <f>[2]Districts_Boroughs!CS54</f>
        <v>0</v>
      </c>
      <c r="P92" s="58">
        <f>[2]Districts_Boroughs!CT54</f>
        <v>0</v>
      </c>
      <c r="Q92" s="58">
        <f>[2]Districts_Boroughs!CU54</f>
        <v>0</v>
      </c>
      <c r="R92" s="58">
        <f>[2]Districts_Boroughs!CV54</f>
        <v>0</v>
      </c>
      <c r="S92" s="58">
        <f>[2]Districts_Boroughs!CW54</f>
        <v>0</v>
      </c>
      <c r="T92" s="58">
        <f>[2]Districts_Boroughs!CX54</f>
        <v>0</v>
      </c>
      <c r="U92" s="58">
        <f>[2]Districts_Boroughs!CY54</f>
        <v>0</v>
      </c>
      <c r="V92" s="58">
        <f>[2]Districts_Boroughs!CZ54</f>
        <v>0</v>
      </c>
      <c r="W92" s="58">
        <f>[2]Districts_Boroughs!DA54</f>
        <v>0</v>
      </c>
      <c r="X92" s="58">
        <f>[2]Districts_Boroughs!DB54</f>
        <v>0</v>
      </c>
      <c r="Y92" s="58">
        <f>[2]Districts_Boroughs!DC54</f>
        <v>0</v>
      </c>
      <c r="Z92" s="58">
        <f>[2]Districts_Boroughs!DD54</f>
        <v>0</v>
      </c>
      <c r="AA92" s="58">
        <f>[2]Districts_Boroughs!DE54</f>
        <v>0</v>
      </c>
      <c r="AB92" s="58">
        <f>[2]Districts_Boroughs!DF54</f>
        <v>0</v>
      </c>
      <c r="AC92" s="58">
        <f>[2]Districts_Boroughs!DG54</f>
        <v>0</v>
      </c>
      <c r="AD92" s="58">
        <f>[2]Districts_Boroughs!DH54</f>
        <v>0</v>
      </c>
      <c r="AE92" s="58">
        <f>[2]Districts_Boroughs!DI54</f>
        <v>0</v>
      </c>
      <c r="AF92" s="58">
        <f>[2]Districts_Boroughs!DJ54</f>
        <v>0</v>
      </c>
      <c r="AG92" s="58">
        <f>[2]Districts_Boroughs!DK54</f>
        <v>0</v>
      </c>
      <c r="AH92" s="58">
        <f>[2]Districts_Boroughs!DL54</f>
        <v>0</v>
      </c>
      <c r="AI92" s="58">
        <f>[2]Districts_Boroughs!DM54</f>
        <v>0</v>
      </c>
      <c r="AJ92" s="58">
        <f>[2]Districts_Boroughs!DN54</f>
        <v>0</v>
      </c>
      <c r="AK92" s="58">
        <f>[2]Districts_Boroughs!DO54</f>
        <v>0</v>
      </c>
      <c r="AL92" s="58">
        <f>[2]Districts_Boroughs!DP54</f>
        <v>0</v>
      </c>
      <c r="AM92" s="58">
        <f>[2]Districts_Boroughs!DQ54</f>
        <v>0</v>
      </c>
      <c r="AN92" s="58">
        <f>[2]Districts_Boroughs!DR54</f>
        <v>0</v>
      </c>
      <c r="AO92" s="58">
        <f>[2]Districts_Boroughs!DS54</f>
        <v>0</v>
      </c>
      <c r="AP92" s="58">
        <f>[2]Districts_Boroughs!DT54</f>
        <v>0</v>
      </c>
      <c r="AQ92" s="58">
        <f>[2]Districts_Boroughs!DU54</f>
        <v>0</v>
      </c>
      <c r="AR92" s="58">
        <f>[2]Districts_Boroughs!DV54</f>
        <v>0</v>
      </c>
      <c r="AS92" s="58">
        <f>[2]Districts_Boroughs!DW54</f>
        <v>0</v>
      </c>
      <c r="AT92" s="58">
        <f>[2]Districts_Boroughs!DX54</f>
        <v>0</v>
      </c>
      <c r="AU92" s="58">
        <f>[2]Districts_Boroughs!DY54</f>
        <v>0</v>
      </c>
      <c r="AV92" s="58">
        <f>[2]Districts_Boroughs!DZ54</f>
        <v>0</v>
      </c>
      <c r="AW92" s="58">
        <f>[2]Districts_Boroughs!EA54</f>
        <v>0</v>
      </c>
      <c r="AX92" s="58">
        <f>[2]Districts_Boroughs!EB54</f>
        <v>0</v>
      </c>
      <c r="AY92" s="58">
        <f>[2]Districts_Boroughs!EC54</f>
        <v>0</v>
      </c>
    </row>
    <row r="93" spans="2:51" x14ac:dyDescent="0.35">
      <c r="B93" t="str">
        <f t="shared" ref="B93:B99" si="7">CONCATENATE($C$89,C93)</f>
        <v>Nuneaton &amp; BedworthViolence With Injury</v>
      </c>
      <c r="C93" s="350" t="s">
        <v>39</v>
      </c>
      <c r="D93" s="58">
        <f>[2]Districts_Boroughs!CH55</f>
        <v>104</v>
      </c>
      <c r="E93" s="58">
        <f>[2]Districts_Boroughs!CI55</f>
        <v>102</v>
      </c>
      <c r="F93" s="58">
        <f>[2]Districts_Boroughs!CJ55</f>
        <v>110</v>
      </c>
      <c r="G93" s="58">
        <f>[2]Districts_Boroughs!CK55</f>
        <v>112</v>
      </c>
      <c r="H93" s="58">
        <f>[2]Districts_Boroughs!CL55</f>
        <v>123</v>
      </c>
      <c r="I93" s="58">
        <f>[2]Districts_Boroughs!CM55</f>
        <v>109</v>
      </c>
      <c r="J93" s="58">
        <f>[2]Districts_Boroughs!CN55</f>
        <v>127</v>
      </c>
      <c r="K93" s="58">
        <f>[2]Districts_Boroughs!CO55</f>
        <v>101</v>
      </c>
      <c r="L93" s="58">
        <f>[2]Districts_Boroughs!CP55</f>
        <v>106</v>
      </c>
      <c r="M93" s="58">
        <f>[2]Districts_Boroughs!CQ55</f>
        <v>93</v>
      </c>
      <c r="N93" s="58">
        <f>[2]Districts_Boroughs!CR55</f>
        <v>101</v>
      </c>
      <c r="O93" s="58">
        <f>[2]Districts_Boroughs!CS55</f>
        <v>138</v>
      </c>
      <c r="P93" s="58">
        <f>[2]Districts_Boroughs!CT55</f>
        <v>132</v>
      </c>
      <c r="Q93" s="58">
        <f>[2]Districts_Boroughs!CU55</f>
        <v>133</v>
      </c>
      <c r="R93" s="58">
        <f>[2]Districts_Boroughs!CV55</f>
        <v>151</v>
      </c>
      <c r="S93" s="58">
        <f>[2]Districts_Boroughs!CW55</f>
        <v>147</v>
      </c>
      <c r="T93" s="58">
        <f>[2]Districts_Boroughs!CX55</f>
        <v>135</v>
      </c>
      <c r="U93" s="58">
        <f>[2]Districts_Boroughs!CY55</f>
        <v>120</v>
      </c>
      <c r="V93" s="58">
        <f>[2]Districts_Boroughs!CZ55</f>
        <v>131</v>
      </c>
      <c r="W93" s="58">
        <f>[2]Districts_Boroughs!DA55</f>
        <v>111</v>
      </c>
      <c r="X93" s="58">
        <f>[2]Districts_Boroughs!DB55</f>
        <v>95</v>
      </c>
      <c r="Y93" s="58">
        <f>[2]Districts_Boroughs!DC55</f>
        <v>116</v>
      </c>
      <c r="Z93" s="58">
        <f>[2]Districts_Boroughs!DD55</f>
        <v>82</v>
      </c>
      <c r="AA93" s="58">
        <f>[2]Districts_Boroughs!DE55</f>
        <v>119</v>
      </c>
      <c r="AB93" s="58">
        <f>[2]Districts_Boroughs!DF55</f>
        <v>112</v>
      </c>
      <c r="AC93" s="58">
        <f>[2]Districts_Boroughs!DG55</f>
        <v>126</v>
      </c>
      <c r="AD93" s="58">
        <f>[2]Districts_Boroughs!DH55</f>
        <v>163</v>
      </c>
      <c r="AE93" s="58">
        <f>[2]Districts_Boroughs!DI55</f>
        <v>129</v>
      </c>
      <c r="AF93" s="58">
        <f>[2]Districts_Boroughs!DJ55</f>
        <v>149</v>
      </c>
      <c r="AG93" s="58">
        <f>[2]Districts_Boroughs!DK55</f>
        <v>132</v>
      </c>
      <c r="AH93" s="58">
        <f>[2]Districts_Boroughs!DL55</f>
        <v>131</v>
      </c>
      <c r="AI93" s="58">
        <f>[2]Districts_Boroughs!DM55</f>
        <v>130</v>
      </c>
      <c r="AJ93" s="58">
        <f>[2]Districts_Boroughs!DN55</f>
        <v>135</v>
      </c>
      <c r="AK93" s="58">
        <f>[2]Districts_Boroughs!DO55</f>
        <v>126</v>
      </c>
      <c r="AL93" s="58">
        <f>[2]Districts_Boroughs!DP55</f>
        <v>113</v>
      </c>
      <c r="AM93" s="58">
        <f>[2]Districts_Boroughs!DQ55</f>
        <v>123</v>
      </c>
      <c r="AN93" s="58">
        <f>[2]Districts_Boroughs!DR55</f>
        <v>141</v>
      </c>
      <c r="AO93" s="58">
        <f>[2]Districts_Boroughs!DS55</f>
        <v>157</v>
      </c>
      <c r="AP93" s="58">
        <f>[2]Districts_Boroughs!DT55</f>
        <v>146</v>
      </c>
      <c r="AQ93" s="58">
        <f>[2]Districts_Boroughs!DU55</f>
        <v>140</v>
      </c>
      <c r="AR93" s="58">
        <f>[2]Districts_Boroughs!DV55</f>
        <v>135</v>
      </c>
      <c r="AS93" s="58">
        <f>[2]Districts_Boroughs!DW55</f>
        <v>116</v>
      </c>
      <c r="AT93" s="58">
        <f>[2]Districts_Boroughs!DX55</f>
        <v>120</v>
      </c>
      <c r="AU93" s="58">
        <f>[2]Districts_Boroughs!DY55</f>
        <v>95</v>
      </c>
      <c r="AV93" s="58">
        <f>[2]Districts_Boroughs!DZ55</f>
        <v>135</v>
      </c>
      <c r="AW93" s="58">
        <f>[2]Districts_Boroughs!EA55</f>
        <v>96</v>
      </c>
      <c r="AX93" s="58">
        <f>[2]Districts_Boroughs!EB55</f>
        <v>109</v>
      </c>
      <c r="AY93" s="58">
        <f>[2]Districts_Boroughs!EC55</f>
        <v>116</v>
      </c>
    </row>
    <row r="94" spans="2:51" x14ac:dyDescent="0.35">
      <c r="B94" t="str">
        <f t="shared" si="7"/>
        <v>Nuneaton &amp; BedworthViolence Without Injury</v>
      </c>
      <c r="C94" s="350" t="s">
        <v>40</v>
      </c>
      <c r="D94" s="58">
        <f>[2]Districts_Boroughs!CH56</f>
        <v>268</v>
      </c>
      <c r="E94" s="58">
        <f>[2]Districts_Boroughs!CI56</f>
        <v>308</v>
      </c>
      <c r="F94" s="58">
        <f>[2]Districts_Boroughs!CJ56</f>
        <v>285</v>
      </c>
      <c r="G94" s="58">
        <f>[2]Districts_Boroughs!CK56</f>
        <v>309</v>
      </c>
      <c r="H94" s="58">
        <f>[2]Districts_Boroughs!CL56</f>
        <v>241</v>
      </c>
      <c r="I94" s="58">
        <f>[2]Districts_Boroughs!CM56</f>
        <v>315</v>
      </c>
      <c r="J94" s="58">
        <f>[2]Districts_Boroughs!CN56</f>
        <v>284</v>
      </c>
      <c r="K94" s="58">
        <f>[2]Districts_Boroughs!CO56</f>
        <v>323</v>
      </c>
      <c r="L94" s="58">
        <f>[2]Districts_Boroughs!CP56</f>
        <v>277</v>
      </c>
      <c r="M94" s="58">
        <f>[2]Districts_Boroughs!CQ56</f>
        <v>254</v>
      </c>
      <c r="N94" s="58">
        <f>[2]Districts_Boroughs!CR56</f>
        <v>287</v>
      </c>
      <c r="O94" s="58">
        <f>[2]Districts_Boroughs!CS56</f>
        <v>323</v>
      </c>
      <c r="P94" s="58">
        <f>[2]Districts_Boroughs!CT56</f>
        <v>241</v>
      </c>
      <c r="Q94" s="58">
        <f>[2]Districts_Boroughs!CU56</f>
        <v>276</v>
      </c>
      <c r="R94" s="58">
        <f>[2]Districts_Boroughs!CV56</f>
        <v>309</v>
      </c>
      <c r="S94" s="58">
        <f>[2]Districts_Boroughs!CW56</f>
        <v>319</v>
      </c>
      <c r="T94" s="58">
        <f>[2]Districts_Boroughs!CX56</f>
        <v>262</v>
      </c>
      <c r="U94" s="58">
        <f>[2]Districts_Boroughs!CY56</f>
        <v>262</v>
      </c>
      <c r="V94" s="58">
        <f>[2]Districts_Boroughs!CZ56</f>
        <v>245</v>
      </c>
      <c r="W94" s="58">
        <f>[2]Districts_Boroughs!DA56</f>
        <v>253</v>
      </c>
      <c r="X94" s="58">
        <f>[2]Districts_Boroughs!DB56</f>
        <v>244</v>
      </c>
      <c r="Y94" s="58">
        <f>[2]Districts_Boroughs!DC56</f>
        <v>230</v>
      </c>
      <c r="Z94" s="58">
        <f>[2]Districts_Boroughs!DD56</f>
        <v>277</v>
      </c>
      <c r="AA94" s="58">
        <f>[2]Districts_Boroughs!DE56</f>
        <v>312</v>
      </c>
      <c r="AB94" s="58">
        <f>[2]Districts_Boroughs!DF56</f>
        <v>292</v>
      </c>
      <c r="AC94" s="58">
        <f>[2]Districts_Boroughs!DG56</f>
        <v>250</v>
      </c>
      <c r="AD94" s="58">
        <f>[2]Districts_Boroughs!DH56</f>
        <v>245</v>
      </c>
      <c r="AE94" s="58">
        <f>[2]Districts_Boroughs!DI56</f>
        <v>272</v>
      </c>
      <c r="AF94" s="58">
        <f>[2]Districts_Boroughs!DJ56</f>
        <v>234</v>
      </c>
      <c r="AG94" s="58">
        <f>[2]Districts_Boroughs!DK56</f>
        <v>265</v>
      </c>
      <c r="AH94" s="58">
        <f>[2]Districts_Boroughs!DL56</f>
        <v>294</v>
      </c>
      <c r="AI94" s="58">
        <f>[2]Districts_Boroughs!DM56</f>
        <v>242</v>
      </c>
      <c r="AJ94" s="58">
        <f>[2]Districts_Boroughs!DN56</f>
        <v>245</v>
      </c>
      <c r="AK94" s="58">
        <f>[2]Districts_Boroughs!DO56</f>
        <v>245</v>
      </c>
      <c r="AL94" s="58">
        <f>[2]Districts_Boroughs!DP56</f>
        <v>262</v>
      </c>
      <c r="AM94" s="58">
        <f>[2]Districts_Boroughs!DQ56</f>
        <v>211</v>
      </c>
      <c r="AN94" s="58">
        <f>[2]Districts_Boroughs!DR56</f>
        <v>232</v>
      </c>
      <c r="AO94" s="58">
        <f>[2]Districts_Boroughs!DS56</f>
        <v>282</v>
      </c>
      <c r="AP94" s="58">
        <f>[2]Districts_Boroughs!DT56</f>
        <v>257</v>
      </c>
      <c r="AQ94" s="58">
        <f>[2]Districts_Boroughs!DU56</f>
        <v>276</v>
      </c>
      <c r="AR94" s="58">
        <f>[2]Districts_Boroughs!DV56</f>
        <v>214</v>
      </c>
      <c r="AS94" s="58">
        <f>[2]Districts_Boroughs!DW56</f>
        <v>250</v>
      </c>
      <c r="AT94" s="58">
        <f>[2]Districts_Boroughs!DX56</f>
        <v>226</v>
      </c>
      <c r="AU94" s="58">
        <f>[2]Districts_Boroughs!DY56</f>
        <v>224</v>
      </c>
      <c r="AV94" s="58">
        <f>[2]Districts_Boroughs!DZ56</f>
        <v>261</v>
      </c>
      <c r="AW94" s="58">
        <f>[2]Districts_Boroughs!EA56</f>
        <v>262</v>
      </c>
      <c r="AX94" s="58">
        <f>[2]Districts_Boroughs!EB56</f>
        <v>216</v>
      </c>
      <c r="AY94" s="58">
        <f>[2]Districts_Boroughs!EC56</f>
        <v>212</v>
      </c>
    </row>
    <row r="95" spans="2:51" x14ac:dyDescent="0.35">
      <c r="B95" t="str">
        <f t="shared" si="7"/>
        <v>Nuneaton &amp; BedworthRape</v>
      </c>
      <c r="C95" s="350" t="s">
        <v>5</v>
      </c>
      <c r="D95" s="58">
        <f>[2]Districts_Boroughs!CH57</f>
        <v>8</v>
      </c>
      <c r="E95" s="58">
        <f>[2]Districts_Boroughs!CI57</f>
        <v>15</v>
      </c>
      <c r="F95" s="58">
        <f>[2]Districts_Boroughs!CJ57</f>
        <v>19</v>
      </c>
      <c r="G95" s="58">
        <f>[2]Districts_Boroughs!CK57</f>
        <v>50</v>
      </c>
      <c r="H95" s="58">
        <f>[2]Districts_Boroughs!CL57</f>
        <v>10</v>
      </c>
      <c r="I95" s="58">
        <f>[2]Districts_Boroughs!CM57</f>
        <v>24</v>
      </c>
      <c r="J95" s="58">
        <f>[2]Districts_Boroughs!CN57</f>
        <v>15</v>
      </c>
      <c r="K95" s="58">
        <f>[2]Districts_Boroughs!CO57</f>
        <v>16</v>
      </c>
      <c r="L95" s="58">
        <f>[2]Districts_Boroughs!CP57</f>
        <v>11</v>
      </c>
      <c r="M95" s="58">
        <f>[2]Districts_Boroughs!CQ57</f>
        <v>4</v>
      </c>
      <c r="N95" s="58">
        <f>[2]Districts_Boroughs!CR57</f>
        <v>24</v>
      </c>
      <c r="O95" s="58">
        <f>[2]Districts_Boroughs!CS57</f>
        <v>19</v>
      </c>
      <c r="P95" s="58">
        <f>[2]Districts_Boroughs!CT57</f>
        <v>13</v>
      </c>
      <c r="Q95" s="58">
        <f>[2]Districts_Boroughs!CU57</f>
        <v>9</v>
      </c>
      <c r="R95" s="58">
        <f>[2]Districts_Boroughs!CV57</f>
        <v>6</v>
      </c>
      <c r="S95" s="58">
        <f>[2]Districts_Boroughs!CW57</f>
        <v>13</v>
      </c>
      <c r="T95" s="58">
        <f>[2]Districts_Boroughs!CX57</f>
        <v>11</v>
      </c>
      <c r="U95" s="58">
        <f>[2]Districts_Boroughs!CY57</f>
        <v>12</v>
      </c>
      <c r="V95" s="58">
        <f>[2]Districts_Boroughs!CZ57</f>
        <v>12</v>
      </c>
      <c r="W95" s="58">
        <f>[2]Districts_Boroughs!DA57</f>
        <v>8</v>
      </c>
      <c r="X95" s="58">
        <f>[2]Districts_Boroughs!DB57</f>
        <v>13</v>
      </c>
      <c r="Y95" s="58">
        <f>[2]Districts_Boroughs!DC57</f>
        <v>22</v>
      </c>
      <c r="Z95" s="58">
        <f>[2]Districts_Boroughs!DD57</f>
        <v>10</v>
      </c>
      <c r="AA95" s="58">
        <f>[2]Districts_Boroughs!DE57</f>
        <v>9</v>
      </c>
      <c r="AB95" s="58">
        <f>[2]Districts_Boroughs!DF57</f>
        <v>10</v>
      </c>
      <c r="AC95" s="58">
        <f>[2]Districts_Boroughs!DG57</f>
        <v>20</v>
      </c>
      <c r="AD95" s="58">
        <f>[2]Districts_Boroughs!DH57</f>
        <v>12</v>
      </c>
      <c r="AE95" s="58">
        <f>[2]Districts_Boroughs!DI57</f>
        <v>7</v>
      </c>
      <c r="AF95" s="58">
        <f>[2]Districts_Boroughs!DJ57</f>
        <v>5</v>
      </c>
      <c r="AG95" s="58">
        <f>[2]Districts_Boroughs!DK57</f>
        <v>14</v>
      </c>
      <c r="AH95" s="58">
        <f>[2]Districts_Boroughs!DL57</f>
        <v>12</v>
      </c>
      <c r="AI95" s="58">
        <f>[2]Districts_Boroughs!DM57</f>
        <v>10</v>
      </c>
      <c r="AJ95" s="58">
        <f>[2]Districts_Boroughs!DN57</f>
        <v>10</v>
      </c>
      <c r="AK95" s="58">
        <f>[2]Districts_Boroughs!DO57</f>
        <v>14</v>
      </c>
      <c r="AL95" s="58">
        <f>[2]Districts_Boroughs!DP57</f>
        <v>7</v>
      </c>
      <c r="AM95" s="58">
        <f>[2]Districts_Boroughs!DQ57</f>
        <v>11</v>
      </c>
      <c r="AN95" s="58">
        <f>[2]Districts_Boroughs!DR57</f>
        <v>13</v>
      </c>
      <c r="AO95" s="58">
        <f>[2]Districts_Boroughs!DS57</f>
        <v>11</v>
      </c>
      <c r="AP95" s="58">
        <f>[2]Districts_Boroughs!DT57</f>
        <v>7</v>
      </c>
      <c r="AQ95" s="58">
        <f>[2]Districts_Boroughs!DU57</f>
        <v>11</v>
      </c>
      <c r="AR95" s="58">
        <f>[2]Districts_Boroughs!DV57</f>
        <v>16</v>
      </c>
      <c r="AS95" s="58">
        <f>[2]Districts_Boroughs!DW57</f>
        <v>9</v>
      </c>
      <c r="AT95" s="58">
        <f>[2]Districts_Boroughs!DX57</f>
        <v>9</v>
      </c>
      <c r="AU95" s="58">
        <f>[2]Districts_Boroughs!DY57</f>
        <v>13</v>
      </c>
      <c r="AV95" s="58">
        <f>[2]Districts_Boroughs!DZ57</f>
        <v>11</v>
      </c>
      <c r="AW95" s="58">
        <f>[2]Districts_Boroughs!EA57</f>
        <v>23</v>
      </c>
      <c r="AX95" s="58">
        <f>[2]Districts_Boroughs!EB57</f>
        <v>14</v>
      </c>
      <c r="AY95" s="58">
        <f>[2]Districts_Boroughs!EC57</f>
        <v>23</v>
      </c>
    </row>
    <row r="96" spans="2:51" x14ac:dyDescent="0.35">
      <c r="B96" t="str">
        <f t="shared" si="7"/>
        <v>Nuneaton &amp; BedworthOther Sexual Offences</v>
      </c>
      <c r="C96" s="350" t="s">
        <v>35</v>
      </c>
      <c r="D96" s="58">
        <f>[2]Districts_Boroughs!CH58</f>
        <v>17</v>
      </c>
      <c r="E96" s="58">
        <f>[2]Districts_Boroughs!CI58</f>
        <v>40</v>
      </c>
      <c r="F96" s="58">
        <f>[2]Districts_Boroughs!CJ58</f>
        <v>28</v>
      </c>
      <c r="G96" s="58">
        <f>[2]Districts_Boroughs!CK58</f>
        <v>31</v>
      </c>
      <c r="H96" s="58">
        <f>[2]Districts_Boroughs!CL58</f>
        <v>13</v>
      </c>
      <c r="I96" s="58">
        <f>[2]Districts_Boroughs!CM58</f>
        <v>29</v>
      </c>
      <c r="J96" s="58">
        <f>[2]Districts_Boroughs!CN58</f>
        <v>29</v>
      </c>
      <c r="K96" s="58">
        <f>[2]Districts_Boroughs!CO58</f>
        <v>24</v>
      </c>
      <c r="L96" s="58">
        <f>[2]Districts_Boroughs!CP58</f>
        <v>25</v>
      </c>
      <c r="M96" s="58">
        <f>[2]Districts_Boroughs!CQ58</f>
        <v>19</v>
      </c>
      <c r="N96" s="58">
        <f>[2]Districts_Boroughs!CR58</f>
        <v>25</v>
      </c>
      <c r="O96" s="58">
        <f>[2]Districts_Boroughs!CS58</f>
        <v>28</v>
      </c>
      <c r="P96" s="58">
        <f>[2]Districts_Boroughs!CT58</f>
        <v>37</v>
      </c>
      <c r="Q96" s="58">
        <f>[2]Districts_Boroughs!CU58</f>
        <v>25</v>
      </c>
      <c r="R96" s="58">
        <f>[2]Districts_Boroughs!CV58</f>
        <v>26</v>
      </c>
      <c r="S96" s="58">
        <f>[2]Districts_Boroughs!CW58</f>
        <v>35</v>
      </c>
      <c r="T96" s="58">
        <f>[2]Districts_Boroughs!CX58</f>
        <v>22</v>
      </c>
      <c r="U96" s="58">
        <f>[2]Districts_Boroughs!CY58</f>
        <v>23</v>
      </c>
      <c r="V96" s="58">
        <f>[2]Districts_Boroughs!CZ58</f>
        <v>27</v>
      </c>
      <c r="W96" s="58">
        <f>[2]Districts_Boroughs!DA58</f>
        <v>32</v>
      </c>
      <c r="X96" s="58">
        <f>[2]Districts_Boroughs!DB58</f>
        <v>18</v>
      </c>
      <c r="Y96" s="58">
        <f>[2]Districts_Boroughs!DC58</f>
        <v>27</v>
      </c>
      <c r="Z96" s="58">
        <f>[2]Districts_Boroughs!DD58</f>
        <v>15</v>
      </c>
      <c r="AA96" s="58">
        <f>[2]Districts_Boroughs!DE58</f>
        <v>20</v>
      </c>
      <c r="AB96" s="58">
        <f>[2]Districts_Boroughs!DF58</f>
        <v>24</v>
      </c>
      <c r="AC96" s="58">
        <f>[2]Districts_Boroughs!DG58</f>
        <v>30</v>
      </c>
      <c r="AD96" s="58">
        <f>[2]Districts_Boroughs!DH58</f>
        <v>28</v>
      </c>
      <c r="AE96" s="58">
        <f>[2]Districts_Boroughs!DI58</f>
        <v>29</v>
      </c>
      <c r="AF96" s="58">
        <f>[2]Districts_Boroughs!DJ58</f>
        <v>23</v>
      </c>
      <c r="AG96" s="58">
        <f>[2]Districts_Boroughs!DK58</f>
        <v>28</v>
      </c>
      <c r="AH96" s="58">
        <f>[2]Districts_Boroughs!DL58</f>
        <v>40</v>
      </c>
      <c r="AI96" s="58">
        <f>[2]Districts_Boroughs!DM58</f>
        <v>17</v>
      </c>
      <c r="AJ96" s="58">
        <f>[2]Districts_Boroughs!DN58</f>
        <v>19</v>
      </c>
      <c r="AK96" s="58">
        <f>[2]Districts_Boroughs!DO58</f>
        <v>28</v>
      </c>
      <c r="AL96" s="58">
        <f>[2]Districts_Boroughs!DP58</f>
        <v>23</v>
      </c>
      <c r="AM96" s="58">
        <f>[2]Districts_Boroughs!DQ58</f>
        <v>28</v>
      </c>
      <c r="AN96" s="58">
        <f>[2]Districts_Boroughs!DR58</f>
        <v>37</v>
      </c>
      <c r="AO96" s="58">
        <f>[2]Districts_Boroughs!DS58</f>
        <v>35</v>
      </c>
      <c r="AP96" s="58">
        <f>[2]Districts_Boroughs!DT58</f>
        <v>45</v>
      </c>
      <c r="AQ96" s="58">
        <f>[2]Districts_Boroughs!DU58</f>
        <v>29</v>
      </c>
      <c r="AR96" s="58">
        <f>[2]Districts_Boroughs!DV58</f>
        <v>23</v>
      </c>
      <c r="AS96" s="58">
        <f>[2]Districts_Boroughs!DW58</f>
        <v>25</v>
      </c>
      <c r="AT96" s="58">
        <f>[2]Districts_Boroughs!DX58</f>
        <v>39</v>
      </c>
      <c r="AU96" s="58">
        <f>[2]Districts_Boroughs!DY58</f>
        <v>26</v>
      </c>
      <c r="AV96" s="58">
        <f>[2]Districts_Boroughs!DZ58</f>
        <v>35</v>
      </c>
      <c r="AW96" s="58">
        <f>[2]Districts_Boroughs!EA58</f>
        <v>26</v>
      </c>
      <c r="AX96" s="58">
        <f>[2]Districts_Boroughs!EB58</f>
        <v>38</v>
      </c>
      <c r="AY96" s="58">
        <f>[2]Districts_Boroughs!EC58</f>
        <v>38</v>
      </c>
    </row>
    <row r="97" spans="2:51" x14ac:dyDescent="0.35">
      <c r="B97" t="str">
        <f t="shared" si="7"/>
        <v>Nuneaton &amp; BedworthBusiness Robbery</v>
      </c>
      <c r="C97" s="350" t="s">
        <v>36</v>
      </c>
      <c r="D97" s="58" t="str">
        <f>[2]Districts_Boroughs!CH59</f>
        <v>0</v>
      </c>
      <c r="E97" s="58">
        <f>[2]Districts_Boroughs!CI59</f>
        <v>1</v>
      </c>
      <c r="F97" s="58">
        <f>[2]Districts_Boroughs!CJ59</f>
        <v>2</v>
      </c>
      <c r="G97" s="58" t="str">
        <f>[2]Districts_Boroughs!CK59</f>
        <v>0</v>
      </c>
      <c r="H97" s="58" t="str">
        <f>[2]Districts_Boroughs!CL59</f>
        <v>0</v>
      </c>
      <c r="I97" s="58">
        <f>[2]Districts_Boroughs!CM59</f>
        <v>1</v>
      </c>
      <c r="J97" s="58" t="str">
        <f>[2]Districts_Boroughs!CN59</f>
        <v>0</v>
      </c>
      <c r="K97" s="58">
        <f>[2]Districts_Boroughs!CO59</f>
        <v>2</v>
      </c>
      <c r="L97" s="58" t="str">
        <f>[2]Districts_Boroughs!CP59</f>
        <v>0</v>
      </c>
      <c r="M97" s="58">
        <f>[2]Districts_Boroughs!CQ59</f>
        <v>2</v>
      </c>
      <c r="N97" s="58" t="str">
        <f>[2]Districts_Boroughs!CR59</f>
        <v>0</v>
      </c>
      <c r="O97" s="58">
        <f>[2]Districts_Boroughs!CS59</f>
        <v>2</v>
      </c>
      <c r="P97" s="58">
        <f>[2]Districts_Boroughs!CT59</f>
        <v>0</v>
      </c>
      <c r="Q97" s="58">
        <f>[2]Districts_Boroughs!CU59</f>
        <v>3</v>
      </c>
      <c r="R97" s="58">
        <f>[2]Districts_Boroughs!CV59</f>
        <v>0</v>
      </c>
      <c r="S97" s="58">
        <f>[2]Districts_Boroughs!CW59</f>
        <v>0</v>
      </c>
      <c r="T97" s="58">
        <f>[2]Districts_Boroughs!CX59</f>
        <v>0</v>
      </c>
      <c r="U97" s="58">
        <f>[2]Districts_Boroughs!CY59</f>
        <v>0</v>
      </c>
      <c r="V97" s="58">
        <f>[2]Districts_Boroughs!CZ59</f>
        <v>1</v>
      </c>
      <c r="W97" s="58">
        <f>[2]Districts_Boroughs!DA59</f>
        <v>1</v>
      </c>
      <c r="X97" s="58">
        <f>[2]Districts_Boroughs!DB59</f>
        <v>2</v>
      </c>
      <c r="Y97" s="58">
        <f>[2]Districts_Boroughs!DC59</f>
        <v>1</v>
      </c>
      <c r="Z97" s="58">
        <f>[2]Districts_Boroughs!DD59</f>
        <v>1</v>
      </c>
      <c r="AA97" s="58">
        <f>[2]Districts_Boroughs!DE59</f>
        <v>1</v>
      </c>
      <c r="AB97" s="58">
        <f>[2]Districts_Boroughs!DF59</f>
        <v>0</v>
      </c>
      <c r="AC97" s="58">
        <f>[2]Districts_Boroughs!DG59</f>
        <v>2</v>
      </c>
      <c r="AD97" s="58">
        <f>[2]Districts_Boroughs!DH59</f>
        <v>1</v>
      </c>
      <c r="AE97" s="58">
        <f>[2]Districts_Boroughs!DI59</f>
        <v>0</v>
      </c>
      <c r="AF97" s="58">
        <f>[2]Districts_Boroughs!DJ59</f>
        <v>0</v>
      </c>
      <c r="AG97" s="58">
        <f>[2]Districts_Boroughs!DK59</f>
        <v>0</v>
      </c>
      <c r="AH97" s="58">
        <f>[2]Districts_Boroughs!DL59</f>
        <v>4</v>
      </c>
      <c r="AI97" s="58">
        <f>[2]Districts_Boroughs!DM59</f>
        <v>1</v>
      </c>
      <c r="AJ97" s="58">
        <f>[2]Districts_Boroughs!DN59</f>
        <v>2</v>
      </c>
      <c r="AK97" s="58">
        <f>[2]Districts_Boroughs!DO59</f>
        <v>0</v>
      </c>
      <c r="AL97" s="58">
        <f>[2]Districts_Boroughs!DP59</f>
        <v>0</v>
      </c>
      <c r="AM97" s="58">
        <f>[2]Districts_Boroughs!DQ59</f>
        <v>0</v>
      </c>
      <c r="AN97" s="58">
        <f>[2]Districts_Boroughs!DR59</f>
        <v>3</v>
      </c>
      <c r="AO97" s="58">
        <f>[2]Districts_Boroughs!DS59</f>
        <v>1</v>
      </c>
      <c r="AP97" s="58">
        <f>[2]Districts_Boroughs!DT59</f>
        <v>0</v>
      </c>
      <c r="AQ97" s="58">
        <f>[2]Districts_Boroughs!DU59</f>
        <v>1</v>
      </c>
      <c r="AR97" s="58">
        <f>[2]Districts_Boroughs!DV59</f>
        <v>2</v>
      </c>
      <c r="AS97" s="58">
        <f>[2]Districts_Boroughs!DW59</f>
        <v>4</v>
      </c>
      <c r="AT97" s="58">
        <f>[2]Districts_Boroughs!DX59</f>
        <v>1</v>
      </c>
      <c r="AU97" s="58">
        <f>[2]Districts_Boroughs!DY59</f>
        <v>2</v>
      </c>
      <c r="AV97" s="58">
        <f>[2]Districts_Boroughs!DZ59</f>
        <v>2</v>
      </c>
      <c r="AW97" s="58">
        <f>[2]Districts_Boroughs!EA59</f>
        <v>6</v>
      </c>
      <c r="AX97" s="58">
        <f>[2]Districts_Boroughs!EB59</f>
        <v>4</v>
      </c>
      <c r="AY97" s="58">
        <f>[2]Districts_Boroughs!EC59</f>
        <v>7</v>
      </c>
    </row>
    <row r="98" spans="2:51" x14ac:dyDescent="0.35">
      <c r="B98" t="str">
        <f t="shared" si="7"/>
        <v>Nuneaton &amp; BedworthPersonal Robbery</v>
      </c>
      <c r="C98" s="350" t="s">
        <v>37</v>
      </c>
      <c r="D98" s="58">
        <f>[2]Districts_Boroughs!CH60</f>
        <v>5</v>
      </c>
      <c r="E98" s="58">
        <f>[2]Districts_Boroughs!CI60</f>
        <v>9</v>
      </c>
      <c r="F98" s="58">
        <f>[2]Districts_Boroughs!CJ60</f>
        <v>11</v>
      </c>
      <c r="G98" s="58">
        <f>[2]Districts_Boroughs!CK60</f>
        <v>6</v>
      </c>
      <c r="H98" s="58">
        <f>[2]Districts_Boroughs!CL60</f>
        <v>6</v>
      </c>
      <c r="I98" s="58">
        <f>[2]Districts_Boroughs!CM60</f>
        <v>7</v>
      </c>
      <c r="J98" s="58">
        <f>[2]Districts_Boroughs!CN60</f>
        <v>6</v>
      </c>
      <c r="K98" s="58">
        <f>[2]Districts_Boroughs!CO60</f>
        <v>11</v>
      </c>
      <c r="L98" s="58">
        <f>[2]Districts_Boroughs!CP60</f>
        <v>13</v>
      </c>
      <c r="M98" s="58">
        <f>[2]Districts_Boroughs!CQ60</f>
        <v>10</v>
      </c>
      <c r="N98" s="58">
        <f>[2]Districts_Boroughs!CR60</f>
        <v>18</v>
      </c>
      <c r="O98" s="58">
        <f>[2]Districts_Boroughs!CS60</f>
        <v>10</v>
      </c>
      <c r="P98" s="58">
        <f>[2]Districts_Boroughs!CT60</f>
        <v>6</v>
      </c>
      <c r="Q98" s="58">
        <f>[2]Districts_Boroughs!CU60</f>
        <v>8</v>
      </c>
      <c r="R98" s="58">
        <f>[2]Districts_Boroughs!CV60</f>
        <v>18</v>
      </c>
      <c r="S98" s="58">
        <f>[2]Districts_Boroughs!CW60</f>
        <v>12</v>
      </c>
      <c r="T98" s="58">
        <f>[2]Districts_Boroughs!CX60</f>
        <v>11</v>
      </c>
      <c r="U98" s="58">
        <f>[2]Districts_Boroughs!CY60</f>
        <v>10</v>
      </c>
      <c r="V98" s="58">
        <f>[2]Districts_Boroughs!CZ60</f>
        <v>7</v>
      </c>
      <c r="W98" s="58">
        <f>[2]Districts_Boroughs!DA60</f>
        <v>8</v>
      </c>
      <c r="X98" s="58">
        <f>[2]Districts_Boroughs!DB60</f>
        <v>11</v>
      </c>
      <c r="Y98" s="58">
        <f>[2]Districts_Boroughs!DC60</f>
        <v>5</v>
      </c>
      <c r="Z98" s="58">
        <f>[2]Districts_Boroughs!DD60</f>
        <v>17</v>
      </c>
      <c r="AA98" s="58">
        <f>[2]Districts_Boroughs!DE60</f>
        <v>8</v>
      </c>
      <c r="AB98" s="58">
        <f>[2]Districts_Boroughs!DF60</f>
        <v>6</v>
      </c>
      <c r="AC98" s="58">
        <f>[2]Districts_Boroughs!DG60</f>
        <v>10</v>
      </c>
      <c r="AD98" s="58">
        <f>[2]Districts_Boroughs!DH60</f>
        <v>11</v>
      </c>
      <c r="AE98" s="58">
        <f>[2]Districts_Boroughs!DI60</f>
        <v>19</v>
      </c>
      <c r="AF98" s="58">
        <f>[2]Districts_Boroughs!DJ60</f>
        <v>17</v>
      </c>
      <c r="AG98" s="58">
        <f>[2]Districts_Boroughs!DK60</f>
        <v>13</v>
      </c>
      <c r="AH98" s="58">
        <f>[2]Districts_Boroughs!DL60</f>
        <v>6</v>
      </c>
      <c r="AI98" s="58">
        <f>[2]Districts_Boroughs!DM60</f>
        <v>9</v>
      </c>
      <c r="AJ98" s="58">
        <f>[2]Districts_Boroughs!DN60</f>
        <v>12</v>
      </c>
      <c r="AK98" s="58">
        <f>[2]Districts_Boroughs!DO60</f>
        <v>12</v>
      </c>
      <c r="AL98" s="58">
        <f>[2]Districts_Boroughs!DP60</f>
        <v>11</v>
      </c>
      <c r="AM98" s="58">
        <f>[2]Districts_Boroughs!DQ60</f>
        <v>15</v>
      </c>
      <c r="AN98" s="58">
        <f>[2]Districts_Boroughs!DR60</f>
        <v>14</v>
      </c>
      <c r="AO98" s="58">
        <f>[2]Districts_Boroughs!DS60</f>
        <v>11</v>
      </c>
      <c r="AP98" s="58">
        <f>[2]Districts_Boroughs!DT60</f>
        <v>19</v>
      </c>
      <c r="AQ98" s="58">
        <f>[2]Districts_Boroughs!DU60</f>
        <v>9</v>
      </c>
      <c r="AR98" s="58">
        <f>[2]Districts_Boroughs!DV60</f>
        <v>9</v>
      </c>
      <c r="AS98" s="58">
        <f>[2]Districts_Boroughs!DW60</f>
        <v>14</v>
      </c>
      <c r="AT98" s="58">
        <f>[2]Districts_Boroughs!DX60</f>
        <v>5</v>
      </c>
      <c r="AU98" s="58">
        <f>[2]Districts_Boroughs!DY60</f>
        <v>10</v>
      </c>
      <c r="AV98" s="58">
        <f>[2]Districts_Boroughs!DZ60</f>
        <v>8</v>
      </c>
      <c r="AW98" s="58">
        <f>[2]Districts_Boroughs!EA60</f>
        <v>1</v>
      </c>
      <c r="AX98" s="58">
        <f>[2]Districts_Boroughs!EB60</f>
        <v>8</v>
      </c>
      <c r="AY98" s="58">
        <f>[2]Districts_Boroughs!EC60</f>
        <v>11</v>
      </c>
    </row>
    <row r="99" spans="2:51" x14ac:dyDescent="0.35">
      <c r="B99" t="str">
        <f t="shared" si="7"/>
        <v>Nuneaton &amp; BedworthBurglary Residential</v>
      </c>
      <c r="C99" s="350" t="s">
        <v>31</v>
      </c>
      <c r="D99" s="58">
        <f>[2]Districts_Boroughs!CH61</f>
        <v>18</v>
      </c>
      <c r="E99" s="58">
        <f>[2]Districts_Boroughs!CI61</f>
        <v>21</v>
      </c>
      <c r="F99" s="58">
        <f>[2]Districts_Boroughs!CJ61</f>
        <v>27</v>
      </c>
      <c r="G99" s="58">
        <f>[2]Districts_Boroughs!CK61</f>
        <v>36</v>
      </c>
      <c r="H99" s="58">
        <f>[2]Districts_Boroughs!CL61</f>
        <v>17</v>
      </c>
      <c r="I99" s="58">
        <f>[2]Districts_Boroughs!CM61</f>
        <v>37</v>
      </c>
      <c r="J99" s="58">
        <f>[2]Districts_Boroughs!CN61</f>
        <v>25</v>
      </c>
      <c r="K99" s="58">
        <f>[2]Districts_Boroughs!CO61</f>
        <v>24</v>
      </c>
      <c r="L99" s="58">
        <f>[2]Districts_Boroughs!CP61</f>
        <v>19</v>
      </c>
      <c r="M99" s="58">
        <f>[2]Districts_Boroughs!CQ61</f>
        <v>15</v>
      </c>
      <c r="N99" s="58">
        <f>[2]Districts_Boroughs!CR61</f>
        <v>32</v>
      </c>
      <c r="O99" s="58">
        <f>[2]Districts_Boroughs!CS61</f>
        <v>34</v>
      </c>
      <c r="P99" s="58">
        <f>[2]Districts_Boroughs!CT61</f>
        <v>31</v>
      </c>
      <c r="Q99" s="58">
        <f>[2]Districts_Boroughs!CU61</f>
        <v>27</v>
      </c>
      <c r="R99" s="58">
        <f>[2]Districts_Boroughs!CV61</f>
        <v>31</v>
      </c>
      <c r="S99" s="58">
        <f>[2]Districts_Boroughs!CW61</f>
        <v>26</v>
      </c>
      <c r="T99" s="58">
        <f>[2]Districts_Boroughs!CX61</f>
        <v>33</v>
      </c>
      <c r="U99" s="58">
        <f>[2]Districts_Boroughs!CY61</f>
        <v>26</v>
      </c>
      <c r="V99" s="58">
        <f>[2]Districts_Boroughs!CZ61</f>
        <v>35</v>
      </c>
      <c r="W99" s="58">
        <f>[2]Districts_Boroughs!DA61</f>
        <v>27</v>
      </c>
      <c r="X99" s="58">
        <f>[2]Districts_Boroughs!DB61</f>
        <v>30</v>
      </c>
      <c r="Y99" s="58">
        <f>[2]Districts_Boroughs!DC61</f>
        <v>37</v>
      </c>
      <c r="Z99" s="58">
        <f>[2]Districts_Boroughs!DD61</f>
        <v>36</v>
      </c>
      <c r="AA99" s="58">
        <f>[2]Districts_Boroughs!DE61</f>
        <v>46</v>
      </c>
      <c r="AB99" s="58">
        <f>[2]Districts_Boroughs!DF61</f>
        <v>40</v>
      </c>
      <c r="AC99" s="58">
        <f>[2]Districts_Boroughs!DG61</f>
        <v>37</v>
      </c>
      <c r="AD99" s="58">
        <f>[2]Districts_Boroughs!DH61</f>
        <v>32</v>
      </c>
      <c r="AE99" s="58">
        <f>[2]Districts_Boroughs!DI61</f>
        <v>42</v>
      </c>
      <c r="AF99" s="58">
        <f>[2]Districts_Boroughs!DJ61</f>
        <v>21</v>
      </c>
      <c r="AG99" s="58">
        <f>[2]Districts_Boroughs!DK61</f>
        <v>27</v>
      </c>
      <c r="AH99" s="58">
        <f>[2]Districts_Boroughs!DL61</f>
        <v>44</v>
      </c>
      <c r="AI99" s="58">
        <f>[2]Districts_Boroughs!DM61</f>
        <v>36</v>
      </c>
      <c r="AJ99" s="58">
        <f>[2]Districts_Boroughs!DN61</f>
        <v>19</v>
      </c>
      <c r="AK99" s="58">
        <f>[2]Districts_Boroughs!DO61</f>
        <v>31</v>
      </c>
      <c r="AL99" s="58">
        <f>[2]Districts_Boroughs!DP61</f>
        <v>31</v>
      </c>
      <c r="AM99" s="58">
        <f>[2]Districts_Boroughs!DQ61</f>
        <v>35</v>
      </c>
      <c r="AN99" s="58">
        <f>[2]Districts_Boroughs!DR61</f>
        <v>29</v>
      </c>
      <c r="AO99" s="58">
        <f>[2]Districts_Boroughs!DS61</f>
        <v>24</v>
      </c>
      <c r="AP99" s="58">
        <f>[2]Districts_Boroughs!DT61</f>
        <v>35</v>
      </c>
      <c r="AQ99" s="58">
        <f>[2]Districts_Boroughs!DU61</f>
        <v>38</v>
      </c>
      <c r="AR99" s="58">
        <f>[2]Districts_Boroughs!DV61</f>
        <v>38</v>
      </c>
      <c r="AS99" s="58">
        <f>[2]Districts_Boroughs!DW61</f>
        <v>27</v>
      </c>
      <c r="AT99" s="58">
        <f>[2]Districts_Boroughs!DX61</f>
        <v>47</v>
      </c>
      <c r="AU99" s="58">
        <f>[2]Districts_Boroughs!DY61</f>
        <v>30</v>
      </c>
      <c r="AV99" s="58">
        <f>[2]Districts_Boroughs!DZ61</f>
        <v>38</v>
      </c>
      <c r="AW99" s="58">
        <f>[2]Districts_Boroughs!EA61</f>
        <v>30</v>
      </c>
      <c r="AX99" s="58">
        <f>[2]Districts_Boroughs!EB61</f>
        <v>25</v>
      </c>
      <c r="AY99" s="58">
        <f>[2]Districts_Boroughs!EC61</f>
        <v>29</v>
      </c>
    </row>
    <row r="100" spans="2:51" x14ac:dyDescent="0.35">
      <c r="B100" t="str">
        <f t="shared" si="6"/>
        <v>Nuneaton &amp; BedworthBurglary Business and Community</v>
      </c>
      <c r="C100" s="350" t="s">
        <v>55</v>
      </c>
      <c r="D100" s="58">
        <f>[2]Districts_Boroughs!CH62</f>
        <v>1</v>
      </c>
      <c r="E100" s="58">
        <f>[2]Districts_Boroughs!CI62</f>
        <v>3</v>
      </c>
      <c r="F100" s="58">
        <f>[2]Districts_Boroughs!CJ62</f>
        <v>6</v>
      </c>
      <c r="G100" s="58">
        <f>[2]Districts_Boroughs!CK62</f>
        <v>11</v>
      </c>
      <c r="H100" s="58">
        <f>[2]Districts_Boroughs!CL62</f>
        <v>6</v>
      </c>
      <c r="I100" s="58">
        <f>[2]Districts_Boroughs!CM62</f>
        <v>7</v>
      </c>
      <c r="J100" s="58">
        <f>[2]Districts_Boroughs!CN62</f>
        <v>5</v>
      </c>
      <c r="K100" s="58">
        <f>[2]Districts_Boroughs!CO62</f>
        <v>10</v>
      </c>
      <c r="L100" s="58">
        <f>[2]Districts_Boroughs!CP62</f>
        <v>7</v>
      </c>
      <c r="M100" s="58">
        <f>[2]Districts_Boroughs!CQ62</f>
        <v>11</v>
      </c>
      <c r="N100" s="58">
        <f>[2]Districts_Boroughs!CR62</f>
        <v>9</v>
      </c>
      <c r="O100" s="58">
        <f>[2]Districts_Boroughs!CS62</f>
        <v>11</v>
      </c>
      <c r="P100" s="58">
        <f>[2]Districts_Boroughs!CT62</f>
        <v>15</v>
      </c>
      <c r="Q100" s="58">
        <f>[2]Districts_Boroughs!CU62</f>
        <v>10</v>
      </c>
      <c r="R100" s="58">
        <f>[2]Districts_Boroughs!CV62</f>
        <v>6</v>
      </c>
      <c r="S100" s="58">
        <f>[2]Districts_Boroughs!CW62</f>
        <v>12</v>
      </c>
      <c r="T100" s="58">
        <f>[2]Districts_Boroughs!CX62</f>
        <v>27</v>
      </c>
      <c r="U100" s="58">
        <f>[2]Districts_Boroughs!CY62</f>
        <v>12</v>
      </c>
      <c r="V100" s="58">
        <f>[2]Districts_Boroughs!CZ62</f>
        <v>14</v>
      </c>
      <c r="W100" s="58">
        <f>[2]Districts_Boroughs!DA62</f>
        <v>17</v>
      </c>
      <c r="X100" s="58">
        <f>[2]Districts_Boroughs!DB62</f>
        <v>22</v>
      </c>
      <c r="Y100" s="58">
        <f>[2]Districts_Boroughs!DC62</f>
        <v>45</v>
      </c>
      <c r="Z100" s="58">
        <f>[2]Districts_Boroughs!DD62</f>
        <v>20</v>
      </c>
      <c r="AA100" s="58">
        <f>[2]Districts_Boroughs!DE62</f>
        <v>13</v>
      </c>
      <c r="AB100" s="58">
        <f>[2]Districts_Boroughs!DF62</f>
        <v>7</v>
      </c>
      <c r="AC100" s="58">
        <f>[2]Districts_Boroughs!DG62</f>
        <v>9</v>
      </c>
      <c r="AD100" s="58">
        <f>[2]Districts_Boroughs!DH62</f>
        <v>9</v>
      </c>
      <c r="AE100" s="58">
        <f>[2]Districts_Boroughs!DI62</f>
        <v>15</v>
      </c>
      <c r="AF100" s="58">
        <f>[2]Districts_Boroughs!DJ62</f>
        <v>15</v>
      </c>
      <c r="AG100" s="58">
        <f>[2]Districts_Boroughs!DK62</f>
        <v>17</v>
      </c>
      <c r="AH100" s="58">
        <f>[2]Districts_Boroughs!DL62</f>
        <v>11</v>
      </c>
      <c r="AI100" s="58">
        <f>[2]Districts_Boroughs!DM62</f>
        <v>10</v>
      </c>
      <c r="AJ100" s="58">
        <f>[2]Districts_Boroughs!DN62</f>
        <v>19</v>
      </c>
      <c r="AK100" s="58">
        <f>[2]Districts_Boroughs!DO62</f>
        <v>20</v>
      </c>
      <c r="AL100" s="58">
        <f>[2]Districts_Boroughs!DP62</f>
        <v>10</v>
      </c>
      <c r="AM100" s="58">
        <f>[2]Districts_Boroughs!DQ62</f>
        <v>13</v>
      </c>
      <c r="AN100" s="58">
        <f>[2]Districts_Boroughs!DR62</f>
        <v>7</v>
      </c>
      <c r="AO100" s="58">
        <f>[2]Districts_Boroughs!DS62</f>
        <v>14</v>
      </c>
      <c r="AP100" s="58">
        <f>[2]Districts_Boroughs!DT62</f>
        <v>11</v>
      </c>
      <c r="AQ100" s="58">
        <f>[2]Districts_Boroughs!DU62</f>
        <v>15</v>
      </c>
      <c r="AR100" s="58">
        <f>[2]Districts_Boroughs!DV62</f>
        <v>14</v>
      </c>
      <c r="AS100" s="58">
        <f>[2]Districts_Boroughs!DW62</f>
        <v>14</v>
      </c>
      <c r="AT100" s="58">
        <f>[2]Districts_Boroughs!DX62</f>
        <v>6</v>
      </c>
      <c r="AU100" s="58">
        <f>[2]Districts_Boroughs!DY62</f>
        <v>9</v>
      </c>
      <c r="AV100" s="58">
        <f>[2]Districts_Boroughs!DZ62</f>
        <v>10</v>
      </c>
      <c r="AW100" s="58">
        <f>[2]Districts_Boroughs!EA62</f>
        <v>10</v>
      </c>
      <c r="AX100" s="58">
        <f>[2]Districts_Boroughs!EB62</f>
        <v>8</v>
      </c>
      <c r="AY100" s="58">
        <f>[2]Districts_Boroughs!EC62</f>
        <v>11</v>
      </c>
    </row>
    <row r="101" spans="2:51" x14ac:dyDescent="0.35">
      <c r="B101" t="str">
        <f>CONCATENATE($C$89,C101)</f>
        <v>Nuneaton &amp; BedworthVehicle Offences</v>
      </c>
      <c r="C101" s="350" t="s">
        <v>38</v>
      </c>
      <c r="D101" s="58">
        <f>[2]Districts_Boroughs!CH63</f>
        <v>42</v>
      </c>
      <c r="E101" s="58">
        <f>[2]Districts_Boroughs!CI63</f>
        <v>53</v>
      </c>
      <c r="F101" s="58">
        <f>[2]Districts_Boroughs!CJ63</f>
        <v>53</v>
      </c>
      <c r="G101" s="58">
        <f>[2]Districts_Boroughs!CK63</f>
        <v>49</v>
      </c>
      <c r="H101" s="58">
        <f>[2]Districts_Boroughs!CL63</f>
        <v>60</v>
      </c>
      <c r="I101" s="58">
        <f>[2]Districts_Boroughs!CM63</f>
        <v>43</v>
      </c>
      <c r="J101" s="58">
        <f>[2]Districts_Boroughs!CN63</f>
        <v>53</v>
      </c>
      <c r="K101" s="58">
        <f>[2]Districts_Boroughs!CO63</f>
        <v>83</v>
      </c>
      <c r="L101" s="58">
        <f>[2]Districts_Boroughs!CP63</f>
        <v>76</v>
      </c>
      <c r="M101" s="58">
        <f>[2]Districts_Boroughs!CQ63</f>
        <v>72</v>
      </c>
      <c r="N101" s="58">
        <f>[2]Districts_Boroughs!CR63</f>
        <v>56</v>
      </c>
      <c r="O101" s="58">
        <f>[2]Districts_Boroughs!CS63</f>
        <v>86</v>
      </c>
      <c r="P101" s="58">
        <f>[2]Districts_Boroughs!CT63</f>
        <v>88</v>
      </c>
      <c r="Q101" s="58">
        <f>[2]Districts_Boroughs!CU63</f>
        <v>87</v>
      </c>
      <c r="R101" s="58">
        <f>[2]Districts_Boroughs!CV63</f>
        <v>74</v>
      </c>
      <c r="S101" s="58">
        <f>[2]Districts_Boroughs!CW63</f>
        <v>76</v>
      </c>
      <c r="T101" s="58">
        <f>[2]Districts_Boroughs!CX63</f>
        <v>67</v>
      </c>
      <c r="U101" s="58">
        <f>[2]Districts_Boroughs!CY63</f>
        <v>78</v>
      </c>
      <c r="V101" s="58">
        <f>[2]Districts_Boroughs!CZ63</f>
        <v>108</v>
      </c>
      <c r="W101" s="58">
        <f>[2]Districts_Boroughs!DA63</f>
        <v>66</v>
      </c>
      <c r="X101" s="58">
        <f>[2]Districts_Boroughs!DB63</f>
        <v>94</v>
      </c>
      <c r="Y101" s="58">
        <f>[2]Districts_Boroughs!DC63</f>
        <v>107</v>
      </c>
      <c r="Z101" s="58">
        <f>[2]Districts_Boroughs!DD63</f>
        <v>84</v>
      </c>
      <c r="AA101" s="58">
        <f>[2]Districts_Boroughs!DE63</f>
        <v>74</v>
      </c>
      <c r="AB101" s="58">
        <f>[2]Districts_Boroughs!DF63</f>
        <v>74</v>
      </c>
      <c r="AC101" s="58">
        <f>[2]Districts_Boroughs!DG63</f>
        <v>58</v>
      </c>
      <c r="AD101" s="58">
        <f>[2]Districts_Boroughs!DH63</f>
        <v>72</v>
      </c>
      <c r="AE101" s="58">
        <f>[2]Districts_Boroughs!DI63</f>
        <v>82</v>
      </c>
      <c r="AF101" s="58">
        <f>[2]Districts_Boroughs!DJ63</f>
        <v>79</v>
      </c>
      <c r="AG101" s="58">
        <f>[2]Districts_Boroughs!DK63</f>
        <v>92</v>
      </c>
      <c r="AH101" s="58">
        <f>[2]Districts_Boroughs!DL63</f>
        <v>58</v>
      </c>
      <c r="AI101" s="58">
        <f>[2]Districts_Boroughs!DM63</f>
        <v>54</v>
      </c>
      <c r="AJ101" s="58">
        <f>[2]Districts_Boroughs!DN63</f>
        <v>79</v>
      </c>
      <c r="AK101" s="58">
        <f>[2]Districts_Boroughs!DO63</f>
        <v>73</v>
      </c>
      <c r="AL101" s="58">
        <f>[2]Districts_Boroughs!DP63</f>
        <v>75</v>
      </c>
      <c r="AM101" s="58">
        <f>[2]Districts_Boroughs!DQ63</f>
        <v>128</v>
      </c>
      <c r="AN101" s="58">
        <f>[2]Districts_Boroughs!DR63</f>
        <v>108</v>
      </c>
      <c r="AO101" s="58">
        <f>[2]Districts_Boroughs!DS63</f>
        <v>88</v>
      </c>
      <c r="AP101" s="58">
        <f>[2]Districts_Boroughs!DT63</f>
        <v>103</v>
      </c>
      <c r="AQ101" s="58">
        <f>[2]Districts_Boroughs!DU63</f>
        <v>61</v>
      </c>
      <c r="AR101" s="58">
        <f>[2]Districts_Boroughs!DV63</f>
        <v>106</v>
      </c>
      <c r="AS101" s="58">
        <f>[2]Districts_Boroughs!DW63</f>
        <v>98</v>
      </c>
      <c r="AT101" s="58">
        <f>[2]Districts_Boroughs!DX63</f>
        <v>125</v>
      </c>
      <c r="AU101" s="58">
        <f>[2]Districts_Boroughs!DY63</f>
        <v>93</v>
      </c>
      <c r="AV101" s="58">
        <f>[2]Districts_Boroughs!DZ63</f>
        <v>77</v>
      </c>
      <c r="AW101" s="58">
        <f>[2]Districts_Boroughs!EA63</f>
        <v>85</v>
      </c>
      <c r="AX101" s="58">
        <f>[2]Districts_Boroughs!EB63</f>
        <v>54</v>
      </c>
      <c r="AY101" s="58">
        <f>[2]Districts_Boroughs!EC63</f>
        <v>65</v>
      </c>
    </row>
    <row r="102" spans="2:51" x14ac:dyDescent="0.35">
      <c r="B102" t="str">
        <f>CONCATENATE($C$89,C102)</f>
        <v>Nuneaton &amp; BedworthShoplifting</v>
      </c>
      <c r="C102" s="350" t="s">
        <v>17</v>
      </c>
      <c r="D102" s="58">
        <f>[2]Districts_Boroughs!CH64</f>
        <v>49</v>
      </c>
      <c r="E102" s="58">
        <f>[2]Districts_Boroughs!CI64</f>
        <v>46</v>
      </c>
      <c r="F102" s="58">
        <f>[2]Districts_Boroughs!CJ64</f>
        <v>44</v>
      </c>
      <c r="G102" s="58">
        <f>[2]Districts_Boroughs!CK64</f>
        <v>48</v>
      </c>
      <c r="H102" s="58">
        <f>[2]Districts_Boroughs!CL64</f>
        <v>42</v>
      </c>
      <c r="I102" s="58">
        <f>[2]Districts_Boroughs!CM64</f>
        <v>38</v>
      </c>
      <c r="J102" s="58">
        <f>[2]Districts_Boroughs!CN64</f>
        <v>41</v>
      </c>
      <c r="K102" s="58">
        <f>[2]Districts_Boroughs!CO64</f>
        <v>67</v>
      </c>
      <c r="L102" s="58">
        <f>[2]Districts_Boroughs!CP64</f>
        <v>57</v>
      </c>
      <c r="M102" s="58">
        <f>[2]Districts_Boroughs!CQ64</f>
        <v>39</v>
      </c>
      <c r="N102" s="58">
        <f>[2]Districts_Boroughs!CR64</f>
        <v>47</v>
      </c>
      <c r="O102" s="58">
        <f>[2]Districts_Boroughs!CS64</f>
        <v>58</v>
      </c>
      <c r="P102" s="58">
        <f>[2]Districts_Boroughs!CT64</f>
        <v>63</v>
      </c>
      <c r="Q102" s="58">
        <f>[2]Districts_Boroughs!CU64</f>
        <v>50</v>
      </c>
      <c r="R102" s="58">
        <f>[2]Districts_Boroughs!CV64</f>
        <v>56</v>
      </c>
      <c r="S102" s="58">
        <f>[2]Districts_Boroughs!CW64</f>
        <v>43</v>
      </c>
      <c r="T102" s="58">
        <f>[2]Districts_Boroughs!CX64</f>
        <v>82</v>
      </c>
      <c r="U102" s="58">
        <f>[2]Districts_Boroughs!CY64</f>
        <v>52</v>
      </c>
      <c r="V102" s="58">
        <f>[2]Districts_Boroughs!CZ64</f>
        <v>53</v>
      </c>
      <c r="W102" s="58">
        <f>[2]Districts_Boroughs!DA64</f>
        <v>33</v>
      </c>
      <c r="X102" s="58">
        <f>[2]Districts_Boroughs!DB64</f>
        <v>38</v>
      </c>
      <c r="Y102" s="58">
        <f>[2]Districts_Boroughs!DC64</f>
        <v>69</v>
      </c>
      <c r="Z102" s="58">
        <f>[2]Districts_Boroughs!DD64</f>
        <v>64</v>
      </c>
      <c r="AA102" s="58">
        <f>[2]Districts_Boroughs!DE64</f>
        <v>58</v>
      </c>
      <c r="AB102" s="58">
        <f>[2]Districts_Boroughs!DF64</f>
        <v>50</v>
      </c>
      <c r="AC102" s="58">
        <f>[2]Districts_Boroughs!DG64</f>
        <v>51</v>
      </c>
      <c r="AD102" s="58">
        <f>[2]Districts_Boroughs!DH64</f>
        <v>51</v>
      </c>
      <c r="AE102" s="58">
        <f>[2]Districts_Boroughs!DI64</f>
        <v>84</v>
      </c>
      <c r="AF102" s="58">
        <f>[2]Districts_Boroughs!DJ64</f>
        <v>58</v>
      </c>
      <c r="AG102" s="58">
        <f>[2]Districts_Boroughs!DK64</f>
        <v>54</v>
      </c>
      <c r="AH102" s="58">
        <f>[2]Districts_Boroughs!DL64</f>
        <v>72</v>
      </c>
      <c r="AI102" s="58">
        <f>[2]Districts_Boroughs!DM64</f>
        <v>56</v>
      </c>
      <c r="AJ102" s="58">
        <f>[2]Districts_Boroughs!DN64</f>
        <v>63</v>
      </c>
      <c r="AK102" s="58">
        <f>[2]Districts_Boroughs!DO64</f>
        <v>83</v>
      </c>
      <c r="AL102" s="58">
        <f>[2]Districts_Boroughs!DP64</f>
        <v>77</v>
      </c>
      <c r="AM102" s="58">
        <f>[2]Districts_Boroughs!DQ64</f>
        <v>83</v>
      </c>
      <c r="AN102" s="58">
        <f>[2]Districts_Boroughs!DR64</f>
        <v>116</v>
      </c>
      <c r="AO102" s="58">
        <f>[2]Districts_Boroughs!DS64</f>
        <v>106</v>
      </c>
      <c r="AP102" s="58">
        <f>[2]Districts_Boroughs!DT64</f>
        <v>97</v>
      </c>
      <c r="AQ102" s="58">
        <f>[2]Districts_Boroughs!DU64</f>
        <v>107</v>
      </c>
      <c r="AR102" s="58">
        <f>[2]Districts_Boroughs!DV64</f>
        <v>116</v>
      </c>
      <c r="AS102" s="58">
        <f>[2]Districts_Boroughs!DW64</f>
        <v>116</v>
      </c>
      <c r="AT102" s="58">
        <f>[2]Districts_Boroughs!DX64</f>
        <v>92</v>
      </c>
      <c r="AU102" s="58">
        <f>[2]Districts_Boroughs!DY64</f>
        <v>75</v>
      </c>
      <c r="AV102" s="58">
        <f>[2]Districts_Boroughs!DZ64</f>
        <v>76</v>
      </c>
      <c r="AW102" s="58">
        <f>[2]Districts_Boroughs!EA64</f>
        <v>102</v>
      </c>
      <c r="AX102" s="58">
        <f>[2]Districts_Boroughs!EB64</f>
        <v>96</v>
      </c>
      <c r="AY102" s="58">
        <f>[2]Districts_Boroughs!EC64</f>
        <v>132</v>
      </c>
    </row>
    <row r="103" spans="2:51" x14ac:dyDescent="0.35">
      <c r="B103" t="str">
        <f t="shared" si="6"/>
        <v>Nuneaton &amp; BedworthCriminal Damage &amp; Arson</v>
      </c>
      <c r="C103" s="350" t="s">
        <v>34</v>
      </c>
      <c r="D103" s="58">
        <f>[2]Districts_Boroughs!CH65</f>
        <v>98</v>
      </c>
      <c r="E103" s="58">
        <f>[2]Districts_Boroughs!CI65</f>
        <v>94</v>
      </c>
      <c r="F103" s="58">
        <f>[2]Districts_Boroughs!CJ65</f>
        <v>93</v>
      </c>
      <c r="G103" s="58">
        <f>[2]Districts_Boroughs!CK65</f>
        <v>94</v>
      </c>
      <c r="H103" s="58">
        <f>[2]Districts_Boroughs!CL65</f>
        <v>92</v>
      </c>
      <c r="I103" s="58">
        <f>[2]Districts_Boroughs!CM65</f>
        <v>111</v>
      </c>
      <c r="J103" s="58">
        <f>[2]Districts_Boroughs!CN65</f>
        <v>128</v>
      </c>
      <c r="K103" s="58">
        <f>[2]Districts_Boroughs!CO65</f>
        <v>118</v>
      </c>
      <c r="L103" s="58">
        <f>[2]Districts_Boroughs!CP65</f>
        <v>117</v>
      </c>
      <c r="M103" s="58">
        <f>[2]Districts_Boroughs!CQ65</f>
        <v>114</v>
      </c>
      <c r="N103" s="58">
        <f>[2]Districts_Boroughs!CR65</f>
        <v>75</v>
      </c>
      <c r="O103" s="58">
        <f>[2]Districts_Boroughs!CS65</f>
        <v>111</v>
      </c>
      <c r="P103" s="58">
        <f>[2]Districts_Boroughs!CT65</f>
        <v>121</v>
      </c>
      <c r="Q103" s="58">
        <f>[2]Districts_Boroughs!CU65</f>
        <v>88</v>
      </c>
      <c r="R103" s="58">
        <f>[2]Districts_Boroughs!CV65</f>
        <v>101</v>
      </c>
      <c r="S103" s="58">
        <f>[2]Districts_Boroughs!CW65</f>
        <v>95</v>
      </c>
      <c r="T103" s="58">
        <f>[2]Districts_Boroughs!CX65</f>
        <v>101</v>
      </c>
      <c r="U103" s="58">
        <f>[2]Districts_Boroughs!CY65</f>
        <v>95</v>
      </c>
      <c r="V103" s="58">
        <f>[2]Districts_Boroughs!CZ65</f>
        <v>108</v>
      </c>
      <c r="W103" s="58">
        <f>[2]Districts_Boroughs!DA65</f>
        <v>90</v>
      </c>
      <c r="X103" s="58">
        <f>[2]Districts_Boroughs!DB65</f>
        <v>76</v>
      </c>
      <c r="Y103" s="58">
        <f>[2]Districts_Boroughs!DC65</f>
        <v>97</v>
      </c>
      <c r="Z103" s="58">
        <f>[2]Districts_Boroughs!DD65</f>
        <v>85</v>
      </c>
      <c r="AA103" s="58">
        <f>[2]Districts_Boroughs!DE65</f>
        <v>109</v>
      </c>
      <c r="AB103" s="58">
        <f>[2]Districts_Boroughs!DF65</f>
        <v>112</v>
      </c>
      <c r="AC103" s="58">
        <f>[2]Districts_Boroughs!DG65</f>
        <v>107</v>
      </c>
      <c r="AD103" s="58">
        <f>[2]Districts_Boroughs!DH65</f>
        <v>93</v>
      </c>
      <c r="AE103" s="58">
        <f>[2]Districts_Boroughs!DI65</f>
        <v>118</v>
      </c>
      <c r="AF103" s="58">
        <f>[2]Districts_Boroughs!DJ65</f>
        <v>87</v>
      </c>
      <c r="AG103" s="58">
        <f>[2]Districts_Boroughs!DK65</f>
        <v>99</v>
      </c>
      <c r="AH103" s="58">
        <f>[2]Districts_Boroughs!DL65</f>
        <v>107</v>
      </c>
      <c r="AI103" s="58">
        <f>[2]Districts_Boroughs!DM65</f>
        <v>75</v>
      </c>
      <c r="AJ103" s="58">
        <f>[2]Districts_Boroughs!DN65</f>
        <v>94</v>
      </c>
      <c r="AK103" s="58">
        <f>[2]Districts_Boroughs!DO65</f>
        <v>72</v>
      </c>
      <c r="AL103" s="58">
        <f>[2]Districts_Boroughs!DP65</f>
        <v>57</v>
      </c>
      <c r="AM103" s="58">
        <f>[2]Districts_Boroughs!DQ65</f>
        <v>68</v>
      </c>
      <c r="AN103" s="58">
        <f>[2]Districts_Boroughs!DR65</f>
        <v>73</v>
      </c>
      <c r="AO103" s="58">
        <f>[2]Districts_Boroughs!DS65</f>
        <v>69</v>
      </c>
      <c r="AP103" s="58">
        <f>[2]Districts_Boroughs!DT65</f>
        <v>88</v>
      </c>
      <c r="AQ103" s="58">
        <f>[2]Districts_Boroughs!DU65</f>
        <v>88</v>
      </c>
      <c r="AR103" s="58">
        <f>[2]Districts_Boroughs!DV65</f>
        <v>82</v>
      </c>
      <c r="AS103" s="58">
        <f>[2]Districts_Boroughs!DW65</f>
        <v>69</v>
      </c>
      <c r="AT103" s="58">
        <f>[2]Districts_Boroughs!DX65</f>
        <v>85</v>
      </c>
      <c r="AU103" s="58">
        <f>[2]Districts_Boroughs!DY65</f>
        <v>84</v>
      </c>
      <c r="AV103" s="58">
        <f>[2]Districts_Boroughs!DZ65</f>
        <v>83</v>
      </c>
      <c r="AW103" s="58">
        <f>[2]Districts_Boroughs!EA65</f>
        <v>70</v>
      </c>
      <c r="AX103" s="58">
        <f>[2]Districts_Boroughs!EB65</f>
        <v>52</v>
      </c>
      <c r="AY103" s="58">
        <f>[2]Districts_Boroughs!EC65</f>
        <v>73</v>
      </c>
    </row>
    <row r="104" spans="2:51" x14ac:dyDescent="0.35">
      <c r="B104" t="str">
        <f t="shared" si="6"/>
        <v>Nuneaton &amp; BedworthTotal Robbery</v>
      </c>
      <c r="C104" s="350" t="s">
        <v>41</v>
      </c>
      <c r="D104" s="58">
        <f>[2]Districts_Boroughs!CH66</f>
        <v>5</v>
      </c>
      <c r="E104" s="58">
        <f>[2]Districts_Boroughs!CI66</f>
        <v>10</v>
      </c>
      <c r="F104" s="58">
        <f>[2]Districts_Boroughs!CJ66</f>
        <v>13</v>
      </c>
      <c r="G104" s="58">
        <f>[2]Districts_Boroughs!CK66</f>
        <v>6</v>
      </c>
      <c r="H104" s="58">
        <f>[2]Districts_Boroughs!CL66</f>
        <v>6</v>
      </c>
      <c r="I104" s="58">
        <f>[2]Districts_Boroughs!CM66</f>
        <v>8</v>
      </c>
      <c r="J104" s="58">
        <f>[2]Districts_Boroughs!CN66</f>
        <v>6</v>
      </c>
      <c r="K104" s="58">
        <f>[2]Districts_Boroughs!CO66</f>
        <v>13</v>
      </c>
      <c r="L104" s="58">
        <f>[2]Districts_Boroughs!CP66</f>
        <v>13</v>
      </c>
      <c r="M104" s="58">
        <f>[2]Districts_Boroughs!CQ66</f>
        <v>12</v>
      </c>
      <c r="N104" s="58">
        <f>[2]Districts_Boroughs!CR66</f>
        <v>18</v>
      </c>
      <c r="O104" s="58">
        <f>[2]Districts_Boroughs!CS66</f>
        <v>12</v>
      </c>
      <c r="P104" s="58">
        <f>[2]Districts_Boroughs!CT66</f>
        <v>6</v>
      </c>
      <c r="Q104" s="58">
        <f>[2]Districts_Boroughs!CU66</f>
        <v>11</v>
      </c>
      <c r="R104" s="58">
        <f>[2]Districts_Boroughs!CV66</f>
        <v>18</v>
      </c>
      <c r="S104" s="58">
        <f>[2]Districts_Boroughs!CW66</f>
        <v>12</v>
      </c>
      <c r="T104" s="58">
        <f>[2]Districts_Boroughs!CX66</f>
        <v>11</v>
      </c>
      <c r="U104" s="58">
        <f>[2]Districts_Boroughs!CY66</f>
        <v>10</v>
      </c>
      <c r="V104" s="58">
        <f>[2]Districts_Boroughs!CZ66</f>
        <v>8</v>
      </c>
      <c r="W104" s="58">
        <f>[2]Districts_Boroughs!DA66</f>
        <v>9</v>
      </c>
      <c r="X104" s="58">
        <f>[2]Districts_Boroughs!DB66</f>
        <v>13</v>
      </c>
      <c r="Y104" s="58">
        <f>[2]Districts_Boroughs!DC66</f>
        <v>6</v>
      </c>
      <c r="Z104" s="58">
        <f>[2]Districts_Boroughs!DD66</f>
        <v>18</v>
      </c>
      <c r="AA104" s="58">
        <f>[2]Districts_Boroughs!DE66</f>
        <v>9</v>
      </c>
      <c r="AB104" s="58">
        <f>[2]Districts_Boroughs!DF66</f>
        <v>6</v>
      </c>
      <c r="AC104" s="58">
        <f>[2]Districts_Boroughs!DG66</f>
        <v>12</v>
      </c>
      <c r="AD104" s="58">
        <f>[2]Districts_Boroughs!DH66</f>
        <v>12</v>
      </c>
      <c r="AE104" s="58">
        <f>[2]Districts_Boroughs!DI66</f>
        <v>19</v>
      </c>
      <c r="AF104" s="58">
        <f>[2]Districts_Boroughs!DJ66</f>
        <v>17</v>
      </c>
      <c r="AG104" s="58">
        <f>[2]Districts_Boroughs!DK66</f>
        <v>13</v>
      </c>
      <c r="AH104" s="58">
        <f>[2]Districts_Boroughs!DL66</f>
        <v>10</v>
      </c>
      <c r="AI104" s="58">
        <f>[2]Districts_Boroughs!DM66</f>
        <v>10</v>
      </c>
      <c r="AJ104" s="58">
        <f>[2]Districts_Boroughs!DN66</f>
        <v>14</v>
      </c>
      <c r="AK104" s="58">
        <f>[2]Districts_Boroughs!DO66</f>
        <v>12</v>
      </c>
      <c r="AL104" s="58">
        <f>[2]Districts_Boroughs!DP66</f>
        <v>11</v>
      </c>
      <c r="AM104" s="58">
        <f>[2]Districts_Boroughs!DQ66</f>
        <v>15</v>
      </c>
      <c r="AN104" s="58">
        <f>[2]Districts_Boroughs!DR66</f>
        <v>17</v>
      </c>
      <c r="AO104" s="58">
        <f>[2]Districts_Boroughs!DS66</f>
        <v>12</v>
      </c>
      <c r="AP104" s="58">
        <f>[2]Districts_Boroughs!DT66</f>
        <v>19</v>
      </c>
      <c r="AQ104" s="58">
        <f>[2]Districts_Boroughs!DU66</f>
        <v>10</v>
      </c>
      <c r="AR104" s="58">
        <f>[2]Districts_Boroughs!DV66</f>
        <v>11</v>
      </c>
      <c r="AS104" s="58">
        <f>[2]Districts_Boroughs!DW66</f>
        <v>18</v>
      </c>
      <c r="AT104" s="58">
        <f>[2]Districts_Boroughs!DX66</f>
        <v>6</v>
      </c>
      <c r="AU104" s="58">
        <f>[2]Districts_Boroughs!DY66</f>
        <v>12</v>
      </c>
      <c r="AV104" s="58">
        <f>[2]Districts_Boroughs!DZ66</f>
        <v>10</v>
      </c>
      <c r="AW104" s="58">
        <f>[2]Districts_Boroughs!EA66</f>
        <v>7</v>
      </c>
      <c r="AX104" s="58">
        <f>[2]Districts_Boroughs!EB66</f>
        <v>12</v>
      </c>
      <c r="AY104" s="58">
        <f>[2]Districts_Boroughs!EC66</f>
        <v>18</v>
      </c>
    </row>
    <row r="105" spans="2:51" x14ac:dyDescent="0.35">
      <c r="B105" t="str">
        <f t="shared" si="6"/>
        <v>Nuneaton &amp; BedworthTotal VAP &amp; Sexual Offences</v>
      </c>
      <c r="C105" s="350" t="s">
        <v>42</v>
      </c>
      <c r="D105" s="58">
        <f>[2]Districts_Boroughs!CH67</f>
        <v>399</v>
      </c>
      <c r="E105" s="58">
        <f>[2]Districts_Boroughs!CI67</f>
        <v>466</v>
      </c>
      <c r="F105" s="58">
        <f>[2]Districts_Boroughs!CJ67</f>
        <v>443</v>
      </c>
      <c r="G105" s="58">
        <f>[2]Districts_Boroughs!CK67</f>
        <v>503</v>
      </c>
      <c r="H105" s="58">
        <f>[2]Districts_Boroughs!CL67</f>
        <v>387</v>
      </c>
      <c r="I105" s="58">
        <f>[2]Districts_Boroughs!CM67</f>
        <v>477</v>
      </c>
      <c r="J105" s="58">
        <f>[2]Districts_Boroughs!CN67</f>
        <v>455</v>
      </c>
      <c r="K105" s="58">
        <f>[2]Districts_Boroughs!CO67</f>
        <v>465</v>
      </c>
      <c r="L105" s="58">
        <f>[2]Districts_Boroughs!CP67</f>
        <v>419</v>
      </c>
      <c r="M105" s="58">
        <f>[2]Districts_Boroughs!CQ67</f>
        <v>371</v>
      </c>
      <c r="N105" s="58">
        <f>[2]Districts_Boroughs!CR67</f>
        <v>437</v>
      </c>
      <c r="O105" s="58">
        <f>[2]Districts_Boroughs!CS67</f>
        <v>508</v>
      </c>
      <c r="P105" s="58">
        <f>[2]Districts_Boroughs!CT67</f>
        <v>423</v>
      </c>
      <c r="Q105" s="58">
        <f>[2]Districts_Boroughs!CU67</f>
        <v>443</v>
      </c>
      <c r="R105" s="58">
        <f>[2]Districts_Boroughs!CV67</f>
        <v>492</v>
      </c>
      <c r="S105" s="58">
        <f>[2]Districts_Boroughs!CW67</f>
        <v>514</v>
      </c>
      <c r="T105" s="58">
        <f>[2]Districts_Boroughs!CX67</f>
        <v>430</v>
      </c>
      <c r="U105" s="58">
        <f>[2]Districts_Boroughs!CY67</f>
        <v>417</v>
      </c>
      <c r="V105" s="58">
        <f>[2]Districts_Boroughs!CZ67</f>
        <v>415</v>
      </c>
      <c r="W105" s="58">
        <f>[2]Districts_Boroughs!DA67</f>
        <v>404</v>
      </c>
      <c r="X105" s="58">
        <f>[2]Districts_Boroughs!DB67</f>
        <v>370</v>
      </c>
      <c r="Y105" s="58">
        <f>[2]Districts_Boroughs!DC67</f>
        <v>395</v>
      </c>
      <c r="Z105" s="58">
        <f>[2]Districts_Boroughs!DD67</f>
        <v>384</v>
      </c>
      <c r="AA105" s="58">
        <f>[2]Districts_Boroughs!DE67</f>
        <v>460</v>
      </c>
      <c r="AB105" s="58">
        <f>[2]Districts_Boroughs!DF67</f>
        <v>438</v>
      </c>
      <c r="AC105" s="58">
        <f>[2]Districts_Boroughs!DG67</f>
        <v>426</v>
      </c>
      <c r="AD105" s="58">
        <f>[2]Districts_Boroughs!DH67</f>
        <v>448</v>
      </c>
      <c r="AE105" s="58">
        <f>[2]Districts_Boroughs!DI67</f>
        <v>437</v>
      </c>
      <c r="AF105" s="58">
        <f>[2]Districts_Boroughs!DJ67</f>
        <v>411</v>
      </c>
      <c r="AG105" s="58">
        <f>[2]Districts_Boroughs!DK67</f>
        <v>439</v>
      </c>
      <c r="AH105" s="58">
        <f>[2]Districts_Boroughs!DL67</f>
        <v>477</v>
      </c>
      <c r="AI105" s="58">
        <f>[2]Districts_Boroughs!DM67</f>
        <v>399</v>
      </c>
      <c r="AJ105" s="58">
        <f>[2]Districts_Boroughs!DN67</f>
        <v>409</v>
      </c>
      <c r="AK105" s="58">
        <f>[2]Districts_Boroughs!DO67</f>
        <v>413</v>
      </c>
      <c r="AL105" s="58">
        <f>[2]Districts_Boroughs!DP67</f>
        <v>405</v>
      </c>
      <c r="AM105" s="58">
        <f>[2]Districts_Boroughs!DQ67</f>
        <v>373</v>
      </c>
      <c r="AN105" s="58">
        <f>[2]Districts_Boroughs!DR67</f>
        <v>423</v>
      </c>
      <c r="AO105" s="58">
        <f>[2]Districts_Boroughs!DS67</f>
        <v>485</v>
      </c>
      <c r="AP105" s="58">
        <f>[2]Districts_Boroughs!DT67</f>
        <v>455</v>
      </c>
      <c r="AQ105" s="58">
        <f>[2]Districts_Boroughs!DU67</f>
        <v>456</v>
      </c>
      <c r="AR105" s="58">
        <f>[2]Districts_Boroughs!DV67</f>
        <v>388</v>
      </c>
      <c r="AS105" s="58">
        <f>[2]Districts_Boroughs!DW67</f>
        <v>400</v>
      </c>
      <c r="AT105" s="58">
        <f>[2]Districts_Boroughs!DX67</f>
        <v>394</v>
      </c>
      <c r="AU105" s="58">
        <f>[2]Districts_Boroughs!DY67</f>
        <v>358</v>
      </c>
      <c r="AV105" s="58">
        <f>[2]Districts_Boroughs!DZ67</f>
        <v>442</v>
      </c>
      <c r="AW105" s="58">
        <f>[2]Districts_Boroughs!EA67</f>
        <v>407</v>
      </c>
      <c r="AX105" s="58">
        <f>[2]Districts_Boroughs!EB67</f>
        <v>377</v>
      </c>
      <c r="AY105" s="58">
        <f>[2]Districts_Boroughs!EC67</f>
        <v>389</v>
      </c>
    </row>
    <row r="106" spans="2:51" x14ac:dyDescent="0.35">
      <c r="B106" t="str">
        <f t="shared" si="6"/>
        <v>Nuneaton &amp; Bedworth</v>
      </c>
      <c r="C106" s="350"/>
      <c r="D106" s="58">
        <f>[2]Districts_Boroughs!CH68</f>
        <v>0</v>
      </c>
      <c r="E106" s="58">
        <f>[2]Districts_Boroughs!CI68</f>
        <v>0</v>
      </c>
      <c r="F106" s="58">
        <f>[2]Districts_Boroughs!CJ68</f>
        <v>0</v>
      </c>
      <c r="G106" s="58">
        <f>[2]Districts_Boroughs!CK68</f>
        <v>0</v>
      </c>
      <c r="H106" s="58">
        <f>[2]Districts_Boroughs!CL68</f>
        <v>0</v>
      </c>
      <c r="I106" s="58">
        <f>[2]Districts_Boroughs!CM68</f>
        <v>0</v>
      </c>
      <c r="J106" s="58">
        <f>[2]Districts_Boroughs!CN68</f>
        <v>0</v>
      </c>
      <c r="K106" s="58">
        <f>[2]Districts_Boroughs!CO68</f>
        <v>0</v>
      </c>
      <c r="L106" s="58">
        <f>[2]Districts_Boroughs!CP68</f>
        <v>0</v>
      </c>
      <c r="M106" s="58">
        <f>[2]Districts_Boroughs!CQ68</f>
        <v>0</v>
      </c>
      <c r="N106" s="58">
        <f>[2]Districts_Boroughs!CR68</f>
        <v>0</v>
      </c>
      <c r="O106" s="58">
        <f>[2]Districts_Boroughs!CS68</f>
        <v>0</v>
      </c>
      <c r="P106" s="58">
        <f>[2]Districts_Boroughs!CT68</f>
        <v>0</v>
      </c>
      <c r="Q106" s="58">
        <f>[2]Districts_Boroughs!CU68</f>
        <v>0</v>
      </c>
      <c r="R106" s="58">
        <f>[2]Districts_Boroughs!CV68</f>
        <v>0</v>
      </c>
      <c r="S106" s="58">
        <f>[2]Districts_Boroughs!CW68</f>
        <v>0</v>
      </c>
      <c r="T106" s="58">
        <f>[2]Districts_Boroughs!CX68</f>
        <v>0</v>
      </c>
      <c r="U106" s="58">
        <f>[2]Districts_Boroughs!CY68</f>
        <v>0</v>
      </c>
      <c r="V106" s="58">
        <f>[2]Districts_Boroughs!CZ68</f>
        <v>0</v>
      </c>
      <c r="W106" s="58">
        <f>[2]Districts_Boroughs!DA68</f>
        <v>0</v>
      </c>
      <c r="X106" s="58">
        <f>[2]Districts_Boroughs!DB68</f>
        <v>0</v>
      </c>
      <c r="Y106" s="58">
        <f>[2]Districts_Boroughs!DC68</f>
        <v>0</v>
      </c>
      <c r="Z106" s="58">
        <f>[2]Districts_Boroughs!DD68</f>
        <v>0</v>
      </c>
      <c r="AA106" s="58">
        <f>[2]Districts_Boroughs!DE68</f>
        <v>0</v>
      </c>
      <c r="AB106" s="58">
        <f>[2]Districts_Boroughs!DF68</f>
        <v>0</v>
      </c>
      <c r="AC106" s="58">
        <f>[2]Districts_Boroughs!DG68</f>
        <v>0</v>
      </c>
      <c r="AD106" s="58">
        <f>[2]Districts_Boroughs!DH68</f>
        <v>0</v>
      </c>
      <c r="AE106" s="58">
        <f>[2]Districts_Boroughs!DI68</f>
        <v>0</v>
      </c>
      <c r="AF106" s="58">
        <f>[2]Districts_Boroughs!DJ68</f>
        <v>0</v>
      </c>
      <c r="AG106" s="58">
        <f>[2]Districts_Boroughs!DK68</f>
        <v>0</v>
      </c>
      <c r="AH106" s="58">
        <f>[2]Districts_Boroughs!DL68</f>
        <v>0</v>
      </c>
      <c r="AI106" s="58">
        <f>[2]Districts_Boroughs!DM68</f>
        <v>0</v>
      </c>
      <c r="AJ106" s="58">
        <f>[2]Districts_Boroughs!DN68</f>
        <v>0</v>
      </c>
      <c r="AK106" s="58">
        <f>[2]Districts_Boroughs!DO68</f>
        <v>0</v>
      </c>
      <c r="AL106" s="58">
        <f>[2]Districts_Boroughs!DP68</f>
        <v>0</v>
      </c>
      <c r="AM106" s="58">
        <f>[2]Districts_Boroughs!DQ68</f>
        <v>0</v>
      </c>
      <c r="AN106" s="58">
        <f>[2]Districts_Boroughs!DR68</f>
        <v>0</v>
      </c>
      <c r="AO106" s="58">
        <f>[2]Districts_Boroughs!DS68</f>
        <v>0</v>
      </c>
      <c r="AP106" s="58">
        <f>[2]Districts_Boroughs!DT68</f>
        <v>0</v>
      </c>
      <c r="AQ106" s="58">
        <f>[2]Districts_Boroughs!DU68</f>
        <v>0</v>
      </c>
      <c r="AR106" s="58">
        <f>[2]Districts_Boroughs!DV68</f>
        <v>0</v>
      </c>
      <c r="AS106" s="58">
        <f>[2]Districts_Boroughs!DW68</f>
        <v>0</v>
      </c>
      <c r="AT106" s="58">
        <f>[2]Districts_Boroughs!DX68</f>
        <v>0</v>
      </c>
      <c r="AU106" s="58">
        <f>[2]Districts_Boroughs!DY68</f>
        <v>0</v>
      </c>
      <c r="AV106" s="58">
        <f>[2]Districts_Boroughs!DZ68</f>
        <v>0</v>
      </c>
      <c r="AW106" s="58">
        <f>[2]Districts_Boroughs!EA68</f>
        <v>0</v>
      </c>
      <c r="AX106" s="58">
        <f>[2]Districts_Boroughs!EB68</f>
        <v>0</v>
      </c>
      <c r="AY106" s="58">
        <f>[2]Districts_Boroughs!EC68</f>
        <v>0</v>
      </c>
    </row>
    <row r="107" spans="2:51" x14ac:dyDescent="0.35">
      <c r="B107" t="str">
        <f t="shared" si="6"/>
        <v>Nuneaton &amp; BedworthVAP With Injury - Alcohol Related</v>
      </c>
      <c r="C107" s="350" t="s">
        <v>43</v>
      </c>
      <c r="D107" s="58">
        <f>[2]Districts_Boroughs!CH69</f>
        <v>7</v>
      </c>
      <c r="E107" s="58">
        <f>[2]Districts_Boroughs!CI69</f>
        <v>12</v>
      </c>
      <c r="F107" s="58">
        <f>[2]Districts_Boroughs!CJ69</f>
        <v>10</v>
      </c>
      <c r="G107" s="58">
        <f>[2]Districts_Boroughs!CK69</f>
        <v>15</v>
      </c>
      <c r="H107" s="58">
        <f>[2]Districts_Boroughs!CL69</f>
        <v>19</v>
      </c>
      <c r="I107" s="58">
        <f>[2]Districts_Boroughs!CM69</f>
        <v>19</v>
      </c>
      <c r="J107" s="58">
        <f>[2]Districts_Boroughs!CN69</f>
        <v>13</v>
      </c>
      <c r="K107" s="58">
        <f>[2]Districts_Boroughs!CO69</f>
        <v>20</v>
      </c>
      <c r="L107" s="58">
        <f>[2]Districts_Boroughs!CP69</f>
        <v>16</v>
      </c>
      <c r="M107" s="58">
        <f>[2]Districts_Boroughs!CQ69</f>
        <v>7</v>
      </c>
      <c r="N107" s="58">
        <f>[2]Districts_Boroughs!CR69</f>
        <v>19</v>
      </c>
      <c r="O107" s="58">
        <f>[2]Districts_Boroughs!CS69</f>
        <v>12</v>
      </c>
      <c r="P107" s="58">
        <f>[2]Districts_Boroughs!CT69</f>
        <v>12</v>
      </c>
      <c r="Q107" s="58">
        <f>[2]Districts_Boroughs!CU69</f>
        <v>18</v>
      </c>
      <c r="R107" s="58">
        <f>[2]Districts_Boroughs!CV69</f>
        <v>14</v>
      </c>
      <c r="S107" s="58">
        <f>[2]Districts_Boroughs!CW69</f>
        <v>20</v>
      </c>
      <c r="T107" s="58">
        <f>[2]Districts_Boroughs!CX69</f>
        <v>17</v>
      </c>
      <c r="U107" s="58">
        <f>[2]Districts_Boroughs!CY69</f>
        <v>9</v>
      </c>
      <c r="V107" s="58">
        <f>[2]Districts_Boroughs!CZ69</f>
        <v>16</v>
      </c>
      <c r="W107" s="58">
        <f>[2]Districts_Boroughs!DA69</f>
        <v>7</v>
      </c>
      <c r="X107" s="58">
        <f>[2]Districts_Boroughs!DB69</f>
        <v>8</v>
      </c>
      <c r="Y107" s="58">
        <f>[2]Districts_Boroughs!DC69</f>
        <v>6</v>
      </c>
      <c r="Z107" s="58">
        <f>[2]Districts_Boroughs!DD69</f>
        <v>8</v>
      </c>
      <c r="AA107" s="58">
        <f>[2]Districts_Boroughs!DE69</f>
        <v>6</v>
      </c>
      <c r="AB107" s="58">
        <f>[2]Districts_Boroughs!DF69</f>
        <v>10</v>
      </c>
      <c r="AC107" s="58">
        <f>[2]Districts_Boroughs!DG69</f>
        <v>16</v>
      </c>
      <c r="AD107" s="58">
        <f>[2]Districts_Boroughs!DH69</f>
        <v>11</v>
      </c>
      <c r="AE107" s="58">
        <f>[2]Districts_Boroughs!DI69</f>
        <v>20</v>
      </c>
      <c r="AF107" s="58">
        <f>[2]Districts_Boroughs!DJ69</f>
        <v>15</v>
      </c>
      <c r="AG107" s="58">
        <f>[2]Districts_Boroughs!DK69</f>
        <v>14</v>
      </c>
      <c r="AH107" s="58">
        <f>[2]Districts_Boroughs!DL69</f>
        <v>17</v>
      </c>
      <c r="AI107" s="58">
        <f>[2]Districts_Boroughs!DM69</f>
        <v>17</v>
      </c>
      <c r="AJ107" s="58">
        <f>[2]Districts_Boroughs!DN69</f>
        <v>15</v>
      </c>
      <c r="AK107" s="58">
        <f>[2]Districts_Boroughs!DO69</f>
        <v>9</v>
      </c>
      <c r="AL107" s="58">
        <f>[2]Districts_Boroughs!DP69</f>
        <v>8</v>
      </c>
      <c r="AM107" s="58">
        <f>[2]Districts_Boroughs!DQ69</f>
        <v>16</v>
      </c>
      <c r="AN107" s="58">
        <f>[2]Districts_Boroughs!DR69</f>
        <v>15</v>
      </c>
      <c r="AO107" s="58">
        <f>[2]Districts_Boroughs!DS69</f>
        <v>15</v>
      </c>
      <c r="AP107" s="58">
        <f>[2]Districts_Boroughs!DT69</f>
        <v>10</v>
      </c>
      <c r="AQ107" s="58">
        <f>[2]Districts_Boroughs!DU69</f>
        <v>11</v>
      </c>
      <c r="AR107" s="58">
        <f>[2]Districts_Boroughs!DV69</f>
        <v>7</v>
      </c>
      <c r="AS107" s="58">
        <f>[2]Districts_Boroughs!DW69</f>
        <v>0</v>
      </c>
      <c r="AT107" s="58">
        <f>[2]Districts_Boroughs!DX69</f>
        <v>9</v>
      </c>
      <c r="AU107" s="58">
        <f>[2]Districts_Boroughs!DY69</f>
        <v>12</v>
      </c>
      <c r="AV107" s="58">
        <f>[2]Districts_Boroughs!DZ69</f>
        <v>10</v>
      </c>
      <c r="AW107" s="58">
        <f>[2]Districts_Boroughs!EA69</f>
        <v>10</v>
      </c>
      <c r="AX107" s="58">
        <f>[2]Districts_Boroughs!EB69</f>
        <v>6</v>
      </c>
      <c r="AY107" s="58">
        <f>[2]Districts_Boroughs!EC69</f>
        <v>2</v>
      </c>
    </row>
    <row r="108" spans="2:51" s="64" customFormat="1" x14ac:dyDescent="0.35">
      <c r="B108" s="64" t="str">
        <f t="shared" si="6"/>
        <v>Nuneaton &amp; BedworthVAP Without Injury - Alcohol Related</v>
      </c>
      <c r="C108" s="350" t="s">
        <v>198</v>
      </c>
      <c r="D108" s="58">
        <f>[2]Districts_Boroughs!CH70</f>
        <v>15</v>
      </c>
      <c r="E108" s="58">
        <f>[2]Districts_Boroughs!CI70</f>
        <v>7</v>
      </c>
      <c r="F108" s="58">
        <f>[2]Districts_Boroughs!CJ70</f>
        <v>22</v>
      </c>
      <c r="G108" s="58">
        <f>[2]Districts_Boroughs!CK70</f>
        <v>23</v>
      </c>
      <c r="H108" s="58">
        <f>[2]Districts_Boroughs!CL70</f>
        <v>14</v>
      </c>
      <c r="I108" s="58">
        <f>[2]Districts_Boroughs!CM70</f>
        <v>21</v>
      </c>
      <c r="J108" s="58">
        <f>[2]Districts_Boroughs!CN70</f>
        <v>18</v>
      </c>
      <c r="K108" s="58">
        <f>[2]Districts_Boroughs!CO70</f>
        <v>21</v>
      </c>
      <c r="L108" s="58">
        <f>[2]Districts_Boroughs!CP70</f>
        <v>25</v>
      </c>
      <c r="M108" s="58">
        <f>[2]Districts_Boroughs!CQ70</f>
        <v>9</v>
      </c>
      <c r="N108" s="58">
        <f>[2]Districts_Boroughs!CR70</f>
        <v>21</v>
      </c>
      <c r="O108" s="58">
        <f>[2]Districts_Boroughs!CS70</f>
        <v>30</v>
      </c>
      <c r="P108" s="58">
        <f>[2]Districts_Boroughs!CT70</f>
        <v>17</v>
      </c>
      <c r="Q108" s="58">
        <f>[2]Districts_Boroughs!CU70</f>
        <v>19</v>
      </c>
      <c r="R108" s="58">
        <f>[2]Districts_Boroughs!CV70</f>
        <v>18</v>
      </c>
      <c r="S108" s="58">
        <f>[2]Districts_Boroughs!CW70</f>
        <v>21</v>
      </c>
      <c r="T108" s="58">
        <f>[2]Districts_Boroughs!CX70</f>
        <v>14</v>
      </c>
      <c r="U108" s="58">
        <f>[2]Districts_Boroughs!CY70</f>
        <v>12</v>
      </c>
      <c r="V108" s="58">
        <f>[2]Districts_Boroughs!CZ70</f>
        <v>18</v>
      </c>
      <c r="W108" s="58">
        <f>[2]Districts_Boroughs!DA70</f>
        <v>7</v>
      </c>
      <c r="X108" s="58">
        <f>[2]Districts_Boroughs!DB70</f>
        <v>12</v>
      </c>
      <c r="Y108" s="58">
        <f>[2]Districts_Boroughs!DC70</f>
        <v>10</v>
      </c>
      <c r="Z108" s="58">
        <f>[2]Districts_Boroughs!DD70</f>
        <v>16</v>
      </c>
      <c r="AA108" s="58">
        <f>[2]Districts_Boroughs!DE70</f>
        <v>17</v>
      </c>
      <c r="AB108" s="58">
        <f>[2]Districts_Boroughs!DF70</f>
        <v>13</v>
      </c>
      <c r="AC108" s="58">
        <f>[2]Districts_Boroughs!DG70</f>
        <v>12</v>
      </c>
      <c r="AD108" s="58">
        <f>[2]Districts_Boroughs!DH70</f>
        <v>16</v>
      </c>
      <c r="AE108" s="58">
        <f>[2]Districts_Boroughs!DI70</f>
        <v>24</v>
      </c>
      <c r="AF108" s="58">
        <f>[2]Districts_Boroughs!DJ70</f>
        <v>11</v>
      </c>
      <c r="AG108" s="58">
        <f>[2]Districts_Boroughs!DK70</f>
        <v>14</v>
      </c>
      <c r="AH108" s="58">
        <f>[2]Districts_Boroughs!DL70</f>
        <v>11</v>
      </c>
      <c r="AI108" s="58">
        <f>[2]Districts_Boroughs!DM70</f>
        <v>9</v>
      </c>
      <c r="AJ108" s="58">
        <f>[2]Districts_Boroughs!DN70</f>
        <v>19</v>
      </c>
      <c r="AK108" s="58">
        <f>[2]Districts_Boroughs!DO70</f>
        <v>12</v>
      </c>
      <c r="AL108" s="58">
        <f>[2]Districts_Boroughs!DP70</f>
        <v>14</v>
      </c>
      <c r="AM108" s="58">
        <f>[2]Districts_Boroughs!DQ70</f>
        <v>12</v>
      </c>
      <c r="AN108" s="58">
        <f>[2]Districts_Boroughs!DR70</f>
        <v>11</v>
      </c>
      <c r="AO108" s="58">
        <f>[2]Districts_Boroughs!DS70</f>
        <v>35</v>
      </c>
      <c r="AP108" s="58">
        <f>[2]Districts_Boroughs!DT70</f>
        <v>17</v>
      </c>
      <c r="AQ108" s="58">
        <f>[2]Districts_Boroughs!DU70</f>
        <v>15</v>
      </c>
      <c r="AR108" s="58">
        <f>[2]Districts_Boroughs!DV70</f>
        <v>8</v>
      </c>
      <c r="AS108" s="58">
        <f>[2]Districts_Boroughs!DW70</f>
        <v>8</v>
      </c>
      <c r="AT108" s="58">
        <f>[2]Districts_Boroughs!DX70</f>
        <v>11</v>
      </c>
      <c r="AU108" s="58">
        <f>[2]Districts_Boroughs!DY70</f>
        <v>11</v>
      </c>
      <c r="AV108" s="58">
        <f>[2]Districts_Boroughs!DZ70</f>
        <v>10</v>
      </c>
      <c r="AW108" s="58">
        <f>[2]Districts_Boroughs!EA70</f>
        <v>10</v>
      </c>
      <c r="AX108" s="58">
        <f>[2]Districts_Boroughs!EB70</f>
        <v>6</v>
      </c>
      <c r="AY108" s="58">
        <f>[2]Districts_Boroughs!EC70</f>
        <v>14</v>
      </c>
    </row>
    <row r="109" spans="2:51" x14ac:dyDescent="0.35">
      <c r="B109" s="64" t="str">
        <f t="shared" si="6"/>
        <v>Nuneaton &amp; BedworthVAP With Injury - Drug Related</v>
      </c>
      <c r="C109" s="350" t="s">
        <v>44</v>
      </c>
      <c r="D109" s="58">
        <f>[2]Districts_Boroughs!CH71</f>
        <v>1</v>
      </c>
      <c r="E109" s="58">
        <f>[2]Districts_Boroughs!CI71</f>
        <v>0</v>
      </c>
      <c r="F109" s="58">
        <f>[2]Districts_Boroughs!CJ71</f>
        <v>1</v>
      </c>
      <c r="G109" s="58">
        <f>[2]Districts_Boroughs!CK71</f>
        <v>2</v>
      </c>
      <c r="H109" s="58">
        <f>[2]Districts_Boroughs!CL71</f>
        <v>1</v>
      </c>
      <c r="I109" s="58">
        <f>[2]Districts_Boroughs!CM71</f>
        <v>3</v>
      </c>
      <c r="J109" s="58">
        <f>[2]Districts_Boroughs!CN71</f>
        <v>0</v>
      </c>
      <c r="K109" s="58">
        <f>[2]Districts_Boroughs!CO71</f>
        <v>2</v>
      </c>
      <c r="L109" s="58">
        <f>[2]Districts_Boroughs!CP71</f>
        <v>4</v>
      </c>
      <c r="M109" s="58">
        <f>[2]Districts_Boroughs!CQ71</f>
        <v>1</v>
      </c>
      <c r="N109" s="58">
        <f>[2]Districts_Boroughs!CR71</f>
        <v>1</v>
      </c>
      <c r="O109" s="58">
        <f>[2]Districts_Boroughs!CS71</f>
        <v>0</v>
      </c>
      <c r="P109" s="58">
        <f>[2]Districts_Boroughs!CT71</f>
        <v>0</v>
      </c>
      <c r="Q109" s="58">
        <f>[2]Districts_Boroughs!CU71</f>
        <v>0</v>
      </c>
      <c r="R109" s="58">
        <f>[2]Districts_Boroughs!CV71</f>
        <v>0</v>
      </c>
      <c r="S109" s="58">
        <f>[2]Districts_Boroughs!CW71</f>
        <v>1</v>
      </c>
      <c r="T109" s="58">
        <f>[2]Districts_Boroughs!CX71</f>
        <v>2</v>
      </c>
      <c r="U109" s="58">
        <f>[2]Districts_Boroughs!CY71</f>
        <v>0</v>
      </c>
      <c r="V109" s="58">
        <f>[2]Districts_Boroughs!CZ71</f>
        <v>3</v>
      </c>
      <c r="W109" s="58">
        <f>[2]Districts_Boroughs!DA71</f>
        <v>1</v>
      </c>
      <c r="X109" s="58">
        <f>[2]Districts_Boroughs!DB71</f>
        <v>1</v>
      </c>
      <c r="Y109" s="58">
        <f>[2]Districts_Boroughs!DC71</f>
        <v>1</v>
      </c>
      <c r="Z109" s="58">
        <f>[2]Districts_Boroughs!DD71</f>
        <v>0</v>
      </c>
      <c r="AA109" s="58">
        <f>[2]Districts_Boroughs!DE71</f>
        <v>0</v>
      </c>
      <c r="AB109" s="58">
        <f>[2]Districts_Boroughs!DF71</f>
        <v>0</v>
      </c>
      <c r="AC109" s="58">
        <f>[2]Districts_Boroughs!DG71</f>
        <v>1</v>
      </c>
      <c r="AD109" s="58">
        <f>[2]Districts_Boroughs!DH71</f>
        <v>1</v>
      </c>
      <c r="AE109" s="58">
        <f>[2]Districts_Boroughs!DI71</f>
        <v>2</v>
      </c>
      <c r="AF109" s="58">
        <f>[2]Districts_Boroughs!DJ71</f>
        <v>0</v>
      </c>
      <c r="AG109" s="58">
        <f>[2]Districts_Boroughs!DK71</f>
        <v>2</v>
      </c>
      <c r="AH109" s="58">
        <f>[2]Districts_Boroughs!DL71</f>
        <v>0</v>
      </c>
      <c r="AI109" s="58">
        <f>[2]Districts_Boroughs!DM71</f>
        <v>0</v>
      </c>
      <c r="AJ109" s="58">
        <f>[2]Districts_Boroughs!DN71</f>
        <v>2</v>
      </c>
      <c r="AK109" s="58">
        <f>[2]Districts_Boroughs!DO71</f>
        <v>0</v>
      </c>
      <c r="AL109" s="58">
        <f>[2]Districts_Boroughs!DP71</f>
        <v>0</v>
      </c>
      <c r="AM109" s="58">
        <f>[2]Districts_Boroughs!DQ71</f>
        <v>0</v>
      </c>
      <c r="AN109" s="58">
        <f>[2]Districts_Boroughs!DR71</f>
        <v>2</v>
      </c>
      <c r="AO109" s="58">
        <f>[2]Districts_Boroughs!DS71</f>
        <v>3</v>
      </c>
      <c r="AP109" s="58">
        <f>[2]Districts_Boroughs!DT71</f>
        <v>1</v>
      </c>
      <c r="AQ109" s="58">
        <f>[2]Districts_Boroughs!DU71</f>
        <v>0</v>
      </c>
      <c r="AR109" s="58">
        <f>[2]Districts_Boroughs!DV71</f>
        <v>2</v>
      </c>
      <c r="AS109" s="58">
        <f>[2]Districts_Boroughs!DW71</f>
        <v>0</v>
      </c>
      <c r="AT109" s="58">
        <f>[2]Districts_Boroughs!DX71</f>
        <v>0</v>
      </c>
      <c r="AU109" s="58">
        <f>[2]Districts_Boroughs!DY71</f>
        <v>0</v>
      </c>
      <c r="AV109" s="58">
        <f>[2]Districts_Boroughs!DZ71</f>
        <v>0</v>
      </c>
      <c r="AW109" s="58">
        <f>[2]Districts_Boroughs!EA71</f>
        <v>1</v>
      </c>
      <c r="AX109" s="58">
        <f>[2]Districts_Boroughs!EB71</f>
        <v>0</v>
      </c>
      <c r="AY109" s="58">
        <f>[2]Districts_Boroughs!EC71</f>
        <v>0</v>
      </c>
    </row>
    <row r="110" spans="2:51" s="64" customFormat="1" x14ac:dyDescent="0.35">
      <c r="B110" s="64" t="str">
        <f t="shared" si="6"/>
        <v>Nuneaton &amp; BedworthVAP Without Injury - Drug Related</v>
      </c>
      <c r="C110" s="350" t="s">
        <v>199</v>
      </c>
      <c r="D110" s="58">
        <f>[2]Districts_Boroughs!CH72</f>
        <v>2</v>
      </c>
      <c r="E110" s="58">
        <f>[2]Districts_Boroughs!CI72</f>
        <v>2</v>
      </c>
      <c r="F110" s="58">
        <f>[2]Districts_Boroughs!CJ72</f>
        <v>0</v>
      </c>
      <c r="G110" s="58">
        <f>[2]Districts_Boroughs!CK72</f>
        <v>1</v>
      </c>
      <c r="H110" s="58">
        <f>[2]Districts_Boroughs!CL72</f>
        <v>0</v>
      </c>
      <c r="I110" s="58">
        <f>[2]Districts_Boroughs!CM72</f>
        <v>1</v>
      </c>
      <c r="J110" s="58">
        <f>[2]Districts_Boroughs!CN72</f>
        <v>3</v>
      </c>
      <c r="K110" s="58">
        <f>[2]Districts_Boroughs!CO72</f>
        <v>0</v>
      </c>
      <c r="L110" s="58">
        <f>[2]Districts_Boroughs!CP72</f>
        <v>0</v>
      </c>
      <c r="M110" s="58">
        <f>[2]Districts_Boroughs!CQ72</f>
        <v>1</v>
      </c>
      <c r="N110" s="58">
        <f>[2]Districts_Boroughs!CR72</f>
        <v>1</v>
      </c>
      <c r="O110" s="58">
        <f>[2]Districts_Boroughs!CS72</f>
        <v>0</v>
      </c>
      <c r="P110" s="58">
        <f>[2]Districts_Boroughs!CT72</f>
        <v>2</v>
      </c>
      <c r="Q110" s="58">
        <f>[2]Districts_Boroughs!CU72</f>
        <v>1</v>
      </c>
      <c r="R110" s="58">
        <f>[2]Districts_Boroughs!CV72</f>
        <v>4</v>
      </c>
      <c r="S110" s="58">
        <f>[2]Districts_Boroughs!CW72</f>
        <v>0</v>
      </c>
      <c r="T110" s="58">
        <f>[2]Districts_Boroughs!CX72</f>
        <v>2</v>
      </c>
      <c r="U110" s="58">
        <f>[2]Districts_Boroughs!CY72</f>
        <v>0</v>
      </c>
      <c r="V110" s="58">
        <f>[2]Districts_Boroughs!CZ72</f>
        <v>0</v>
      </c>
      <c r="W110" s="58">
        <f>[2]Districts_Boroughs!DA72</f>
        <v>1</v>
      </c>
      <c r="X110" s="58">
        <f>[2]Districts_Boroughs!DB72</f>
        <v>0</v>
      </c>
      <c r="Y110" s="58">
        <f>[2]Districts_Boroughs!DC72</f>
        <v>1</v>
      </c>
      <c r="Z110" s="58">
        <f>[2]Districts_Boroughs!DD72</f>
        <v>4</v>
      </c>
      <c r="AA110" s="58">
        <f>[2]Districts_Boroughs!DE72</f>
        <v>0</v>
      </c>
      <c r="AB110" s="58">
        <f>[2]Districts_Boroughs!DF72</f>
        <v>3</v>
      </c>
      <c r="AC110" s="58">
        <f>[2]Districts_Boroughs!DG72</f>
        <v>1</v>
      </c>
      <c r="AD110" s="58">
        <f>[2]Districts_Boroughs!DH72</f>
        <v>2</v>
      </c>
      <c r="AE110" s="58">
        <f>[2]Districts_Boroughs!DI72</f>
        <v>1</v>
      </c>
      <c r="AF110" s="58">
        <f>[2]Districts_Boroughs!DJ72</f>
        <v>0</v>
      </c>
      <c r="AG110" s="58">
        <f>[2]Districts_Boroughs!DK72</f>
        <v>1</v>
      </c>
      <c r="AH110" s="58">
        <f>[2]Districts_Boroughs!DL72</f>
        <v>5</v>
      </c>
      <c r="AI110" s="58">
        <f>[2]Districts_Boroughs!DM72</f>
        <v>1</v>
      </c>
      <c r="AJ110" s="58">
        <f>[2]Districts_Boroughs!DN72</f>
        <v>1</v>
      </c>
      <c r="AK110" s="58">
        <f>[2]Districts_Boroughs!DO72</f>
        <v>1</v>
      </c>
      <c r="AL110" s="58">
        <f>[2]Districts_Boroughs!DP72</f>
        <v>0</v>
      </c>
      <c r="AM110" s="58">
        <f>[2]Districts_Boroughs!DQ72</f>
        <v>1</v>
      </c>
      <c r="AN110" s="58">
        <f>[2]Districts_Boroughs!DR72</f>
        <v>3</v>
      </c>
      <c r="AO110" s="58">
        <f>[2]Districts_Boroughs!DS72</f>
        <v>1</v>
      </c>
      <c r="AP110" s="58">
        <f>[2]Districts_Boroughs!DT72</f>
        <v>1</v>
      </c>
      <c r="AQ110" s="58">
        <f>[2]Districts_Boroughs!DU72</f>
        <v>1</v>
      </c>
      <c r="AR110" s="58">
        <f>[2]Districts_Boroughs!DV72</f>
        <v>1</v>
      </c>
      <c r="AS110" s="58">
        <f>[2]Districts_Boroughs!DW72</f>
        <v>3</v>
      </c>
      <c r="AT110" s="58">
        <f>[2]Districts_Boroughs!DX72</f>
        <v>1</v>
      </c>
      <c r="AU110" s="58">
        <f>[2]Districts_Boroughs!DY72</f>
        <v>0</v>
      </c>
      <c r="AV110" s="58">
        <f>[2]Districts_Boroughs!DZ72</f>
        <v>1</v>
      </c>
      <c r="AW110" s="58">
        <f>[2]Districts_Boroughs!EA72</f>
        <v>2</v>
      </c>
      <c r="AX110" s="58">
        <f>[2]Districts_Boroughs!EB72</f>
        <v>0</v>
      </c>
      <c r="AY110" s="58">
        <f>[2]Districts_Boroughs!EC72</f>
        <v>0</v>
      </c>
    </row>
    <row r="111" spans="2:51" x14ac:dyDescent="0.35">
      <c r="B111" t="str">
        <f t="shared" si="6"/>
        <v>Nuneaton &amp; BedworthVAP With Injury- Domestic Abuse Related</v>
      </c>
      <c r="C111" s="350" t="s">
        <v>45</v>
      </c>
      <c r="D111" s="58">
        <f>[2]Districts_Boroughs!CH73</f>
        <v>39</v>
      </c>
      <c r="E111" s="58">
        <f>[2]Districts_Boroughs!CI73</f>
        <v>44</v>
      </c>
      <c r="F111" s="58">
        <f>[2]Districts_Boroughs!CJ73</f>
        <v>25</v>
      </c>
      <c r="G111" s="58">
        <f>[2]Districts_Boroughs!CK73</f>
        <v>41</v>
      </c>
      <c r="H111" s="58">
        <f>[2]Districts_Boroughs!CL73</f>
        <v>38</v>
      </c>
      <c r="I111" s="58">
        <f>[2]Districts_Boroughs!CM73</f>
        <v>45</v>
      </c>
      <c r="J111" s="58">
        <f>[2]Districts_Boroughs!CN73</f>
        <v>46</v>
      </c>
      <c r="K111" s="58">
        <f>[2]Districts_Boroughs!CO73</f>
        <v>32</v>
      </c>
      <c r="L111" s="58">
        <f>[2]Districts_Boroughs!CP73</f>
        <v>39</v>
      </c>
      <c r="M111" s="58">
        <f>[2]Districts_Boroughs!CQ73</f>
        <v>27</v>
      </c>
      <c r="N111" s="58">
        <f>[2]Districts_Boroughs!CR73</f>
        <v>35</v>
      </c>
      <c r="O111" s="58">
        <f>[2]Districts_Boroughs!CS73</f>
        <v>40</v>
      </c>
      <c r="P111" s="58">
        <f>[2]Districts_Boroughs!CT73</f>
        <v>46</v>
      </c>
      <c r="Q111" s="58">
        <f>[2]Districts_Boroughs!CU73</f>
        <v>51</v>
      </c>
      <c r="R111" s="58">
        <f>[2]Districts_Boroughs!CV73</f>
        <v>49</v>
      </c>
      <c r="S111" s="58">
        <f>[2]Districts_Boroughs!CW73</f>
        <v>43</v>
      </c>
      <c r="T111" s="58">
        <f>[2]Districts_Boroughs!CX73</f>
        <v>60</v>
      </c>
      <c r="U111" s="58">
        <f>[2]Districts_Boroughs!CY73</f>
        <v>42</v>
      </c>
      <c r="V111" s="58">
        <f>[2]Districts_Boroughs!CZ73</f>
        <v>47</v>
      </c>
      <c r="W111" s="58">
        <f>[2]Districts_Boroughs!DA73</f>
        <v>41</v>
      </c>
      <c r="X111" s="58">
        <f>[2]Districts_Boroughs!DB73</f>
        <v>38</v>
      </c>
      <c r="Y111" s="58">
        <f>[2]Districts_Boroughs!DC73</f>
        <v>35</v>
      </c>
      <c r="Z111" s="58">
        <f>[2]Districts_Boroughs!DD73</f>
        <v>38</v>
      </c>
      <c r="AA111" s="58">
        <f>[2]Districts_Boroughs!DE73</f>
        <v>35</v>
      </c>
      <c r="AB111" s="58">
        <f>[2]Districts_Boroughs!DF73</f>
        <v>34</v>
      </c>
      <c r="AC111" s="58">
        <f>[2]Districts_Boroughs!DG73</f>
        <v>42</v>
      </c>
      <c r="AD111" s="58">
        <f>[2]Districts_Boroughs!DH73</f>
        <v>53</v>
      </c>
      <c r="AE111" s="58">
        <f>[2]Districts_Boroughs!DI73</f>
        <v>51</v>
      </c>
      <c r="AF111" s="58">
        <f>[2]Districts_Boroughs!DJ73</f>
        <v>58</v>
      </c>
      <c r="AG111" s="58">
        <f>[2]Districts_Boroughs!DK73</f>
        <v>47</v>
      </c>
      <c r="AH111" s="58">
        <f>[2]Districts_Boroughs!DL73</f>
        <v>45</v>
      </c>
      <c r="AI111" s="58">
        <f>[2]Districts_Boroughs!DM73</f>
        <v>57</v>
      </c>
      <c r="AJ111" s="58">
        <f>[2]Districts_Boroughs!DN73</f>
        <v>52</v>
      </c>
      <c r="AK111" s="58">
        <f>[2]Districts_Boroughs!DO73</f>
        <v>42</v>
      </c>
      <c r="AL111" s="58">
        <f>[2]Districts_Boroughs!DP73</f>
        <v>40</v>
      </c>
      <c r="AM111" s="58">
        <f>[2]Districts_Boroughs!DQ73</f>
        <v>49</v>
      </c>
      <c r="AN111" s="58">
        <f>[2]Districts_Boroughs!DR73</f>
        <v>39</v>
      </c>
      <c r="AO111" s="58">
        <f>[2]Districts_Boroughs!DS73</f>
        <v>48</v>
      </c>
      <c r="AP111" s="58">
        <f>[2]Districts_Boroughs!DT73</f>
        <v>46</v>
      </c>
      <c r="AQ111" s="58">
        <f>[2]Districts_Boroughs!DU73</f>
        <v>45</v>
      </c>
      <c r="AR111" s="58">
        <f>[2]Districts_Boroughs!DV73</f>
        <v>35</v>
      </c>
      <c r="AS111" s="58">
        <f>[2]Districts_Boroughs!DW73</f>
        <v>36</v>
      </c>
      <c r="AT111" s="58">
        <f>[2]Districts_Boroughs!DX73</f>
        <v>31</v>
      </c>
      <c r="AU111" s="58">
        <f>[2]Districts_Boroughs!DY73</f>
        <v>36</v>
      </c>
      <c r="AV111" s="58">
        <f>[2]Districts_Boroughs!DZ73</f>
        <v>50</v>
      </c>
      <c r="AW111" s="58">
        <f>[2]Districts_Boroughs!EA73</f>
        <v>31</v>
      </c>
      <c r="AX111" s="58">
        <f>[2]Districts_Boroughs!EB73</f>
        <v>48</v>
      </c>
      <c r="AY111" s="58">
        <f>[2]Districts_Boroughs!EC73</f>
        <v>38</v>
      </c>
    </row>
    <row r="112" spans="2:51" s="64" customFormat="1" x14ac:dyDescent="0.35">
      <c r="B112" s="64" t="str">
        <f t="shared" si="6"/>
        <v>Nuneaton &amp; BedworthVAP Without Injury- Domestic Abuse Related</v>
      </c>
      <c r="C112" s="350" t="s">
        <v>191</v>
      </c>
      <c r="D112" s="58">
        <f>[2]Districts_Boroughs!CH74</f>
        <v>105</v>
      </c>
      <c r="E112" s="58">
        <f>[2]Districts_Boroughs!CI74</f>
        <v>132</v>
      </c>
      <c r="F112" s="58">
        <f>[2]Districts_Boroughs!CJ74</f>
        <v>89</v>
      </c>
      <c r="G112" s="58">
        <f>[2]Districts_Boroughs!CK74</f>
        <v>101</v>
      </c>
      <c r="H112" s="58">
        <f>[2]Districts_Boroughs!CL74</f>
        <v>89</v>
      </c>
      <c r="I112" s="58">
        <f>[2]Districts_Boroughs!CM74</f>
        <v>127</v>
      </c>
      <c r="J112" s="58">
        <f>[2]Districts_Boroughs!CN74</f>
        <v>127</v>
      </c>
      <c r="K112" s="58">
        <f>[2]Districts_Boroughs!CO74</f>
        <v>123</v>
      </c>
      <c r="L112" s="58">
        <f>[2]Districts_Boroughs!CP74</f>
        <v>116</v>
      </c>
      <c r="M112" s="58">
        <f>[2]Districts_Boroughs!CQ74</f>
        <v>102</v>
      </c>
      <c r="N112" s="58">
        <f>[2]Districts_Boroughs!CR74</f>
        <v>115</v>
      </c>
      <c r="O112" s="58">
        <f>[2]Districts_Boroughs!CS74</f>
        <v>115</v>
      </c>
      <c r="P112" s="58">
        <f>[2]Districts_Boroughs!CT74</f>
        <v>83</v>
      </c>
      <c r="Q112" s="58">
        <f>[2]Districts_Boroughs!CU74</f>
        <v>97</v>
      </c>
      <c r="R112" s="58">
        <f>[2]Districts_Boroughs!CV74</f>
        <v>113</v>
      </c>
      <c r="S112" s="58">
        <f>[2]Districts_Boroughs!CW74</f>
        <v>124</v>
      </c>
      <c r="T112" s="58">
        <f>[2]Districts_Boroughs!CX74</f>
        <v>101</v>
      </c>
      <c r="U112" s="58">
        <f>[2]Districts_Boroughs!CY74</f>
        <v>110</v>
      </c>
      <c r="V112" s="58">
        <f>[2]Districts_Boroughs!CZ74</f>
        <v>97</v>
      </c>
      <c r="W112" s="58">
        <f>[2]Districts_Boroughs!DA74</f>
        <v>107</v>
      </c>
      <c r="X112" s="58">
        <f>[2]Districts_Boroughs!DB74</f>
        <v>85</v>
      </c>
      <c r="Y112" s="58">
        <f>[2]Districts_Boroughs!DC74</f>
        <v>84</v>
      </c>
      <c r="Z112" s="58">
        <f>[2]Districts_Boroughs!DD74</f>
        <v>110</v>
      </c>
      <c r="AA112" s="58">
        <f>[2]Districts_Boroughs!DE74</f>
        <v>102</v>
      </c>
      <c r="AB112" s="58">
        <f>[2]Districts_Boroughs!DF74</f>
        <v>92</v>
      </c>
      <c r="AC112" s="58">
        <f>[2]Districts_Boroughs!DG74</f>
        <v>100</v>
      </c>
      <c r="AD112" s="58">
        <f>[2]Districts_Boroughs!DH74</f>
        <v>75</v>
      </c>
      <c r="AE112" s="58">
        <f>[2]Districts_Boroughs!DI74</f>
        <v>102</v>
      </c>
      <c r="AF112" s="58">
        <f>[2]Districts_Boroughs!DJ74</f>
        <v>92</v>
      </c>
      <c r="AG112" s="58">
        <f>[2]Districts_Boroughs!DK74</f>
        <v>97</v>
      </c>
      <c r="AH112" s="58">
        <f>[2]Districts_Boroughs!DL74</f>
        <v>111</v>
      </c>
      <c r="AI112" s="58">
        <f>[2]Districts_Boroughs!DM74</f>
        <v>91</v>
      </c>
      <c r="AJ112" s="58">
        <f>[2]Districts_Boroughs!DN74</f>
        <v>100</v>
      </c>
      <c r="AK112" s="58">
        <f>[2]Districts_Boroughs!DO74</f>
        <v>93</v>
      </c>
      <c r="AL112" s="58">
        <f>[2]Districts_Boroughs!DP74</f>
        <v>89</v>
      </c>
      <c r="AM112" s="58">
        <f>[2]Districts_Boroughs!DQ74</f>
        <v>78</v>
      </c>
      <c r="AN112" s="58">
        <f>[2]Districts_Boroughs!DR74</f>
        <v>91</v>
      </c>
      <c r="AO112" s="58">
        <f>[2]Districts_Boroughs!DS74</f>
        <v>94</v>
      </c>
      <c r="AP112" s="58">
        <f>[2]Districts_Boroughs!DT74</f>
        <v>81</v>
      </c>
      <c r="AQ112" s="58">
        <f>[2]Districts_Boroughs!DU74</f>
        <v>91</v>
      </c>
      <c r="AR112" s="58">
        <f>[2]Districts_Boroughs!DV74</f>
        <v>80</v>
      </c>
      <c r="AS112" s="58">
        <f>[2]Districts_Boroughs!DW74</f>
        <v>94</v>
      </c>
      <c r="AT112" s="58">
        <f>[2]Districts_Boroughs!DX74</f>
        <v>89</v>
      </c>
      <c r="AU112" s="58">
        <f>[2]Districts_Boroughs!DY74</f>
        <v>83</v>
      </c>
      <c r="AV112" s="58">
        <f>[2]Districts_Boroughs!DZ74</f>
        <v>105</v>
      </c>
      <c r="AW112" s="58">
        <f>[2]Districts_Boroughs!EA74</f>
        <v>87</v>
      </c>
      <c r="AX112" s="58">
        <f>[2]Districts_Boroughs!EB74</f>
        <v>96</v>
      </c>
      <c r="AY112" s="58">
        <f>[2]Districts_Boroughs!EC74</f>
        <v>77</v>
      </c>
    </row>
    <row r="113" spans="2:51" x14ac:dyDescent="0.35">
      <c r="B113" s="64" t="str">
        <f t="shared" si="6"/>
        <v>Nuneaton &amp; Bedworth</v>
      </c>
      <c r="C113" s="350"/>
      <c r="D113" s="58">
        <f>[2]Districts_Boroughs!CH75</f>
        <v>0</v>
      </c>
      <c r="E113" s="58">
        <f>[2]Districts_Boroughs!CI75</f>
        <v>0</v>
      </c>
      <c r="F113" s="58">
        <f>[2]Districts_Boroughs!CJ75</f>
        <v>0</v>
      </c>
      <c r="G113" s="58">
        <f>[2]Districts_Boroughs!CK75</f>
        <v>0</v>
      </c>
      <c r="H113" s="58">
        <f>[2]Districts_Boroughs!CL75</f>
        <v>0</v>
      </c>
      <c r="I113" s="58">
        <f>[2]Districts_Boroughs!CM75</f>
        <v>0</v>
      </c>
      <c r="J113" s="58">
        <f>[2]Districts_Boroughs!CN75</f>
        <v>0</v>
      </c>
      <c r="K113" s="58">
        <f>[2]Districts_Boroughs!CO75</f>
        <v>0</v>
      </c>
      <c r="L113" s="58">
        <f>[2]Districts_Boroughs!CP75</f>
        <v>0</v>
      </c>
      <c r="M113" s="58">
        <f>[2]Districts_Boroughs!CQ75</f>
        <v>0</v>
      </c>
      <c r="N113" s="58">
        <f>[2]Districts_Boroughs!CR75</f>
        <v>0</v>
      </c>
      <c r="O113" s="58">
        <f>[2]Districts_Boroughs!CS75</f>
        <v>0</v>
      </c>
      <c r="P113" s="58">
        <f>[2]Districts_Boroughs!CT75</f>
        <v>0</v>
      </c>
      <c r="Q113" s="58">
        <f>[2]Districts_Boroughs!CU75</f>
        <v>0</v>
      </c>
      <c r="R113" s="58">
        <f>[2]Districts_Boroughs!CV75</f>
        <v>0</v>
      </c>
      <c r="S113" s="58">
        <f>[2]Districts_Boroughs!CW75</f>
        <v>0</v>
      </c>
      <c r="T113" s="58">
        <f>[2]Districts_Boroughs!CX75</f>
        <v>0</v>
      </c>
      <c r="U113" s="58">
        <f>[2]Districts_Boroughs!CY75</f>
        <v>0</v>
      </c>
      <c r="V113" s="58">
        <f>[2]Districts_Boroughs!CZ75</f>
        <v>0</v>
      </c>
      <c r="W113" s="58">
        <f>[2]Districts_Boroughs!DA75</f>
        <v>0</v>
      </c>
      <c r="X113" s="58">
        <f>[2]Districts_Boroughs!DB75</f>
        <v>0</v>
      </c>
      <c r="Y113" s="58">
        <f>[2]Districts_Boroughs!DC75</f>
        <v>0</v>
      </c>
      <c r="Z113" s="58">
        <f>[2]Districts_Boroughs!DD75</f>
        <v>0</v>
      </c>
      <c r="AA113" s="58">
        <f>[2]Districts_Boroughs!DE75</f>
        <v>0</v>
      </c>
      <c r="AB113" s="58">
        <f>[2]Districts_Boroughs!DF75</f>
        <v>0</v>
      </c>
      <c r="AC113" s="58">
        <f>[2]Districts_Boroughs!DG75</f>
        <v>0</v>
      </c>
      <c r="AD113" s="58">
        <f>[2]Districts_Boroughs!DH75</f>
        <v>0</v>
      </c>
      <c r="AE113" s="58">
        <f>[2]Districts_Boroughs!DI75</f>
        <v>0</v>
      </c>
      <c r="AF113" s="58">
        <f>[2]Districts_Boroughs!DJ75</f>
        <v>0</v>
      </c>
      <c r="AG113" s="58">
        <f>[2]Districts_Boroughs!DK75</f>
        <v>0</v>
      </c>
      <c r="AH113" s="58">
        <f>[2]Districts_Boroughs!DL75</f>
        <v>0</v>
      </c>
      <c r="AI113" s="58">
        <f>[2]Districts_Boroughs!DM75</f>
        <v>0</v>
      </c>
      <c r="AJ113" s="58">
        <f>[2]Districts_Boroughs!DN75</f>
        <v>0</v>
      </c>
      <c r="AK113" s="58">
        <f>[2]Districts_Boroughs!DO75</f>
        <v>0</v>
      </c>
      <c r="AL113" s="58">
        <f>[2]Districts_Boroughs!DP75</f>
        <v>0</v>
      </c>
      <c r="AM113" s="58">
        <f>[2]Districts_Boroughs!DQ75</f>
        <v>0</v>
      </c>
      <c r="AN113" s="58">
        <f>[2]Districts_Boroughs!DR75</f>
        <v>0</v>
      </c>
      <c r="AO113" s="58">
        <f>[2]Districts_Boroughs!DS75</f>
        <v>0</v>
      </c>
      <c r="AP113" s="58">
        <f>[2]Districts_Boroughs!DT75</f>
        <v>0</v>
      </c>
      <c r="AQ113" s="58">
        <f>[2]Districts_Boroughs!DU75</f>
        <v>0</v>
      </c>
      <c r="AR113" s="58">
        <f>[2]Districts_Boroughs!DV75</f>
        <v>0</v>
      </c>
      <c r="AS113" s="58">
        <f>[2]Districts_Boroughs!DW75</f>
        <v>0</v>
      </c>
      <c r="AT113" s="58">
        <f>[2]Districts_Boroughs!DX75</f>
        <v>0</v>
      </c>
      <c r="AU113" s="58">
        <f>[2]Districts_Boroughs!DY75</f>
        <v>0</v>
      </c>
      <c r="AV113" s="58">
        <f>[2]Districts_Boroughs!DZ75</f>
        <v>0</v>
      </c>
      <c r="AW113" s="58">
        <f>[2]Districts_Boroughs!EA75</f>
        <v>0</v>
      </c>
      <c r="AX113" s="58">
        <f>[2]Districts_Boroughs!EB75</f>
        <v>0</v>
      </c>
      <c r="AY113" s="58">
        <f>[2]Districts_Boroughs!EC75</f>
        <v>0</v>
      </c>
    </row>
    <row r="114" spans="2:51" x14ac:dyDescent="0.35">
      <c r="B114" t="str">
        <f t="shared" si="6"/>
        <v>Nuneaton &amp; BedworthSection 18</v>
      </c>
      <c r="C114" s="350" t="s">
        <v>53</v>
      </c>
      <c r="D114" s="58">
        <f>[2]Districts_Boroughs!CH76</f>
        <v>5</v>
      </c>
      <c r="E114" s="58">
        <f>[2]Districts_Boroughs!CI76</f>
        <v>4</v>
      </c>
      <c r="F114" s="58">
        <f>[2]Districts_Boroughs!CJ76</f>
        <v>13</v>
      </c>
      <c r="G114" s="58">
        <f>[2]Districts_Boroughs!CK76</f>
        <v>9</v>
      </c>
      <c r="H114" s="58">
        <f>[2]Districts_Boroughs!CL76</f>
        <v>15</v>
      </c>
      <c r="I114" s="58">
        <f>[2]Districts_Boroughs!CM76</f>
        <v>7</v>
      </c>
      <c r="J114" s="58">
        <f>[2]Districts_Boroughs!CN76</f>
        <v>8</v>
      </c>
      <c r="K114" s="58">
        <f>[2]Districts_Boroughs!CO76</f>
        <v>7</v>
      </c>
      <c r="L114" s="58">
        <f>[2]Districts_Boroughs!CP76</f>
        <v>6</v>
      </c>
      <c r="M114" s="58">
        <f>[2]Districts_Boroughs!CQ76</f>
        <v>9</v>
      </c>
      <c r="N114" s="58">
        <f>[2]Districts_Boroughs!CR76</f>
        <v>8</v>
      </c>
      <c r="O114" s="58">
        <f>[2]Districts_Boroughs!CS76</f>
        <v>7</v>
      </c>
      <c r="P114" s="58">
        <f>[2]Districts_Boroughs!CT76</f>
        <v>9</v>
      </c>
      <c r="Q114" s="58">
        <f>[2]Districts_Boroughs!CU76</f>
        <v>10</v>
      </c>
      <c r="R114" s="58">
        <f>[2]Districts_Boroughs!CV76</f>
        <v>17</v>
      </c>
      <c r="S114" s="58">
        <f>[2]Districts_Boroughs!CW76</f>
        <v>8</v>
      </c>
      <c r="T114" s="58">
        <f>[2]Districts_Boroughs!CX76</f>
        <v>11</v>
      </c>
      <c r="U114" s="58">
        <f>[2]Districts_Boroughs!CY76</f>
        <v>9</v>
      </c>
      <c r="V114" s="58">
        <f>[2]Districts_Boroughs!CZ76</f>
        <v>8</v>
      </c>
      <c r="W114" s="58">
        <f>[2]Districts_Boroughs!DA76</f>
        <v>4</v>
      </c>
      <c r="X114" s="58">
        <f>[2]Districts_Boroughs!DB76</f>
        <v>4</v>
      </c>
      <c r="Y114" s="58">
        <f>[2]Districts_Boroughs!DC76</f>
        <v>17</v>
      </c>
      <c r="Z114" s="58">
        <f>[2]Districts_Boroughs!DD76</f>
        <v>5</v>
      </c>
      <c r="AA114" s="58">
        <f>[2]Districts_Boroughs!DE76</f>
        <v>10</v>
      </c>
      <c r="AB114" s="58">
        <f>[2]Districts_Boroughs!DF76</f>
        <v>10</v>
      </c>
      <c r="AC114" s="58">
        <f>[2]Districts_Boroughs!DG76</f>
        <v>8</v>
      </c>
      <c r="AD114" s="58">
        <f>[2]Districts_Boroughs!DH76</f>
        <v>6</v>
      </c>
      <c r="AE114" s="58">
        <f>[2]Districts_Boroughs!DI76</f>
        <v>4</v>
      </c>
      <c r="AF114" s="58">
        <f>[2]Districts_Boroughs!DJ76</f>
        <v>6</v>
      </c>
      <c r="AG114" s="58">
        <f>[2]Districts_Boroughs!DK76</f>
        <v>11</v>
      </c>
      <c r="AH114" s="58">
        <f>[2]Districts_Boroughs!DL76</f>
        <v>10</v>
      </c>
      <c r="AI114" s="58">
        <f>[2]Districts_Boroughs!DM76</f>
        <v>4</v>
      </c>
      <c r="AJ114" s="58">
        <f>[2]Districts_Boroughs!DN76</f>
        <v>7</v>
      </c>
      <c r="AK114" s="58">
        <f>[2]Districts_Boroughs!DO76</f>
        <v>3</v>
      </c>
      <c r="AL114" s="58">
        <f>[2]Districts_Boroughs!DP76</f>
        <v>6</v>
      </c>
      <c r="AM114" s="58">
        <f>[2]Districts_Boroughs!DQ76</f>
        <v>8</v>
      </c>
      <c r="AN114" s="58">
        <f>[2]Districts_Boroughs!DR76</f>
        <v>5</v>
      </c>
      <c r="AO114" s="58">
        <f>[2]Districts_Boroughs!DS76</f>
        <v>8</v>
      </c>
      <c r="AP114" s="58">
        <f>[2]Districts_Boroughs!DT76</f>
        <v>7</v>
      </c>
      <c r="AQ114" s="58">
        <f>[2]Districts_Boroughs!DU76</f>
        <v>6</v>
      </c>
      <c r="AR114" s="58">
        <f>[2]Districts_Boroughs!DV76</f>
        <v>9</v>
      </c>
      <c r="AS114" s="58">
        <f>[2]Districts_Boroughs!DW76</f>
        <v>10</v>
      </c>
      <c r="AT114" s="58">
        <f>[2]Districts_Boroughs!DX76</f>
        <v>7</v>
      </c>
      <c r="AU114" s="58">
        <f>[2]Districts_Boroughs!DY76</f>
        <v>8</v>
      </c>
      <c r="AV114" s="58">
        <f>[2]Districts_Boroughs!DZ76</f>
        <v>8</v>
      </c>
      <c r="AW114" s="58">
        <f>[2]Districts_Boroughs!EA76</f>
        <v>2</v>
      </c>
      <c r="AX114" s="58">
        <f>[2]Districts_Boroughs!EB76</f>
        <v>6</v>
      </c>
      <c r="AY114" s="58">
        <f>[2]Districts_Boroughs!EC76</f>
        <v>6</v>
      </c>
    </row>
    <row r="115" spans="2:51" x14ac:dyDescent="0.35">
      <c r="B115" t="str">
        <f t="shared" si="6"/>
        <v>Nuneaton &amp; BedworthSection 20</v>
      </c>
      <c r="C115" s="350" t="s">
        <v>54</v>
      </c>
      <c r="D115" s="58">
        <f>[2]Districts_Boroughs!CH77</f>
        <v>5</v>
      </c>
      <c r="E115" s="58">
        <f>[2]Districts_Boroughs!CI77</f>
        <v>1</v>
      </c>
      <c r="F115" s="58">
        <f>[2]Districts_Boroughs!CJ77</f>
        <v>5</v>
      </c>
      <c r="G115" s="58">
        <f>[2]Districts_Boroughs!CK77</f>
        <v>7</v>
      </c>
      <c r="H115" s="58">
        <f>[2]Districts_Boroughs!CL77</f>
        <v>8</v>
      </c>
      <c r="I115" s="58">
        <f>[2]Districts_Boroughs!CM77</f>
        <v>8</v>
      </c>
      <c r="J115" s="58">
        <f>[2]Districts_Boroughs!CN77</f>
        <v>6</v>
      </c>
      <c r="K115" s="58">
        <f>[2]Districts_Boroughs!CO77</f>
        <v>4</v>
      </c>
      <c r="L115" s="58">
        <f>[2]Districts_Boroughs!CP77</f>
        <v>3</v>
      </c>
      <c r="M115" s="58">
        <f>[2]Districts_Boroughs!CQ77</f>
        <v>5</v>
      </c>
      <c r="N115" s="58">
        <f>[2]Districts_Boroughs!CR77</f>
        <v>4</v>
      </c>
      <c r="O115" s="58">
        <f>[2]Districts_Boroughs!CS77</f>
        <v>6</v>
      </c>
      <c r="P115" s="58">
        <f>[2]Districts_Boroughs!CT77</f>
        <v>1</v>
      </c>
      <c r="Q115" s="58">
        <f>[2]Districts_Boroughs!CU77</f>
        <v>5</v>
      </c>
      <c r="R115" s="58">
        <f>[2]Districts_Boroughs!CV77</f>
        <v>4</v>
      </c>
      <c r="S115" s="58">
        <f>[2]Districts_Boroughs!CW77</f>
        <v>2</v>
      </c>
      <c r="T115" s="58">
        <f>[2]Districts_Boroughs!CX77</f>
        <v>4</v>
      </c>
      <c r="U115" s="58">
        <f>[2]Districts_Boroughs!CY77</f>
        <v>5</v>
      </c>
      <c r="V115" s="58">
        <f>[2]Districts_Boroughs!CZ77</f>
        <v>7</v>
      </c>
      <c r="W115" s="58">
        <f>[2]Districts_Boroughs!DA77</f>
        <v>6</v>
      </c>
      <c r="X115" s="58">
        <f>[2]Districts_Boroughs!DB77</f>
        <v>3</v>
      </c>
      <c r="Y115" s="58">
        <f>[2]Districts_Boroughs!DC77</f>
        <v>0</v>
      </c>
      <c r="Z115" s="58">
        <f>[2]Districts_Boroughs!DD77</f>
        <v>2</v>
      </c>
      <c r="AA115" s="58">
        <f>[2]Districts_Boroughs!DE77</f>
        <v>3</v>
      </c>
      <c r="AB115" s="58">
        <f>[2]Districts_Boroughs!DF77</f>
        <v>10</v>
      </c>
      <c r="AC115" s="58">
        <f>[2]Districts_Boroughs!DG77</f>
        <v>6</v>
      </c>
      <c r="AD115" s="58">
        <f>[2]Districts_Boroughs!DH77</f>
        <v>7</v>
      </c>
      <c r="AE115" s="58">
        <f>[2]Districts_Boroughs!DI77</f>
        <v>8</v>
      </c>
      <c r="AF115" s="58">
        <f>[2]Districts_Boroughs!DJ77</f>
        <v>5</v>
      </c>
      <c r="AG115" s="58">
        <f>[2]Districts_Boroughs!DK77</f>
        <v>5</v>
      </c>
      <c r="AH115" s="58">
        <f>[2]Districts_Boroughs!DL77</f>
        <v>3</v>
      </c>
      <c r="AI115" s="58">
        <f>[2]Districts_Boroughs!DM77</f>
        <v>6</v>
      </c>
      <c r="AJ115" s="58">
        <f>[2]Districts_Boroughs!DN77</f>
        <v>6</v>
      </c>
      <c r="AK115" s="58">
        <f>[2]Districts_Boroughs!DO77</f>
        <v>3</v>
      </c>
      <c r="AL115" s="58">
        <f>[2]Districts_Boroughs!DP77</f>
        <v>4</v>
      </c>
      <c r="AM115" s="58">
        <f>[2]Districts_Boroughs!DQ77</f>
        <v>6</v>
      </c>
      <c r="AN115" s="58">
        <f>[2]Districts_Boroughs!DR77</f>
        <v>5</v>
      </c>
      <c r="AO115" s="58">
        <f>[2]Districts_Boroughs!DS77</f>
        <v>6</v>
      </c>
      <c r="AP115" s="58">
        <f>[2]Districts_Boroughs!DT77</f>
        <v>2</v>
      </c>
      <c r="AQ115" s="58">
        <f>[2]Districts_Boroughs!DU77</f>
        <v>0</v>
      </c>
      <c r="AR115" s="58">
        <f>[2]Districts_Boroughs!DV77</f>
        <v>4</v>
      </c>
      <c r="AS115" s="58">
        <f>[2]Districts_Boroughs!DW77</f>
        <v>5</v>
      </c>
      <c r="AT115" s="58">
        <f>[2]Districts_Boroughs!DX77</f>
        <v>5</v>
      </c>
      <c r="AU115" s="58">
        <f>[2]Districts_Boroughs!DY77</f>
        <v>2</v>
      </c>
      <c r="AV115" s="58">
        <f>[2]Districts_Boroughs!DZ77</f>
        <v>10</v>
      </c>
      <c r="AW115" s="58">
        <f>[2]Districts_Boroughs!EA77</f>
        <v>1</v>
      </c>
      <c r="AX115" s="58">
        <f>[2]Districts_Boroughs!EB77</f>
        <v>3</v>
      </c>
      <c r="AY115" s="58">
        <f>[2]Districts_Boroughs!EC77</f>
        <v>9</v>
      </c>
    </row>
    <row r="116" spans="2:51" x14ac:dyDescent="0.35">
      <c r="B116" t="str">
        <f t="shared" si="6"/>
        <v>Nuneaton &amp; Bedworth</v>
      </c>
      <c r="C116" s="350"/>
      <c r="D116" s="58">
        <f>[2]Districts_Boroughs!CH78</f>
        <v>0</v>
      </c>
      <c r="E116" s="58">
        <f>[2]Districts_Boroughs!CI78</f>
        <v>0</v>
      </c>
      <c r="F116" s="58">
        <f>[2]Districts_Boroughs!CJ78</f>
        <v>0</v>
      </c>
      <c r="G116" s="58">
        <f>[2]Districts_Boroughs!CK78</f>
        <v>0</v>
      </c>
      <c r="H116" s="58">
        <f>[2]Districts_Boroughs!CL78</f>
        <v>0</v>
      </c>
      <c r="I116" s="58">
        <f>[2]Districts_Boroughs!CM78</f>
        <v>0</v>
      </c>
      <c r="J116" s="58">
        <f>[2]Districts_Boroughs!CN78</f>
        <v>0</v>
      </c>
      <c r="K116" s="58">
        <f>[2]Districts_Boroughs!CO78</f>
        <v>0</v>
      </c>
      <c r="L116" s="58">
        <f>[2]Districts_Boroughs!CP78</f>
        <v>0</v>
      </c>
      <c r="M116" s="58">
        <f>[2]Districts_Boroughs!CQ78</f>
        <v>0</v>
      </c>
      <c r="N116" s="58">
        <f>[2]Districts_Boroughs!CR78</f>
        <v>0</v>
      </c>
      <c r="O116" s="58">
        <f>[2]Districts_Boroughs!CS78</f>
        <v>0</v>
      </c>
      <c r="P116" s="58">
        <f>[2]Districts_Boroughs!CT78</f>
        <v>0</v>
      </c>
      <c r="Q116" s="58">
        <f>[2]Districts_Boroughs!CU78</f>
        <v>0</v>
      </c>
      <c r="R116" s="58">
        <f>[2]Districts_Boroughs!CV78</f>
        <v>0</v>
      </c>
      <c r="S116" s="58">
        <f>[2]Districts_Boroughs!CW78</f>
        <v>0</v>
      </c>
      <c r="T116" s="58">
        <f>[2]Districts_Boroughs!CX78</f>
        <v>0</v>
      </c>
      <c r="U116" s="58">
        <f>[2]Districts_Boroughs!CY78</f>
        <v>0</v>
      </c>
      <c r="V116" s="58">
        <f>[2]Districts_Boroughs!CZ78</f>
        <v>0</v>
      </c>
      <c r="W116" s="58">
        <f>[2]Districts_Boroughs!DA78</f>
        <v>0</v>
      </c>
      <c r="X116" s="58">
        <f>[2]Districts_Boroughs!DB78</f>
        <v>0</v>
      </c>
      <c r="Y116" s="58">
        <f>[2]Districts_Boroughs!DC78</f>
        <v>0</v>
      </c>
      <c r="Z116" s="58">
        <f>[2]Districts_Boroughs!DD78</f>
        <v>0</v>
      </c>
      <c r="AA116" s="58">
        <f>[2]Districts_Boroughs!DE78</f>
        <v>0</v>
      </c>
      <c r="AB116" s="58">
        <f>[2]Districts_Boroughs!DF78</f>
        <v>0</v>
      </c>
      <c r="AC116" s="58">
        <f>[2]Districts_Boroughs!DG78</f>
        <v>0</v>
      </c>
      <c r="AD116" s="58">
        <f>[2]Districts_Boroughs!DH78</f>
        <v>0</v>
      </c>
      <c r="AE116" s="58">
        <f>[2]Districts_Boroughs!DI78</f>
        <v>0</v>
      </c>
      <c r="AF116" s="58">
        <f>[2]Districts_Boroughs!DJ78</f>
        <v>0</v>
      </c>
      <c r="AG116" s="58">
        <f>[2]Districts_Boroughs!DK78</f>
        <v>0</v>
      </c>
      <c r="AH116" s="58">
        <f>[2]Districts_Boroughs!DL78</f>
        <v>0</v>
      </c>
      <c r="AI116" s="58">
        <f>[2]Districts_Boroughs!DM78</f>
        <v>0</v>
      </c>
      <c r="AJ116" s="58">
        <f>[2]Districts_Boroughs!DN78</f>
        <v>0</v>
      </c>
      <c r="AK116" s="58">
        <f>[2]Districts_Boroughs!DO78</f>
        <v>0</v>
      </c>
      <c r="AL116" s="58">
        <f>[2]Districts_Boroughs!DP78</f>
        <v>0</v>
      </c>
      <c r="AM116" s="58">
        <f>[2]Districts_Boroughs!DQ78</f>
        <v>0</v>
      </c>
      <c r="AN116" s="58">
        <f>[2]Districts_Boroughs!DR78</f>
        <v>0</v>
      </c>
      <c r="AO116" s="58">
        <f>[2]Districts_Boroughs!DS78</f>
        <v>0</v>
      </c>
      <c r="AP116" s="58">
        <f>[2]Districts_Boroughs!DT78</f>
        <v>0</v>
      </c>
      <c r="AQ116" s="58">
        <f>[2]Districts_Boroughs!DU78</f>
        <v>0</v>
      </c>
      <c r="AR116" s="58">
        <f>[2]Districts_Boroughs!DV78</f>
        <v>0</v>
      </c>
      <c r="AS116" s="58">
        <f>[2]Districts_Boroughs!DW78</f>
        <v>0</v>
      </c>
      <c r="AT116" s="58">
        <f>[2]Districts_Boroughs!DX78</f>
        <v>0</v>
      </c>
      <c r="AU116" s="58">
        <f>[2]Districts_Boroughs!DY78</f>
        <v>0</v>
      </c>
      <c r="AV116" s="58">
        <f>[2]Districts_Boroughs!DZ78</f>
        <v>0</v>
      </c>
      <c r="AW116" s="58">
        <f>[2]Districts_Boroughs!EA78</f>
        <v>0</v>
      </c>
      <c r="AX116" s="58">
        <f>[2]Districts_Boroughs!EB78</f>
        <v>0</v>
      </c>
      <c r="AY116" s="58">
        <f>[2]Districts_Boroughs!EC78</f>
        <v>0</v>
      </c>
    </row>
    <row r="117" spans="2:51" x14ac:dyDescent="0.35">
      <c r="B117" t="str">
        <f t="shared" si="6"/>
        <v>Nuneaton &amp; BedworthAggravated Vehicle Taking</v>
      </c>
      <c r="C117" s="350" t="s">
        <v>46</v>
      </c>
      <c r="D117" s="58">
        <f>[2]Districts_Boroughs!CH79</f>
        <v>2</v>
      </c>
      <c r="E117" s="58">
        <f>[2]Districts_Boroughs!CI79</f>
        <v>1</v>
      </c>
      <c r="F117" s="58">
        <f>[2]Districts_Boroughs!CJ79</f>
        <v>5</v>
      </c>
      <c r="G117" s="58">
        <f>[2]Districts_Boroughs!CK79</f>
        <v>1</v>
      </c>
      <c r="H117" s="58">
        <f>[2]Districts_Boroughs!CL79</f>
        <v>2</v>
      </c>
      <c r="I117" s="58">
        <f>[2]Districts_Boroughs!CM79</f>
        <v>1</v>
      </c>
      <c r="J117" s="58">
        <f>[2]Districts_Boroughs!CN79</f>
        <v>1</v>
      </c>
      <c r="K117" s="58">
        <f>[2]Districts_Boroughs!CO79</f>
        <v>0</v>
      </c>
      <c r="L117" s="58">
        <f>[2]Districts_Boroughs!CP79</f>
        <v>3</v>
      </c>
      <c r="M117" s="58">
        <f>[2]Districts_Boroughs!CQ79</f>
        <v>1</v>
      </c>
      <c r="N117" s="58">
        <f>[2]Districts_Boroughs!CR79</f>
        <v>3</v>
      </c>
      <c r="O117" s="58">
        <f>[2]Districts_Boroughs!CS79</f>
        <v>2</v>
      </c>
      <c r="P117" s="58">
        <f>[2]Districts_Boroughs!CT79</f>
        <v>0</v>
      </c>
      <c r="Q117" s="58">
        <f>[2]Districts_Boroughs!CU79</f>
        <v>4</v>
      </c>
      <c r="R117" s="58">
        <f>[2]Districts_Boroughs!CV79</f>
        <v>1</v>
      </c>
      <c r="S117" s="58">
        <f>[2]Districts_Boroughs!CW79</f>
        <v>0</v>
      </c>
      <c r="T117" s="58">
        <f>[2]Districts_Boroughs!CX79</f>
        <v>0</v>
      </c>
      <c r="U117" s="58">
        <f>[2]Districts_Boroughs!CY79</f>
        <v>0</v>
      </c>
      <c r="V117" s="58">
        <f>[2]Districts_Boroughs!CZ79</f>
        <v>1</v>
      </c>
      <c r="W117" s="58">
        <f>[2]Districts_Boroughs!DA79</f>
        <v>3</v>
      </c>
      <c r="X117" s="58">
        <f>[2]Districts_Boroughs!DB79</f>
        <v>3</v>
      </c>
      <c r="Y117" s="58">
        <f>[2]Districts_Boroughs!DC79</f>
        <v>6</v>
      </c>
      <c r="Z117" s="58">
        <f>[2]Districts_Boroughs!DD79</f>
        <v>1</v>
      </c>
      <c r="AA117" s="58">
        <f>[2]Districts_Boroughs!DE79</f>
        <v>1</v>
      </c>
      <c r="AB117" s="58">
        <f>[2]Districts_Boroughs!DF79</f>
        <v>2</v>
      </c>
      <c r="AC117" s="58">
        <f>[2]Districts_Boroughs!DG79</f>
        <v>1</v>
      </c>
      <c r="AD117" s="58">
        <f>[2]Districts_Boroughs!DH79</f>
        <v>0</v>
      </c>
      <c r="AE117" s="58">
        <f>[2]Districts_Boroughs!DI79</f>
        <v>1</v>
      </c>
      <c r="AF117" s="58">
        <f>[2]Districts_Boroughs!DJ79</f>
        <v>0</v>
      </c>
      <c r="AG117" s="58">
        <f>[2]Districts_Boroughs!DK79</f>
        <v>3</v>
      </c>
      <c r="AH117" s="58">
        <f>[2]Districts_Boroughs!DL79</f>
        <v>0</v>
      </c>
      <c r="AI117" s="58">
        <f>[2]Districts_Boroughs!DM79</f>
        <v>0</v>
      </c>
      <c r="AJ117" s="58">
        <f>[2]Districts_Boroughs!DN79</f>
        <v>1</v>
      </c>
      <c r="AK117" s="58">
        <f>[2]Districts_Boroughs!DO79</f>
        <v>2</v>
      </c>
      <c r="AL117" s="58">
        <f>[2]Districts_Boroughs!DP79</f>
        <v>1</v>
      </c>
      <c r="AM117" s="58">
        <f>[2]Districts_Boroughs!DQ79</f>
        <v>2</v>
      </c>
      <c r="AN117" s="58">
        <f>[2]Districts_Boroughs!DR79</f>
        <v>2</v>
      </c>
      <c r="AO117" s="58">
        <f>[2]Districts_Boroughs!DS79</f>
        <v>1</v>
      </c>
      <c r="AP117" s="58">
        <f>[2]Districts_Boroughs!DT79</f>
        <v>1</v>
      </c>
      <c r="AQ117" s="58">
        <f>[2]Districts_Boroughs!DU79</f>
        <v>1</v>
      </c>
      <c r="AR117" s="58">
        <f>[2]Districts_Boroughs!DV79</f>
        <v>1</v>
      </c>
      <c r="AS117" s="58">
        <f>[2]Districts_Boroughs!DW79</f>
        <v>1</v>
      </c>
      <c r="AT117" s="58">
        <f>[2]Districts_Boroughs!DX79</f>
        <v>2</v>
      </c>
      <c r="AU117" s="58">
        <f>[2]Districts_Boroughs!DY79</f>
        <v>3</v>
      </c>
      <c r="AV117" s="58">
        <f>[2]Districts_Boroughs!DZ79</f>
        <v>1</v>
      </c>
      <c r="AW117" s="58">
        <f>[2]Districts_Boroughs!EA79</f>
        <v>2</v>
      </c>
      <c r="AX117" s="58">
        <f>[2]Districts_Boroughs!EB79</f>
        <v>4</v>
      </c>
      <c r="AY117" s="58">
        <f>[2]Districts_Boroughs!EC79</f>
        <v>1</v>
      </c>
    </row>
    <row r="118" spans="2:51" x14ac:dyDescent="0.35">
      <c r="B118" t="str">
        <f t="shared" si="6"/>
        <v>Nuneaton &amp; BedworthInterfering with a Motor Vehicle</v>
      </c>
      <c r="C118" s="350" t="s">
        <v>47</v>
      </c>
      <c r="D118" s="58">
        <f>[2]Districts_Boroughs!CH80</f>
        <v>12</v>
      </c>
      <c r="E118" s="58">
        <f>[2]Districts_Boroughs!CI80</f>
        <v>8</v>
      </c>
      <c r="F118" s="58">
        <f>[2]Districts_Boroughs!CJ80</f>
        <v>7</v>
      </c>
      <c r="G118" s="58">
        <f>[2]Districts_Boroughs!CK80</f>
        <v>7</v>
      </c>
      <c r="H118" s="58">
        <f>[2]Districts_Boroughs!CL80</f>
        <v>10</v>
      </c>
      <c r="I118" s="58">
        <f>[2]Districts_Boroughs!CM80</f>
        <v>10</v>
      </c>
      <c r="J118" s="58">
        <f>[2]Districts_Boroughs!CN80</f>
        <v>14</v>
      </c>
      <c r="K118" s="58">
        <f>[2]Districts_Boroughs!CO80</f>
        <v>21</v>
      </c>
      <c r="L118" s="58">
        <f>[2]Districts_Boroughs!CP80</f>
        <v>19</v>
      </c>
      <c r="M118" s="58">
        <f>[2]Districts_Boroughs!CQ80</f>
        <v>7</v>
      </c>
      <c r="N118" s="58">
        <f>[2]Districts_Boroughs!CR80</f>
        <v>10</v>
      </c>
      <c r="O118" s="58">
        <f>[2]Districts_Boroughs!CS80</f>
        <v>8</v>
      </c>
      <c r="P118" s="58">
        <f>[2]Districts_Boroughs!CT80</f>
        <v>16</v>
      </c>
      <c r="Q118" s="58">
        <f>[2]Districts_Boroughs!CU80</f>
        <v>7</v>
      </c>
      <c r="R118" s="58">
        <f>[2]Districts_Boroughs!CV80</f>
        <v>13</v>
      </c>
      <c r="S118" s="58">
        <f>[2]Districts_Boroughs!CW80</f>
        <v>19</v>
      </c>
      <c r="T118" s="58">
        <f>[2]Districts_Boroughs!CX80</f>
        <v>11</v>
      </c>
      <c r="U118" s="58">
        <f>[2]Districts_Boroughs!CY80</f>
        <v>10</v>
      </c>
      <c r="V118" s="58">
        <f>[2]Districts_Boroughs!CZ80</f>
        <v>16</v>
      </c>
      <c r="W118" s="58">
        <f>[2]Districts_Boroughs!DA80</f>
        <v>8</v>
      </c>
      <c r="X118" s="58">
        <f>[2]Districts_Boroughs!DB80</f>
        <v>22</v>
      </c>
      <c r="Y118" s="58">
        <f>[2]Districts_Boroughs!DC80</f>
        <v>18</v>
      </c>
      <c r="Z118" s="58">
        <f>[2]Districts_Boroughs!DD80</f>
        <v>15</v>
      </c>
      <c r="AA118" s="58">
        <f>[2]Districts_Boroughs!DE80</f>
        <v>24</v>
      </c>
      <c r="AB118" s="58">
        <f>[2]Districts_Boroughs!DF80</f>
        <v>14</v>
      </c>
      <c r="AC118" s="58">
        <f>[2]Districts_Boroughs!DG80</f>
        <v>13</v>
      </c>
      <c r="AD118" s="58">
        <f>[2]Districts_Boroughs!DH80</f>
        <v>13</v>
      </c>
      <c r="AE118" s="58">
        <f>[2]Districts_Boroughs!DI80</f>
        <v>12</v>
      </c>
      <c r="AF118" s="58">
        <f>[2]Districts_Boroughs!DJ80</f>
        <v>14</v>
      </c>
      <c r="AG118" s="58">
        <f>[2]Districts_Boroughs!DK80</f>
        <v>13</v>
      </c>
      <c r="AH118" s="58">
        <f>[2]Districts_Boroughs!DL80</f>
        <v>17</v>
      </c>
      <c r="AI118" s="58">
        <f>[2]Districts_Boroughs!DM80</f>
        <v>11</v>
      </c>
      <c r="AJ118" s="58">
        <f>[2]Districts_Boroughs!DN80</f>
        <v>18</v>
      </c>
      <c r="AK118" s="58">
        <f>[2]Districts_Boroughs!DO80</f>
        <v>22</v>
      </c>
      <c r="AL118" s="58">
        <f>[2]Districts_Boroughs!DP80</f>
        <v>11</v>
      </c>
      <c r="AM118" s="58">
        <f>[2]Districts_Boroughs!DQ80</f>
        <v>33</v>
      </c>
      <c r="AN118" s="58">
        <f>[2]Districts_Boroughs!DR80</f>
        <v>22</v>
      </c>
      <c r="AO118" s="58">
        <f>[2]Districts_Boroughs!DS80</f>
        <v>26</v>
      </c>
      <c r="AP118" s="58">
        <f>[2]Districts_Boroughs!DT80</f>
        <v>14</v>
      </c>
      <c r="AQ118" s="58">
        <f>[2]Districts_Boroughs!DU80</f>
        <v>8</v>
      </c>
      <c r="AR118" s="58">
        <f>[2]Districts_Boroughs!DV80</f>
        <v>22</v>
      </c>
      <c r="AS118" s="58">
        <f>[2]Districts_Boroughs!DW80</f>
        <v>18</v>
      </c>
      <c r="AT118" s="58">
        <f>[2]Districts_Boroughs!DX80</f>
        <v>28</v>
      </c>
      <c r="AU118" s="58">
        <f>[2]Districts_Boroughs!DY80</f>
        <v>28</v>
      </c>
      <c r="AV118" s="58">
        <f>[2]Districts_Boroughs!DZ80</f>
        <v>18</v>
      </c>
      <c r="AW118" s="58">
        <f>[2]Districts_Boroughs!EA80</f>
        <v>18</v>
      </c>
      <c r="AX118" s="58">
        <f>[2]Districts_Boroughs!EB80</f>
        <v>13</v>
      </c>
      <c r="AY118" s="58">
        <f>[2]Districts_Boroughs!EC80</f>
        <v>16</v>
      </c>
    </row>
    <row r="119" spans="2:51" x14ac:dyDescent="0.35">
      <c r="B119" t="str">
        <f t="shared" si="6"/>
        <v>Nuneaton &amp; BedworthTheft From A Vehicle</v>
      </c>
      <c r="C119" s="350" t="s">
        <v>48</v>
      </c>
      <c r="D119" s="58">
        <f>[2]Districts_Boroughs!CH81</f>
        <v>19</v>
      </c>
      <c r="E119" s="58">
        <f>[2]Districts_Boroughs!CI81</f>
        <v>28</v>
      </c>
      <c r="F119" s="58">
        <f>[2]Districts_Boroughs!CJ81</f>
        <v>28</v>
      </c>
      <c r="G119" s="58">
        <f>[2]Districts_Boroughs!CK81</f>
        <v>24</v>
      </c>
      <c r="H119" s="58">
        <f>[2]Districts_Boroughs!CL81</f>
        <v>32</v>
      </c>
      <c r="I119" s="58">
        <f>[2]Districts_Boroughs!CM81</f>
        <v>21</v>
      </c>
      <c r="J119" s="58">
        <f>[2]Districts_Boroughs!CN81</f>
        <v>18</v>
      </c>
      <c r="K119" s="58">
        <f>[2]Districts_Boroughs!CO81</f>
        <v>41</v>
      </c>
      <c r="L119" s="58">
        <f>[2]Districts_Boroughs!CP81</f>
        <v>33</v>
      </c>
      <c r="M119" s="58">
        <f>[2]Districts_Boroughs!CQ81</f>
        <v>43</v>
      </c>
      <c r="N119" s="58">
        <f>[2]Districts_Boroughs!CR81</f>
        <v>22</v>
      </c>
      <c r="O119" s="58">
        <f>[2]Districts_Boroughs!CS81</f>
        <v>41</v>
      </c>
      <c r="P119" s="58">
        <f>[2]Districts_Boroughs!CT81</f>
        <v>38</v>
      </c>
      <c r="Q119" s="58">
        <f>[2]Districts_Boroughs!CU81</f>
        <v>36</v>
      </c>
      <c r="R119" s="58">
        <f>[2]Districts_Boroughs!CV81</f>
        <v>24</v>
      </c>
      <c r="S119" s="58">
        <f>[2]Districts_Boroughs!CW81</f>
        <v>24</v>
      </c>
      <c r="T119" s="58">
        <f>[2]Districts_Boroughs!CX81</f>
        <v>31</v>
      </c>
      <c r="U119" s="58">
        <f>[2]Districts_Boroughs!CY81</f>
        <v>33</v>
      </c>
      <c r="V119" s="58">
        <f>[2]Districts_Boroughs!CZ81</f>
        <v>56</v>
      </c>
      <c r="W119" s="58">
        <f>[2]Districts_Boroughs!DA81</f>
        <v>30</v>
      </c>
      <c r="X119" s="58">
        <f>[2]Districts_Boroughs!DB81</f>
        <v>38</v>
      </c>
      <c r="Y119" s="58">
        <f>[2]Districts_Boroughs!DC81</f>
        <v>41</v>
      </c>
      <c r="Z119" s="58">
        <f>[2]Districts_Boroughs!DD81</f>
        <v>23</v>
      </c>
      <c r="AA119" s="58">
        <f>[2]Districts_Boroughs!DE81</f>
        <v>27</v>
      </c>
      <c r="AB119" s="58">
        <f>[2]Districts_Boroughs!DF81</f>
        <v>21</v>
      </c>
      <c r="AC119" s="58">
        <f>[2]Districts_Boroughs!DG81</f>
        <v>15</v>
      </c>
      <c r="AD119" s="58">
        <f>[2]Districts_Boroughs!DH81</f>
        <v>24</v>
      </c>
      <c r="AE119" s="58">
        <f>[2]Districts_Boroughs!DI81</f>
        <v>31</v>
      </c>
      <c r="AF119" s="58">
        <f>[2]Districts_Boroughs!DJ81</f>
        <v>29</v>
      </c>
      <c r="AG119" s="58">
        <f>[2]Districts_Boroughs!DK81</f>
        <v>45</v>
      </c>
      <c r="AH119" s="58">
        <f>[2]Districts_Boroughs!DL81</f>
        <v>19</v>
      </c>
      <c r="AI119" s="58">
        <f>[2]Districts_Boroughs!DM81</f>
        <v>22</v>
      </c>
      <c r="AJ119" s="58">
        <f>[2]Districts_Boroughs!DN81</f>
        <v>32</v>
      </c>
      <c r="AK119" s="58">
        <f>[2]Districts_Boroughs!DO81</f>
        <v>24</v>
      </c>
      <c r="AL119" s="58">
        <f>[2]Districts_Boroughs!DP81</f>
        <v>33</v>
      </c>
      <c r="AM119" s="58">
        <f>[2]Districts_Boroughs!DQ81</f>
        <v>68</v>
      </c>
      <c r="AN119" s="58">
        <f>[2]Districts_Boroughs!DR81</f>
        <v>53</v>
      </c>
      <c r="AO119" s="58">
        <f>[2]Districts_Boroughs!DS81</f>
        <v>31</v>
      </c>
      <c r="AP119" s="58">
        <f>[2]Districts_Boroughs!DT81</f>
        <v>58</v>
      </c>
      <c r="AQ119" s="58">
        <f>[2]Districts_Boroughs!DU81</f>
        <v>37</v>
      </c>
      <c r="AR119" s="58">
        <f>[2]Districts_Boroughs!DV81</f>
        <v>58</v>
      </c>
      <c r="AS119" s="58">
        <f>[2]Districts_Boroughs!DW81</f>
        <v>60</v>
      </c>
      <c r="AT119" s="58">
        <f>[2]Districts_Boroughs!DX81</f>
        <v>60</v>
      </c>
      <c r="AU119" s="58">
        <f>[2]Districts_Boroughs!DY81</f>
        <v>44</v>
      </c>
      <c r="AV119" s="58">
        <f>[2]Districts_Boroughs!DZ81</f>
        <v>26</v>
      </c>
      <c r="AW119" s="58">
        <f>[2]Districts_Boroughs!EA81</f>
        <v>36</v>
      </c>
      <c r="AX119" s="58">
        <f>[2]Districts_Boroughs!EB81</f>
        <v>22</v>
      </c>
      <c r="AY119" s="58">
        <f>[2]Districts_Boroughs!EC81</f>
        <v>17</v>
      </c>
    </row>
    <row r="120" spans="2:51" x14ac:dyDescent="0.35">
      <c r="B120" t="str">
        <f t="shared" si="6"/>
        <v>Nuneaton &amp; BedworthTheft Or Unauthorised Taking Of A Motor Vehicle</v>
      </c>
      <c r="C120" s="350" t="s">
        <v>49</v>
      </c>
      <c r="D120" s="58">
        <f>[2]Districts_Boroughs!CH82</f>
        <v>9</v>
      </c>
      <c r="E120" s="58">
        <f>[2]Districts_Boroughs!CI82</f>
        <v>16</v>
      </c>
      <c r="F120" s="58">
        <f>[2]Districts_Boroughs!CJ82</f>
        <v>13</v>
      </c>
      <c r="G120" s="58">
        <f>[2]Districts_Boroughs!CK82</f>
        <v>17</v>
      </c>
      <c r="H120" s="58">
        <f>[2]Districts_Boroughs!CL82</f>
        <v>16</v>
      </c>
      <c r="I120" s="58">
        <f>[2]Districts_Boroughs!CM82</f>
        <v>11</v>
      </c>
      <c r="J120" s="58">
        <f>[2]Districts_Boroughs!CN82</f>
        <v>20</v>
      </c>
      <c r="K120" s="58">
        <f>[2]Districts_Boroughs!CO82</f>
        <v>21</v>
      </c>
      <c r="L120" s="58">
        <f>[2]Districts_Boroughs!CP82</f>
        <v>21</v>
      </c>
      <c r="M120" s="58">
        <f>[2]Districts_Boroughs!CQ82</f>
        <v>21</v>
      </c>
      <c r="N120" s="58">
        <f>[2]Districts_Boroughs!CR82</f>
        <v>21</v>
      </c>
      <c r="O120" s="58">
        <f>[2]Districts_Boroughs!CS82</f>
        <v>35</v>
      </c>
      <c r="P120" s="58">
        <f>[2]Districts_Boroughs!CT82</f>
        <v>34</v>
      </c>
      <c r="Q120" s="58">
        <f>[2]Districts_Boroughs!CU82</f>
        <v>40</v>
      </c>
      <c r="R120" s="58">
        <f>[2]Districts_Boroughs!CV82</f>
        <v>36</v>
      </c>
      <c r="S120" s="58">
        <f>[2]Districts_Boroughs!CW82</f>
        <v>33</v>
      </c>
      <c r="T120" s="58">
        <f>[2]Districts_Boroughs!CX82</f>
        <v>25</v>
      </c>
      <c r="U120" s="58">
        <f>[2]Districts_Boroughs!CY82</f>
        <v>35</v>
      </c>
      <c r="V120" s="58">
        <f>[2]Districts_Boroughs!CZ82</f>
        <v>35</v>
      </c>
      <c r="W120" s="58">
        <f>[2]Districts_Boroughs!DA82</f>
        <v>25</v>
      </c>
      <c r="X120" s="58">
        <f>[2]Districts_Boroughs!DB82</f>
        <v>31</v>
      </c>
      <c r="Y120" s="58">
        <f>[2]Districts_Boroughs!DC82</f>
        <v>42</v>
      </c>
      <c r="Z120" s="58">
        <f>[2]Districts_Boroughs!DD82</f>
        <v>45</v>
      </c>
      <c r="AA120" s="58">
        <f>[2]Districts_Boroughs!DE82</f>
        <v>22</v>
      </c>
      <c r="AB120" s="58">
        <f>[2]Districts_Boroughs!DF82</f>
        <v>37</v>
      </c>
      <c r="AC120" s="58">
        <f>[2]Districts_Boroughs!DG82</f>
        <v>29</v>
      </c>
      <c r="AD120" s="58">
        <f>[2]Districts_Boroughs!DH82</f>
        <v>35</v>
      </c>
      <c r="AE120" s="58">
        <f>[2]Districts_Boroughs!DI82</f>
        <v>38</v>
      </c>
      <c r="AF120" s="58">
        <f>[2]Districts_Boroughs!DJ82</f>
        <v>36</v>
      </c>
      <c r="AG120" s="58">
        <f>[2]Districts_Boroughs!DK82</f>
        <v>31</v>
      </c>
      <c r="AH120" s="58">
        <f>[2]Districts_Boroughs!DL82</f>
        <v>22</v>
      </c>
      <c r="AI120" s="58">
        <f>[2]Districts_Boroughs!DM82</f>
        <v>21</v>
      </c>
      <c r="AJ120" s="58">
        <f>[2]Districts_Boroughs!DN82</f>
        <v>28</v>
      </c>
      <c r="AK120" s="58">
        <f>[2]Districts_Boroughs!DO82</f>
        <v>25</v>
      </c>
      <c r="AL120" s="58">
        <f>[2]Districts_Boroughs!DP82</f>
        <v>30</v>
      </c>
      <c r="AM120" s="58">
        <f>[2]Districts_Boroughs!DQ82</f>
        <v>25</v>
      </c>
      <c r="AN120" s="58">
        <f>[2]Districts_Boroughs!DR82</f>
        <v>31</v>
      </c>
      <c r="AO120" s="58">
        <f>[2]Districts_Boroughs!DS82</f>
        <v>30</v>
      </c>
      <c r="AP120" s="58">
        <f>[2]Districts_Boroughs!DT82</f>
        <v>30</v>
      </c>
      <c r="AQ120" s="58">
        <f>[2]Districts_Boroughs!DU82</f>
        <v>15</v>
      </c>
      <c r="AR120" s="58">
        <f>[2]Districts_Boroughs!DV82</f>
        <v>25</v>
      </c>
      <c r="AS120" s="58">
        <f>[2]Districts_Boroughs!DW82</f>
        <v>19</v>
      </c>
      <c r="AT120" s="58">
        <f>[2]Districts_Boroughs!DX82</f>
        <v>35</v>
      </c>
      <c r="AU120" s="58">
        <f>[2]Districts_Boroughs!DY82</f>
        <v>18</v>
      </c>
      <c r="AV120" s="58">
        <f>[2]Districts_Boroughs!DZ82</f>
        <v>32</v>
      </c>
      <c r="AW120" s="58">
        <f>[2]Districts_Boroughs!EA82</f>
        <v>29</v>
      </c>
      <c r="AX120" s="58">
        <f>[2]Districts_Boroughs!EB82</f>
        <v>15</v>
      </c>
      <c r="AY120" s="58">
        <f>[2]Districts_Boroughs!EC82</f>
        <v>31</v>
      </c>
    </row>
    <row r="121" spans="2:51" x14ac:dyDescent="0.35">
      <c r="B121" t="str">
        <f t="shared" si="6"/>
        <v>Nuneaton &amp; BedworthTotal Vehicle Crime</v>
      </c>
      <c r="C121" s="350" t="s">
        <v>50</v>
      </c>
      <c r="D121" s="58">
        <f>[2]Districts_Boroughs!CH83</f>
        <v>42</v>
      </c>
      <c r="E121" s="58">
        <f>[2]Districts_Boroughs!CI83</f>
        <v>53</v>
      </c>
      <c r="F121" s="58">
        <f>[2]Districts_Boroughs!CJ83</f>
        <v>53</v>
      </c>
      <c r="G121" s="58">
        <f>[2]Districts_Boroughs!CK83</f>
        <v>49</v>
      </c>
      <c r="H121" s="58">
        <f>[2]Districts_Boroughs!CL83</f>
        <v>60</v>
      </c>
      <c r="I121" s="58">
        <f>[2]Districts_Boroughs!CM83</f>
        <v>43</v>
      </c>
      <c r="J121" s="58">
        <f>[2]Districts_Boroughs!CN83</f>
        <v>53</v>
      </c>
      <c r="K121" s="58">
        <f>[2]Districts_Boroughs!CO83</f>
        <v>83</v>
      </c>
      <c r="L121" s="58">
        <f>[2]Districts_Boroughs!CP83</f>
        <v>76</v>
      </c>
      <c r="M121" s="58">
        <f>[2]Districts_Boroughs!CQ83</f>
        <v>72</v>
      </c>
      <c r="N121" s="58">
        <f>[2]Districts_Boroughs!CR83</f>
        <v>56</v>
      </c>
      <c r="O121" s="58">
        <f>[2]Districts_Boroughs!CS83</f>
        <v>86</v>
      </c>
      <c r="P121" s="58">
        <f>[2]Districts_Boroughs!CT83</f>
        <v>88</v>
      </c>
      <c r="Q121" s="58">
        <f>[2]Districts_Boroughs!CU83</f>
        <v>87</v>
      </c>
      <c r="R121" s="58">
        <f>[2]Districts_Boroughs!CV83</f>
        <v>74</v>
      </c>
      <c r="S121" s="58">
        <f>[2]Districts_Boroughs!CW83</f>
        <v>76</v>
      </c>
      <c r="T121" s="58">
        <f>[2]Districts_Boroughs!CX83</f>
        <v>67</v>
      </c>
      <c r="U121" s="58">
        <f>[2]Districts_Boroughs!CY83</f>
        <v>78</v>
      </c>
      <c r="V121" s="58">
        <f>[2]Districts_Boroughs!CZ83</f>
        <v>108</v>
      </c>
      <c r="W121" s="58">
        <f>[2]Districts_Boroughs!DA83</f>
        <v>66</v>
      </c>
      <c r="X121" s="58">
        <f>[2]Districts_Boroughs!DB83</f>
        <v>94</v>
      </c>
      <c r="Y121" s="58">
        <f>[2]Districts_Boroughs!DC83</f>
        <v>107</v>
      </c>
      <c r="Z121" s="58">
        <f>[2]Districts_Boroughs!DD83</f>
        <v>84</v>
      </c>
      <c r="AA121" s="58">
        <f>[2]Districts_Boroughs!DE83</f>
        <v>74</v>
      </c>
      <c r="AB121" s="58">
        <f>[2]Districts_Boroughs!DF83</f>
        <v>74</v>
      </c>
      <c r="AC121" s="58">
        <f>[2]Districts_Boroughs!DG83</f>
        <v>58</v>
      </c>
      <c r="AD121" s="58">
        <f>[2]Districts_Boroughs!DH83</f>
        <v>72</v>
      </c>
      <c r="AE121" s="58">
        <f>[2]Districts_Boroughs!DI83</f>
        <v>82</v>
      </c>
      <c r="AF121" s="58">
        <f>[2]Districts_Boroughs!DJ83</f>
        <v>79</v>
      </c>
      <c r="AG121" s="58">
        <f>[2]Districts_Boroughs!DK83</f>
        <v>92</v>
      </c>
      <c r="AH121" s="58">
        <f>[2]Districts_Boroughs!DL83</f>
        <v>58</v>
      </c>
      <c r="AI121" s="58">
        <f>[2]Districts_Boroughs!DM83</f>
        <v>54</v>
      </c>
      <c r="AJ121" s="58">
        <f>[2]Districts_Boroughs!DN83</f>
        <v>79</v>
      </c>
      <c r="AK121" s="58">
        <f>[2]Districts_Boroughs!DO83</f>
        <v>73</v>
      </c>
      <c r="AL121" s="58">
        <f>[2]Districts_Boroughs!DP83</f>
        <v>75</v>
      </c>
      <c r="AM121" s="58">
        <f>[2]Districts_Boroughs!DQ83</f>
        <v>128</v>
      </c>
      <c r="AN121" s="58">
        <f>[2]Districts_Boroughs!DR83</f>
        <v>108</v>
      </c>
      <c r="AO121" s="58">
        <f>[2]Districts_Boroughs!DS83</f>
        <v>88</v>
      </c>
      <c r="AP121" s="58">
        <f>[2]Districts_Boroughs!DT83</f>
        <v>103</v>
      </c>
      <c r="AQ121" s="58">
        <f>[2]Districts_Boroughs!DU83</f>
        <v>61</v>
      </c>
      <c r="AR121" s="58">
        <f>[2]Districts_Boroughs!DV83</f>
        <v>106</v>
      </c>
      <c r="AS121" s="58">
        <f>[2]Districts_Boroughs!DW83</f>
        <v>98</v>
      </c>
      <c r="AT121" s="58">
        <f>[2]Districts_Boroughs!DX83</f>
        <v>125</v>
      </c>
      <c r="AU121" s="58">
        <f>[2]Districts_Boroughs!DY83</f>
        <v>93</v>
      </c>
      <c r="AV121" s="58">
        <f>[2]Districts_Boroughs!DZ83</f>
        <v>77</v>
      </c>
      <c r="AW121" s="58">
        <f>[2]Districts_Boroughs!EA83</f>
        <v>85</v>
      </c>
      <c r="AX121" s="58">
        <f>[2]Districts_Boroughs!EB83</f>
        <v>54</v>
      </c>
      <c r="AY121" s="58">
        <f>[2]Districts_Boroughs!EC83</f>
        <v>65</v>
      </c>
    </row>
    <row r="122" spans="2:51" x14ac:dyDescent="0.35">
      <c r="B122" t="str">
        <f t="shared" si="6"/>
        <v>Nuneaton &amp; Bedworth</v>
      </c>
      <c r="C122" s="350"/>
      <c r="D122" s="58">
        <f>[2]Districts_Boroughs!CH84</f>
        <v>0</v>
      </c>
      <c r="E122" s="58">
        <f>[2]Districts_Boroughs!CI84</f>
        <v>0</v>
      </c>
      <c r="F122" s="58">
        <f>[2]Districts_Boroughs!CJ84</f>
        <v>0</v>
      </c>
      <c r="G122" s="58">
        <f>[2]Districts_Boroughs!CK84</f>
        <v>0</v>
      </c>
      <c r="H122" s="58">
        <f>[2]Districts_Boroughs!CL84</f>
        <v>0</v>
      </c>
      <c r="I122" s="58">
        <f>[2]Districts_Boroughs!CM84</f>
        <v>0</v>
      </c>
      <c r="J122" s="58">
        <f>[2]Districts_Boroughs!CN84</f>
        <v>0</v>
      </c>
      <c r="K122" s="58">
        <f>[2]Districts_Boroughs!CO84</f>
        <v>0</v>
      </c>
      <c r="L122" s="58">
        <f>[2]Districts_Boroughs!CP84</f>
        <v>0</v>
      </c>
      <c r="M122" s="58">
        <f>[2]Districts_Boroughs!CQ84</f>
        <v>0</v>
      </c>
      <c r="N122" s="58">
        <f>[2]Districts_Boroughs!CR84</f>
        <v>0</v>
      </c>
      <c r="O122" s="58">
        <f>[2]Districts_Boroughs!CS84</f>
        <v>0</v>
      </c>
      <c r="P122" s="58">
        <f>[2]Districts_Boroughs!CT84</f>
        <v>0</v>
      </c>
      <c r="Q122" s="58">
        <f>[2]Districts_Boroughs!CU84</f>
        <v>0</v>
      </c>
      <c r="R122" s="58">
        <f>[2]Districts_Boroughs!CV84</f>
        <v>0</v>
      </c>
      <c r="S122" s="58">
        <f>[2]Districts_Boroughs!CW84</f>
        <v>0</v>
      </c>
      <c r="T122" s="58">
        <f>[2]Districts_Boroughs!CX84</f>
        <v>0</v>
      </c>
      <c r="U122" s="58">
        <f>[2]Districts_Boroughs!CY84</f>
        <v>0</v>
      </c>
      <c r="V122" s="58">
        <f>[2]Districts_Boroughs!CZ84</f>
        <v>0</v>
      </c>
      <c r="W122" s="58">
        <f>[2]Districts_Boroughs!DA84</f>
        <v>0</v>
      </c>
      <c r="X122" s="58">
        <f>[2]Districts_Boroughs!DB84</f>
        <v>0</v>
      </c>
      <c r="Y122" s="58">
        <f>[2]Districts_Boroughs!DC84</f>
        <v>0</v>
      </c>
      <c r="Z122" s="58">
        <f>[2]Districts_Boroughs!DD84</f>
        <v>0</v>
      </c>
      <c r="AA122" s="58">
        <f>[2]Districts_Boroughs!DE84</f>
        <v>0</v>
      </c>
      <c r="AB122" s="58">
        <f>[2]Districts_Boroughs!DF84</f>
        <v>0</v>
      </c>
      <c r="AC122" s="58">
        <f>[2]Districts_Boroughs!DG84</f>
        <v>0</v>
      </c>
      <c r="AD122" s="58">
        <f>[2]Districts_Boroughs!DH84</f>
        <v>0</v>
      </c>
      <c r="AE122" s="58">
        <f>[2]Districts_Boroughs!DI84</f>
        <v>0</v>
      </c>
      <c r="AF122" s="58">
        <f>[2]Districts_Boroughs!DJ84</f>
        <v>0</v>
      </c>
      <c r="AG122" s="58">
        <f>[2]Districts_Boroughs!DK84</f>
        <v>0</v>
      </c>
      <c r="AH122" s="58">
        <f>[2]Districts_Boroughs!DL84</f>
        <v>0</v>
      </c>
      <c r="AI122" s="58">
        <f>[2]Districts_Boroughs!DM84</f>
        <v>0</v>
      </c>
      <c r="AJ122" s="58">
        <f>[2]Districts_Boroughs!DN84</f>
        <v>0</v>
      </c>
      <c r="AK122" s="58">
        <f>[2]Districts_Boroughs!DO84</f>
        <v>0</v>
      </c>
      <c r="AL122" s="58">
        <f>[2]Districts_Boroughs!DP84</f>
        <v>0</v>
      </c>
      <c r="AM122" s="58">
        <f>[2]Districts_Boroughs!DQ84</f>
        <v>0</v>
      </c>
      <c r="AN122" s="58">
        <f>[2]Districts_Boroughs!DR84</f>
        <v>0</v>
      </c>
      <c r="AO122" s="58">
        <f>[2]Districts_Boroughs!DS84</f>
        <v>0</v>
      </c>
      <c r="AP122" s="58">
        <f>[2]Districts_Boroughs!DT84</f>
        <v>0</v>
      </c>
      <c r="AQ122" s="58">
        <f>[2]Districts_Boroughs!DU84</f>
        <v>0</v>
      </c>
      <c r="AR122" s="58">
        <f>[2]Districts_Boroughs!DV84</f>
        <v>0</v>
      </c>
      <c r="AS122" s="58">
        <f>[2]Districts_Boroughs!DW84</f>
        <v>0</v>
      </c>
      <c r="AT122" s="58">
        <f>[2]Districts_Boroughs!DX84</f>
        <v>0</v>
      </c>
      <c r="AU122" s="58">
        <f>[2]Districts_Boroughs!DY84</f>
        <v>0</v>
      </c>
      <c r="AV122" s="58">
        <f>[2]Districts_Boroughs!DZ84</f>
        <v>0</v>
      </c>
      <c r="AW122" s="58">
        <f>[2]Districts_Boroughs!EA84</f>
        <v>0</v>
      </c>
      <c r="AX122" s="58">
        <f>[2]Districts_Boroughs!EB84</f>
        <v>0</v>
      </c>
      <c r="AY122" s="58">
        <f>[2]Districts_Boroughs!EC84</f>
        <v>0</v>
      </c>
    </row>
    <row r="123" spans="2:51" x14ac:dyDescent="0.35">
      <c r="B123" t="str">
        <f t="shared" si="6"/>
        <v>Nuneaton &amp; BedworthHate Offences &amp; Crimed Incidents</v>
      </c>
      <c r="C123" s="350" t="s">
        <v>51</v>
      </c>
      <c r="D123" s="58">
        <f>[2]Districts_Boroughs!CH85</f>
        <v>32</v>
      </c>
      <c r="E123" s="58">
        <f>[2]Districts_Boroughs!CI85</f>
        <v>27</v>
      </c>
      <c r="F123" s="58">
        <f>[2]Districts_Boroughs!CJ85</f>
        <v>32</v>
      </c>
      <c r="G123" s="58">
        <f>[2]Districts_Boroughs!CK85</f>
        <v>43</v>
      </c>
      <c r="H123" s="58">
        <f>[2]Districts_Boroughs!CL85</f>
        <v>29</v>
      </c>
      <c r="I123" s="58">
        <f>[2]Districts_Boroughs!CM85</f>
        <v>29</v>
      </c>
      <c r="J123" s="58">
        <f>[2]Districts_Boroughs!CN85</f>
        <v>31</v>
      </c>
      <c r="K123" s="58">
        <f>[2]Districts_Boroughs!CO85</f>
        <v>32</v>
      </c>
      <c r="L123" s="58">
        <f>[2]Districts_Boroughs!CP85</f>
        <v>26</v>
      </c>
      <c r="M123" s="58">
        <f>[2]Districts_Boroughs!CQ85</f>
        <v>37</v>
      </c>
      <c r="N123" s="58">
        <f>[2]Districts_Boroughs!CR85</f>
        <v>18</v>
      </c>
      <c r="O123" s="58">
        <f>[2]Districts_Boroughs!CS85</f>
        <v>35</v>
      </c>
      <c r="P123" s="58">
        <f>[2]Districts_Boroughs!CT85</f>
        <v>29</v>
      </c>
      <c r="Q123" s="58">
        <f>[2]Districts_Boroughs!CU85</f>
        <v>24</v>
      </c>
      <c r="R123" s="58">
        <f>[2]Districts_Boroughs!CV85</f>
        <v>32</v>
      </c>
      <c r="S123" s="58">
        <f>[2]Districts_Boroughs!CW85</f>
        <v>34</v>
      </c>
      <c r="T123" s="58">
        <f>[2]Districts_Boroughs!CX85</f>
        <v>28</v>
      </c>
      <c r="U123" s="58">
        <f>[2]Districts_Boroughs!CY85</f>
        <v>26</v>
      </c>
      <c r="V123" s="58">
        <f>[2]Districts_Boroughs!CZ85</f>
        <v>23</v>
      </c>
      <c r="W123" s="58">
        <f>[2]Districts_Boroughs!DA85</f>
        <v>19</v>
      </c>
      <c r="X123" s="58">
        <f>[2]Districts_Boroughs!DB85</f>
        <v>28</v>
      </c>
      <c r="Y123" s="58">
        <f>[2]Districts_Boroughs!DC85</f>
        <v>28</v>
      </c>
      <c r="Z123" s="58">
        <f>[2]Districts_Boroughs!DD85</f>
        <v>17</v>
      </c>
      <c r="AA123" s="58">
        <f>[2]Districts_Boroughs!DE85</f>
        <v>29</v>
      </c>
      <c r="AB123" s="58">
        <f>[2]Districts_Boroughs!DF85</f>
        <v>30</v>
      </c>
      <c r="AC123" s="58">
        <f>[2]Districts_Boroughs!DG85</f>
        <v>17</v>
      </c>
      <c r="AD123" s="58">
        <f>[2]Districts_Boroughs!DH85</f>
        <v>24</v>
      </c>
      <c r="AE123" s="58">
        <f>[2]Districts_Boroughs!DI85</f>
        <v>33</v>
      </c>
      <c r="AF123" s="58">
        <f>[2]Districts_Boroughs!DJ85</f>
        <v>25</v>
      </c>
      <c r="AG123" s="58">
        <f>[2]Districts_Boroughs!DK85</f>
        <v>19</v>
      </c>
      <c r="AH123" s="58">
        <f>[2]Districts_Boroughs!DL85</f>
        <v>40</v>
      </c>
      <c r="AI123" s="58">
        <f>[2]Districts_Boroughs!DM85</f>
        <v>29</v>
      </c>
      <c r="AJ123" s="58">
        <f>[2]Districts_Boroughs!DN85</f>
        <v>12</v>
      </c>
      <c r="AK123" s="58">
        <f>[2]Districts_Boroughs!DO85</f>
        <v>25</v>
      </c>
      <c r="AL123" s="58">
        <f>[2]Districts_Boroughs!DP85</f>
        <v>21</v>
      </c>
      <c r="AM123" s="58">
        <f>[2]Districts_Boroughs!DQ85</f>
        <v>17</v>
      </c>
      <c r="AN123" s="58">
        <f>[2]Districts_Boroughs!DR85</f>
        <v>16</v>
      </c>
      <c r="AO123" s="58">
        <f>[2]Districts_Boroughs!DS85</f>
        <v>20</v>
      </c>
      <c r="AP123" s="58">
        <f>[2]Districts_Boroughs!DT85</f>
        <v>47</v>
      </c>
      <c r="AQ123" s="58">
        <f>[2]Districts_Boroughs!DU85</f>
        <v>34</v>
      </c>
      <c r="AR123" s="58">
        <f>[2]Districts_Boroughs!DV85</f>
        <v>22</v>
      </c>
      <c r="AS123" s="58">
        <f>[2]Districts_Boroughs!DW85</f>
        <v>34</v>
      </c>
      <c r="AT123" s="58">
        <f>[2]Districts_Boroughs!DX85</f>
        <v>27</v>
      </c>
      <c r="AU123" s="58">
        <f>[2]Districts_Boroughs!DY85</f>
        <v>22</v>
      </c>
      <c r="AV123" s="58">
        <f>[2]Districts_Boroughs!DZ85</f>
        <v>25</v>
      </c>
      <c r="AW123" s="58">
        <f>[2]Districts_Boroughs!EA85</f>
        <v>30</v>
      </c>
      <c r="AX123" s="58">
        <f>[2]Districts_Boroughs!EB85</f>
        <v>17</v>
      </c>
      <c r="AY123" s="58">
        <f>[2]Districts_Boroughs!EC85</f>
        <v>25</v>
      </c>
    </row>
    <row r="124" spans="2:51" s="64" customFormat="1" x14ac:dyDescent="0.35">
      <c r="B124" s="64" t="str">
        <f t="shared" si="6"/>
        <v>Nuneaton &amp; BedworthDA Offences &amp; Crimed Incidents</v>
      </c>
      <c r="C124" s="350" t="s">
        <v>200</v>
      </c>
      <c r="D124" s="58">
        <f>[2]Districts_Boroughs!CH86</f>
        <v>298</v>
      </c>
      <c r="E124" s="58">
        <f>[2]Districts_Boroughs!CI86</f>
        <v>342</v>
      </c>
      <c r="F124" s="58">
        <f>[2]Districts_Boroughs!CJ86</f>
        <v>273</v>
      </c>
      <c r="G124" s="58">
        <f>[2]Districts_Boroughs!CK86</f>
        <v>322</v>
      </c>
      <c r="H124" s="58">
        <f>[2]Districts_Boroughs!CL86</f>
        <v>295</v>
      </c>
      <c r="I124" s="58">
        <f>[2]Districts_Boroughs!CM86</f>
        <v>366</v>
      </c>
      <c r="J124" s="58">
        <f>[2]Districts_Boroughs!CN86</f>
        <v>324</v>
      </c>
      <c r="K124" s="58">
        <f>[2]Districts_Boroughs!CO86</f>
        <v>315</v>
      </c>
      <c r="L124" s="58">
        <f>[2]Districts_Boroughs!CP86</f>
        <v>300</v>
      </c>
      <c r="M124" s="58">
        <f>[2]Districts_Boroughs!CQ86</f>
        <v>298</v>
      </c>
      <c r="N124" s="58">
        <f>[2]Districts_Boroughs!CR86</f>
        <v>288</v>
      </c>
      <c r="O124" s="58">
        <f>[2]Districts_Boroughs!CS86</f>
        <v>291</v>
      </c>
      <c r="P124" s="58">
        <f>[2]Districts_Boroughs!CT86</f>
        <v>286</v>
      </c>
      <c r="Q124" s="58">
        <f>[2]Districts_Boroughs!CU86</f>
        <v>284</v>
      </c>
      <c r="R124" s="58">
        <f>[2]Districts_Boroughs!CV86</f>
        <v>305</v>
      </c>
      <c r="S124" s="58">
        <f>[2]Districts_Boroughs!CW86</f>
        <v>321</v>
      </c>
      <c r="T124" s="58">
        <f>[2]Districts_Boroughs!CX86</f>
        <v>303</v>
      </c>
      <c r="U124" s="58">
        <f>[2]Districts_Boroughs!CY86</f>
        <v>293</v>
      </c>
      <c r="V124" s="58">
        <f>[2]Districts_Boroughs!CZ86</f>
        <v>275</v>
      </c>
      <c r="W124" s="58">
        <f>[2]Districts_Boroughs!DA86</f>
        <v>267</v>
      </c>
      <c r="X124" s="58">
        <f>[2]Districts_Boroughs!DB86</f>
        <v>265</v>
      </c>
      <c r="Y124" s="58">
        <f>[2]Districts_Boroughs!DC86</f>
        <v>259</v>
      </c>
      <c r="Z124" s="58">
        <f>[2]Districts_Boroughs!DD86</f>
        <v>262</v>
      </c>
      <c r="AA124" s="58">
        <f>[2]Districts_Boroughs!DE86</f>
        <v>300</v>
      </c>
      <c r="AB124" s="58">
        <f>[2]Districts_Boroughs!DF86</f>
        <v>265</v>
      </c>
      <c r="AC124" s="58">
        <f>[2]Districts_Boroughs!DG86</f>
        <v>285</v>
      </c>
      <c r="AD124" s="58">
        <f>[2]Districts_Boroughs!DH86</f>
        <v>278</v>
      </c>
      <c r="AE124" s="58">
        <f>[2]Districts_Boroughs!DI86</f>
        <v>299</v>
      </c>
      <c r="AF124" s="58">
        <f>[2]Districts_Boroughs!DJ86</f>
        <v>298</v>
      </c>
      <c r="AG124" s="58">
        <f>[2]Districts_Boroughs!DK86</f>
        <v>273</v>
      </c>
      <c r="AH124" s="58">
        <f>[2]Districts_Boroughs!DL86</f>
        <v>304</v>
      </c>
      <c r="AI124" s="58">
        <f>[2]Districts_Boroughs!DM86</f>
        <v>277</v>
      </c>
      <c r="AJ124" s="58">
        <f>[2]Districts_Boroughs!DN86</f>
        <v>309</v>
      </c>
      <c r="AK124" s="58">
        <f>[2]Districts_Boroughs!DO86</f>
        <v>279</v>
      </c>
      <c r="AL124" s="58">
        <f>[2]Districts_Boroughs!DP86</f>
        <v>254</v>
      </c>
      <c r="AM124" s="58">
        <f>[2]Districts_Boroughs!DQ86</f>
        <v>268</v>
      </c>
      <c r="AN124" s="58">
        <f>[2]Districts_Boroughs!DR86</f>
        <v>261</v>
      </c>
      <c r="AO124" s="58">
        <f>[2]Districts_Boroughs!DS86</f>
        <v>277</v>
      </c>
      <c r="AP124" s="58">
        <f>[2]Districts_Boroughs!DT86</f>
        <v>266</v>
      </c>
      <c r="AQ124" s="58">
        <f>[2]Districts_Boroughs!DU86</f>
        <v>272</v>
      </c>
      <c r="AR124" s="58">
        <f>[2]Districts_Boroughs!DV86</f>
        <v>257</v>
      </c>
      <c r="AS124" s="58">
        <f>[2]Districts_Boroughs!DW86</f>
        <v>260</v>
      </c>
      <c r="AT124" s="58">
        <f>[2]Districts_Boroughs!DX86</f>
        <v>253</v>
      </c>
      <c r="AU124" s="58">
        <f>[2]Districts_Boroughs!DY86</f>
        <v>250</v>
      </c>
      <c r="AV124" s="58">
        <f>[2]Districts_Boroughs!DZ86</f>
        <v>270</v>
      </c>
      <c r="AW124" s="58">
        <f>[2]Districts_Boroughs!EA86</f>
        <v>247</v>
      </c>
      <c r="AX124" s="58">
        <f>[2]Districts_Boroughs!EB86</f>
        <v>246</v>
      </c>
      <c r="AY124" s="58">
        <f>[2]Districts_Boroughs!EC86</f>
        <v>246</v>
      </c>
    </row>
    <row r="125" spans="2:51" s="64" customFormat="1" x14ac:dyDescent="0.35">
      <c r="B125" s="64" t="str">
        <f t="shared" si="6"/>
        <v>Nuneaton &amp; BedworthVulnerable adult offences and crimed incidents</v>
      </c>
      <c r="C125" s="350" t="s">
        <v>201</v>
      </c>
      <c r="D125" s="58">
        <f>[2]Districts_Boroughs!CH87</f>
        <v>138</v>
      </c>
      <c r="E125" s="58">
        <f>[2]Districts_Boroughs!CI87</f>
        <v>169</v>
      </c>
      <c r="F125" s="58">
        <f>[2]Districts_Boroughs!CJ87</f>
        <v>174</v>
      </c>
      <c r="G125" s="58">
        <f>[2]Districts_Boroughs!CK87</f>
        <v>179</v>
      </c>
      <c r="H125" s="58">
        <f>[2]Districts_Boroughs!CL87</f>
        <v>155</v>
      </c>
      <c r="I125" s="58">
        <f>[2]Districts_Boroughs!CM87</f>
        <v>171</v>
      </c>
      <c r="J125" s="58">
        <f>[2]Districts_Boroughs!CN87</f>
        <v>163</v>
      </c>
      <c r="K125" s="58">
        <f>[2]Districts_Boroughs!CO87</f>
        <v>126</v>
      </c>
      <c r="L125" s="58">
        <f>[2]Districts_Boroughs!CP87</f>
        <v>156</v>
      </c>
      <c r="M125" s="58">
        <f>[2]Districts_Boroughs!CQ87</f>
        <v>142</v>
      </c>
      <c r="N125" s="58">
        <f>[2]Districts_Boroughs!CR87</f>
        <v>87</v>
      </c>
      <c r="O125" s="58">
        <f>[2]Districts_Boroughs!CS87</f>
        <v>131</v>
      </c>
      <c r="P125" s="58">
        <f>[2]Districts_Boroughs!CT87</f>
        <v>162</v>
      </c>
      <c r="Q125" s="58">
        <f>[2]Districts_Boroughs!CU87</f>
        <v>141</v>
      </c>
      <c r="R125" s="58">
        <f>[2]Districts_Boroughs!CV87</f>
        <v>146</v>
      </c>
      <c r="S125" s="58">
        <f>[2]Districts_Boroughs!CW87</f>
        <v>148</v>
      </c>
      <c r="T125" s="58">
        <f>[2]Districts_Boroughs!CX87</f>
        <v>178</v>
      </c>
      <c r="U125" s="58">
        <f>[2]Districts_Boroughs!CY87</f>
        <v>149</v>
      </c>
      <c r="V125" s="58">
        <f>[2]Districts_Boroughs!CZ87</f>
        <v>152</v>
      </c>
      <c r="W125" s="58">
        <f>[2]Districts_Boroughs!DA87</f>
        <v>156</v>
      </c>
      <c r="X125" s="58">
        <f>[2]Districts_Boroughs!DB87</f>
        <v>137</v>
      </c>
      <c r="Y125" s="58">
        <f>[2]Districts_Boroughs!DC87</f>
        <v>142</v>
      </c>
      <c r="Z125" s="58">
        <f>[2]Districts_Boroughs!DD87</f>
        <v>155</v>
      </c>
      <c r="AA125" s="58">
        <f>[2]Districts_Boroughs!DE87</f>
        <v>163</v>
      </c>
      <c r="AB125" s="58">
        <f>[2]Districts_Boroughs!DF87</f>
        <v>164</v>
      </c>
      <c r="AC125" s="58">
        <f>[2]Districts_Boroughs!DG87</f>
        <v>168</v>
      </c>
      <c r="AD125" s="58">
        <f>[2]Districts_Boroughs!DH87</f>
        <v>172</v>
      </c>
      <c r="AE125" s="58">
        <f>[2]Districts_Boroughs!DI87</f>
        <v>150</v>
      </c>
      <c r="AF125" s="58">
        <f>[2]Districts_Boroughs!DJ87</f>
        <v>137</v>
      </c>
      <c r="AG125" s="58">
        <f>[2]Districts_Boroughs!DK87</f>
        <v>139</v>
      </c>
      <c r="AH125" s="58">
        <f>[2]Districts_Boroughs!DL87</f>
        <v>163</v>
      </c>
      <c r="AI125" s="58">
        <f>[2]Districts_Boroughs!DM87</f>
        <v>147</v>
      </c>
      <c r="AJ125" s="58">
        <f>[2]Districts_Boroughs!DN87</f>
        <v>169</v>
      </c>
      <c r="AK125" s="58">
        <f>[2]Districts_Boroughs!DO87</f>
        <v>141</v>
      </c>
      <c r="AL125" s="58">
        <f>[2]Districts_Boroughs!DP87</f>
        <v>150</v>
      </c>
      <c r="AM125" s="58">
        <f>[2]Districts_Boroughs!DQ87</f>
        <v>152</v>
      </c>
      <c r="AN125" s="58">
        <f>[2]Districts_Boroughs!DR87</f>
        <v>141</v>
      </c>
      <c r="AO125" s="58">
        <f>[2]Districts_Boroughs!DS87</f>
        <v>137</v>
      </c>
      <c r="AP125" s="58">
        <f>[2]Districts_Boroughs!DT87</f>
        <v>171</v>
      </c>
      <c r="AQ125" s="58">
        <f>[2]Districts_Boroughs!DU87</f>
        <v>151</v>
      </c>
      <c r="AR125" s="58">
        <f>[2]Districts_Boroughs!DV87</f>
        <v>149</v>
      </c>
      <c r="AS125" s="58">
        <f>[2]Districts_Boroughs!DW87</f>
        <v>124</v>
      </c>
      <c r="AT125" s="58">
        <f>[2]Districts_Boroughs!DX87</f>
        <v>133</v>
      </c>
      <c r="AU125" s="58">
        <f>[2]Districts_Boroughs!DY87</f>
        <v>121</v>
      </c>
      <c r="AV125" s="58">
        <f>[2]Districts_Boroughs!DZ87</f>
        <v>146</v>
      </c>
      <c r="AW125" s="58">
        <f>[2]Districts_Boroughs!EA87</f>
        <v>135</v>
      </c>
      <c r="AX125" s="58">
        <f>[2]Districts_Boroughs!EB87</f>
        <v>130</v>
      </c>
      <c r="AY125" s="58">
        <f>[2]Districts_Boroughs!EC87</f>
        <v>136</v>
      </c>
    </row>
    <row r="126" spans="2:51" x14ac:dyDescent="0.35">
      <c r="B126" s="64" t="str">
        <f t="shared" si="6"/>
        <v>Nuneaton &amp; BedworthCSE offences and crimed incidents</v>
      </c>
      <c r="C126" s="350" t="s">
        <v>202</v>
      </c>
      <c r="D126" s="58">
        <f>[2]Districts_Boroughs!CH88</f>
        <v>2</v>
      </c>
      <c r="E126" s="58">
        <f>[2]Districts_Boroughs!CI88</f>
        <v>13</v>
      </c>
      <c r="F126" s="58">
        <f>[2]Districts_Boroughs!CJ88</f>
        <v>9</v>
      </c>
      <c r="G126" s="58">
        <f>[2]Districts_Boroughs!CK88</f>
        <v>42</v>
      </c>
      <c r="H126" s="58">
        <f>[2]Districts_Boroughs!CL88</f>
        <v>9</v>
      </c>
      <c r="I126" s="58">
        <f>[2]Districts_Boroughs!CM88</f>
        <v>3</v>
      </c>
      <c r="J126" s="58">
        <f>[2]Districts_Boroughs!CN88</f>
        <v>3</v>
      </c>
      <c r="K126" s="58">
        <f>[2]Districts_Boroughs!CO88</f>
        <v>2</v>
      </c>
      <c r="L126" s="58">
        <f>[2]Districts_Boroughs!CP88</f>
        <v>1</v>
      </c>
      <c r="M126" s="58">
        <f>[2]Districts_Boroughs!CQ88</f>
        <v>1</v>
      </c>
      <c r="N126" s="58">
        <f>[2]Districts_Boroughs!CR88</f>
        <v>1</v>
      </c>
      <c r="O126" s="58">
        <f>[2]Districts_Boroughs!CS88</f>
        <v>0</v>
      </c>
      <c r="P126" s="58">
        <f>[2]Districts_Boroughs!CT88</f>
        <v>3</v>
      </c>
      <c r="Q126" s="58">
        <f>[2]Districts_Boroughs!CU88</f>
        <v>5</v>
      </c>
      <c r="R126" s="58">
        <f>[2]Districts_Boroughs!CV88</f>
        <v>3</v>
      </c>
      <c r="S126" s="58">
        <f>[2]Districts_Boroughs!CW88</f>
        <v>11</v>
      </c>
      <c r="T126" s="58">
        <f>[2]Districts_Boroughs!CX88</f>
        <v>4</v>
      </c>
      <c r="U126" s="58">
        <f>[2]Districts_Boroughs!CY88</f>
        <v>7</v>
      </c>
      <c r="V126" s="58">
        <f>[2]Districts_Boroughs!CZ88</f>
        <v>6</v>
      </c>
      <c r="W126" s="58">
        <f>[2]Districts_Boroughs!DA88</f>
        <v>8</v>
      </c>
      <c r="X126" s="58">
        <f>[2]Districts_Boroughs!DB88</f>
        <v>3</v>
      </c>
      <c r="Y126" s="58">
        <f>[2]Districts_Boroughs!DC88</f>
        <v>15</v>
      </c>
      <c r="Z126" s="58">
        <f>[2]Districts_Boroughs!DD88</f>
        <v>5</v>
      </c>
      <c r="AA126" s="58">
        <f>[2]Districts_Boroughs!DE88</f>
        <v>5</v>
      </c>
      <c r="AB126" s="58">
        <f>[2]Districts_Boroughs!DF88</f>
        <v>4</v>
      </c>
      <c r="AC126" s="58">
        <f>[2]Districts_Boroughs!DG88</f>
        <v>5</v>
      </c>
      <c r="AD126" s="58">
        <f>[2]Districts_Boroughs!DH88</f>
        <v>1</v>
      </c>
      <c r="AE126" s="58">
        <f>[2]Districts_Boroughs!DI88</f>
        <v>5</v>
      </c>
      <c r="AF126" s="58">
        <f>[2]Districts_Boroughs!DJ88</f>
        <v>2</v>
      </c>
      <c r="AG126" s="58">
        <f>[2]Districts_Boroughs!DK88</f>
        <v>6</v>
      </c>
      <c r="AH126" s="58">
        <f>[2]Districts_Boroughs!DL88</f>
        <v>4</v>
      </c>
      <c r="AI126" s="58">
        <f>[2]Districts_Boroughs!DM88</f>
        <v>3</v>
      </c>
      <c r="AJ126" s="58">
        <f>[2]Districts_Boroughs!DN88</f>
        <v>0</v>
      </c>
      <c r="AK126" s="58">
        <f>[2]Districts_Boroughs!DO88</f>
        <v>8</v>
      </c>
      <c r="AL126" s="58">
        <f>[2]Districts_Boroughs!DP88</f>
        <v>2</v>
      </c>
      <c r="AM126" s="58">
        <f>[2]Districts_Boroughs!DQ88</f>
        <v>2</v>
      </c>
      <c r="AN126" s="58">
        <f>[2]Districts_Boroughs!DR88</f>
        <v>4</v>
      </c>
      <c r="AO126" s="58">
        <f>[2]Districts_Boroughs!DS88</f>
        <v>3</v>
      </c>
      <c r="AP126" s="58">
        <f>[2]Districts_Boroughs!DT88</f>
        <v>5</v>
      </c>
      <c r="AQ126" s="58">
        <f>[2]Districts_Boroughs!DU88</f>
        <v>3</v>
      </c>
      <c r="AR126" s="58">
        <f>[2]Districts_Boroughs!DV88</f>
        <v>7</v>
      </c>
      <c r="AS126" s="58">
        <f>[2]Districts_Boroughs!DW88</f>
        <v>4</v>
      </c>
      <c r="AT126" s="58">
        <f>[2]Districts_Boroughs!DX88</f>
        <v>1</v>
      </c>
      <c r="AU126" s="58">
        <f>[2]Districts_Boroughs!DY88</f>
        <v>4</v>
      </c>
      <c r="AV126" s="58">
        <f>[2]Districts_Boroughs!DZ88</f>
        <v>3</v>
      </c>
      <c r="AW126" s="58">
        <f>[2]Districts_Boroughs!EA88</f>
        <v>3</v>
      </c>
      <c r="AX126" s="58">
        <f>[2]Districts_Boroughs!EB88</f>
        <v>9</v>
      </c>
      <c r="AY126" s="58">
        <f>[2]Districts_Boroughs!EC88</f>
        <v>9</v>
      </c>
    </row>
    <row r="127" spans="2:51" s="64" customFormat="1" x14ac:dyDescent="0.35">
      <c r="B127" s="64" t="str">
        <f t="shared" si="6"/>
        <v>Nuneaton &amp; Bedworth</v>
      </c>
      <c r="C127" s="350"/>
      <c r="D127" s="58">
        <f>[2]Districts_Boroughs!CH89</f>
        <v>0</v>
      </c>
      <c r="E127" s="58">
        <f>[2]Districts_Boroughs!CI89</f>
        <v>0</v>
      </c>
      <c r="F127" s="58">
        <f>[2]Districts_Boroughs!CJ89</f>
        <v>0</v>
      </c>
      <c r="G127" s="58">
        <f>[2]Districts_Boroughs!CK89</f>
        <v>0</v>
      </c>
      <c r="H127" s="58">
        <f>[2]Districts_Boroughs!CL89</f>
        <v>0</v>
      </c>
      <c r="I127" s="58">
        <f>[2]Districts_Boroughs!CM89</f>
        <v>0</v>
      </c>
      <c r="J127" s="58">
        <f>[2]Districts_Boroughs!CN89</f>
        <v>0</v>
      </c>
      <c r="K127" s="58">
        <f>[2]Districts_Boroughs!CO89</f>
        <v>0</v>
      </c>
      <c r="L127" s="58">
        <f>[2]Districts_Boroughs!CP89</f>
        <v>0</v>
      </c>
      <c r="M127" s="58">
        <f>[2]Districts_Boroughs!CQ89</f>
        <v>0</v>
      </c>
      <c r="N127" s="58">
        <f>[2]Districts_Boroughs!CR89</f>
        <v>0</v>
      </c>
      <c r="O127" s="58">
        <f>[2]Districts_Boroughs!CS89</f>
        <v>0</v>
      </c>
      <c r="P127" s="58">
        <f>[2]Districts_Boroughs!CT89</f>
        <v>0</v>
      </c>
      <c r="Q127" s="58">
        <f>[2]Districts_Boroughs!CU89</f>
        <v>0</v>
      </c>
      <c r="R127" s="58">
        <f>[2]Districts_Boroughs!CV89</f>
        <v>0</v>
      </c>
      <c r="S127" s="58">
        <f>[2]Districts_Boroughs!CW89</f>
        <v>0</v>
      </c>
      <c r="T127" s="58">
        <f>[2]Districts_Boroughs!CX89</f>
        <v>0</v>
      </c>
      <c r="U127" s="58">
        <f>[2]Districts_Boroughs!CY89</f>
        <v>0</v>
      </c>
      <c r="V127" s="58">
        <f>[2]Districts_Boroughs!CZ89</f>
        <v>0</v>
      </c>
      <c r="W127" s="58">
        <f>[2]Districts_Boroughs!DA89</f>
        <v>0</v>
      </c>
      <c r="X127" s="58">
        <f>[2]Districts_Boroughs!DB89</f>
        <v>0</v>
      </c>
      <c r="Y127" s="58">
        <f>[2]Districts_Boroughs!DC89</f>
        <v>0</v>
      </c>
      <c r="Z127" s="58">
        <f>[2]Districts_Boroughs!DD89</f>
        <v>0</v>
      </c>
      <c r="AA127" s="58">
        <f>[2]Districts_Boroughs!DE89</f>
        <v>0</v>
      </c>
      <c r="AB127" s="58">
        <f>[2]Districts_Boroughs!DF89</f>
        <v>0</v>
      </c>
      <c r="AC127" s="58">
        <f>[2]Districts_Boroughs!DG89</f>
        <v>0</v>
      </c>
      <c r="AD127" s="58">
        <f>[2]Districts_Boroughs!DH89</f>
        <v>0</v>
      </c>
      <c r="AE127" s="58">
        <f>[2]Districts_Boroughs!DI89</f>
        <v>0</v>
      </c>
      <c r="AF127" s="58">
        <f>[2]Districts_Boroughs!DJ89</f>
        <v>0</v>
      </c>
      <c r="AG127" s="58">
        <f>[2]Districts_Boroughs!DK89</f>
        <v>0</v>
      </c>
      <c r="AH127" s="58">
        <f>[2]Districts_Boroughs!DL89</f>
        <v>0</v>
      </c>
      <c r="AI127" s="58">
        <f>[2]Districts_Boroughs!DM89</f>
        <v>0</v>
      </c>
      <c r="AJ127" s="58">
        <f>[2]Districts_Boroughs!DN89</f>
        <v>0</v>
      </c>
      <c r="AK127" s="58">
        <f>[2]Districts_Boroughs!DO89</f>
        <v>0</v>
      </c>
      <c r="AL127" s="58">
        <f>[2]Districts_Boroughs!DP89</f>
        <v>0</v>
      </c>
      <c r="AM127" s="58">
        <f>[2]Districts_Boroughs!DQ89</f>
        <v>0</v>
      </c>
      <c r="AN127" s="58">
        <f>[2]Districts_Boroughs!DR89</f>
        <v>0</v>
      </c>
      <c r="AO127" s="58">
        <f>[2]Districts_Boroughs!DS89</f>
        <v>0</v>
      </c>
      <c r="AP127" s="58">
        <f>[2]Districts_Boroughs!DT89</f>
        <v>0</v>
      </c>
      <c r="AQ127" s="58">
        <f>[2]Districts_Boroughs!DU89</f>
        <v>0</v>
      </c>
      <c r="AR127" s="58">
        <f>[2]Districts_Boroughs!DV89</f>
        <v>0</v>
      </c>
      <c r="AS127" s="58">
        <f>[2]Districts_Boroughs!DW89</f>
        <v>0</v>
      </c>
      <c r="AT127" s="58">
        <f>[2]Districts_Boroughs!DX89</f>
        <v>0</v>
      </c>
      <c r="AU127" s="58">
        <f>[2]Districts_Boroughs!DY89</f>
        <v>0</v>
      </c>
      <c r="AV127" s="58">
        <f>[2]Districts_Boroughs!DZ89</f>
        <v>0</v>
      </c>
      <c r="AW127" s="58">
        <f>[2]Districts_Boroughs!EA89</f>
        <v>0</v>
      </c>
      <c r="AX127" s="58">
        <f>[2]Districts_Boroughs!EB89</f>
        <v>0</v>
      </c>
      <c r="AY127" s="58">
        <f>[2]Districts_Boroughs!EC89</f>
        <v>0</v>
      </c>
    </row>
    <row r="128" spans="2:51" x14ac:dyDescent="0.35">
      <c r="B128" t="str">
        <f t="shared" si="6"/>
        <v>Nuneaton &amp; BedworthBusiness Crime</v>
      </c>
      <c r="C128" s="350" t="s">
        <v>52</v>
      </c>
      <c r="D128" s="58">
        <f>[2]Districts_Boroughs!CH90</f>
        <v>95</v>
      </c>
      <c r="E128" s="58">
        <f>[2]Districts_Boroughs!CI90</f>
        <v>95</v>
      </c>
      <c r="F128" s="58">
        <f>[2]Districts_Boroughs!CJ90</f>
        <v>89</v>
      </c>
      <c r="G128" s="58">
        <f>[2]Districts_Boroughs!CK90</f>
        <v>97</v>
      </c>
      <c r="H128" s="58">
        <f>[2]Districts_Boroughs!CL90</f>
        <v>97</v>
      </c>
      <c r="I128" s="58">
        <f>[2]Districts_Boroughs!CM90</f>
        <v>81</v>
      </c>
      <c r="J128" s="58">
        <f>[2]Districts_Boroughs!CN90</f>
        <v>83</v>
      </c>
      <c r="K128" s="58">
        <f>[2]Districts_Boroughs!CO90</f>
        <v>132</v>
      </c>
      <c r="L128" s="58">
        <f>[2]Districts_Boroughs!CP90</f>
        <v>107</v>
      </c>
      <c r="M128" s="58">
        <f>[2]Districts_Boroughs!CQ90</f>
        <v>87</v>
      </c>
      <c r="N128" s="58">
        <f>[2]Districts_Boroughs!CR90</f>
        <v>83</v>
      </c>
      <c r="O128" s="58">
        <f>[2]Districts_Boroughs!CS90</f>
        <v>115</v>
      </c>
      <c r="P128" s="58">
        <f>[2]Districts_Boroughs!CT90</f>
        <v>132</v>
      </c>
      <c r="Q128" s="58">
        <f>[2]Districts_Boroughs!CU90</f>
        <v>111</v>
      </c>
      <c r="R128" s="58">
        <f>[2]Districts_Boroughs!CV90</f>
        <v>122</v>
      </c>
      <c r="S128" s="58">
        <f>[2]Districts_Boroughs!CW90</f>
        <v>86</v>
      </c>
      <c r="T128" s="58">
        <f>[2]Districts_Boroughs!CX90</f>
        <v>147</v>
      </c>
      <c r="U128" s="58">
        <f>[2]Districts_Boroughs!CY90</f>
        <v>107</v>
      </c>
      <c r="V128" s="58">
        <f>[2]Districts_Boroughs!CZ90</f>
        <v>127</v>
      </c>
      <c r="W128" s="58">
        <f>[2]Districts_Boroughs!DA90</f>
        <v>89</v>
      </c>
      <c r="X128" s="58">
        <f>[2]Districts_Boroughs!DB90</f>
        <v>104</v>
      </c>
      <c r="Y128" s="58">
        <f>[2]Districts_Boroughs!DC90</f>
        <v>164</v>
      </c>
      <c r="Z128" s="58">
        <f>[2]Districts_Boroughs!DD90</f>
        <v>143</v>
      </c>
      <c r="AA128" s="58">
        <f>[2]Districts_Boroughs!DE90</f>
        <v>136</v>
      </c>
      <c r="AB128" s="58">
        <f>[2]Districts_Boroughs!DF90</f>
        <v>103</v>
      </c>
      <c r="AC128" s="58">
        <f>[2]Districts_Boroughs!DG90</f>
        <v>120</v>
      </c>
      <c r="AD128" s="58">
        <f>[2]Districts_Boroughs!DH90</f>
        <v>102</v>
      </c>
      <c r="AE128" s="58">
        <f>[2]Districts_Boroughs!DI90</f>
        <v>178</v>
      </c>
      <c r="AF128" s="58">
        <f>[2]Districts_Boroughs!DJ90</f>
        <v>126</v>
      </c>
      <c r="AG128" s="58">
        <f>[2]Districts_Boroughs!DK90</f>
        <v>126</v>
      </c>
      <c r="AH128" s="58">
        <f>[2]Districts_Boroughs!DL90</f>
        <v>146</v>
      </c>
      <c r="AI128" s="58">
        <f>[2]Districts_Boroughs!DM90</f>
        <v>135</v>
      </c>
      <c r="AJ128" s="58">
        <f>[2]Districts_Boroughs!DN90</f>
        <v>133</v>
      </c>
      <c r="AK128" s="58">
        <f>[2]Districts_Boroughs!DO90</f>
        <v>158</v>
      </c>
      <c r="AL128" s="58">
        <f>[2]Districts_Boroughs!DP90</f>
        <v>131</v>
      </c>
      <c r="AM128" s="58">
        <f>[2]Districts_Boroughs!DQ90</f>
        <v>158</v>
      </c>
      <c r="AN128" s="58">
        <f>[2]Districts_Boroughs!DR90</f>
        <v>184</v>
      </c>
      <c r="AO128" s="58">
        <f>[2]Districts_Boroughs!DS90</f>
        <v>169</v>
      </c>
      <c r="AP128" s="58">
        <f>[2]Districts_Boroughs!DT90</f>
        <v>169</v>
      </c>
      <c r="AQ128" s="58">
        <f>[2]Districts_Boroughs!DU90</f>
        <v>176</v>
      </c>
      <c r="AR128" s="58">
        <f>[2]Districts_Boroughs!DV90</f>
        <v>176</v>
      </c>
      <c r="AS128" s="58">
        <f>[2]Districts_Boroughs!DW90</f>
        <v>193</v>
      </c>
      <c r="AT128" s="58">
        <f>[2]Districts_Boroughs!DX90</f>
        <v>140</v>
      </c>
      <c r="AU128" s="58">
        <f>[2]Districts_Boroughs!DY90</f>
        <v>138</v>
      </c>
      <c r="AV128" s="58">
        <f>[2]Districts_Boroughs!DZ90</f>
        <v>129</v>
      </c>
      <c r="AW128" s="58">
        <f>[2]Districts_Boroughs!EA90</f>
        <v>146</v>
      </c>
      <c r="AX128" s="58">
        <f>[2]Districts_Boroughs!EB90</f>
        <v>134</v>
      </c>
      <c r="AY128" s="58">
        <f>[2]Districts_Boroughs!EC90</f>
        <v>173</v>
      </c>
    </row>
    <row r="129" spans="2:51" x14ac:dyDescent="0.35">
      <c r="B129" t="str">
        <f t="shared" si="6"/>
        <v>Nuneaton &amp; Bedworth</v>
      </c>
      <c r="C129" s="350"/>
      <c r="D129" s="58">
        <f>[2]Districts_Boroughs!CH91</f>
        <v>0</v>
      </c>
      <c r="E129" s="58">
        <f>[2]Districts_Boroughs!CI91</f>
        <v>0</v>
      </c>
      <c r="F129" s="58">
        <f>[2]Districts_Boroughs!CJ91</f>
        <v>0</v>
      </c>
      <c r="G129" s="58">
        <f>[2]Districts_Boroughs!CK91</f>
        <v>0</v>
      </c>
      <c r="H129" s="58">
        <f>[2]Districts_Boroughs!CL91</f>
        <v>0</v>
      </c>
      <c r="I129" s="58">
        <f>[2]Districts_Boroughs!CM91</f>
        <v>0</v>
      </c>
      <c r="J129" s="58">
        <f>[2]Districts_Boroughs!CN91</f>
        <v>0</v>
      </c>
      <c r="K129" s="58">
        <f>[2]Districts_Boroughs!CO91</f>
        <v>0</v>
      </c>
      <c r="L129" s="58">
        <f>[2]Districts_Boroughs!CP91</f>
        <v>0</v>
      </c>
      <c r="M129" s="58">
        <f>[2]Districts_Boroughs!CQ91</f>
        <v>0</v>
      </c>
      <c r="N129" s="58">
        <f>[2]Districts_Boroughs!CR91</f>
        <v>0</v>
      </c>
      <c r="O129" s="58">
        <f>[2]Districts_Boroughs!CS91</f>
        <v>0</v>
      </c>
      <c r="P129" s="58">
        <f>[2]Districts_Boroughs!CT91</f>
        <v>0</v>
      </c>
      <c r="Q129" s="58">
        <f>[2]Districts_Boroughs!CU91</f>
        <v>0</v>
      </c>
      <c r="R129" s="58">
        <f>[2]Districts_Boroughs!CV91</f>
        <v>0</v>
      </c>
      <c r="S129" s="58">
        <f>[2]Districts_Boroughs!CW91</f>
        <v>0</v>
      </c>
      <c r="T129" s="58">
        <f>[2]Districts_Boroughs!CX91</f>
        <v>0</v>
      </c>
      <c r="U129" s="58">
        <f>[2]Districts_Boroughs!CY91</f>
        <v>0</v>
      </c>
      <c r="V129" s="58">
        <f>[2]Districts_Boroughs!CZ91</f>
        <v>0</v>
      </c>
      <c r="W129" s="58">
        <f>[2]Districts_Boroughs!DA91</f>
        <v>0</v>
      </c>
      <c r="X129" s="58">
        <f>[2]Districts_Boroughs!DB91</f>
        <v>0</v>
      </c>
      <c r="Y129" s="58">
        <f>[2]Districts_Boroughs!DC91</f>
        <v>0</v>
      </c>
      <c r="Z129" s="58">
        <f>[2]Districts_Boroughs!DD91</f>
        <v>0</v>
      </c>
      <c r="AA129" s="58">
        <f>[2]Districts_Boroughs!DE91</f>
        <v>0</v>
      </c>
      <c r="AB129" s="58">
        <f>[2]Districts_Boroughs!DF91</f>
        <v>0</v>
      </c>
      <c r="AC129" s="58">
        <f>[2]Districts_Boroughs!DG91</f>
        <v>0</v>
      </c>
      <c r="AD129" s="58">
        <f>[2]Districts_Boroughs!DH91</f>
        <v>0</v>
      </c>
      <c r="AE129" s="58">
        <f>[2]Districts_Boroughs!DI91</f>
        <v>0</v>
      </c>
      <c r="AF129" s="58">
        <f>[2]Districts_Boroughs!DJ91</f>
        <v>0</v>
      </c>
      <c r="AG129" s="58">
        <f>[2]Districts_Boroughs!DK91</f>
        <v>0</v>
      </c>
      <c r="AH129" s="58">
        <f>[2]Districts_Boroughs!DL91</f>
        <v>0</v>
      </c>
      <c r="AI129" s="58">
        <f>[2]Districts_Boroughs!DM91</f>
        <v>0</v>
      </c>
      <c r="AJ129" s="58">
        <f>[2]Districts_Boroughs!DN91</f>
        <v>0</v>
      </c>
      <c r="AK129" s="58">
        <f>[2]Districts_Boroughs!DO91</f>
        <v>0</v>
      </c>
      <c r="AL129" s="58">
        <f>[2]Districts_Boroughs!DP91</f>
        <v>0</v>
      </c>
      <c r="AM129" s="58">
        <f>[2]Districts_Boroughs!DQ91</f>
        <v>0</v>
      </c>
      <c r="AN129" s="58">
        <f>[2]Districts_Boroughs!DR91</f>
        <v>0</v>
      </c>
      <c r="AO129" s="58">
        <f>[2]Districts_Boroughs!DS91</f>
        <v>0</v>
      </c>
      <c r="AP129" s="58">
        <f>[2]Districts_Boroughs!DT91</f>
        <v>0</v>
      </c>
      <c r="AQ129" s="58">
        <f>[2]Districts_Boroughs!DU91</f>
        <v>0</v>
      </c>
      <c r="AR129" s="58">
        <f>[2]Districts_Boroughs!DV91</f>
        <v>0</v>
      </c>
      <c r="AS129" s="58">
        <f>[2]Districts_Boroughs!DW91</f>
        <v>0</v>
      </c>
      <c r="AT129" s="58">
        <f>[2]Districts_Boroughs!DX91</f>
        <v>0</v>
      </c>
      <c r="AU129" s="58">
        <f>[2]Districts_Boroughs!DY91</f>
        <v>0</v>
      </c>
      <c r="AV129" s="58">
        <f>[2]Districts_Boroughs!DZ91</f>
        <v>0</v>
      </c>
      <c r="AW129" s="58">
        <f>[2]Districts_Boroughs!EA91</f>
        <v>0</v>
      </c>
      <c r="AX129" s="58">
        <f>[2]Districts_Boroughs!EB91</f>
        <v>0</v>
      </c>
      <c r="AY129" s="58">
        <f>[2]Districts_Boroughs!EC91</f>
        <v>0</v>
      </c>
    </row>
    <row r="130" spans="2:51" x14ac:dyDescent="0.35">
      <c r="B130" t="str">
        <f t="shared" si="6"/>
        <v>Nuneaton &amp; BedworthResidential dwelling</v>
      </c>
      <c r="C130" s="350" t="s">
        <v>81</v>
      </c>
      <c r="D130" s="58">
        <f>[2]Districts_Boroughs!CH92</f>
        <v>12</v>
      </c>
      <c r="E130" s="58">
        <f>[2]Districts_Boroughs!CI92</f>
        <v>15</v>
      </c>
      <c r="F130" s="58">
        <f>[2]Districts_Boroughs!CJ92</f>
        <v>23</v>
      </c>
      <c r="G130" s="58">
        <f>[2]Districts_Boroughs!CK92</f>
        <v>22</v>
      </c>
      <c r="H130" s="58">
        <f>[2]Districts_Boroughs!CL92</f>
        <v>15</v>
      </c>
      <c r="I130" s="58">
        <f>[2]Districts_Boroughs!CM92</f>
        <v>27</v>
      </c>
      <c r="J130" s="58">
        <f>[2]Districts_Boroughs!CN92</f>
        <v>23</v>
      </c>
      <c r="K130" s="58">
        <f>[2]Districts_Boroughs!CO92</f>
        <v>18</v>
      </c>
      <c r="L130" s="58">
        <f>[2]Districts_Boroughs!CP92</f>
        <v>15</v>
      </c>
      <c r="M130" s="58">
        <f>[2]Districts_Boroughs!CQ92</f>
        <v>13</v>
      </c>
      <c r="N130" s="58">
        <f>[2]Districts_Boroughs!CR92</f>
        <v>16</v>
      </c>
      <c r="O130" s="58">
        <f>[2]Districts_Boroughs!CS92</f>
        <v>26</v>
      </c>
      <c r="P130" s="58">
        <f>[2]Districts_Boroughs!CT92</f>
        <v>27</v>
      </c>
      <c r="Q130" s="58">
        <f>[2]Districts_Boroughs!CU92</f>
        <v>20</v>
      </c>
      <c r="R130" s="58">
        <f>[2]Districts_Boroughs!CV92</f>
        <v>18</v>
      </c>
      <c r="S130" s="58">
        <f>[2]Districts_Boroughs!CW92</f>
        <v>21</v>
      </c>
      <c r="T130" s="58">
        <f>[2]Districts_Boroughs!CX92</f>
        <v>29</v>
      </c>
      <c r="U130" s="58">
        <f>[2]Districts_Boroughs!CY92</f>
        <v>23</v>
      </c>
      <c r="V130" s="58">
        <f>[2]Districts_Boroughs!CZ92</f>
        <v>26</v>
      </c>
      <c r="W130" s="58">
        <f>[2]Districts_Boroughs!DA92</f>
        <v>24</v>
      </c>
      <c r="X130" s="58">
        <f>[2]Districts_Boroughs!DB92</f>
        <v>24</v>
      </c>
      <c r="Y130" s="58">
        <f>[2]Districts_Boroughs!DC92</f>
        <v>30</v>
      </c>
      <c r="Z130" s="58">
        <f>[2]Districts_Boroughs!DD92</f>
        <v>24</v>
      </c>
      <c r="AA130" s="58">
        <f>[2]Districts_Boroughs!DE92</f>
        <v>32</v>
      </c>
      <c r="AB130" s="58">
        <f>[2]Districts_Boroughs!DF92</f>
        <v>26</v>
      </c>
      <c r="AC130" s="58">
        <f>[2]Districts_Boroughs!DG92</f>
        <v>22</v>
      </c>
      <c r="AD130" s="58">
        <f>[2]Districts_Boroughs!DH92</f>
        <v>21</v>
      </c>
      <c r="AE130" s="58">
        <f>[2]Districts_Boroughs!DI92</f>
        <v>36</v>
      </c>
      <c r="AF130" s="58">
        <f>[2]Districts_Boroughs!DJ92</f>
        <v>11</v>
      </c>
      <c r="AG130" s="58">
        <f>[2]Districts_Boroughs!DK92</f>
        <v>23</v>
      </c>
      <c r="AH130" s="58">
        <f>[2]Districts_Boroughs!DL92</f>
        <v>35</v>
      </c>
      <c r="AI130" s="58">
        <f>[2]Districts_Boroughs!DM92</f>
        <v>31</v>
      </c>
      <c r="AJ130" s="58">
        <f>[2]Districts_Boroughs!DN92</f>
        <v>16</v>
      </c>
      <c r="AK130" s="58">
        <f>[2]Districts_Boroughs!DO92</f>
        <v>27</v>
      </c>
      <c r="AL130" s="58">
        <f>[2]Districts_Boroughs!DP92</f>
        <v>28</v>
      </c>
      <c r="AM130" s="58">
        <f>[2]Districts_Boroughs!DQ92</f>
        <v>31</v>
      </c>
      <c r="AN130" s="58">
        <f>[2]Districts_Boroughs!DR92</f>
        <v>23</v>
      </c>
      <c r="AO130" s="58">
        <f>[2]Districts_Boroughs!DS92</f>
        <v>17</v>
      </c>
      <c r="AP130" s="58">
        <f>[2]Districts_Boroughs!DT92</f>
        <v>28</v>
      </c>
      <c r="AQ130" s="58">
        <f>[2]Districts_Boroughs!DU92</f>
        <v>32</v>
      </c>
      <c r="AR130" s="58">
        <f>[2]Districts_Boroughs!DV92</f>
        <v>32</v>
      </c>
      <c r="AS130" s="58">
        <f>[2]Districts_Boroughs!DW92</f>
        <v>25</v>
      </c>
      <c r="AT130" s="58">
        <f>[2]Districts_Boroughs!DX92</f>
        <v>44</v>
      </c>
      <c r="AU130" s="58">
        <f>[2]Districts_Boroughs!DY92</f>
        <v>25</v>
      </c>
      <c r="AV130" s="58">
        <f>[2]Districts_Boroughs!DZ92</f>
        <v>28</v>
      </c>
      <c r="AW130" s="58">
        <f>[2]Districts_Boroughs!EA92</f>
        <v>25</v>
      </c>
      <c r="AX130" s="58">
        <f>[2]Districts_Boroughs!EB92</f>
        <v>20</v>
      </c>
      <c r="AY130" s="58">
        <f>[2]Districts_Boroughs!EC92</f>
        <v>22</v>
      </c>
    </row>
    <row r="131" spans="2:51" s="36" customFormat="1" x14ac:dyDescent="0.35"/>
    <row r="132" spans="2:51" s="36" customFormat="1" ht="23" x14ac:dyDescent="0.5">
      <c r="C132" s="356" t="s">
        <v>59</v>
      </c>
    </row>
    <row r="133" spans="2:51" s="36" customFormat="1" x14ac:dyDescent="0.35">
      <c r="C133" s="357" t="s">
        <v>56</v>
      </c>
      <c r="D133" s="39">
        <v>44287</v>
      </c>
      <c r="E133" s="39">
        <v>44317</v>
      </c>
      <c r="F133" s="39">
        <v>44348</v>
      </c>
      <c r="G133" s="39">
        <v>44378</v>
      </c>
      <c r="H133" s="39">
        <v>44409</v>
      </c>
      <c r="I133" s="39">
        <v>44440</v>
      </c>
      <c r="J133" s="39">
        <v>44470</v>
      </c>
      <c r="K133" s="39">
        <v>44501</v>
      </c>
      <c r="L133" s="39">
        <v>44531</v>
      </c>
      <c r="M133" s="39">
        <v>44562</v>
      </c>
      <c r="N133" s="39">
        <v>44593</v>
      </c>
      <c r="O133" s="39">
        <v>44621</v>
      </c>
      <c r="P133" s="39">
        <v>44652</v>
      </c>
      <c r="Q133" s="39">
        <v>44682</v>
      </c>
      <c r="R133" s="39">
        <v>44713</v>
      </c>
      <c r="S133" s="39">
        <v>44743</v>
      </c>
      <c r="T133" s="39">
        <v>44774</v>
      </c>
      <c r="U133" s="39">
        <v>44805</v>
      </c>
      <c r="V133" s="39">
        <v>44835</v>
      </c>
      <c r="W133" s="39">
        <v>44866</v>
      </c>
      <c r="X133" s="39">
        <v>44896</v>
      </c>
      <c r="Y133" s="39">
        <v>44927</v>
      </c>
      <c r="Z133" s="39">
        <v>44958</v>
      </c>
      <c r="AA133" s="39">
        <v>44986</v>
      </c>
      <c r="AB133" s="39">
        <v>45017</v>
      </c>
      <c r="AC133" s="39">
        <v>45047</v>
      </c>
      <c r="AD133" s="39">
        <v>45078</v>
      </c>
      <c r="AE133" s="39">
        <v>45108</v>
      </c>
      <c r="AF133" s="39">
        <v>45139</v>
      </c>
      <c r="AG133" s="39">
        <v>45170</v>
      </c>
      <c r="AH133" s="39">
        <v>45200</v>
      </c>
      <c r="AI133" s="39">
        <v>45231</v>
      </c>
      <c r="AJ133" s="39">
        <v>45261</v>
      </c>
      <c r="AK133" s="39">
        <v>45292</v>
      </c>
      <c r="AL133" s="39">
        <v>45323</v>
      </c>
      <c r="AM133" s="39">
        <v>45352</v>
      </c>
      <c r="AN133" s="39">
        <v>45383</v>
      </c>
      <c r="AO133" s="39">
        <v>45413</v>
      </c>
      <c r="AP133" s="39">
        <v>45444</v>
      </c>
      <c r="AQ133" s="39">
        <v>45474</v>
      </c>
      <c r="AR133" s="39">
        <v>45505</v>
      </c>
      <c r="AS133" s="39">
        <v>45536</v>
      </c>
      <c r="AT133" s="39">
        <v>45566</v>
      </c>
      <c r="AU133" s="39">
        <v>45597</v>
      </c>
      <c r="AV133" s="39">
        <v>45627</v>
      </c>
      <c r="AW133" s="39">
        <v>45658</v>
      </c>
      <c r="AX133" s="39">
        <v>45689</v>
      </c>
      <c r="AY133" s="39">
        <v>45717</v>
      </c>
    </row>
    <row r="134" spans="2:51" x14ac:dyDescent="0.35">
      <c r="B134" t="str">
        <f>CONCATENATE($C$132,C134)</f>
        <v>RugbyTotal Recorded Crime</v>
      </c>
      <c r="C134" s="357" t="s">
        <v>33</v>
      </c>
      <c r="D134" s="32">
        <f>[2]Districts_Boroughs!CH103</f>
        <v>577</v>
      </c>
      <c r="E134" s="32">
        <f>[2]Districts_Boroughs!CI103</f>
        <v>647</v>
      </c>
      <c r="F134" s="32">
        <f>[2]Districts_Boroughs!CJ103</f>
        <v>670</v>
      </c>
      <c r="G134" s="32">
        <f>[2]Districts_Boroughs!CK103</f>
        <v>654</v>
      </c>
      <c r="H134" s="32">
        <f>[2]Districts_Boroughs!CL103</f>
        <v>669</v>
      </c>
      <c r="I134" s="32">
        <f>[2]Districts_Boroughs!CM103</f>
        <v>676</v>
      </c>
      <c r="J134" s="32">
        <f>[2]Districts_Boroughs!CN103</f>
        <v>704</v>
      </c>
      <c r="K134" s="32">
        <f>[2]Districts_Boroughs!CO103</f>
        <v>668</v>
      </c>
      <c r="L134" s="32">
        <f>[2]Districts_Boroughs!CP103</f>
        <v>585</v>
      </c>
      <c r="M134" s="32">
        <f>[2]Districts_Boroughs!CQ103</f>
        <v>576</v>
      </c>
      <c r="N134" s="32">
        <f>[2]Districts_Boroughs!CR103</f>
        <v>532</v>
      </c>
      <c r="O134" s="32">
        <f>[2]Districts_Boroughs!CS103</f>
        <v>671</v>
      </c>
      <c r="P134" s="32">
        <f>[2]Districts_Boroughs!CT103</f>
        <v>658</v>
      </c>
      <c r="Q134" s="32">
        <f>[2]Districts_Boroughs!CU103</f>
        <v>653</v>
      </c>
      <c r="R134" s="32">
        <f>[2]Districts_Boroughs!CV103</f>
        <v>646</v>
      </c>
      <c r="S134" s="32">
        <f>[2]Districts_Boroughs!CW103</f>
        <v>691</v>
      </c>
      <c r="T134" s="32">
        <f>[2]Districts_Boroughs!CX103</f>
        <v>646</v>
      </c>
      <c r="U134" s="32">
        <f>[2]Districts_Boroughs!CY103</f>
        <v>565</v>
      </c>
      <c r="V134" s="32">
        <f>[2]Districts_Boroughs!CZ103</f>
        <v>566</v>
      </c>
      <c r="W134" s="32">
        <f>[2]Districts_Boroughs!DA103</f>
        <v>661</v>
      </c>
      <c r="X134" s="32">
        <f>[2]Districts_Boroughs!DB103</f>
        <v>501</v>
      </c>
      <c r="Y134" s="32">
        <f>[2]Districts_Boroughs!DC103</f>
        <v>501</v>
      </c>
      <c r="Z134" s="32">
        <f>[2]Districts_Boroughs!DD103</f>
        <v>566</v>
      </c>
      <c r="AA134" s="32">
        <f>[2]Districts_Boroughs!DE103</f>
        <v>639</v>
      </c>
      <c r="AB134" s="32">
        <f>[2]Districts_Boroughs!DF103</f>
        <v>543</v>
      </c>
      <c r="AC134" s="32">
        <f>[2]Districts_Boroughs!DG103</f>
        <v>635</v>
      </c>
      <c r="AD134" s="32">
        <f>[2]Districts_Boroughs!DH103</f>
        <v>610</v>
      </c>
      <c r="AE134" s="32">
        <f>[2]Districts_Boroughs!DI103</f>
        <v>576</v>
      </c>
      <c r="AF134" s="32">
        <f>[2]Districts_Boroughs!DJ103</f>
        <v>581</v>
      </c>
      <c r="AG134" s="32">
        <f>[2]Districts_Boroughs!DK103</f>
        <v>600</v>
      </c>
      <c r="AH134" s="32">
        <f>[2]Districts_Boroughs!DL103</f>
        <v>563</v>
      </c>
      <c r="AI134" s="32">
        <f>[2]Districts_Boroughs!DM103</f>
        <v>568</v>
      </c>
      <c r="AJ134" s="32">
        <f>[2]Districts_Boroughs!DN103</f>
        <v>575</v>
      </c>
      <c r="AK134" s="32">
        <f>[2]Districts_Boroughs!DO103</f>
        <v>556</v>
      </c>
      <c r="AL134" s="32">
        <f>[2]Districts_Boroughs!DP103</f>
        <v>538</v>
      </c>
      <c r="AM134" s="32">
        <f>[2]Districts_Boroughs!DQ103</f>
        <v>632</v>
      </c>
      <c r="AN134" s="32">
        <f>[2]Districts_Boroughs!DR103</f>
        <v>607</v>
      </c>
      <c r="AO134" s="32">
        <f>[2]Districts_Boroughs!DS103</f>
        <v>624</v>
      </c>
      <c r="AP134" s="32">
        <f>[2]Districts_Boroughs!DT103</f>
        <v>548</v>
      </c>
      <c r="AQ134" s="32">
        <f>[2]Districts_Boroughs!DU103</f>
        <v>647</v>
      </c>
      <c r="AR134" s="32">
        <f>[2]Districts_Boroughs!DV103</f>
        <v>578</v>
      </c>
      <c r="AS134" s="32">
        <f>[2]Districts_Boroughs!DW103</f>
        <v>512</v>
      </c>
      <c r="AT134" s="32">
        <f>[2]Districts_Boroughs!DX103</f>
        <v>545</v>
      </c>
      <c r="AU134" s="32">
        <f>[2]Districts_Boroughs!DY103</f>
        <v>567</v>
      </c>
      <c r="AV134" s="32">
        <f>[2]Districts_Boroughs!DZ103</f>
        <v>561</v>
      </c>
      <c r="AW134" s="32">
        <f>[2]Districts_Boroughs!EA103</f>
        <v>504</v>
      </c>
      <c r="AX134" s="32">
        <f>[2]Districts_Boroughs!EB103</f>
        <v>490</v>
      </c>
      <c r="AY134" s="32">
        <f>[2]Districts_Boroughs!EC103</f>
        <v>541</v>
      </c>
    </row>
    <row r="135" spans="2:51" x14ac:dyDescent="0.35">
      <c r="B135" t="str">
        <f t="shared" ref="B135:B173" si="8">CONCATENATE($C$132,C135)</f>
        <v>Rugby</v>
      </c>
      <c r="C135" s="357"/>
      <c r="D135" s="32">
        <f>[2]Districts_Boroughs!CH104</f>
        <v>0</v>
      </c>
      <c r="E135" s="32">
        <f>[2]Districts_Boroughs!CI104</f>
        <v>0</v>
      </c>
      <c r="F135" s="32">
        <f>[2]Districts_Boroughs!CJ104</f>
        <v>0</v>
      </c>
      <c r="G135" s="32">
        <f>[2]Districts_Boroughs!CK104</f>
        <v>0</v>
      </c>
      <c r="H135" s="32">
        <f>[2]Districts_Boroughs!CL104</f>
        <v>0</v>
      </c>
      <c r="I135" s="32">
        <f>[2]Districts_Boroughs!CM104</f>
        <v>0</v>
      </c>
      <c r="J135" s="32">
        <f>[2]Districts_Boroughs!CN104</f>
        <v>0</v>
      </c>
      <c r="K135" s="32">
        <f>[2]Districts_Boroughs!CO104</f>
        <v>0</v>
      </c>
      <c r="L135" s="32">
        <f>[2]Districts_Boroughs!CP104</f>
        <v>0</v>
      </c>
      <c r="M135" s="32">
        <f>[2]Districts_Boroughs!CQ104</f>
        <v>0</v>
      </c>
      <c r="N135" s="32">
        <f>[2]Districts_Boroughs!CR104</f>
        <v>0</v>
      </c>
      <c r="O135" s="32">
        <f>[2]Districts_Boroughs!CS104</f>
        <v>0</v>
      </c>
      <c r="P135" s="32">
        <f>[2]Districts_Boroughs!CT104</f>
        <v>0</v>
      </c>
      <c r="Q135" s="32">
        <f>[2]Districts_Boroughs!CU104</f>
        <v>0</v>
      </c>
      <c r="R135" s="32">
        <f>[2]Districts_Boroughs!CV104</f>
        <v>0</v>
      </c>
      <c r="S135" s="32">
        <f>[2]Districts_Boroughs!CW104</f>
        <v>0</v>
      </c>
      <c r="T135" s="32">
        <f>[2]Districts_Boroughs!CX104</f>
        <v>0</v>
      </c>
      <c r="U135" s="32">
        <f>[2]Districts_Boroughs!CY104</f>
        <v>0</v>
      </c>
      <c r="V135" s="32">
        <f>[2]Districts_Boroughs!CZ104</f>
        <v>0</v>
      </c>
      <c r="W135" s="32">
        <f>[2]Districts_Boroughs!DA104</f>
        <v>0</v>
      </c>
      <c r="X135" s="32">
        <f>[2]Districts_Boroughs!DB104</f>
        <v>0</v>
      </c>
      <c r="Y135" s="32">
        <f>[2]Districts_Boroughs!DC104</f>
        <v>0</v>
      </c>
      <c r="Z135" s="32">
        <f>[2]Districts_Boroughs!DD104</f>
        <v>0</v>
      </c>
      <c r="AA135" s="32">
        <f>[2]Districts_Boroughs!DE104</f>
        <v>0</v>
      </c>
      <c r="AB135" s="32">
        <f>[2]Districts_Boroughs!DF104</f>
        <v>0</v>
      </c>
      <c r="AC135" s="32">
        <f>[2]Districts_Boroughs!DG104</f>
        <v>0</v>
      </c>
      <c r="AD135" s="32">
        <f>[2]Districts_Boroughs!DH104</f>
        <v>0</v>
      </c>
      <c r="AE135" s="32">
        <f>[2]Districts_Boroughs!DI104</f>
        <v>0</v>
      </c>
      <c r="AF135" s="32">
        <f>[2]Districts_Boroughs!DJ104</f>
        <v>0</v>
      </c>
      <c r="AG135" s="32">
        <f>[2]Districts_Boroughs!DK104</f>
        <v>0</v>
      </c>
      <c r="AH135" s="32">
        <f>[2]Districts_Boroughs!DL104</f>
        <v>0</v>
      </c>
      <c r="AI135" s="32">
        <f>[2]Districts_Boroughs!DM104</f>
        <v>0</v>
      </c>
      <c r="AJ135" s="32">
        <f>[2]Districts_Boroughs!DN104</f>
        <v>0</v>
      </c>
      <c r="AK135" s="32">
        <f>[2]Districts_Boroughs!DO104</f>
        <v>0</v>
      </c>
      <c r="AL135" s="32">
        <f>[2]Districts_Boroughs!DP104</f>
        <v>0</v>
      </c>
      <c r="AM135" s="32">
        <f>[2]Districts_Boroughs!DQ104</f>
        <v>0</v>
      </c>
      <c r="AN135" s="32">
        <f>[2]Districts_Boroughs!DR104</f>
        <v>0</v>
      </c>
      <c r="AO135" s="32">
        <f>[2]Districts_Boroughs!DS104</f>
        <v>0</v>
      </c>
      <c r="AP135" s="32">
        <f>[2]Districts_Boroughs!DT104</f>
        <v>0</v>
      </c>
      <c r="AQ135" s="32">
        <f>[2]Districts_Boroughs!DU104</f>
        <v>0</v>
      </c>
      <c r="AR135" s="32">
        <f>[2]Districts_Boroughs!DV104</f>
        <v>0</v>
      </c>
      <c r="AS135" s="32">
        <f>[2]Districts_Boroughs!DW104</f>
        <v>0</v>
      </c>
      <c r="AT135" s="32">
        <f>[2]Districts_Boroughs!DX104</f>
        <v>0</v>
      </c>
      <c r="AU135" s="32">
        <f>[2]Districts_Boroughs!DY104</f>
        <v>0</v>
      </c>
      <c r="AV135" s="32">
        <f>[2]Districts_Boroughs!DZ104</f>
        <v>0</v>
      </c>
      <c r="AW135" s="32">
        <f>[2]Districts_Boroughs!EA104</f>
        <v>0</v>
      </c>
      <c r="AX135" s="32">
        <f>[2]Districts_Boroughs!EB104</f>
        <v>0</v>
      </c>
      <c r="AY135" s="32">
        <f>[2]Districts_Boroughs!EC104</f>
        <v>0</v>
      </c>
    </row>
    <row r="136" spans="2:51" x14ac:dyDescent="0.35">
      <c r="B136" t="str">
        <f t="shared" ref="B136:B142" si="9">CONCATENATE($C$132,C136)</f>
        <v>RugbyViolence With Injury</v>
      </c>
      <c r="C136" s="357" t="s">
        <v>39</v>
      </c>
      <c r="D136" s="32">
        <f>[2]Districts_Boroughs!CH105</f>
        <v>86</v>
      </c>
      <c r="E136" s="32">
        <f>[2]Districts_Boroughs!CI105</f>
        <v>76</v>
      </c>
      <c r="F136" s="32">
        <f>[2]Districts_Boroughs!CJ105</f>
        <v>57</v>
      </c>
      <c r="G136" s="32">
        <f>[2]Districts_Boroughs!CK105</f>
        <v>74</v>
      </c>
      <c r="H136" s="32">
        <f>[2]Districts_Boroughs!CL105</f>
        <v>76</v>
      </c>
      <c r="I136" s="32">
        <f>[2]Districts_Boroughs!CM105</f>
        <v>92</v>
      </c>
      <c r="J136" s="32">
        <f>[2]Districts_Boroughs!CN105</f>
        <v>83</v>
      </c>
      <c r="K136" s="32">
        <f>[2]Districts_Boroughs!CO105</f>
        <v>68</v>
      </c>
      <c r="L136" s="32">
        <f>[2]Districts_Boroughs!CP105</f>
        <v>65</v>
      </c>
      <c r="M136" s="32">
        <f>[2]Districts_Boroughs!CQ105</f>
        <v>59</v>
      </c>
      <c r="N136" s="32">
        <f>[2]Districts_Boroughs!CR105</f>
        <v>51</v>
      </c>
      <c r="O136" s="32">
        <f>[2]Districts_Boroughs!CS105</f>
        <v>84</v>
      </c>
      <c r="P136" s="32">
        <f>[2]Districts_Boroughs!CT105</f>
        <v>68</v>
      </c>
      <c r="Q136" s="32">
        <f>[2]Districts_Boroughs!CU105</f>
        <v>75</v>
      </c>
      <c r="R136" s="32">
        <f>[2]Districts_Boroughs!CV105</f>
        <v>69</v>
      </c>
      <c r="S136" s="32">
        <f>[2]Districts_Boroughs!CW105</f>
        <v>97</v>
      </c>
      <c r="T136" s="32">
        <f>[2]Districts_Boroughs!CX105</f>
        <v>61</v>
      </c>
      <c r="U136" s="32">
        <f>[2]Districts_Boroughs!CY105</f>
        <v>55</v>
      </c>
      <c r="V136" s="32">
        <f>[2]Districts_Boroughs!CZ105</f>
        <v>64</v>
      </c>
      <c r="W136" s="32">
        <f>[2]Districts_Boroughs!DA105</f>
        <v>55</v>
      </c>
      <c r="X136" s="32">
        <f>[2]Districts_Boroughs!DB105</f>
        <v>58</v>
      </c>
      <c r="Y136" s="32">
        <f>[2]Districts_Boroughs!DC105</f>
        <v>58</v>
      </c>
      <c r="Z136" s="32">
        <f>[2]Districts_Boroughs!DD105</f>
        <v>79</v>
      </c>
      <c r="AA136" s="32">
        <f>[2]Districts_Boroughs!DE105</f>
        <v>82</v>
      </c>
      <c r="AB136" s="32">
        <f>[2]Districts_Boroughs!DF105</f>
        <v>69</v>
      </c>
      <c r="AC136" s="32">
        <f>[2]Districts_Boroughs!DG105</f>
        <v>86</v>
      </c>
      <c r="AD136" s="32">
        <f>[2]Districts_Boroughs!DH105</f>
        <v>76</v>
      </c>
      <c r="AE136" s="32">
        <f>[2]Districts_Boroughs!DI105</f>
        <v>83</v>
      </c>
      <c r="AF136" s="32">
        <f>[2]Districts_Boroughs!DJ105</f>
        <v>75</v>
      </c>
      <c r="AG136" s="32">
        <f>[2]Districts_Boroughs!DK105</f>
        <v>61</v>
      </c>
      <c r="AH136" s="32">
        <f>[2]Districts_Boroughs!DL105</f>
        <v>83</v>
      </c>
      <c r="AI136" s="32">
        <f>[2]Districts_Boroughs!DM105</f>
        <v>60</v>
      </c>
      <c r="AJ136" s="32">
        <f>[2]Districts_Boroughs!DN105</f>
        <v>76</v>
      </c>
      <c r="AK136" s="32">
        <f>[2]Districts_Boroughs!DO105</f>
        <v>64</v>
      </c>
      <c r="AL136" s="32">
        <f>[2]Districts_Boroughs!DP105</f>
        <v>59</v>
      </c>
      <c r="AM136" s="32">
        <f>[2]Districts_Boroughs!DQ105</f>
        <v>64</v>
      </c>
      <c r="AN136" s="32">
        <f>[2]Districts_Boroughs!DR105</f>
        <v>66</v>
      </c>
      <c r="AO136" s="32">
        <f>[2]Districts_Boroughs!DS105</f>
        <v>68</v>
      </c>
      <c r="AP136" s="32">
        <f>[2]Districts_Boroughs!DT105</f>
        <v>69</v>
      </c>
      <c r="AQ136" s="32">
        <f>[2]Districts_Boroughs!DU105</f>
        <v>91</v>
      </c>
      <c r="AR136" s="32">
        <f>[2]Districts_Boroughs!DV105</f>
        <v>90</v>
      </c>
      <c r="AS136" s="32">
        <f>[2]Districts_Boroughs!DW105</f>
        <v>51</v>
      </c>
      <c r="AT136" s="32">
        <f>[2]Districts_Boroughs!DX105</f>
        <v>61</v>
      </c>
      <c r="AU136" s="32">
        <f>[2]Districts_Boroughs!DY105</f>
        <v>71</v>
      </c>
      <c r="AV136" s="32">
        <f>[2]Districts_Boroughs!DZ105</f>
        <v>80</v>
      </c>
      <c r="AW136" s="32">
        <f>[2]Districts_Boroughs!EA105</f>
        <v>71</v>
      </c>
      <c r="AX136" s="32">
        <f>[2]Districts_Boroughs!EB105</f>
        <v>66</v>
      </c>
      <c r="AY136" s="32">
        <f>[2]Districts_Boroughs!EC105</f>
        <v>87</v>
      </c>
    </row>
    <row r="137" spans="2:51" x14ac:dyDescent="0.35">
      <c r="B137" t="str">
        <f t="shared" si="9"/>
        <v>RugbyViolence Without Injury</v>
      </c>
      <c r="C137" s="357" t="s">
        <v>40</v>
      </c>
      <c r="D137" s="32">
        <f>[2]Districts_Boroughs!CH106</f>
        <v>182</v>
      </c>
      <c r="E137" s="32">
        <f>[2]Districts_Boroughs!CI106</f>
        <v>230</v>
      </c>
      <c r="F137" s="32">
        <f>[2]Districts_Boroughs!CJ106</f>
        <v>227</v>
      </c>
      <c r="G137" s="32">
        <f>[2]Districts_Boroughs!CK106</f>
        <v>222</v>
      </c>
      <c r="H137" s="32">
        <f>[2]Districts_Boroughs!CL106</f>
        <v>203</v>
      </c>
      <c r="I137" s="32">
        <f>[2]Districts_Boroughs!CM106</f>
        <v>223</v>
      </c>
      <c r="J137" s="32">
        <f>[2]Districts_Boroughs!CN106</f>
        <v>220</v>
      </c>
      <c r="K137" s="32">
        <f>[2]Districts_Boroughs!CO106</f>
        <v>179</v>
      </c>
      <c r="L137" s="32">
        <f>[2]Districts_Boroughs!CP106</f>
        <v>183</v>
      </c>
      <c r="M137" s="32">
        <f>[2]Districts_Boroughs!CQ106</f>
        <v>174</v>
      </c>
      <c r="N137" s="32">
        <f>[2]Districts_Boroughs!CR106</f>
        <v>160</v>
      </c>
      <c r="O137" s="32">
        <f>[2]Districts_Boroughs!CS106</f>
        <v>162</v>
      </c>
      <c r="P137" s="32">
        <f>[2]Districts_Boroughs!CT106</f>
        <v>175</v>
      </c>
      <c r="Q137" s="32">
        <f>[2]Districts_Boroughs!CU106</f>
        <v>187</v>
      </c>
      <c r="R137" s="32">
        <f>[2]Districts_Boroughs!CV106</f>
        <v>153</v>
      </c>
      <c r="S137" s="32">
        <f>[2]Districts_Boroughs!CW106</f>
        <v>188</v>
      </c>
      <c r="T137" s="32">
        <f>[2]Districts_Boroughs!CX106</f>
        <v>161</v>
      </c>
      <c r="U137" s="32">
        <f>[2]Districts_Boroughs!CY106</f>
        <v>150</v>
      </c>
      <c r="V137" s="32">
        <f>[2]Districts_Boroughs!CZ106</f>
        <v>143</v>
      </c>
      <c r="W137" s="32">
        <f>[2]Districts_Boroughs!DA106</f>
        <v>161</v>
      </c>
      <c r="X137" s="32">
        <f>[2]Districts_Boroughs!DB106</f>
        <v>144</v>
      </c>
      <c r="Y137" s="32">
        <f>[2]Districts_Boroughs!DC106</f>
        <v>119</v>
      </c>
      <c r="Z137" s="32">
        <f>[2]Districts_Boroughs!DD106</f>
        <v>155</v>
      </c>
      <c r="AA137" s="32">
        <f>[2]Districts_Boroughs!DE106</f>
        <v>153</v>
      </c>
      <c r="AB137" s="32">
        <f>[2]Districts_Boroughs!DF106</f>
        <v>150</v>
      </c>
      <c r="AC137" s="32">
        <f>[2]Districts_Boroughs!DG106</f>
        <v>177</v>
      </c>
      <c r="AD137" s="32">
        <f>[2]Districts_Boroughs!DH106</f>
        <v>181</v>
      </c>
      <c r="AE137" s="32">
        <f>[2]Districts_Boroughs!DI106</f>
        <v>140</v>
      </c>
      <c r="AF137" s="32">
        <f>[2]Districts_Boroughs!DJ106</f>
        <v>149</v>
      </c>
      <c r="AG137" s="32">
        <f>[2]Districts_Boroughs!DK106</f>
        <v>156</v>
      </c>
      <c r="AH137" s="32">
        <f>[2]Districts_Boroughs!DL106</f>
        <v>144</v>
      </c>
      <c r="AI137" s="32">
        <f>[2]Districts_Boroughs!DM106</f>
        <v>176</v>
      </c>
      <c r="AJ137" s="32">
        <f>[2]Districts_Boroughs!DN106</f>
        <v>170</v>
      </c>
      <c r="AK137" s="32">
        <f>[2]Districts_Boroughs!DO106</f>
        <v>139</v>
      </c>
      <c r="AL137" s="32">
        <f>[2]Districts_Boroughs!DP106</f>
        <v>139</v>
      </c>
      <c r="AM137" s="32">
        <f>[2]Districts_Boroughs!DQ106</f>
        <v>173</v>
      </c>
      <c r="AN137" s="32">
        <f>[2]Districts_Boroughs!DR106</f>
        <v>174</v>
      </c>
      <c r="AO137" s="32">
        <f>[2]Districts_Boroughs!DS106</f>
        <v>136</v>
      </c>
      <c r="AP137" s="32">
        <f>[2]Districts_Boroughs!DT106</f>
        <v>136</v>
      </c>
      <c r="AQ137" s="32">
        <f>[2]Districts_Boroughs!DU106</f>
        <v>157</v>
      </c>
      <c r="AR137" s="32">
        <f>[2]Districts_Boroughs!DV106</f>
        <v>137</v>
      </c>
      <c r="AS137" s="32">
        <f>[2]Districts_Boroughs!DW106</f>
        <v>135</v>
      </c>
      <c r="AT137" s="32">
        <f>[2]Districts_Boroughs!DX106</f>
        <v>129</v>
      </c>
      <c r="AU137" s="32">
        <f>[2]Districts_Boroughs!DY106</f>
        <v>136</v>
      </c>
      <c r="AV137" s="32">
        <f>[2]Districts_Boroughs!DZ106</f>
        <v>164</v>
      </c>
      <c r="AW137" s="32">
        <f>[2]Districts_Boroughs!EA106</f>
        <v>142</v>
      </c>
      <c r="AX137" s="32">
        <f>[2]Districts_Boroughs!EB106</f>
        <v>126</v>
      </c>
      <c r="AY137" s="32">
        <f>[2]Districts_Boroughs!EC106</f>
        <v>142</v>
      </c>
    </row>
    <row r="138" spans="2:51" x14ac:dyDescent="0.35">
      <c r="B138" t="str">
        <f t="shared" si="9"/>
        <v>RugbyRape</v>
      </c>
      <c r="C138" s="357" t="s">
        <v>5</v>
      </c>
      <c r="D138" s="32">
        <f>[2]Districts_Boroughs!CH107</f>
        <v>8</v>
      </c>
      <c r="E138" s="32">
        <f>[2]Districts_Boroughs!CI107</f>
        <v>4</v>
      </c>
      <c r="F138" s="32">
        <f>[2]Districts_Boroughs!CJ107</f>
        <v>17</v>
      </c>
      <c r="G138" s="32">
        <f>[2]Districts_Boroughs!CK107</f>
        <v>4</v>
      </c>
      <c r="H138" s="32">
        <f>[2]Districts_Boroughs!CL107</f>
        <v>7</v>
      </c>
      <c r="I138" s="32">
        <f>[2]Districts_Boroughs!CM107</f>
        <v>10</v>
      </c>
      <c r="J138" s="32">
        <f>[2]Districts_Boroughs!CN107</f>
        <v>16</v>
      </c>
      <c r="K138" s="32">
        <f>[2]Districts_Boroughs!CO107</f>
        <v>13</v>
      </c>
      <c r="L138" s="32">
        <f>[2]Districts_Boroughs!CP107</f>
        <v>12</v>
      </c>
      <c r="M138" s="32">
        <f>[2]Districts_Boroughs!CQ107</f>
        <v>6</v>
      </c>
      <c r="N138" s="32">
        <f>[2]Districts_Boroughs!CR107</f>
        <v>9</v>
      </c>
      <c r="O138" s="32">
        <f>[2]Districts_Boroughs!CS107</f>
        <v>15</v>
      </c>
      <c r="P138" s="32">
        <f>[2]Districts_Boroughs!CT107</f>
        <v>15</v>
      </c>
      <c r="Q138" s="32">
        <f>[2]Districts_Boroughs!CU107</f>
        <v>8</v>
      </c>
      <c r="R138" s="32">
        <f>[2]Districts_Boroughs!CV107</f>
        <v>12</v>
      </c>
      <c r="S138" s="32">
        <f>[2]Districts_Boroughs!CW107</f>
        <v>8</v>
      </c>
      <c r="T138" s="32">
        <f>[2]Districts_Boroughs!CX107</f>
        <v>5</v>
      </c>
      <c r="U138" s="32">
        <f>[2]Districts_Boroughs!CY107</f>
        <v>6</v>
      </c>
      <c r="V138" s="32">
        <f>[2]Districts_Boroughs!CZ107</f>
        <v>7</v>
      </c>
      <c r="W138" s="32">
        <f>[2]Districts_Boroughs!DA107</f>
        <v>8</v>
      </c>
      <c r="X138" s="32">
        <f>[2]Districts_Boroughs!DB107</f>
        <v>9</v>
      </c>
      <c r="Y138" s="32">
        <f>[2]Districts_Boroughs!DC107</f>
        <v>7</v>
      </c>
      <c r="Z138" s="32">
        <f>[2]Districts_Boroughs!DD107</f>
        <v>5</v>
      </c>
      <c r="AA138" s="32">
        <f>[2]Districts_Boroughs!DE107</f>
        <v>11</v>
      </c>
      <c r="AB138" s="32">
        <f>[2]Districts_Boroughs!DF107</f>
        <v>5</v>
      </c>
      <c r="AC138" s="32">
        <f>[2]Districts_Boroughs!DG107</f>
        <v>10</v>
      </c>
      <c r="AD138" s="32">
        <f>[2]Districts_Boroughs!DH107</f>
        <v>9</v>
      </c>
      <c r="AE138" s="32">
        <f>[2]Districts_Boroughs!DI107</f>
        <v>5</v>
      </c>
      <c r="AF138" s="32">
        <f>[2]Districts_Boroughs!DJ107</f>
        <v>3</v>
      </c>
      <c r="AG138" s="32">
        <f>[2]Districts_Boroughs!DK107</f>
        <v>9</v>
      </c>
      <c r="AH138" s="32">
        <f>[2]Districts_Boroughs!DL107</f>
        <v>5</v>
      </c>
      <c r="AI138" s="32">
        <f>[2]Districts_Boroughs!DM107</f>
        <v>8</v>
      </c>
      <c r="AJ138" s="32">
        <f>[2]Districts_Boroughs!DN107</f>
        <v>14</v>
      </c>
      <c r="AK138" s="32">
        <f>[2]Districts_Boroughs!DO107</f>
        <v>9</v>
      </c>
      <c r="AL138" s="32">
        <f>[2]Districts_Boroughs!DP107</f>
        <v>6</v>
      </c>
      <c r="AM138" s="32">
        <f>[2]Districts_Boroughs!DQ107</f>
        <v>8</v>
      </c>
      <c r="AN138" s="32">
        <f>[2]Districts_Boroughs!DR107</f>
        <v>8</v>
      </c>
      <c r="AO138" s="32">
        <f>[2]Districts_Boroughs!DS107</f>
        <v>11</v>
      </c>
      <c r="AP138" s="32">
        <f>[2]Districts_Boroughs!DT107</f>
        <v>11</v>
      </c>
      <c r="AQ138" s="32">
        <f>[2]Districts_Boroughs!DU107</f>
        <v>11</v>
      </c>
      <c r="AR138" s="32">
        <f>[2]Districts_Boroughs!DV107</f>
        <v>8</v>
      </c>
      <c r="AS138" s="32">
        <f>[2]Districts_Boroughs!DW107</f>
        <v>10</v>
      </c>
      <c r="AT138" s="32">
        <f>[2]Districts_Boroughs!DX107</f>
        <v>7</v>
      </c>
      <c r="AU138" s="32">
        <f>[2]Districts_Boroughs!DY107</f>
        <v>6</v>
      </c>
      <c r="AV138" s="32">
        <f>[2]Districts_Boroughs!DZ107</f>
        <v>7</v>
      </c>
      <c r="AW138" s="32">
        <f>[2]Districts_Boroughs!EA107</f>
        <v>10</v>
      </c>
      <c r="AX138" s="32">
        <f>[2]Districts_Boroughs!EB107</f>
        <v>9</v>
      </c>
      <c r="AY138" s="32">
        <f>[2]Districts_Boroughs!EC107</f>
        <v>9</v>
      </c>
    </row>
    <row r="139" spans="2:51" x14ac:dyDescent="0.35">
      <c r="B139" t="str">
        <f t="shared" si="9"/>
        <v>RugbyOther Sexual Offences</v>
      </c>
      <c r="C139" s="357" t="s">
        <v>35</v>
      </c>
      <c r="D139" s="32">
        <f>[2]Districts_Boroughs!CH108</f>
        <v>21</v>
      </c>
      <c r="E139" s="32">
        <f>[2]Districts_Boroughs!CI108</f>
        <v>9</v>
      </c>
      <c r="F139" s="32">
        <f>[2]Districts_Boroughs!CJ108</f>
        <v>28</v>
      </c>
      <c r="G139" s="32">
        <f>[2]Districts_Boroughs!CK108</f>
        <v>17</v>
      </c>
      <c r="H139" s="32">
        <f>[2]Districts_Boroughs!CL108</f>
        <v>16</v>
      </c>
      <c r="I139" s="32">
        <f>[2]Districts_Boroughs!CM108</f>
        <v>12</v>
      </c>
      <c r="J139" s="32">
        <f>[2]Districts_Boroughs!CN108</f>
        <v>22</v>
      </c>
      <c r="K139" s="32">
        <f>[2]Districts_Boroughs!CO108</f>
        <v>15</v>
      </c>
      <c r="L139" s="32">
        <f>[2]Districts_Boroughs!CP108</f>
        <v>11</v>
      </c>
      <c r="M139" s="32">
        <f>[2]Districts_Boroughs!CQ108</f>
        <v>22</v>
      </c>
      <c r="N139" s="32">
        <f>[2]Districts_Boroughs!CR108</f>
        <v>19</v>
      </c>
      <c r="O139" s="32">
        <f>[2]Districts_Boroughs!CS108</f>
        <v>20</v>
      </c>
      <c r="P139" s="32">
        <f>[2]Districts_Boroughs!CT108</f>
        <v>16</v>
      </c>
      <c r="Q139" s="32">
        <f>[2]Districts_Boroughs!CU108</f>
        <v>17</v>
      </c>
      <c r="R139" s="32">
        <f>[2]Districts_Boroughs!CV108</f>
        <v>21</v>
      </c>
      <c r="S139" s="32">
        <f>[2]Districts_Boroughs!CW108</f>
        <v>19</v>
      </c>
      <c r="T139" s="32">
        <f>[2]Districts_Boroughs!CX108</f>
        <v>18</v>
      </c>
      <c r="U139" s="32">
        <f>[2]Districts_Boroughs!CY108</f>
        <v>26</v>
      </c>
      <c r="V139" s="32">
        <f>[2]Districts_Boroughs!CZ108</f>
        <v>19</v>
      </c>
      <c r="W139" s="32">
        <f>[2]Districts_Boroughs!DA108</f>
        <v>16</v>
      </c>
      <c r="X139" s="32">
        <f>[2]Districts_Boroughs!DB108</f>
        <v>8</v>
      </c>
      <c r="Y139" s="32">
        <f>[2]Districts_Boroughs!DC108</f>
        <v>14</v>
      </c>
      <c r="Z139" s="32">
        <f>[2]Districts_Boroughs!DD108</f>
        <v>15</v>
      </c>
      <c r="AA139" s="32">
        <f>[2]Districts_Boroughs!DE108</f>
        <v>34</v>
      </c>
      <c r="AB139" s="32">
        <f>[2]Districts_Boroughs!DF108</f>
        <v>14</v>
      </c>
      <c r="AC139" s="32">
        <f>[2]Districts_Boroughs!DG108</f>
        <v>22</v>
      </c>
      <c r="AD139" s="32">
        <f>[2]Districts_Boroughs!DH108</f>
        <v>36</v>
      </c>
      <c r="AE139" s="32">
        <f>[2]Districts_Boroughs!DI108</f>
        <v>15</v>
      </c>
      <c r="AF139" s="32">
        <f>[2]Districts_Boroughs!DJ108</f>
        <v>23</v>
      </c>
      <c r="AG139" s="32">
        <f>[2]Districts_Boroughs!DK108</f>
        <v>14</v>
      </c>
      <c r="AH139" s="32">
        <f>[2]Districts_Boroughs!DL108</f>
        <v>29</v>
      </c>
      <c r="AI139" s="32">
        <f>[2]Districts_Boroughs!DM108</f>
        <v>19</v>
      </c>
      <c r="AJ139" s="32">
        <f>[2]Districts_Boroughs!DN108</f>
        <v>20</v>
      </c>
      <c r="AK139" s="32">
        <f>[2]Districts_Boroughs!DO108</f>
        <v>21</v>
      </c>
      <c r="AL139" s="32">
        <f>[2]Districts_Boroughs!DP108</f>
        <v>9</v>
      </c>
      <c r="AM139" s="32">
        <f>[2]Districts_Boroughs!DQ108</f>
        <v>15</v>
      </c>
      <c r="AN139" s="32">
        <f>[2]Districts_Boroughs!DR108</f>
        <v>23</v>
      </c>
      <c r="AO139" s="32">
        <f>[2]Districts_Boroughs!DS108</f>
        <v>45</v>
      </c>
      <c r="AP139" s="32">
        <f>[2]Districts_Boroughs!DT108</f>
        <v>16</v>
      </c>
      <c r="AQ139" s="32">
        <f>[2]Districts_Boroughs!DU108</f>
        <v>22</v>
      </c>
      <c r="AR139" s="32">
        <f>[2]Districts_Boroughs!DV108</f>
        <v>19</v>
      </c>
      <c r="AS139" s="32">
        <f>[2]Districts_Boroughs!DW108</f>
        <v>14</v>
      </c>
      <c r="AT139" s="32">
        <f>[2]Districts_Boroughs!DX108</f>
        <v>29</v>
      </c>
      <c r="AU139" s="32">
        <f>[2]Districts_Boroughs!DY108</f>
        <v>28</v>
      </c>
      <c r="AV139" s="32">
        <f>[2]Districts_Boroughs!DZ108</f>
        <v>22</v>
      </c>
      <c r="AW139" s="32">
        <f>[2]Districts_Boroughs!EA108</f>
        <v>15</v>
      </c>
      <c r="AX139" s="32">
        <f>[2]Districts_Boroughs!EB108</f>
        <v>20</v>
      </c>
      <c r="AY139" s="32">
        <f>[2]Districts_Boroughs!EC108</f>
        <v>21</v>
      </c>
    </row>
    <row r="140" spans="2:51" x14ac:dyDescent="0.35">
      <c r="B140" t="str">
        <f t="shared" si="9"/>
        <v>RugbyBusiness Robbery</v>
      </c>
      <c r="C140" s="357" t="s">
        <v>36</v>
      </c>
      <c r="D140" s="32">
        <f>[2]Districts_Boroughs!CH109</f>
        <v>2</v>
      </c>
      <c r="E140" s="32">
        <f>[2]Districts_Boroughs!CI109</f>
        <v>2</v>
      </c>
      <c r="F140" s="32" t="str">
        <f>[2]Districts_Boroughs!CJ109</f>
        <v>0</v>
      </c>
      <c r="G140" s="32" t="str">
        <f>[2]Districts_Boroughs!CK109</f>
        <v>0</v>
      </c>
      <c r="H140" s="32" t="str">
        <f>[2]Districts_Boroughs!CL109</f>
        <v>0</v>
      </c>
      <c r="I140" s="32" t="str">
        <f>[2]Districts_Boroughs!CM109</f>
        <v>0</v>
      </c>
      <c r="J140" s="32" t="str">
        <f>[2]Districts_Boroughs!CN109</f>
        <v>0</v>
      </c>
      <c r="K140" s="32">
        <f>[2]Districts_Boroughs!CO109</f>
        <v>1</v>
      </c>
      <c r="L140" s="32" t="str">
        <f>[2]Districts_Boroughs!CP109</f>
        <v>0</v>
      </c>
      <c r="M140" s="32" t="str">
        <f>[2]Districts_Boroughs!CQ109</f>
        <v>0</v>
      </c>
      <c r="N140" s="32" t="str">
        <f>[2]Districts_Boroughs!CR109</f>
        <v>0</v>
      </c>
      <c r="O140" s="32">
        <f>[2]Districts_Boroughs!CS109</f>
        <v>1</v>
      </c>
      <c r="P140" s="32">
        <f>[2]Districts_Boroughs!CT109</f>
        <v>0</v>
      </c>
      <c r="Q140" s="32">
        <f>[2]Districts_Boroughs!CU109</f>
        <v>1</v>
      </c>
      <c r="R140" s="32">
        <f>[2]Districts_Boroughs!CV109</f>
        <v>1</v>
      </c>
      <c r="S140" s="32">
        <f>[2]Districts_Boroughs!CW109</f>
        <v>0</v>
      </c>
      <c r="T140" s="32">
        <f>[2]Districts_Boroughs!CX109</f>
        <v>1</v>
      </c>
      <c r="U140" s="32">
        <f>[2]Districts_Boroughs!CY109</f>
        <v>0</v>
      </c>
      <c r="V140" s="32">
        <f>[2]Districts_Boroughs!CZ109</f>
        <v>0</v>
      </c>
      <c r="W140" s="32">
        <f>[2]Districts_Boroughs!DA109</f>
        <v>0</v>
      </c>
      <c r="X140" s="32">
        <f>[2]Districts_Boroughs!DB109</f>
        <v>0</v>
      </c>
      <c r="Y140" s="32">
        <f>[2]Districts_Boroughs!DC109</f>
        <v>1</v>
      </c>
      <c r="Z140" s="32">
        <f>[2]Districts_Boroughs!DD109</f>
        <v>0</v>
      </c>
      <c r="AA140" s="32">
        <f>[2]Districts_Boroughs!DE109</f>
        <v>0</v>
      </c>
      <c r="AB140" s="32">
        <f>[2]Districts_Boroughs!DF109</f>
        <v>2</v>
      </c>
      <c r="AC140" s="32">
        <f>[2]Districts_Boroughs!DG109</f>
        <v>1</v>
      </c>
      <c r="AD140" s="32">
        <f>[2]Districts_Boroughs!DH109</f>
        <v>1</v>
      </c>
      <c r="AE140" s="32">
        <f>[2]Districts_Boroughs!DI109</f>
        <v>0</v>
      </c>
      <c r="AF140" s="32">
        <f>[2]Districts_Boroughs!DJ109</f>
        <v>1</v>
      </c>
      <c r="AG140" s="32">
        <f>[2]Districts_Boroughs!DK109</f>
        <v>0</v>
      </c>
      <c r="AH140" s="32">
        <f>[2]Districts_Boroughs!DL109</f>
        <v>1</v>
      </c>
      <c r="AI140" s="32">
        <f>[2]Districts_Boroughs!DM109</f>
        <v>2</v>
      </c>
      <c r="AJ140" s="32">
        <f>[2]Districts_Boroughs!DN109</f>
        <v>1</v>
      </c>
      <c r="AK140" s="32">
        <f>[2]Districts_Boroughs!DO109</f>
        <v>0</v>
      </c>
      <c r="AL140" s="32">
        <f>[2]Districts_Boroughs!DP109</f>
        <v>1</v>
      </c>
      <c r="AM140" s="32">
        <f>[2]Districts_Boroughs!DQ109</f>
        <v>1</v>
      </c>
      <c r="AN140" s="32">
        <f>[2]Districts_Boroughs!DR109</f>
        <v>0</v>
      </c>
      <c r="AO140" s="32">
        <f>[2]Districts_Boroughs!DS109</f>
        <v>0</v>
      </c>
      <c r="AP140" s="32">
        <f>[2]Districts_Boroughs!DT109</f>
        <v>0</v>
      </c>
      <c r="AQ140" s="32">
        <f>[2]Districts_Boroughs!DU109</f>
        <v>1</v>
      </c>
      <c r="AR140" s="32">
        <f>[2]Districts_Boroughs!DV109</f>
        <v>0</v>
      </c>
      <c r="AS140" s="32">
        <f>[2]Districts_Boroughs!DW109</f>
        <v>0</v>
      </c>
      <c r="AT140" s="32">
        <f>[2]Districts_Boroughs!DX109</f>
        <v>3</v>
      </c>
      <c r="AU140" s="32">
        <f>[2]Districts_Boroughs!DY109</f>
        <v>0</v>
      </c>
      <c r="AV140" s="32">
        <f>[2]Districts_Boroughs!DZ109</f>
        <v>2</v>
      </c>
      <c r="AW140" s="32">
        <f>[2]Districts_Boroughs!EA109</f>
        <v>2</v>
      </c>
      <c r="AX140" s="32">
        <f>[2]Districts_Boroughs!EB109</f>
        <v>3</v>
      </c>
      <c r="AY140" s="32">
        <f>[2]Districts_Boroughs!EC109</f>
        <v>1</v>
      </c>
    </row>
    <row r="141" spans="2:51" x14ac:dyDescent="0.35">
      <c r="B141" t="str">
        <f t="shared" si="9"/>
        <v>RugbyPersonal Robbery</v>
      </c>
      <c r="C141" s="357" t="s">
        <v>37</v>
      </c>
      <c r="D141" s="32">
        <f>[2]Districts_Boroughs!CH110</f>
        <v>8</v>
      </c>
      <c r="E141" s="32">
        <f>[2]Districts_Boroughs!CI110</f>
        <v>1</v>
      </c>
      <c r="F141" s="32">
        <f>[2]Districts_Boroughs!CJ110</f>
        <v>9</v>
      </c>
      <c r="G141" s="32">
        <f>[2]Districts_Boroughs!CK110</f>
        <v>10</v>
      </c>
      <c r="H141" s="32">
        <f>[2]Districts_Boroughs!CL110</f>
        <v>10</v>
      </c>
      <c r="I141" s="32">
        <f>[2]Districts_Boroughs!CM110</f>
        <v>7</v>
      </c>
      <c r="J141" s="32">
        <f>[2]Districts_Boroughs!CN110</f>
        <v>10</v>
      </c>
      <c r="K141" s="32">
        <f>[2]Districts_Boroughs!CO110</f>
        <v>6</v>
      </c>
      <c r="L141" s="32">
        <f>[2]Districts_Boroughs!CP110</f>
        <v>5</v>
      </c>
      <c r="M141" s="32">
        <f>[2]Districts_Boroughs!CQ110</f>
        <v>3</v>
      </c>
      <c r="N141" s="32">
        <f>[2]Districts_Boroughs!CR110</f>
        <v>7</v>
      </c>
      <c r="O141" s="32">
        <f>[2]Districts_Boroughs!CS110</f>
        <v>4</v>
      </c>
      <c r="P141" s="32">
        <f>[2]Districts_Boroughs!CT110</f>
        <v>8</v>
      </c>
      <c r="Q141" s="32">
        <f>[2]Districts_Boroughs!CU110</f>
        <v>4</v>
      </c>
      <c r="R141" s="32">
        <f>[2]Districts_Boroughs!CV110</f>
        <v>5</v>
      </c>
      <c r="S141" s="32">
        <f>[2]Districts_Boroughs!CW110</f>
        <v>3</v>
      </c>
      <c r="T141" s="32">
        <f>[2]Districts_Boroughs!CX110</f>
        <v>4</v>
      </c>
      <c r="U141" s="32">
        <f>[2]Districts_Boroughs!CY110</f>
        <v>1</v>
      </c>
      <c r="V141" s="32">
        <f>[2]Districts_Boroughs!CZ110</f>
        <v>5</v>
      </c>
      <c r="W141" s="32">
        <f>[2]Districts_Boroughs!DA110</f>
        <v>8</v>
      </c>
      <c r="X141" s="32">
        <f>[2]Districts_Boroughs!DB110</f>
        <v>2</v>
      </c>
      <c r="Y141" s="32">
        <f>[2]Districts_Boroughs!DC110</f>
        <v>1</v>
      </c>
      <c r="Z141" s="32">
        <f>[2]Districts_Boroughs!DD110</f>
        <v>5</v>
      </c>
      <c r="AA141" s="32">
        <f>[2]Districts_Boroughs!DE110</f>
        <v>3</v>
      </c>
      <c r="AB141" s="32">
        <f>[2]Districts_Boroughs!DF110</f>
        <v>2</v>
      </c>
      <c r="AC141" s="32">
        <f>[2]Districts_Boroughs!DG110</f>
        <v>3</v>
      </c>
      <c r="AD141" s="32">
        <f>[2]Districts_Boroughs!DH110</f>
        <v>2</v>
      </c>
      <c r="AE141" s="32">
        <f>[2]Districts_Boroughs!DI110</f>
        <v>4</v>
      </c>
      <c r="AF141" s="32">
        <f>[2]Districts_Boroughs!DJ110</f>
        <v>4</v>
      </c>
      <c r="AG141" s="32">
        <f>[2]Districts_Boroughs!DK110</f>
        <v>5</v>
      </c>
      <c r="AH141" s="32">
        <f>[2]Districts_Boroughs!DL110</f>
        <v>1</v>
      </c>
      <c r="AI141" s="32">
        <f>[2]Districts_Boroughs!DM110</f>
        <v>3</v>
      </c>
      <c r="AJ141" s="32">
        <f>[2]Districts_Boroughs!DN110</f>
        <v>1</v>
      </c>
      <c r="AK141" s="32">
        <f>[2]Districts_Boroughs!DO110</f>
        <v>3</v>
      </c>
      <c r="AL141" s="32">
        <f>[2]Districts_Boroughs!DP110</f>
        <v>2</v>
      </c>
      <c r="AM141" s="32">
        <f>[2]Districts_Boroughs!DQ110</f>
        <v>3</v>
      </c>
      <c r="AN141" s="32">
        <f>[2]Districts_Boroughs!DR110</f>
        <v>8</v>
      </c>
      <c r="AO141" s="32">
        <f>[2]Districts_Boroughs!DS110</f>
        <v>3</v>
      </c>
      <c r="AP141" s="32">
        <f>[2]Districts_Boroughs!DT110</f>
        <v>4</v>
      </c>
      <c r="AQ141" s="32">
        <f>[2]Districts_Boroughs!DU110</f>
        <v>13</v>
      </c>
      <c r="AR141" s="32">
        <f>[2]Districts_Boroughs!DV110</f>
        <v>2</v>
      </c>
      <c r="AS141" s="32">
        <f>[2]Districts_Boroughs!DW110</f>
        <v>6</v>
      </c>
      <c r="AT141" s="32">
        <f>[2]Districts_Boroughs!DX110</f>
        <v>2</v>
      </c>
      <c r="AU141" s="32">
        <f>[2]Districts_Boroughs!DY110</f>
        <v>0</v>
      </c>
      <c r="AV141" s="32">
        <f>[2]Districts_Boroughs!DZ110</f>
        <v>2</v>
      </c>
      <c r="AW141" s="32">
        <f>[2]Districts_Boroughs!EA110</f>
        <v>4</v>
      </c>
      <c r="AX141" s="32">
        <f>[2]Districts_Boroughs!EB110</f>
        <v>1</v>
      </c>
      <c r="AY141" s="32">
        <f>[2]Districts_Boroughs!EC110</f>
        <v>8</v>
      </c>
    </row>
    <row r="142" spans="2:51" x14ac:dyDescent="0.35">
      <c r="B142" t="str">
        <f t="shared" si="9"/>
        <v>RugbyBurglary Residential</v>
      </c>
      <c r="C142" s="357" t="s">
        <v>31</v>
      </c>
      <c r="D142" s="32">
        <f>[2]Districts_Boroughs!CH111</f>
        <v>15</v>
      </c>
      <c r="E142" s="32">
        <f>[2]Districts_Boroughs!CI111</f>
        <v>27</v>
      </c>
      <c r="F142" s="32">
        <f>[2]Districts_Boroughs!CJ111</f>
        <v>14</v>
      </c>
      <c r="G142" s="32">
        <f>[2]Districts_Boroughs!CK111</f>
        <v>15</v>
      </c>
      <c r="H142" s="32">
        <f>[2]Districts_Boroughs!CL111</f>
        <v>8</v>
      </c>
      <c r="I142" s="32">
        <f>[2]Districts_Boroughs!CM111</f>
        <v>21</v>
      </c>
      <c r="J142" s="32">
        <f>[2]Districts_Boroughs!CN111</f>
        <v>23</v>
      </c>
      <c r="K142" s="32">
        <f>[2]Districts_Boroughs!CO111</f>
        <v>15</v>
      </c>
      <c r="L142" s="32">
        <f>[2]Districts_Boroughs!CP111</f>
        <v>14</v>
      </c>
      <c r="M142" s="32">
        <f>[2]Districts_Boroughs!CQ111</f>
        <v>21</v>
      </c>
      <c r="N142" s="32">
        <f>[2]Districts_Boroughs!CR111</f>
        <v>10</v>
      </c>
      <c r="O142" s="32">
        <f>[2]Districts_Boroughs!CS111</f>
        <v>27</v>
      </c>
      <c r="P142" s="32">
        <f>[2]Districts_Boroughs!CT111</f>
        <v>12</v>
      </c>
      <c r="Q142" s="32">
        <f>[2]Districts_Boroughs!CU111</f>
        <v>19</v>
      </c>
      <c r="R142" s="32">
        <f>[2]Districts_Boroughs!CV111</f>
        <v>12</v>
      </c>
      <c r="S142" s="32">
        <f>[2]Districts_Boroughs!CW111</f>
        <v>14</v>
      </c>
      <c r="T142" s="32">
        <f>[2]Districts_Boroughs!CX111</f>
        <v>11</v>
      </c>
      <c r="U142" s="32">
        <f>[2]Districts_Boroughs!CY111</f>
        <v>12</v>
      </c>
      <c r="V142" s="32">
        <f>[2]Districts_Boroughs!CZ111</f>
        <v>14</v>
      </c>
      <c r="W142" s="32">
        <f>[2]Districts_Boroughs!DA111</f>
        <v>14</v>
      </c>
      <c r="X142" s="32">
        <f>[2]Districts_Boroughs!DB111</f>
        <v>14</v>
      </c>
      <c r="Y142" s="32">
        <f>[2]Districts_Boroughs!DC111</f>
        <v>15</v>
      </c>
      <c r="Z142" s="32">
        <f>[2]Districts_Boroughs!DD111</f>
        <v>10</v>
      </c>
      <c r="AA142" s="32">
        <f>[2]Districts_Boroughs!DE111</f>
        <v>15</v>
      </c>
      <c r="AB142" s="32">
        <f>[2]Districts_Boroughs!DF111</f>
        <v>19</v>
      </c>
      <c r="AC142" s="32">
        <f>[2]Districts_Boroughs!DG111</f>
        <v>15</v>
      </c>
      <c r="AD142" s="32">
        <f>[2]Districts_Boroughs!DH111</f>
        <v>9</v>
      </c>
      <c r="AE142" s="32">
        <f>[2]Districts_Boroughs!DI111</f>
        <v>4</v>
      </c>
      <c r="AF142" s="32">
        <f>[2]Districts_Boroughs!DJ111</f>
        <v>16</v>
      </c>
      <c r="AG142" s="32">
        <f>[2]Districts_Boroughs!DK111</f>
        <v>17</v>
      </c>
      <c r="AH142" s="32">
        <f>[2]Districts_Boroughs!DL111</f>
        <v>14</v>
      </c>
      <c r="AI142" s="32">
        <f>[2]Districts_Boroughs!DM111</f>
        <v>9</v>
      </c>
      <c r="AJ142" s="32">
        <f>[2]Districts_Boroughs!DN111</f>
        <v>8</v>
      </c>
      <c r="AK142" s="32">
        <f>[2]Districts_Boroughs!DO111</f>
        <v>18</v>
      </c>
      <c r="AL142" s="32">
        <f>[2]Districts_Boroughs!DP111</f>
        <v>22</v>
      </c>
      <c r="AM142" s="32">
        <f>[2]Districts_Boroughs!DQ111</f>
        <v>18</v>
      </c>
      <c r="AN142" s="32">
        <f>[2]Districts_Boroughs!DR111</f>
        <v>28</v>
      </c>
      <c r="AO142" s="32">
        <f>[2]Districts_Boroughs!DS111</f>
        <v>14</v>
      </c>
      <c r="AP142" s="32">
        <f>[2]Districts_Boroughs!DT111</f>
        <v>15</v>
      </c>
      <c r="AQ142" s="32">
        <f>[2]Districts_Boroughs!DU111</f>
        <v>24</v>
      </c>
      <c r="AR142" s="32">
        <f>[2]Districts_Boroughs!DV111</f>
        <v>25</v>
      </c>
      <c r="AS142" s="32">
        <f>[2]Districts_Boroughs!DW111</f>
        <v>24</v>
      </c>
      <c r="AT142" s="32">
        <f>[2]Districts_Boroughs!DX111</f>
        <v>20</v>
      </c>
      <c r="AU142" s="32">
        <f>[2]Districts_Boroughs!DY111</f>
        <v>20</v>
      </c>
      <c r="AV142" s="32">
        <f>[2]Districts_Boroughs!DZ111</f>
        <v>27</v>
      </c>
      <c r="AW142" s="32">
        <f>[2]Districts_Boroughs!EA111</f>
        <v>11</v>
      </c>
      <c r="AX142" s="32">
        <f>[2]Districts_Boroughs!EB111</f>
        <v>14</v>
      </c>
      <c r="AY142" s="32">
        <f>[2]Districts_Boroughs!EC111</f>
        <v>11</v>
      </c>
    </row>
    <row r="143" spans="2:51" x14ac:dyDescent="0.35">
      <c r="B143" t="str">
        <f t="shared" si="8"/>
        <v>RugbyBurglary Business and Community</v>
      </c>
      <c r="C143" s="357" t="s">
        <v>55</v>
      </c>
      <c r="D143" s="32">
        <f>[2]Districts_Boroughs!CH112</f>
        <v>5</v>
      </c>
      <c r="E143" s="32">
        <f>[2]Districts_Boroughs!CI112</f>
        <v>4</v>
      </c>
      <c r="F143" s="32">
        <f>[2]Districts_Boroughs!CJ112</f>
        <v>7</v>
      </c>
      <c r="G143" s="32">
        <f>[2]Districts_Boroughs!CK112</f>
        <v>9</v>
      </c>
      <c r="H143" s="32">
        <f>[2]Districts_Boroughs!CL112</f>
        <v>12</v>
      </c>
      <c r="I143" s="32">
        <f>[2]Districts_Boroughs!CM112</f>
        <v>6</v>
      </c>
      <c r="J143" s="32">
        <f>[2]Districts_Boroughs!CN112</f>
        <v>5</v>
      </c>
      <c r="K143" s="32">
        <f>[2]Districts_Boroughs!CO112</f>
        <v>12</v>
      </c>
      <c r="L143" s="32">
        <f>[2]Districts_Boroughs!CP112</f>
        <v>9</v>
      </c>
      <c r="M143" s="32">
        <f>[2]Districts_Boroughs!CQ112</f>
        <v>13</v>
      </c>
      <c r="N143" s="32">
        <f>[2]Districts_Boroughs!CR112</f>
        <v>7</v>
      </c>
      <c r="O143" s="32">
        <f>[2]Districts_Boroughs!CS112</f>
        <v>11</v>
      </c>
      <c r="P143" s="32">
        <f>[2]Districts_Boroughs!CT112</f>
        <v>8</v>
      </c>
      <c r="Q143" s="32">
        <f>[2]Districts_Boroughs!CU112</f>
        <v>12</v>
      </c>
      <c r="R143" s="32">
        <f>[2]Districts_Boroughs!CV112</f>
        <v>5</v>
      </c>
      <c r="S143" s="32">
        <f>[2]Districts_Boroughs!CW112</f>
        <v>9</v>
      </c>
      <c r="T143" s="32">
        <f>[2]Districts_Boroughs!CX112</f>
        <v>2</v>
      </c>
      <c r="U143" s="32">
        <f>[2]Districts_Boroughs!CY112</f>
        <v>7</v>
      </c>
      <c r="V143" s="32">
        <f>[2]Districts_Boroughs!CZ112</f>
        <v>10</v>
      </c>
      <c r="W143" s="32">
        <f>[2]Districts_Boroughs!DA112</f>
        <v>8</v>
      </c>
      <c r="X143" s="32">
        <f>[2]Districts_Boroughs!DB112</f>
        <v>11</v>
      </c>
      <c r="Y143" s="32">
        <f>[2]Districts_Boroughs!DC112</f>
        <v>5</v>
      </c>
      <c r="Z143" s="32">
        <f>[2]Districts_Boroughs!DD112</f>
        <v>7</v>
      </c>
      <c r="AA143" s="32">
        <f>[2]Districts_Boroughs!DE112</f>
        <v>15</v>
      </c>
      <c r="AB143" s="32">
        <f>[2]Districts_Boroughs!DF112</f>
        <v>9</v>
      </c>
      <c r="AC143" s="32">
        <f>[2]Districts_Boroughs!DG112</f>
        <v>10</v>
      </c>
      <c r="AD143" s="32">
        <f>[2]Districts_Boroughs!DH112</f>
        <v>14</v>
      </c>
      <c r="AE143" s="32">
        <f>[2]Districts_Boroughs!DI112</f>
        <v>10</v>
      </c>
      <c r="AF143" s="32">
        <f>[2]Districts_Boroughs!DJ112</f>
        <v>12</v>
      </c>
      <c r="AG143" s="32">
        <f>[2]Districts_Boroughs!DK112</f>
        <v>13</v>
      </c>
      <c r="AH143" s="32">
        <f>[2]Districts_Boroughs!DL112</f>
        <v>20</v>
      </c>
      <c r="AI143" s="32">
        <f>[2]Districts_Boroughs!DM112</f>
        <v>20</v>
      </c>
      <c r="AJ143" s="32">
        <f>[2]Districts_Boroughs!DN112</f>
        <v>16</v>
      </c>
      <c r="AK143" s="32">
        <f>[2]Districts_Boroughs!DO112</f>
        <v>21</v>
      </c>
      <c r="AL143" s="32">
        <f>[2]Districts_Boroughs!DP112</f>
        <v>10</v>
      </c>
      <c r="AM143" s="32">
        <f>[2]Districts_Boroughs!DQ112</f>
        <v>17</v>
      </c>
      <c r="AN143" s="32">
        <f>[2]Districts_Boroughs!DR112</f>
        <v>8</v>
      </c>
      <c r="AO143" s="32">
        <f>[2]Districts_Boroughs!DS112</f>
        <v>19</v>
      </c>
      <c r="AP143" s="32">
        <f>[2]Districts_Boroughs!DT112</f>
        <v>10</v>
      </c>
      <c r="AQ143" s="32">
        <f>[2]Districts_Boroughs!DU112</f>
        <v>8</v>
      </c>
      <c r="AR143" s="32">
        <f>[2]Districts_Boroughs!DV112</f>
        <v>25</v>
      </c>
      <c r="AS143" s="32">
        <f>[2]Districts_Boroughs!DW112</f>
        <v>6</v>
      </c>
      <c r="AT143" s="32">
        <f>[2]Districts_Boroughs!DX112</f>
        <v>8</v>
      </c>
      <c r="AU143" s="32">
        <f>[2]Districts_Boroughs!DY112</f>
        <v>12</v>
      </c>
      <c r="AV143" s="32">
        <f>[2]Districts_Boroughs!DZ112</f>
        <v>10</v>
      </c>
      <c r="AW143" s="32">
        <f>[2]Districts_Boroughs!EA112</f>
        <v>14</v>
      </c>
      <c r="AX143" s="32">
        <f>[2]Districts_Boroughs!EB112</f>
        <v>11</v>
      </c>
      <c r="AY143" s="32">
        <f>[2]Districts_Boroughs!EC112</f>
        <v>6</v>
      </c>
    </row>
    <row r="144" spans="2:51" x14ac:dyDescent="0.35">
      <c r="B144" t="str">
        <f>CONCATENATE($C$132,C144)</f>
        <v>RugbyVehicle Offences</v>
      </c>
      <c r="C144" s="357" t="s">
        <v>38</v>
      </c>
      <c r="D144" s="32">
        <f>[2]Districts_Boroughs!CH113</f>
        <v>29</v>
      </c>
      <c r="E144" s="32">
        <f>[2]Districts_Boroughs!CI113</f>
        <v>42</v>
      </c>
      <c r="F144" s="32">
        <f>[2]Districts_Boroughs!CJ113</f>
        <v>30</v>
      </c>
      <c r="G144" s="32">
        <f>[2]Districts_Boroughs!CK113</f>
        <v>39</v>
      </c>
      <c r="H144" s="32">
        <f>[2]Districts_Boroughs!CL113</f>
        <v>54</v>
      </c>
      <c r="I144" s="32">
        <f>[2]Districts_Boroughs!CM113</f>
        <v>41</v>
      </c>
      <c r="J144" s="32">
        <f>[2]Districts_Boroughs!CN113</f>
        <v>36</v>
      </c>
      <c r="K144" s="32">
        <f>[2]Districts_Boroughs!CO113</f>
        <v>70</v>
      </c>
      <c r="L144" s="32">
        <f>[2]Districts_Boroughs!CP113</f>
        <v>57</v>
      </c>
      <c r="M144" s="32">
        <f>[2]Districts_Boroughs!CQ113</f>
        <v>64</v>
      </c>
      <c r="N144" s="32">
        <f>[2]Districts_Boroughs!CR113</f>
        <v>49</v>
      </c>
      <c r="O144" s="32">
        <f>[2]Districts_Boroughs!CS113</f>
        <v>53</v>
      </c>
      <c r="P144" s="32">
        <f>[2]Districts_Boroughs!CT113</f>
        <v>84</v>
      </c>
      <c r="Q144" s="32">
        <f>[2]Districts_Boroughs!CU113</f>
        <v>48</v>
      </c>
      <c r="R144" s="32">
        <f>[2]Districts_Boroughs!CV113</f>
        <v>80</v>
      </c>
      <c r="S144" s="32">
        <f>[2]Districts_Boroughs!CW113</f>
        <v>58</v>
      </c>
      <c r="T144" s="32">
        <f>[2]Districts_Boroughs!CX113</f>
        <v>77</v>
      </c>
      <c r="U144" s="32">
        <f>[2]Districts_Boroughs!CY113</f>
        <v>60</v>
      </c>
      <c r="V144" s="32">
        <f>[2]Districts_Boroughs!CZ113</f>
        <v>62</v>
      </c>
      <c r="W144" s="32">
        <f>[2]Districts_Boroughs!DA113</f>
        <v>81</v>
      </c>
      <c r="X144" s="32">
        <f>[2]Districts_Boroughs!DB113</f>
        <v>26</v>
      </c>
      <c r="Y144" s="32">
        <f>[2]Districts_Boroughs!DC113</f>
        <v>68</v>
      </c>
      <c r="Z144" s="32">
        <f>[2]Districts_Boroughs!DD113</f>
        <v>50</v>
      </c>
      <c r="AA144" s="32">
        <f>[2]Districts_Boroughs!DE113</f>
        <v>62</v>
      </c>
      <c r="AB144" s="32">
        <f>[2]Districts_Boroughs!DF113</f>
        <v>53</v>
      </c>
      <c r="AC144" s="32">
        <f>[2]Districts_Boroughs!DG113</f>
        <v>60</v>
      </c>
      <c r="AD144" s="32">
        <f>[2]Districts_Boroughs!DH113</f>
        <v>44</v>
      </c>
      <c r="AE144" s="32">
        <f>[2]Districts_Boroughs!DI113</f>
        <v>57</v>
      </c>
      <c r="AF144" s="32">
        <f>[2]Districts_Boroughs!DJ113</f>
        <v>55</v>
      </c>
      <c r="AG144" s="32">
        <f>[2]Districts_Boroughs!DK113</f>
        <v>53</v>
      </c>
      <c r="AH144" s="32">
        <f>[2]Districts_Boroughs!DL113</f>
        <v>43</v>
      </c>
      <c r="AI144" s="32">
        <f>[2]Districts_Boroughs!DM113</f>
        <v>54</v>
      </c>
      <c r="AJ144" s="32">
        <f>[2]Districts_Boroughs!DN113</f>
        <v>45</v>
      </c>
      <c r="AK144" s="32">
        <f>[2]Districts_Boroughs!DO113</f>
        <v>50</v>
      </c>
      <c r="AL144" s="32">
        <f>[2]Districts_Boroughs!DP113</f>
        <v>44</v>
      </c>
      <c r="AM144" s="32">
        <f>[2]Districts_Boroughs!DQ113</f>
        <v>53</v>
      </c>
      <c r="AN144" s="32">
        <f>[2]Districts_Boroughs!DR113</f>
        <v>43</v>
      </c>
      <c r="AO144" s="32">
        <f>[2]Districts_Boroughs!DS113</f>
        <v>50</v>
      </c>
      <c r="AP144" s="32">
        <f>[2]Districts_Boroughs!DT113</f>
        <v>55</v>
      </c>
      <c r="AQ144" s="32">
        <f>[2]Districts_Boroughs!DU113</f>
        <v>47</v>
      </c>
      <c r="AR144" s="32">
        <f>[2]Districts_Boroughs!DV113</f>
        <v>34</v>
      </c>
      <c r="AS144" s="32">
        <f>[2]Districts_Boroughs!DW113</f>
        <v>45</v>
      </c>
      <c r="AT144" s="32">
        <f>[2]Districts_Boroughs!DX113</f>
        <v>40</v>
      </c>
      <c r="AU144" s="32">
        <f>[2]Districts_Boroughs!DY113</f>
        <v>54</v>
      </c>
      <c r="AV144" s="32">
        <f>[2]Districts_Boroughs!DZ113</f>
        <v>23</v>
      </c>
      <c r="AW144" s="32">
        <f>[2]Districts_Boroughs!EA113</f>
        <v>29</v>
      </c>
      <c r="AX144" s="32">
        <f>[2]Districts_Boroughs!EB113</f>
        <v>35</v>
      </c>
      <c r="AY144" s="32">
        <f>[2]Districts_Boroughs!EC113</f>
        <v>39</v>
      </c>
    </row>
    <row r="145" spans="1:51" x14ac:dyDescent="0.35">
      <c r="B145" t="str">
        <f>CONCATENATE($C$132,C145)</f>
        <v>RugbyShoplifting</v>
      </c>
      <c r="C145" s="357" t="s">
        <v>17</v>
      </c>
      <c r="D145" s="32">
        <f>[2]Districts_Boroughs!CH114</f>
        <v>24</v>
      </c>
      <c r="E145" s="32">
        <f>[2]Districts_Boroughs!CI114</f>
        <v>41</v>
      </c>
      <c r="F145" s="32">
        <f>[2]Districts_Boroughs!CJ114</f>
        <v>23</v>
      </c>
      <c r="G145" s="32">
        <f>[2]Districts_Boroughs!CK114</f>
        <v>24</v>
      </c>
      <c r="H145" s="32">
        <f>[2]Districts_Boroughs!CL114</f>
        <v>30</v>
      </c>
      <c r="I145" s="32">
        <f>[2]Districts_Boroughs!CM114</f>
        <v>25</v>
      </c>
      <c r="J145" s="32">
        <f>[2]Districts_Boroughs!CN114</f>
        <v>35</v>
      </c>
      <c r="K145" s="32">
        <f>[2]Districts_Boroughs!CO114</f>
        <v>43</v>
      </c>
      <c r="L145" s="32">
        <f>[2]Districts_Boroughs!CP114</f>
        <v>33</v>
      </c>
      <c r="M145" s="32">
        <f>[2]Districts_Boroughs!CQ114</f>
        <v>15</v>
      </c>
      <c r="N145" s="32">
        <f>[2]Districts_Boroughs!CR114</f>
        <v>26</v>
      </c>
      <c r="O145" s="32">
        <f>[2]Districts_Boroughs!CS114</f>
        <v>35</v>
      </c>
      <c r="P145" s="32">
        <f>[2]Districts_Boroughs!CT114</f>
        <v>35</v>
      </c>
      <c r="Q145" s="32">
        <f>[2]Districts_Boroughs!CU114</f>
        <v>26</v>
      </c>
      <c r="R145" s="32">
        <f>[2]Districts_Boroughs!CV114</f>
        <v>27</v>
      </c>
      <c r="S145" s="32">
        <f>[2]Districts_Boroughs!CW114</f>
        <v>17</v>
      </c>
      <c r="T145" s="32">
        <f>[2]Districts_Boroughs!CX114</f>
        <v>39</v>
      </c>
      <c r="U145" s="32">
        <f>[2]Districts_Boroughs!CY114</f>
        <v>29</v>
      </c>
      <c r="V145" s="32">
        <f>[2]Districts_Boroughs!CZ114</f>
        <v>29</v>
      </c>
      <c r="W145" s="32">
        <f>[2]Districts_Boroughs!DA114</f>
        <v>54</v>
      </c>
      <c r="X145" s="32">
        <f>[2]Districts_Boroughs!DB114</f>
        <v>59</v>
      </c>
      <c r="Y145" s="32">
        <f>[2]Districts_Boroughs!DC114</f>
        <v>43</v>
      </c>
      <c r="Z145" s="32">
        <f>[2]Districts_Boroughs!DD114</f>
        <v>53</v>
      </c>
      <c r="AA145" s="32">
        <f>[2]Districts_Boroughs!DE114</f>
        <v>53</v>
      </c>
      <c r="AB145" s="32">
        <f>[2]Districts_Boroughs!DF114</f>
        <v>49</v>
      </c>
      <c r="AC145" s="32">
        <f>[2]Districts_Boroughs!DG114</f>
        <v>29</v>
      </c>
      <c r="AD145" s="32">
        <f>[2]Districts_Boroughs!DH114</f>
        <v>50</v>
      </c>
      <c r="AE145" s="32">
        <f>[2]Districts_Boroughs!DI114</f>
        <v>35</v>
      </c>
      <c r="AF145" s="32">
        <f>[2]Districts_Boroughs!DJ114</f>
        <v>45</v>
      </c>
      <c r="AG145" s="32">
        <f>[2]Districts_Boroughs!DK114</f>
        <v>61</v>
      </c>
      <c r="AH145" s="32">
        <f>[2]Districts_Boroughs!DL114</f>
        <v>50</v>
      </c>
      <c r="AI145" s="32">
        <f>[2]Districts_Boroughs!DM114</f>
        <v>72</v>
      </c>
      <c r="AJ145" s="32">
        <f>[2]Districts_Boroughs!DN114</f>
        <v>45</v>
      </c>
      <c r="AK145" s="32">
        <f>[2]Districts_Boroughs!DO114</f>
        <v>52</v>
      </c>
      <c r="AL145" s="32">
        <f>[2]Districts_Boroughs!DP114</f>
        <v>59</v>
      </c>
      <c r="AM145" s="32">
        <f>[2]Districts_Boroughs!DQ114</f>
        <v>57</v>
      </c>
      <c r="AN145" s="32">
        <f>[2]Districts_Boroughs!DR114</f>
        <v>69</v>
      </c>
      <c r="AO145" s="32">
        <f>[2]Districts_Boroughs!DS114</f>
        <v>51</v>
      </c>
      <c r="AP145" s="32">
        <f>[2]Districts_Boroughs!DT114</f>
        <v>33</v>
      </c>
      <c r="AQ145" s="32">
        <f>[2]Districts_Boroughs!DU114</f>
        <v>50</v>
      </c>
      <c r="AR145" s="32">
        <f>[2]Districts_Boroughs!DV114</f>
        <v>40</v>
      </c>
      <c r="AS145" s="32">
        <f>[2]Districts_Boroughs!DW114</f>
        <v>38</v>
      </c>
      <c r="AT145" s="32">
        <f>[2]Districts_Boroughs!DX114</f>
        <v>66</v>
      </c>
      <c r="AU145" s="32">
        <f>[2]Districts_Boroughs!DY114</f>
        <v>46</v>
      </c>
      <c r="AV145" s="32">
        <f>[2]Districts_Boroughs!DZ114</f>
        <v>44</v>
      </c>
      <c r="AW145" s="32">
        <f>[2]Districts_Boroughs!EA114</f>
        <v>36</v>
      </c>
      <c r="AX145" s="32">
        <f>[2]Districts_Boroughs!EB114</f>
        <v>53</v>
      </c>
      <c r="AY145" s="32">
        <f>[2]Districts_Boroughs!EC114</f>
        <v>43</v>
      </c>
    </row>
    <row r="146" spans="1:51" ht="14.25" customHeight="1" x14ac:dyDescent="0.35">
      <c r="B146" t="str">
        <f t="shared" si="8"/>
        <v>RugbyCriminal Damage &amp; Arson</v>
      </c>
      <c r="C146" s="357" t="s">
        <v>34</v>
      </c>
      <c r="D146" s="32">
        <f>[2]Districts_Boroughs!CH115</f>
        <v>45</v>
      </c>
      <c r="E146" s="32">
        <f>[2]Districts_Boroughs!CI115</f>
        <v>53</v>
      </c>
      <c r="F146" s="32">
        <f>[2]Districts_Boroughs!CJ115</f>
        <v>50</v>
      </c>
      <c r="G146" s="32">
        <f>[2]Districts_Boroughs!CK115</f>
        <v>51</v>
      </c>
      <c r="H146" s="32">
        <f>[2]Districts_Boroughs!CL115</f>
        <v>66</v>
      </c>
      <c r="I146" s="32">
        <f>[2]Districts_Boroughs!CM115</f>
        <v>63</v>
      </c>
      <c r="J146" s="32">
        <f>[2]Districts_Boroughs!CN115</f>
        <v>70</v>
      </c>
      <c r="K146" s="32">
        <f>[2]Districts_Boroughs!CO115</f>
        <v>51</v>
      </c>
      <c r="L146" s="32">
        <f>[2]Districts_Boroughs!CP115</f>
        <v>48</v>
      </c>
      <c r="M146" s="32">
        <f>[2]Districts_Boroughs!CQ115</f>
        <v>49</v>
      </c>
      <c r="N146" s="32">
        <f>[2]Districts_Boroughs!CR115</f>
        <v>41</v>
      </c>
      <c r="O146" s="32">
        <f>[2]Districts_Boroughs!CS115</f>
        <v>101</v>
      </c>
      <c r="P146" s="32">
        <f>[2]Districts_Boroughs!CT115</f>
        <v>68</v>
      </c>
      <c r="Q146" s="32">
        <f>[2]Districts_Boroughs!CU115</f>
        <v>57</v>
      </c>
      <c r="R146" s="32">
        <f>[2]Districts_Boroughs!CV115</f>
        <v>67</v>
      </c>
      <c r="S146" s="32">
        <f>[2]Districts_Boroughs!CW115</f>
        <v>70</v>
      </c>
      <c r="T146" s="32">
        <f>[2]Districts_Boroughs!CX115</f>
        <v>73</v>
      </c>
      <c r="U146" s="32">
        <f>[2]Districts_Boroughs!CY115</f>
        <v>50</v>
      </c>
      <c r="V146" s="32">
        <f>[2]Districts_Boroughs!CZ115</f>
        <v>44</v>
      </c>
      <c r="W146" s="32">
        <f>[2]Districts_Boroughs!DA115</f>
        <v>59</v>
      </c>
      <c r="X146" s="32">
        <f>[2]Districts_Boroughs!DB115</f>
        <v>53</v>
      </c>
      <c r="Y146" s="32">
        <f>[2]Districts_Boroughs!DC115</f>
        <v>36</v>
      </c>
      <c r="Z146" s="32">
        <f>[2]Districts_Boroughs!DD115</f>
        <v>50</v>
      </c>
      <c r="AA146" s="32">
        <f>[2]Districts_Boroughs!DE115</f>
        <v>52</v>
      </c>
      <c r="AB146" s="32">
        <f>[2]Districts_Boroughs!DF115</f>
        <v>39</v>
      </c>
      <c r="AC146" s="32">
        <f>[2]Districts_Boroughs!DG115</f>
        <v>46</v>
      </c>
      <c r="AD146" s="32">
        <f>[2]Districts_Boroughs!DH115</f>
        <v>59</v>
      </c>
      <c r="AE146" s="32">
        <f>[2]Districts_Boroughs!DI115</f>
        <v>53</v>
      </c>
      <c r="AF146" s="32">
        <f>[2]Districts_Boroughs!DJ115</f>
        <v>41</v>
      </c>
      <c r="AG146" s="32">
        <f>[2]Districts_Boroughs!DK115</f>
        <v>47</v>
      </c>
      <c r="AH146" s="32">
        <f>[2]Districts_Boroughs!DL115</f>
        <v>34</v>
      </c>
      <c r="AI146" s="32">
        <f>[2]Districts_Boroughs!DM115</f>
        <v>28</v>
      </c>
      <c r="AJ146" s="32">
        <f>[2]Districts_Boroughs!DN115</f>
        <v>48</v>
      </c>
      <c r="AK146" s="32">
        <f>[2]Districts_Boroughs!DO115</f>
        <v>32</v>
      </c>
      <c r="AL146" s="32">
        <f>[2]Districts_Boroughs!DP115</f>
        <v>28</v>
      </c>
      <c r="AM146" s="32">
        <f>[2]Districts_Boroughs!DQ115</f>
        <v>63</v>
      </c>
      <c r="AN146" s="32">
        <f>[2]Districts_Boroughs!DR115</f>
        <v>33</v>
      </c>
      <c r="AO146" s="32">
        <f>[2]Districts_Boroughs!DS115</f>
        <v>56</v>
      </c>
      <c r="AP146" s="32">
        <f>[2]Districts_Boroughs!DT115</f>
        <v>39</v>
      </c>
      <c r="AQ146" s="32">
        <f>[2]Districts_Boroughs!DU115</f>
        <v>45</v>
      </c>
      <c r="AR146" s="32">
        <f>[2]Districts_Boroughs!DV115</f>
        <v>46</v>
      </c>
      <c r="AS146" s="32">
        <f>[2]Districts_Boroughs!DW115</f>
        <v>42</v>
      </c>
      <c r="AT146" s="32">
        <f>[2]Districts_Boroughs!DX115</f>
        <v>36</v>
      </c>
      <c r="AU146" s="32">
        <f>[2]Districts_Boroughs!DY115</f>
        <v>46</v>
      </c>
      <c r="AV146" s="32">
        <f>[2]Districts_Boroughs!DZ115</f>
        <v>32</v>
      </c>
      <c r="AW146" s="32">
        <f>[2]Districts_Boroughs!EA115</f>
        <v>29</v>
      </c>
      <c r="AX146" s="32">
        <f>[2]Districts_Boroughs!EB115</f>
        <v>37</v>
      </c>
      <c r="AY146" s="32">
        <f>[2]Districts_Boroughs!EC115</f>
        <v>46</v>
      </c>
    </row>
    <row r="147" spans="1:51" x14ac:dyDescent="0.35">
      <c r="B147" t="str">
        <f t="shared" si="8"/>
        <v>RugbyTotal Robbery</v>
      </c>
      <c r="C147" s="357" t="s">
        <v>41</v>
      </c>
      <c r="D147" s="32">
        <f>[2]Districts_Boroughs!CH116</f>
        <v>10</v>
      </c>
      <c r="E147" s="32">
        <f>[2]Districts_Boroughs!CI116</f>
        <v>3</v>
      </c>
      <c r="F147" s="32">
        <f>[2]Districts_Boroughs!CJ116</f>
        <v>9</v>
      </c>
      <c r="G147" s="32">
        <f>[2]Districts_Boroughs!CK116</f>
        <v>10</v>
      </c>
      <c r="H147" s="32">
        <f>[2]Districts_Boroughs!CL116</f>
        <v>10</v>
      </c>
      <c r="I147" s="32">
        <f>[2]Districts_Boroughs!CM116</f>
        <v>7</v>
      </c>
      <c r="J147" s="32">
        <f>[2]Districts_Boroughs!CN116</f>
        <v>10</v>
      </c>
      <c r="K147" s="32">
        <f>[2]Districts_Boroughs!CO116</f>
        <v>7</v>
      </c>
      <c r="L147" s="32">
        <f>[2]Districts_Boroughs!CP116</f>
        <v>5</v>
      </c>
      <c r="M147" s="32">
        <f>[2]Districts_Boroughs!CQ116</f>
        <v>3</v>
      </c>
      <c r="N147" s="32">
        <f>[2]Districts_Boroughs!CR116</f>
        <v>7</v>
      </c>
      <c r="O147" s="32">
        <f>[2]Districts_Boroughs!CS116</f>
        <v>5</v>
      </c>
      <c r="P147" s="32">
        <f>[2]Districts_Boroughs!CT116</f>
        <v>8</v>
      </c>
      <c r="Q147" s="32">
        <f>[2]Districts_Boroughs!CU116</f>
        <v>5</v>
      </c>
      <c r="R147" s="32">
        <f>[2]Districts_Boroughs!CV116</f>
        <v>6</v>
      </c>
      <c r="S147" s="32">
        <f>[2]Districts_Boroughs!CW116</f>
        <v>3</v>
      </c>
      <c r="T147" s="32">
        <f>[2]Districts_Boroughs!CX116</f>
        <v>5</v>
      </c>
      <c r="U147" s="32">
        <f>[2]Districts_Boroughs!CY116</f>
        <v>1</v>
      </c>
      <c r="V147" s="32">
        <f>[2]Districts_Boroughs!CZ116</f>
        <v>5</v>
      </c>
      <c r="W147" s="32">
        <f>[2]Districts_Boroughs!DA116</f>
        <v>8</v>
      </c>
      <c r="X147" s="32">
        <f>[2]Districts_Boroughs!DB116</f>
        <v>2</v>
      </c>
      <c r="Y147" s="32">
        <f>[2]Districts_Boroughs!DC116</f>
        <v>2</v>
      </c>
      <c r="Z147" s="32">
        <f>[2]Districts_Boroughs!DD116</f>
        <v>5</v>
      </c>
      <c r="AA147" s="32">
        <f>[2]Districts_Boroughs!DE116</f>
        <v>3</v>
      </c>
      <c r="AB147" s="32">
        <f>[2]Districts_Boroughs!DF116</f>
        <v>4</v>
      </c>
      <c r="AC147" s="32">
        <f>[2]Districts_Boroughs!DG116</f>
        <v>4</v>
      </c>
      <c r="AD147" s="32">
        <f>[2]Districts_Boroughs!DH116</f>
        <v>3</v>
      </c>
      <c r="AE147" s="32">
        <f>[2]Districts_Boroughs!DI116</f>
        <v>4</v>
      </c>
      <c r="AF147" s="32">
        <f>[2]Districts_Boroughs!DJ116</f>
        <v>5</v>
      </c>
      <c r="AG147" s="32">
        <f>[2]Districts_Boroughs!DK116</f>
        <v>5</v>
      </c>
      <c r="AH147" s="32">
        <f>[2]Districts_Boroughs!DL116</f>
        <v>2</v>
      </c>
      <c r="AI147" s="32">
        <f>[2]Districts_Boroughs!DM116</f>
        <v>5</v>
      </c>
      <c r="AJ147" s="32">
        <f>[2]Districts_Boroughs!DN116</f>
        <v>2</v>
      </c>
      <c r="AK147" s="32">
        <f>[2]Districts_Boroughs!DO116</f>
        <v>3</v>
      </c>
      <c r="AL147" s="32">
        <f>[2]Districts_Boroughs!DP116</f>
        <v>3</v>
      </c>
      <c r="AM147" s="32">
        <f>[2]Districts_Boroughs!DQ116</f>
        <v>4</v>
      </c>
      <c r="AN147" s="32">
        <f>[2]Districts_Boroughs!DR116</f>
        <v>8</v>
      </c>
      <c r="AO147" s="32">
        <f>[2]Districts_Boroughs!DS116</f>
        <v>3</v>
      </c>
      <c r="AP147" s="32">
        <f>[2]Districts_Boroughs!DT116</f>
        <v>4</v>
      </c>
      <c r="AQ147" s="32">
        <f>[2]Districts_Boroughs!DU116</f>
        <v>14</v>
      </c>
      <c r="AR147" s="32">
        <f>[2]Districts_Boroughs!DV116</f>
        <v>2</v>
      </c>
      <c r="AS147" s="32">
        <f>[2]Districts_Boroughs!DW116</f>
        <v>6</v>
      </c>
      <c r="AT147" s="32">
        <f>[2]Districts_Boroughs!DX116</f>
        <v>5</v>
      </c>
      <c r="AU147" s="32">
        <f>[2]Districts_Boroughs!DY116</f>
        <v>0</v>
      </c>
      <c r="AV147" s="32">
        <f>[2]Districts_Boroughs!DZ116</f>
        <v>4</v>
      </c>
      <c r="AW147" s="32">
        <f>[2]Districts_Boroughs!EA116</f>
        <v>6</v>
      </c>
      <c r="AX147" s="32">
        <f>[2]Districts_Boroughs!EB116</f>
        <v>4</v>
      </c>
      <c r="AY147" s="32">
        <f>[2]Districts_Boroughs!EC116</f>
        <v>9</v>
      </c>
    </row>
    <row r="148" spans="1:51" x14ac:dyDescent="0.35">
      <c r="B148" t="str">
        <f t="shared" si="8"/>
        <v>RugbyTotal VAP &amp; Sexual Offences</v>
      </c>
      <c r="C148" s="357" t="s">
        <v>42</v>
      </c>
      <c r="D148" s="32">
        <f>[2]Districts_Boroughs!CH117</f>
        <v>297</v>
      </c>
      <c r="E148" s="32">
        <f>[2]Districts_Boroughs!CI117</f>
        <v>319</v>
      </c>
      <c r="F148" s="32">
        <f>[2]Districts_Boroughs!CJ117</f>
        <v>329</v>
      </c>
      <c r="G148" s="32">
        <f>[2]Districts_Boroughs!CK117</f>
        <v>317</v>
      </c>
      <c r="H148" s="32">
        <f>[2]Districts_Boroughs!CL117</f>
        <v>302</v>
      </c>
      <c r="I148" s="32">
        <f>[2]Districts_Boroughs!CM117</f>
        <v>338</v>
      </c>
      <c r="J148" s="32">
        <f>[2]Districts_Boroughs!CN117</f>
        <v>341</v>
      </c>
      <c r="K148" s="32">
        <f>[2]Districts_Boroughs!CO117</f>
        <v>275</v>
      </c>
      <c r="L148" s="32">
        <f>[2]Districts_Boroughs!CP117</f>
        <v>271</v>
      </c>
      <c r="M148" s="32">
        <f>[2]Districts_Boroughs!CQ117</f>
        <v>261</v>
      </c>
      <c r="N148" s="32">
        <f>[2]Districts_Boroughs!CR117</f>
        <v>239</v>
      </c>
      <c r="O148" s="32">
        <f>[2]Districts_Boroughs!CS117</f>
        <v>281</v>
      </c>
      <c r="P148" s="32">
        <f>[2]Districts_Boroughs!CT117</f>
        <v>274</v>
      </c>
      <c r="Q148" s="32">
        <f>[2]Districts_Boroughs!CU117</f>
        <v>287</v>
      </c>
      <c r="R148" s="32">
        <f>[2]Districts_Boroughs!CV117</f>
        <v>255</v>
      </c>
      <c r="S148" s="32">
        <f>[2]Districts_Boroughs!CW117</f>
        <v>312</v>
      </c>
      <c r="T148" s="32">
        <f>[2]Districts_Boroughs!CX117</f>
        <v>245</v>
      </c>
      <c r="U148" s="32">
        <f>[2]Districts_Boroughs!CY117</f>
        <v>237</v>
      </c>
      <c r="V148" s="32">
        <f>[2]Districts_Boroughs!CZ117</f>
        <v>233</v>
      </c>
      <c r="W148" s="32">
        <f>[2]Districts_Boroughs!DA117</f>
        <v>240</v>
      </c>
      <c r="X148" s="32">
        <f>[2]Districts_Boroughs!DB117</f>
        <v>219</v>
      </c>
      <c r="Y148" s="32">
        <f>[2]Districts_Boroughs!DC117</f>
        <v>198</v>
      </c>
      <c r="Z148" s="32">
        <f>[2]Districts_Boroughs!DD117</f>
        <v>254</v>
      </c>
      <c r="AA148" s="32">
        <f>[2]Districts_Boroughs!DE117</f>
        <v>280</v>
      </c>
      <c r="AB148" s="32">
        <f>[2]Districts_Boroughs!DF117</f>
        <v>238</v>
      </c>
      <c r="AC148" s="32">
        <f>[2]Districts_Boroughs!DG117</f>
        <v>295</v>
      </c>
      <c r="AD148" s="32">
        <f>[2]Districts_Boroughs!DH117</f>
        <v>302</v>
      </c>
      <c r="AE148" s="32">
        <f>[2]Districts_Boroughs!DI117</f>
        <v>243</v>
      </c>
      <c r="AF148" s="32">
        <f>[2]Districts_Boroughs!DJ117</f>
        <v>250</v>
      </c>
      <c r="AG148" s="32">
        <f>[2]Districts_Boroughs!DK117</f>
        <v>240</v>
      </c>
      <c r="AH148" s="32">
        <f>[2]Districts_Boroughs!DL117</f>
        <v>261</v>
      </c>
      <c r="AI148" s="32">
        <f>[2]Districts_Boroughs!DM117</f>
        <v>263</v>
      </c>
      <c r="AJ148" s="32">
        <f>[2]Districts_Boroughs!DN117</f>
        <v>280</v>
      </c>
      <c r="AK148" s="32">
        <f>[2]Districts_Boroughs!DO117</f>
        <v>233</v>
      </c>
      <c r="AL148" s="32">
        <f>[2]Districts_Boroughs!DP117</f>
        <v>213</v>
      </c>
      <c r="AM148" s="32">
        <f>[2]Districts_Boroughs!DQ117</f>
        <v>260</v>
      </c>
      <c r="AN148" s="32">
        <f>[2]Districts_Boroughs!DR117</f>
        <v>271</v>
      </c>
      <c r="AO148" s="32">
        <f>[2]Districts_Boroughs!DS117</f>
        <v>260</v>
      </c>
      <c r="AP148" s="32">
        <f>[2]Districts_Boroughs!DT117</f>
        <v>232</v>
      </c>
      <c r="AQ148" s="32">
        <f>[2]Districts_Boroughs!DU117</f>
        <v>281</v>
      </c>
      <c r="AR148" s="32">
        <f>[2]Districts_Boroughs!DV117</f>
        <v>254</v>
      </c>
      <c r="AS148" s="32">
        <f>[2]Districts_Boroughs!DW117</f>
        <v>210</v>
      </c>
      <c r="AT148" s="32">
        <f>[2]Districts_Boroughs!DX117</f>
        <v>226</v>
      </c>
      <c r="AU148" s="32">
        <f>[2]Districts_Boroughs!DY117</f>
        <v>241</v>
      </c>
      <c r="AV148" s="32">
        <f>[2]Districts_Boroughs!DZ117</f>
        <v>273</v>
      </c>
      <c r="AW148" s="32">
        <f>[2]Districts_Boroughs!EA117</f>
        <v>238</v>
      </c>
      <c r="AX148" s="32">
        <f>[2]Districts_Boroughs!EB117</f>
        <v>221</v>
      </c>
      <c r="AY148" s="32">
        <f>[2]Districts_Boroughs!EC117</f>
        <v>259</v>
      </c>
    </row>
    <row r="149" spans="1:51" x14ac:dyDescent="0.35">
      <c r="B149" t="str">
        <f t="shared" si="8"/>
        <v>Rugby</v>
      </c>
      <c r="C149" s="357"/>
      <c r="D149" s="32">
        <f>[2]Districts_Boroughs!CH118</f>
        <v>0</v>
      </c>
      <c r="E149" s="32">
        <f>[2]Districts_Boroughs!CI118</f>
        <v>0</v>
      </c>
      <c r="F149" s="32">
        <f>[2]Districts_Boroughs!CJ118</f>
        <v>0</v>
      </c>
      <c r="G149" s="32">
        <f>[2]Districts_Boroughs!CK118</f>
        <v>0</v>
      </c>
      <c r="H149" s="32">
        <f>[2]Districts_Boroughs!CL118</f>
        <v>0</v>
      </c>
      <c r="I149" s="32">
        <f>[2]Districts_Boroughs!CM118</f>
        <v>0</v>
      </c>
      <c r="J149" s="32">
        <f>[2]Districts_Boroughs!CN118</f>
        <v>0</v>
      </c>
      <c r="K149" s="32">
        <f>[2]Districts_Boroughs!CO118</f>
        <v>0</v>
      </c>
      <c r="L149" s="32">
        <f>[2]Districts_Boroughs!CP118</f>
        <v>0</v>
      </c>
      <c r="M149" s="32">
        <f>[2]Districts_Boroughs!CQ118</f>
        <v>0</v>
      </c>
      <c r="N149" s="32">
        <f>[2]Districts_Boroughs!CR118</f>
        <v>0</v>
      </c>
      <c r="O149" s="32">
        <f>[2]Districts_Boroughs!CS118</f>
        <v>0</v>
      </c>
      <c r="P149" s="32">
        <f>[2]Districts_Boroughs!CT118</f>
        <v>0</v>
      </c>
      <c r="Q149" s="32">
        <f>[2]Districts_Boroughs!CU118</f>
        <v>0</v>
      </c>
      <c r="R149" s="32">
        <f>[2]Districts_Boroughs!CV118</f>
        <v>0</v>
      </c>
      <c r="S149" s="32">
        <f>[2]Districts_Boroughs!CW118</f>
        <v>0</v>
      </c>
      <c r="T149" s="32">
        <f>[2]Districts_Boroughs!CX118</f>
        <v>0</v>
      </c>
      <c r="U149" s="32">
        <f>[2]Districts_Boroughs!CY118</f>
        <v>0</v>
      </c>
      <c r="V149" s="32">
        <f>[2]Districts_Boroughs!CZ118</f>
        <v>0</v>
      </c>
      <c r="W149" s="32">
        <f>[2]Districts_Boroughs!DA118</f>
        <v>0</v>
      </c>
      <c r="X149" s="32">
        <f>[2]Districts_Boroughs!DB118</f>
        <v>0</v>
      </c>
      <c r="Y149" s="32">
        <f>[2]Districts_Boroughs!DC118</f>
        <v>0</v>
      </c>
      <c r="Z149" s="32">
        <f>[2]Districts_Boroughs!DD118</f>
        <v>0</v>
      </c>
      <c r="AA149" s="32">
        <f>[2]Districts_Boroughs!DE118</f>
        <v>0</v>
      </c>
      <c r="AB149" s="32">
        <f>[2]Districts_Boroughs!DF118</f>
        <v>0</v>
      </c>
      <c r="AC149" s="32">
        <f>[2]Districts_Boroughs!DG118</f>
        <v>0</v>
      </c>
      <c r="AD149" s="32">
        <f>[2]Districts_Boroughs!DH118</f>
        <v>0</v>
      </c>
      <c r="AE149" s="32">
        <f>[2]Districts_Boroughs!DI118</f>
        <v>0</v>
      </c>
      <c r="AF149" s="32">
        <f>[2]Districts_Boroughs!DJ118</f>
        <v>0</v>
      </c>
      <c r="AG149" s="32">
        <f>[2]Districts_Boroughs!DK118</f>
        <v>0</v>
      </c>
      <c r="AH149" s="32">
        <f>[2]Districts_Boroughs!DL118</f>
        <v>0</v>
      </c>
      <c r="AI149" s="32">
        <f>[2]Districts_Boroughs!DM118</f>
        <v>0</v>
      </c>
      <c r="AJ149" s="32">
        <f>[2]Districts_Boroughs!DN118</f>
        <v>0</v>
      </c>
      <c r="AK149" s="32">
        <f>[2]Districts_Boroughs!DO118</f>
        <v>0</v>
      </c>
      <c r="AL149" s="32">
        <f>[2]Districts_Boroughs!DP118</f>
        <v>0</v>
      </c>
      <c r="AM149" s="32">
        <f>[2]Districts_Boroughs!DQ118</f>
        <v>0</v>
      </c>
      <c r="AN149" s="32">
        <f>[2]Districts_Boroughs!DR118</f>
        <v>0</v>
      </c>
      <c r="AO149" s="32">
        <f>[2]Districts_Boroughs!DS118</f>
        <v>0</v>
      </c>
      <c r="AP149" s="32">
        <f>[2]Districts_Boroughs!DT118</f>
        <v>0</v>
      </c>
      <c r="AQ149" s="32">
        <f>[2]Districts_Boroughs!DU118</f>
        <v>0</v>
      </c>
      <c r="AR149" s="32">
        <f>[2]Districts_Boroughs!DV118</f>
        <v>0</v>
      </c>
      <c r="AS149" s="32">
        <f>[2]Districts_Boroughs!DW118</f>
        <v>0</v>
      </c>
      <c r="AT149" s="32">
        <f>[2]Districts_Boroughs!DX118</f>
        <v>0</v>
      </c>
      <c r="AU149" s="32">
        <f>[2]Districts_Boroughs!DY118</f>
        <v>0</v>
      </c>
      <c r="AV149" s="32">
        <f>[2]Districts_Boroughs!DZ118</f>
        <v>0</v>
      </c>
      <c r="AW149" s="32">
        <f>[2]Districts_Boroughs!EA118</f>
        <v>0</v>
      </c>
      <c r="AX149" s="32">
        <f>[2]Districts_Boroughs!EB118</f>
        <v>0</v>
      </c>
      <c r="AY149" s="32">
        <f>[2]Districts_Boroughs!EC118</f>
        <v>0</v>
      </c>
    </row>
    <row r="150" spans="1:51" x14ac:dyDescent="0.35">
      <c r="B150" t="str">
        <f t="shared" si="8"/>
        <v>RugbyVAP With Injury - Alcohol Related</v>
      </c>
      <c r="C150" s="357" t="s">
        <v>43</v>
      </c>
      <c r="D150" s="32">
        <f>[2]Districts_Boroughs!CH119</f>
        <v>14</v>
      </c>
      <c r="E150" s="32">
        <f>[2]Districts_Boroughs!CI119</f>
        <v>8</v>
      </c>
      <c r="F150" s="32">
        <f>[2]Districts_Boroughs!CJ119</f>
        <v>10</v>
      </c>
      <c r="G150" s="32">
        <f>[2]Districts_Boroughs!CK119</f>
        <v>10</v>
      </c>
      <c r="H150" s="32">
        <f>[2]Districts_Boroughs!CL119</f>
        <v>11</v>
      </c>
      <c r="I150" s="32">
        <f>[2]Districts_Boroughs!CM119</f>
        <v>15</v>
      </c>
      <c r="J150" s="32">
        <f>[2]Districts_Boroughs!CN119</f>
        <v>7</v>
      </c>
      <c r="K150" s="32">
        <f>[2]Districts_Boroughs!CO119</f>
        <v>9</v>
      </c>
      <c r="L150" s="32">
        <f>[2]Districts_Boroughs!CP119</f>
        <v>10</v>
      </c>
      <c r="M150" s="32">
        <f>[2]Districts_Boroughs!CQ119</f>
        <v>9</v>
      </c>
      <c r="N150" s="32">
        <f>[2]Districts_Boroughs!CR119</f>
        <v>5</v>
      </c>
      <c r="O150" s="32">
        <f>[2]Districts_Boroughs!CS119</f>
        <v>6</v>
      </c>
      <c r="P150" s="32">
        <f>[2]Districts_Boroughs!CT119</f>
        <v>5</v>
      </c>
      <c r="Q150" s="32">
        <f>[2]Districts_Boroughs!CU119</f>
        <v>10</v>
      </c>
      <c r="R150" s="32">
        <f>[2]Districts_Boroughs!CV119</f>
        <v>8</v>
      </c>
      <c r="S150" s="32">
        <f>[2]Districts_Boroughs!CW119</f>
        <v>13</v>
      </c>
      <c r="T150" s="32">
        <f>[2]Districts_Boroughs!CX119</f>
        <v>7</v>
      </c>
      <c r="U150" s="32">
        <f>[2]Districts_Boroughs!CY119</f>
        <v>7</v>
      </c>
      <c r="V150" s="32">
        <f>[2]Districts_Boroughs!CZ119</f>
        <v>10</v>
      </c>
      <c r="W150" s="32">
        <f>[2]Districts_Boroughs!DA119</f>
        <v>2</v>
      </c>
      <c r="X150" s="32">
        <f>[2]Districts_Boroughs!DB119</f>
        <v>11</v>
      </c>
      <c r="Y150" s="32">
        <f>[2]Districts_Boroughs!DC119</f>
        <v>6</v>
      </c>
      <c r="Z150" s="32">
        <f>[2]Districts_Boroughs!DD119</f>
        <v>6</v>
      </c>
      <c r="AA150" s="32">
        <f>[2]Districts_Boroughs!DE119</f>
        <v>6</v>
      </c>
      <c r="AB150" s="32">
        <f>[2]Districts_Boroughs!DF119</f>
        <v>4</v>
      </c>
      <c r="AC150" s="32">
        <f>[2]Districts_Boroughs!DG119</f>
        <v>15</v>
      </c>
      <c r="AD150" s="32">
        <f>[2]Districts_Boroughs!DH119</f>
        <v>7</v>
      </c>
      <c r="AE150" s="32">
        <f>[2]Districts_Boroughs!DI119</f>
        <v>14</v>
      </c>
      <c r="AF150" s="32">
        <f>[2]Districts_Boroughs!DJ119</f>
        <v>11</v>
      </c>
      <c r="AG150" s="32">
        <f>[2]Districts_Boroughs!DK119</f>
        <v>7</v>
      </c>
      <c r="AH150" s="32">
        <f>[2]Districts_Boroughs!DL119</f>
        <v>5</v>
      </c>
      <c r="AI150" s="32">
        <f>[2]Districts_Boroughs!DM119</f>
        <v>10</v>
      </c>
      <c r="AJ150" s="32">
        <f>[2]Districts_Boroughs!DN119</f>
        <v>13</v>
      </c>
      <c r="AK150" s="32">
        <f>[2]Districts_Boroughs!DO119</f>
        <v>11</v>
      </c>
      <c r="AL150" s="32">
        <f>[2]Districts_Boroughs!DP119</f>
        <v>5</v>
      </c>
      <c r="AM150" s="32">
        <f>[2]Districts_Boroughs!DQ119</f>
        <v>7</v>
      </c>
      <c r="AN150" s="32">
        <f>[2]Districts_Boroughs!DR119</f>
        <v>7</v>
      </c>
      <c r="AO150" s="32">
        <f>[2]Districts_Boroughs!DS119</f>
        <v>7</v>
      </c>
      <c r="AP150" s="32">
        <f>[2]Districts_Boroughs!DT119</f>
        <v>2</v>
      </c>
      <c r="AQ150" s="32">
        <f>[2]Districts_Boroughs!DU119</f>
        <v>4</v>
      </c>
      <c r="AR150" s="32">
        <f>[2]Districts_Boroughs!DV119</f>
        <v>6</v>
      </c>
      <c r="AS150" s="32">
        <f>[2]Districts_Boroughs!DW119</f>
        <v>4</v>
      </c>
      <c r="AT150" s="32">
        <f>[2]Districts_Boroughs!DX119</f>
        <v>5</v>
      </c>
      <c r="AU150" s="32">
        <f>[2]Districts_Boroughs!DY119</f>
        <v>7</v>
      </c>
      <c r="AV150" s="32">
        <f>[2]Districts_Boroughs!DZ119</f>
        <v>2</v>
      </c>
      <c r="AW150" s="32">
        <f>[2]Districts_Boroughs!EA119</f>
        <v>8</v>
      </c>
      <c r="AX150" s="32">
        <f>[2]Districts_Boroughs!EB119</f>
        <v>9</v>
      </c>
      <c r="AY150" s="32">
        <f>[2]Districts_Boroughs!EC119</f>
        <v>5</v>
      </c>
    </row>
    <row r="151" spans="1:51" s="64" customFormat="1" x14ac:dyDescent="0.35">
      <c r="B151" s="64" t="str">
        <f t="shared" si="8"/>
        <v>RugbyVAP Without Injury - Alcohol Related</v>
      </c>
      <c r="C151" s="357" t="s">
        <v>198</v>
      </c>
      <c r="D151" s="32">
        <f>[2]Districts_Boroughs!CH120</f>
        <v>6</v>
      </c>
      <c r="E151" s="32">
        <f>[2]Districts_Boroughs!CI120</f>
        <v>19</v>
      </c>
      <c r="F151" s="32">
        <f>[2]Districts_Boroughs!CJ120</f>
        <v>14</v>
      </c>
      <c r="G151" s="32">
        <f>[2]Districts_Boroughs!CK120</f>
        <v>13</v>
      </c>
      <c r="H151" s="32">
        <f>[2]Districts_Boroughs!CL120</f>
        <v>11</v>
      </c>
      <c r="I151" s="32">
        <f>[2]Districts_Boroughs!CM120</f>
        <v>10</v>
      </c>
      <c r="J151" s="32">
        <f>[2]Districts_Boroughs!CN120</f>
        <v>11</v>
      </c>
      <c r="K151" s="32">
        <f>[2]Districts_Boroughs!CO120</f>
        <v>8</v>
      </c>
      <c r="L151" s="32">
        <f>[2]Districts_Boroughs!CP120</f>
        <v>17</v>
      </c>
      <c r="M151" s="32">
        <f>[2]Districts_Boroughs!CQ120</f>
        <v>14</v>
      </c>
      <c r="N151" s="32">
        <f>[2]Districts_Boroughs!CR120</f>
        <v>9</v>
      </c>
      <c r="O151" s="32">
        <f>[2]Districts_Boroughs!CS120</f>
        <v>7</v>
      </c>
      <c r="P151" s="32">
        <f>[2]Districts_Boroughs!CT120</f>
        <v>10</v>
      </c>
      <c r="Q151" s="32">
        <f>[2]Districts_Boroughs!CU120</f>
        <v>11</v>
      </c>
      <c r="R151" s="32">
        <f>[2]Districts_Boroughs!CV120</f>
        <v>14</v>
      </c>
      <c r="S151" s="32">
        <f>[2]Districts_Boroughs!CW120</f>
        <v>24</v>
      </c>
      <c r="T151" s="32">
        <f>[2]Districts_Boroughs!CX120</f>
        <v>6</v>
      </c>
      <c r="U151" s="32">
        <f>[2]Districts_Boroughs!CY120</f>
        <v>16</v>
      </c>
      <c r="V151" s="32">
        <f>[2]Districts_Boroughs!CZ120</f>
        <v>11</v>
      </c>
      <c r="W151" s="32">
        <f>[2]Districts_Boroughs!DA120</f>
        <v>9</v>
      </c>
      <c r="X151" s="32">
        <f>[2]Districts_Boroughs!DB120</f>
        <v>11</v>
      </c>
      <c r="Y151" s="32">
        <f>[2]Districts_Boroughs!DC120</f>
        <v>9</v>
      </c>
      <c r="Z151" s="32">
        <f>[2]Districts_Boroughs!DD120</f>
        <v>8</v>
      </c>
      <c r="AA151" s="32">
        <f>[2]Districts_Boroughs!DE120</f>
        <v>9</v>
      </c>
      <c r="AB151" s="32">
        <f>[2]Districts_Boroughs!DF120</f>
        <v>4</v>
      </c>
      <c r="AC151" s="32">
        <f>[2]Districts_Boroughs!DG120</f>
        <v>7</v>
      </c>
      <c r="AD151" s="32">
        <f>[2]Districts_Boroughs!DH120</f>
        <v>16</v>
      </c>
      <c r="AE151" s="32">
        <f>[2]Districts_Boroughs!DI120</f>
        <v>6</v>
      </c>
      <c r="AF151" s="32">
        <f>[2]Districts_Boroughs!DJ120</f>
        <v>6</v>
      </c>
      <c r="AG151" s="32">
        <f>[2]Districts_Boroughs!DK120</f>
        <v>5</v>
      </c>
      <c r="AH151" s="32">
        <f>[2]Districts_Boroughs!DL120</f>
        <v>8</v>
      </c>
      <c r="AI151" s="32">
        <f>[2]Districts_Boroughs!DM120</f>
        <v>8</v>
      </c>
      <c r="AJ151" s="32">
        <f>[2]Districts_Boroughs!DN120</f>
        <v>12</v>
      </c>
      <c r="AK151" s="32">
        <f>[2]Districts_Boroughs!DO120</f>
        <v>8</v>
      </c>
      <c r="AL151" s="32">
        <f>[2]Districts_Boroughs!DP120</f>
        <v>1</v>
      </c>
      <c r="AM151" s="32">
        <f>[2]Districts_Boroughs!DQ120</f>
        <v>10</v>
      </c>
      <c r="AN151" s="32">
        <f>[2]Districts_Boroughs!DR120</f>
        <v>6</v>
      </c>
      <c r="AO151" s="32">
        <f>[2]Districts_Boroughs!DS120</f>
        <v>9</v>
      </c>
      <c r="AP151" s="32">
        <f>[2]Districts_Boroughs!DT120</f>
        <v>6</v>
      </c>
      <c r="AQ151" s="32">
        <f>[2]Districts_Boroughs!DU120</f>
        <v>11</v>
      </c>
      <c r="AR151" s="32">
        <f>[2]Districts_Boroughs!DV120</f>
        <v>6</v>
      </c>
      <c r="AS151" s="32">
        <f>[2]Districts_Boroughs!DW120</f>
        <v>8</v>
      </c>
      <c r="AT151" s="32">
        <f>[2]Districts_Boroughs!DX120</f>
        <v>8</v>
      </c>
      <c r="AU151" s="32">
        <f>[2]Districts_Boroughs!DY120</f>
        <v>5</v>
      </c>
      <c r="AV151" s="32">
        <f>[2]Districts_Boroughs!DZ120</f>
        <v>8</v>
      </c>
      <c r="AW151" s="32">
        <f>[2]Districts_Boroughs!EA120</f>
        <v>4</v>
      </c>
      <c r="AX151" s="32">
        <f>[2]Districts_Boroughs!EB120</f>
        <v>5</v>
      </c>
      <c r="AY151" s="32">
        <f>[2]Districts_Boroughs!EC120</f>
        <v>7</v>
      </c>
    </row>
    <row r="152" spans="1:51" x14ac:dyDescent="0.35">
      <c r="B152" s="64" t="str">
        <f t="shared" si="8"/>
        <v>RugbyVAP With Injury - Drug Related</v>
      </c>
      <c r="C152" s="357" t="s">
        <v>44</v>
      </c>
      <c r="D152" s="32">
        <f>[2]Districts_Boroughs!CH121</f>
        <v>1</v>
      </c>
      <c r="E152" s="32">
        <f>[2]Districts_Boroughs!CI121</f>
        <v>0</v>
      </c>
      <c r="F152" s="32">
        <f>[2]Districts_Boroughs!CJ121</f>
        <v>0</v>
      </c>
      <c r="G152" s="32">
        <f>[2]Districts_Boroughs!CK121</f>
        <v>1</v>
      </c>
      <c r="H152" s="32">
        <f>[2]Districts_Boroughs!CL121</f>
        <v>0</v>
      </c>
      <c r="I152" s="32">
        <f>[2]Districts_Boroughs!CM121</f>
        <v>1</v>
      </c>
      <c r="J152" s="32">
        <f>[2]Districts_Boroughs!CN121</f>
        <v>1</v>
      </c>
      <c r="K152" s="32">
        <f>[2]Districts_Boroughs!CO121</f>
        <v>2</v>
      </c>
      <c r="L152" s="32">
        <f>[2]Districts_Boroughs!CP121</f>
        <v>1</v>
      </c>
      <c r="M152" s="32">
        <f>[2]Districts_Boroughs!CQ121</f>
        <v>0</v>
      </c>
      <c r="N152" s="32">
        <f>[2]Districts_Boroughs!CR121</f>
        <v>0</v>
      </c>
      <c r="O152" s="32">
        <f>[2]Districts_Boroughs!CS121</f>
        <v>0</v>
      </c>
      <c r="P152" s="32">
        <f>[2]Districts_Boroughs!CT121</f>
        <v>1</v>
      </c>
      <c r="Q152" s="32">
        <f>[2]Districts_Boroughs!CU121</f>
        <v>1</v>
      </c>
      <c r="R152" s="32">
        <f>[2]Districts_Boroughs!CV121</f>
        <v>0</v>
      </c>
      <c r="S152" s="32">
        <f>[2]Districts_Boroughs!CW121</f>
        <v>1</v>
      </c>
      <c r="T152" s="32">
        <f>[2]Districts_Boroughs!CX121</f>
        <v>0</v>
      </c>
      <c r="U152" s="32">
        <f>[2]Districts_Boroughs!CY121</f>
        <v>0</v>
      </c>
      <c r="V152" s="32">
        <f>[2]Districts_Boroughs!CZ121</f>
        <v>0</v>
      </c>
      <c r="W152" s="32">
        <f>[2]Districts_Boroughs!DA121</f>
        <v>0</v>
      </c>
      <c r="X152" s="32">
        <f>[2]Districts_Boroughs!DB121</f>
        <v>0</v>
      </c>
      <c r="Y152" s="32">
        <f>[2]Districts_Boroughs!DC121</f>
        <v>1</v>
      </c>
      <c r="Z152" s="32">
        <f>[2]Districts_Boroughs!DD121</f>
        <v>0</v>
      </c>
      <c r="AA152" s="32">
        <f>[2]Districts_Boroughs!DE121</f>
        <v>1</v>
      </c>
      <c r="AB152" s="32">
        <f>[2]Districts_Boroughs!DF121</f>
        <v>0</v>
      </c>
      <c r="AC152" s="32">
        <f>[2]Districts_Boroughs!DG121</f>
        <v>0</v>
      </c>
      <c r="AD152" s="32">
        <f>[2]Districts_Boroughs!DH121</f>
        <v>0</v>
      </c>
      <c r="AE152" s="32">
        <f>[2]Districts_Boroughs!DI121</f>
        <v>1</v>
      </c>
      <c r="AF152" s="32">
        <f>[2]Districts_Boroughs!DJ121</f>
        <v>2</v>
      </c>
      <c r="AG152" s="32">
        <f>[2]Districts_Boroughs!DK121</f>
        <v>0</v>
      </c>
      <c r="AH152" s="32">
        <f>[2]Districts_Boroughs!DL121</f>
        <v>1</v>
      </c>
      <c r="AI152" s="32">
        <f>[2]Districts_Boroughs!DM121</f>
        <v>0</v>
      </c>
      <c r="AJ152" s="32">
        <f>[2]Districts_Boroughs!DN121</f>
        <v>2</v>
      </c>
      <c r="AK152" s="32">
        <f>[2]Districts_Boroughs!DO121</f>
        <v>1</v>
      </c>
      <c r="AL152" s="32">
        <f>[2]Districts_Boroughs!DP121</f>
        <v>1</v>
      </c>
      <c r="AM152" s="32">
        <f>[2]Districts_Boroughs!DQ121</f>
        <v>1</v>
      </c>
      <c r="AN152" s="32">
        <f>[2]Districts_Boroughs!DR121</f>
        <v>1</v>
      </c>
      <c r="AO152" s="32">
        <f>[2]Districts_Boroughs!DS121</f>
        <v>3</v>
      </c>
      <c r="AP152" s="32">
        <f>[2]Districts_Boroughs!DT121</f>
        <v>1</v>
      </c>
      <c r="AQ152" s="32">
        <f>[2]Districts_Boroughs!DU121</f>
        <v>0</v>
      </c>
      <c r="AR152" s="32">
        <f>[2]Districts_Boroughs!DV121</f>
        <v>0</v>
      </c>
      <c r="AS152" s="32">
        <f>[2]Districts_Boroughs!DW121</f>
        <v>0</v>
      </c>
      <c r="AT152" s="32">
        <f>[2]Districts_Boroughs!DX121</f>
        <v>0</v>
      </c>
      <c r="AU152" s="32">
        <f>[2]Districts_Boroughs!DY121</f>
        <v>0</v>
      </c>
      <c r="AV152" s="32">
        <f>[2]Districts_Boroughs!DZ121</f>
        <v>0</v>
      </c>
      <c r="AW152" s="32">
        <f>[2]Districts_Boroughs!EA121</f>
        <v>0</v>
      </c>
      <c r="AX152" s="32">
        <f>[2]Districts_Boroughs!EB121</f>
        <v>0</v>
      </c>
      <c r="AY152" s="32">
        <f>[2]Districts_Boroughs!EC121</f>
        <v>0</v>
      </c>
    </row>
    <row r="153" spans="1:51" s="64" customFormat="1" x14ac:dyDescent="0.35">
      <c r="B153" s="64" t="str">
        <f t="shared" si="8"/>
        <v>RugbyVAP Without Injury - Drug Related</v>
      </c>
      <c r="C153" s="357" t="s">
        <v>199</v>
      </c>
      <c r="D153" s="32">
        <f>[2]Districts_Boroughs!CH122</f>
        <v>3</v>
      </c>
      <c r="E153" s="32">
        <f>[2]Districts_Boroughs!CI122</f>
        <v>0</v>
      </c>
      <c r="F153" s="32">
        <f>[2]Districts_Boroughs!CJ122</f>
        <v>0</v>
      </c>
      <c r="G153" s="32">
        <f>[2]Districts_Boroughs!CK122</f>
        <v>0</v>
      </c>
      <c r="H153" s="32">
        <f>[2]Districts_Boroughs!CL122</f>
        <v>0</v>
      </c>
      <c r="I153" s="32">
        <f>[2]Districts_Boroughs!CM122</f>
        <v>0</v>
      </c>
      <c r="J153" s="32">
        <f>[2]Districts_Boroughs!CN122</f>
        <v>4</v>
      </c>
      <c r="K153" s="32">
        <f>[2]Districts_Boroughs!CO122</f>
        <v>0</v>
      </c>
      <c r="L153" s="32">
        <f>[2]Districts_Boroughs!CP122</f>
        <v>0</v>
      </c>
      <c r="M153" s="32">
        <f>[2]Districts_Boroughs!CQ122</f>
        <v>0</v>
      </c>
      <c r="N153" s="32">
        <f>[2]Districts_Boroughs!CR122</f>
        <v>0</v>
      </c>
      <c r="O153" s="32">
        <f>[2]Districts_Boroughs!CS122</f>
        <v>0</v>
      </c>
      <c r="P153" s="32">
        <f>[2]Districts_Boroughs!CT122</f>
        <v>0</v>
      </c>
      <c r="Q153" s="32">
        <f>[2]Districts_Boroughs!CU122</f>
        <v>1</v>
      </c>
      <c r="R153" s="32">
        <f>[2]Districts_Boroughs!CV122</f>
        <v>1</v>
      </c>
      <c r="S153" s="32">
        <f>[2]Districts_Boroughs!CW122</f>
        <v>0</v>
      </c>
      <c r="T153" s="32">
        <f>[2]Districts_Boroughs!CX122</f>
        <v>1</v>
      </c>
      <c r="U153" s="32">
        <f>[2]Districts_Boroughs!CY122</f>
        <v>1</v>
      </c>
      <c r="V153" s="32">
        <f>[2]Districts_Boroughs!CZ122</f>
        <v>1</v>
      </c>
      <c r="W153" s="32">
        <f>[2]Districts_Boroughs!DA122</f>
        <v>1</v>
      </c>
      <c r="X153" s="32">
        <f>[2]Districts_Boroughs!DB122</f>
        <v>2</v>
      </c>
      <c r="Y153" s="32">
        <f>[2]Districts_Boroughs!DC122</f>
        <v>3</v>
      </c>
      <c r="Z153" s="32">
        <f>[2]Districts_Boroughs!DD122</f>
        <v>0</v>
      </c>
      <c r="AA153" s="32">
        <f>[2]Districts_Boroughs!DE122</f>
        <v>0</v>
      </c>
      <c r="AB153" s="32">
        <f>[2]Districts_Boroughs!DF122</f>
        <v>0</v>
      </c>
      <c r="AC153" s="32">
        <f>[2]Districts_Boroughs!DG122</f>
        <v>1</v>
      </c>
      <c r="AD153" s="32">
        <f>[2]Districts_Boroughs!DH122</f>
        <v>0</v>
      </c>
      <c r="AE153" s="32">
        <f>[2]Districts_Boroughs!DI122</f>
        <v>0</v>
      </c>
      <c r="AF153" s="32">
        <f>[2]Districts_Boroughs!DJ122</f>
        <v>0</v>
      </c>
      <c r="AG153" s="32">
        <f>[2]Districts_Boroughs!DK122</f>
        <v>1</v>
      </c>
      <c r="AH153" s="32">
        <f>[2]Districts_Boroughs!DL122</f>
        <v>0</v>
      </c>
      <c r="AI153" s="32">
        <f>[2]Districts_Boroughs!DM122</f>
        <v>0</v>
      </c>
      <c r="AJ153" s="32">
        <f>[2]Districts_Boroughs!DN122</f>
        <v>0</v>
      </c>
      <c r="AK153" s="32">
        <f>[2]Districts_Boroughs!DO122</f>
        <v>0</v>
      </c>
      <c r="AL153" s="32">
        <f>[2]Districts_Boroughs!DP122</f>
        <v>0</v>
      </c>
      <c r="AM153" s="32">
        <f>[2]Districts_Boroughs!DQ122</f>
        <v>1</v>
      </c>
      <c r="AN153" s="32">
        <f>[2]Districts_Boroughs!DR122</f>
        <v>0</v>
      </c>
      <c r="AO153" s="32">
        <f>[2]Districts_Boroughs!DS122</f>
        <v>3</v>
      </c>
      <c r="AP153" s="32">
        <f>[2]Districts_Boroughs!DT122</f>
        <v>0</v>
      </c>
      <c r="AQ153" s="32">
        <f>[2]Districts_Boroughs!DU122</f>
        <v>4</v>
      </c>
      <c r="AR153" s="32">
        <f>[2]Districts_Boroughs!DV122</f>
        <v>1</v>
      </c>
      <c r="AS153" s="32">
        <f>[2]Districts_Boroughs!DW122</f>
        <v>0</v>
      </c>
      <c r="AT153" s="32">
        <f>[2]Districts_Boroughs!DX122</f>
        <v>0</v>
      </c>
      <c r="AU153" s="32">
        <f>[2]Districts_Boroughs!DY122</f>
        <v>0</v>
      </c>
      <c r="AV153" s="32">
        <f>[2]Districts_Boroughs!DZ122</f>
        <v>1</v>
      </c>
      <c r="AW153" s="32">
        <f>[2]Districts_Boroughs!EA122</f>
        <v>1</v>
      </c>
      <c r="AX153" s="32">
        <f>[2]Districts_Boroughs!EB122</f>
        <v>0</v>
      </c>
      <c r="AY153" s="32">
        <f>[2]Districts_Boroughs!EC122</f>
        <v>1</v>
      </c>
    </row>
    <row r="154" spans="1:51" x14ac:dyDescent="0.35">
      <c r="B154" s="64" t="str">
        <f t="shared" si="8"/>
        <v>RugbyVAP With Injury- Domestic Abuse Related</v>
      </c>
      <c r="C154" s="357" t="s">
        <v>45</v>
      </c>
      <c r="D154" s="32">
        <f>[2]Districts_Boroughs!CH123</f>
        <v>36</v>
      </c>
      <c r="E154" s="32">
        <f>[2]Districts_Boroughs!CI123</f>
        <v>29</v>
      </c>
      <c r="F154" s="32">
        <f>[2]Districts_Boroughs!CJ123</f>
        <v>25</v>
      </c>
      <c r="G154" s="32">
        <f>[2]Districts_Boroughs!CK123</f>
        <v>27</v>
      </c>
      <c r="H154" s="32">
        <f>[2]Districts_Boroughs!CL123</f>
        <v>32</v>
      </c>
      <c r="I154" s="32">
        <f>[2]Districts_Boroughs!CM123</f>
        <v>36</v>
      </c>
      <c r="J154" s="32">
        <f>[2]Districts_Boroughs!CN123</f>
        <v>26</v>
      </c>
      <c r="K154" s="32">
        <f>[2]Districts_Boroughs!CO123</f>
        <v>18</v>
      </c>
      <c r="L154" s="32">
        <f>[2]Districts_Boroughs!CP123</f>
        <v>24</v>
      </c>
      <c r="M154" s="32">
        <f>[2]Districts_Boroughs!CQ123</f>
        <v>26</v>
      </c>
      <c r="N154" s="32">
        <f>[2]Districts_Boroughs!CR123</f>
        <v>17</v>
      </c>
      <c r="O154" s="32">
        <f>[2]Districts_Boroughs!CS123</f>
        <v>32</v>
      </c>
      <c r="P154" s="32">
        <f>[2]Districts_Boroughs!CT123</f>
        <v>22</v>
      </c>
      <c r="Q154" s="32">
        <f>[2]Districts_Boroughs!CU123</f>
        <v>25</v>
      </c>
      <c r="R154" s="32">
        <f>[2]Districts_Boroughs!CV123</f>
        <v>16</v>
      </c>
      <c r="S154" s="32">
        <f>[2]Districts_Boroughs!CW123</f>
        <v>43</v>
      </c>
      <c r="T154" s="32">
        <f>[2]Districts_Boroughs!CX123</f>
        <v>24</v>
      </c>
      <c r="U154" s="32">
        <f>[2]Districts_Boroughs!CY123</f>
        <v>18</v>
      </c>
      <c r="V154" s="32">
        <f>[2]Districts_Boroughs!CZ123</f>
        <v>19</v>
      </c>
      <c r="W154" s="32">
        <f>[2]Districts_Boroughs!DA123</f>
        <v>21</v>
      </c>
      <c r="X154" s="32">
        <f>[2]Districts_Boroughs!DB123</f>
        <v>28</v>
      </c>
      <c r="Y154" s="32">
        <f>[2]Districts_Boroughs!DC123</f>
        <v>27</v>
      </c>
      <c r="Z154" s="32">
        <f>[2]Districts_Boroughs!DD123</f>
        <v>22</v>
      </c>
      <c r="AA154" s="32">
        <f>[2]Districts_Boroughs!DE123</f>
        <v>29</v>
      </c>
      <c r="AB154" s="32">
        <f>[2]Districts_Boroughs!DF123</f>
        <v>25</v>
      </c>
      <c r="AC154" s="32">
        <f>[2]Districts_Boroughs!DG123</f>
        <v>38</v>
      </c>
      <c r="AD154" s="32">
        <f>[2]Districts_Boroughs!DH123</f>
        <v>21</v>
      </c>
      <c r="AE154" s="32">
        <f>[2]Districts_Boroughs!DI123</f>
        <v>33</v>
      </c>
      <c r="AF154" s="32">
        <f>[2]Districts_Boroughs!DJ123</f>
        <v>24</v>
      </c>
      <c r="AG154" s="32">
        <f>[2]Districts_Boroughs!DK123</f>
        <v>24</v>
      </c>
      <c r="AH154" s="32">
        <f>[2]Districts_Boroughs!DL123</f>
        <v>25</v>
      </c>
      <c r="AI154" s="32">
        <f>[2]Districts_Boroughs!DM123</f>
        <v>24</v>
      </c>
      <c r="AJ154" s="32">
        <f>[2]Districts_Boroughs!DN123</f>
        <v>27</v>
      </c>
      <c r="AK154" s="32">
        <f>[2]Districts_Boroughs!DO123</f>
        <v>31</v>
      </c>
      <c r="AL154" s="32">
        <f>[2]Districts_Boroughs!DP123</f>
        <v>15</v>
      </c>
      <c r="AM154" s="32">
        <f>[2]Districts_Boroughs!DQ123</f>
        <v>17</v>
      </c>
      <c r="AN154" s="32">
        <f>[2]Districts_Boroughs!DR123</f>
        <v>27</v>
      </c>
      <c r="AO154" s="32">
        <f>[2]Districts_Boroughs!DS123</f>
        <v>23</v>
      </c>
      <c r="AP154" s="32">
        <f>[2]Districts_Boroughs!DT123</f>
        <v>26</v>
      </c>
      <c r="AQ154" s="32">
        <f>[2]Districts_Boroughs!DU123</f>
        <v>34</v>
      </c>
      <c r="AR154" s="32">
        <f>[2]Districts_Boroughs!DV123</f>
        <v>29</v>
      </c>
      <c r="AS154" s="32">
        <f>[2]Districts_Boroughs!DW123</f>
        <v>15</v>
      </c>
      <c r="AT154" s="32">
        <f>[2]Districts_Boroughs!DX123</f>
        <v>18</v>
      </c>
      <c r="AU154" s="32">
        <f>[2]Districts_Boroughs!DY123</f>
        <v>28</v>
      </c>
      <c r="AV154" s="32">
        <f>[2]Districts_Boroughs!DZ123</f>
        <v>23</v>
      </c>
      <c r="AW154" s="32">
        <f>[2]Districts_Boroughs!EA123</f>
        <v>24</v>
      </c>
      <c r="AX154" s="32">
        <f>[2]Districts_Boroughs!EB123</f>
        <v>29</v>
      </c>
      <c r="AY154" s="32">
        <f>[2]Districts_Boroughs!EC123</f>
        <v>31</v>
      </c>
    </row>
    <row r="155" spans="1:51" s="108" customFormat="1" x14ac:dyDescent="0.35">
      <c r="A155" s="160"/>
      <c r="B155" s="64" t="str">
        <f t="shared" si="8"/>
        <v>RugbyVAP Without Injury- Domestic Abuse Related</v>
      </c>
      <c r="C155" s="358" t="s">
        <v>191</v>
      </c>
      <c r="D155" s="32">
        <f>[2]Districts_Boroughs!CH124</f>
        <v>64</v>
      </c>
      <c r="E155" s="32">
        <f>[2]Districts_Boroughs!CI124</f>
        <v>91</v>
      </c>
      <c r="F155" s="32">
        <f>[2]Districts_Boroughs!CJ124</f>
        <v>77</v>
      </c>
      <c r="G155" s="32">
        <f>[2]Districts_Boroughs!CK124</f>
        <v>77</v>
      </c>
      <c r="H155" s="32">
        <f>[2]Districts_Boroughs!CL124</f>
        <v>80</v>
      </c>
      <c r="I155" s="32">
        <f>[2]Districts_Boroughs!CM124</f>
        <v>91</v>
      </c>
      <c r="J155" s="32">
        <f>[2]Districts_Boroughs!CN124</f>
        <v>86</v>
      </c>
      <c r="K155" s="32">
        <f>[2]Districts_Boroughs!CO124</f>
        <v>79</v>
      </c>
      <c r="L155" s="32">
        <f>[2]Districts_Boroughs!CP124</f>
        <v>66</v>
      </c>
      <c r="M155" s="32">
        <f>[2]Districts_Boroughs!CQ124</f>
        <v>67</v>
      </c>
      <c r="N155" s="32">
        <f>[2]Districts_Boroughs!CR124</f>
        <v>52</v>
      </c>
      <c r="O155" s="32">
        <f>[2]Districts_Boroughs!CS124</f>
        <v>59</v>
      </c>
      <c r="P155" s="32">
        <f>[2]Districts_Boroughs!CT124</f>
        <v>42</v>
      </c>
      <c r="Q155" s="32">
        <f>[2]Districts_Boroughs!CU124</f>
        <v>60</v>
      </c>
      <c r="R155" s="32">
        <f>[2]Districts_Boroughs!CV124</f>
        <v>58</v>
      </c>
      <c r="S155" s="32">
        <f>[2]Districts_Boroughs!CW124</f>
        <v>56</v>
      </c>
      <c r="T155" s="32">
        <f>[2]Districts_Boroughs!CX124</f>
        <v>70</v>
      </c>
      <c r="U155" s="32">
        <f>[2]Districts_Boroughs!CY124</f>
        <v>57</v>
      </c>
      <c r="V155" s="32">
        <f>[2]Districts_Boroughs!CZ124</f>
        <v>47</v>
      </c>
      <c r="W155" s="32">
        <f>[2]Districts_Boroughs!DA124</f>
        <v>50</v>
      </c>
      <c r="X155" s="32">
        <f>[2]Districts_Boroughs!DB124</f>
        <v>67</v>
      </c>
      <c r="Y155" s="32">
        <f>[2]Districts_Boroughs!DC124</f>
        <v>36</v>
      </c>
      <c r="Z155" s="32">
        <f>[2]Districts_Boroughs!DD124</f>
        <v>68</v>
      </c>
      <c r="AA155" s="32">
        <f>[2]Districts_Boroughs!DE124</f>
        <v>61</v>
      </c>
      <c r="AB155" s="32">
        <f>[2]Districts_Boroughs!DF124</f>
        <v>57</v>
      </c>
      <c r="AC155" s="32">
        <f>[2]Districts_Boroughs!DG124</f>
        <v>58</v>
      </c>
      <c r="AD155" s="32">
        <f>[2]Districts_Boroughs!DH124</f>
        <v>51</v>
      </c>
      <c r="AE155" s="32">
        <f>[2]Districts_Boroughs!DI124</f>
        <v>50</v>
      </c>
      <c r="AF155" s="32">
        <f>[2]Districts_Boroughs!DJ124</f>
        <v>53</v>
      </c>
      <c r="AG155" s="32">
        <f>[2]Districts_Boroughs!DK124</f>
        <v>59</v>
      </c>
      <c r="AH155" s="32">
        <f>[2]Districts_Boroughs!DL124</f>
        <v>51</v>
      </c>
      <c r="AI155" s="32">
        <f>[2]Districts_Boroughs!DM124</f>
        <v>60</v>
      </c>
      <c r="AJ155" s="32">
        <f>[2]Districts_Boroughs!DN124</f>
        <v>56</v>
      </c>
      <c r="AK155" s="32">
        <f>[2]Districts_Boroughs!DO124</f>
        <v>57</v>
      </c>
      <c r="AL155" s="32">
        <f>[2]Districts_Boroughs!DP124</f>
        <v>55</v>
      </c>
      <c r="AM155" s="32">
        <f>[2]Districts_Boroughs!DQ124</f>
        <v>47</v>
      </c>
      <c r="AN155" s="32">
        <f>[2]Districts_Boroughs!DR124</f>
        <v>77</v>
      </c>
      <c r="AO155" s="32">
        <f>[2]Districts_Boroughs!DS124</f>
        <v>56</v>
      </c>
      <c r="AP155" s="32">
        <f>[2]Districts_Boroughs!DT124</f>
        <v>56</v>
      </c>
      <c r="AQ155" s="32">
        <f>[2]Districts_Boroughs!DU124</f>
        <v>64</v>
      </c>
      <c r="AR155" s="32">
        <f>[2]Districts_Boroughs!DV124</f>
        <v>72</v>
      </c>
      <c r="AS155" s="32">
        <f>[2]Districts_Boroughs!DW124</f>
        <v>46</v>
      </c>
      <c r="AT155" s="32">
        <f>[2]Districts_Boroughs!DX124</f>
        <v>41</v>
      </c>
      <c r="AU155" s="32">
        <f>[2]Districts_Boroughs!DY124</f>
        <v>50</v>
      </c>
      <c r="AV155" s="32">
        <f>[2]Districts_Boroughs!DZ124</f>
        <v>69</v>
      </c>
      <c r="AW155" s="32">
        <f>[2]Districts_Boroughs!EA124</f>
        <v>54</v>
      </c>
      <c r="AX155" s="32">
        <f>[2]Districts_Boroughs!EB124</f>
        <v>56</v>
      </c>
      <c r="AY155" s="32">
        <f>[2]Districts_Boroughs!EC124</f>
        <v>60</v>
      </c>
    </row>
    <row r="156" spans="1:51" x14ac:dyDescent="0.35">
      <c r="B156" s="64" t="str">
        <f t="shared" si="8"/>
        <v>Rugby</v>
      </c>
      <c r="C156" s="357"/>
      <c r="D156" s="32">
        <f>[2]Districts_Boroughs!CH125</f>
        <v>0</v>
      </c>
      <c r="E156" s="32">
        <f>[2]Districts_Boroughs!CI125</f>
        <v>0</v>
      </c>
      <c r="F156" s="32">
        <f>[2]Districts_Boroughs!CJ125</f>
        <v>0</v>
      </c>
      <c r="G156" s="32">
        <f>[2]Districts_Boroughs!CK125</f>
        <v>0</v>
      </c>
      <c r="H156" s="32">
        <f>[2]Districts_Boroughs!CL125</f>
        <v>0</v>
      </c>
      <c r="I156" s="32">
        <f>[2]Districts_Boroughs!CM125</f>
        <v>0</v>
      </c>
      <c r="J156" s="32">
        <f>[2]Districts_Boroughs!CN125</f>
        <v>0</v>
      </c>
      <c r="K156" s="32">
        <f>[2]Districts_Boroughs!CO125</f>
        <v>0</v>
      </c>
      <c r="L156" s="32">
        <f>[2]Districts_Boroughs!CP125</f>
        <v>0</v>
      </c>
      <c r="M156" s="32">
        <f>[2]Districts_Boroughs!CQ125</f>
        <v>0</v>
      </c>
      <c r="N156" s="32">
        <f>[2]Districts_Boroughs!CR125</f>
        <v>0</v>
      </c>
      <c r="O156" s="32">
        <f>[2]Districts_Boroughs!CS125</f>
        <v>0</v>
      </c>
      <c r="P156" s="32">
        <f>[2]Districts_Boroughs!CT125</f>
        <v>0</v>
      </c>
      <c r="Q156" s="32">
        <f>[2]Districts_Boroughs!CU125</f>
        <v>0</v>
      </c>
      <c r="R156" s="32">
        <f>[2]Districts_Boroughs!CV125</f>
        <v>0</v>
      </c>
      <c r="S156" s="32">
        <f>[2]Districts_Boroughs!CW125</f>
        <v>0</v>
      </c>
      <c r="T156" s="32">
        <f>[2]Districts_Boroughs!CX125</f>
        <v>0</v>
      </c>
      <c r="U156" s="32">
        <f>[2]Districts_Boroughs!CY125</f>
        <v>0</v>
      </c>
      <c r="V156" s="32">
        <f>[2]Districts_Boroughs!CZ125</f>
        <v>0</v>
      </c>
      <c r="W156" s="32">
        <f>[2]Districts_Boroughs!DA125</f>
        <v>0</v>
      </c>
      <c r="X156" s="32">
        <f>[2]Districts_Boroughs!DB125</f>
        <v>0</v>
      </c>
      <c r="Y156" s="32">
        <f>[2]Districts_Boroughs!DC125</f>
        <v>0</v>
      </c>
      <c r="Z156" s="32">
        <f>[2]Districts_Boroughs!DD125</f>
        <v>0</v>
      </c>
      <c r="AA156" s="32">
        <f>[2]Districts_Boroughs!DE125</f>
        <v>0</v>
      </c>
      <c r="AB156" s="32">
        <f>[2]Districts_Boroughs!DF125</f>
        <v>0</v>
      </c>
      <c r="AC156" s="32">
        <f>[2]Districts_Boroughs!DG125</f>
        <v>0</v>
      </c>
      <c r="AD156" s="32">
        <f>[2]Districts_Boroughs!DH125</f>
        <v>0</v>
      </c>
      <c r="AE156" s="32">
        <f>[2]Districts_Boroughs!DI125</f>
        <v>0</v>
      </c>
      <c r="AF156" s="32">
        <f>[2]Districts_Boroughs!DJ125</f>
        <v>0</v>
      </c>
      <c r="AG156" s="32">
        <f>[2]Districts_Boroughs!DK125</f>
        <v>0</v>
      </c>
      <c r="AH156" s="32">
        <f>[2]Districts_Boroughs!DL125</f>
        <v>0</v>
      </c>
      <c r="AI156" s="32">
        <f>[2]Districts_Boroughs!DM125</f>
        <v>0</v>
      </c>
      <c r="AJ156" s="32">
        <f>[2]Districts_Boroughs!DN125</f>
        <v>0</v>
      </c>
      <c r="AK156" s="32">
        <f>[2]Districts_Boroughs!DO125</f>
        <v>0</v>
      </c>
      <c r="AL156" s="32">
        <f>[2]Districts_Boroughs!DP125</f>
        <v>0</v>
      </c>
      <c r="AM156" s="32">
        <f>[2]Districts_Boroughs!DQ125</f>
        <v>0</v>
      </c>
      <c r="AN156" s="32">
        <f>[2]Districts_Boroughs!DR125</f>
        <v>0</v>
      </c>
      <c r="AO156" s="32">
        <f>[2]Districts_Boroughs!DS125</f>
        <v>0</v>
      </c>
      <c r="AP156" s="32">
        <f>[2]Districts_Boroughs!DT125</f>
        <v>0</v>
      </c>
      <c r="AQ156" s="32">
        <f>[2]Districts_Boroughs!DU125</f>
        <v>0</v>
      </c>
      <c r="AR156" s="32">
        <f>[2]Districts_Boroughs!DV125</f>
        <v>0</v>
      </c>
      <c r="AS156" s="32">
        <f>[2]Districts_Boroughs!DW125</f>
        <v>0</v>
      </c>
      <c r="AT156" s="32">
        <f>[2]Districts_Boroughs!DX125</f>
        <v>0</v>
      </c>
      <c r="AU156" s="32">
        <f>[2]Districts_Boroughs!DY125</f>
        <v>0</v>
      </c>
      <c r="AV156" s="32">
        <f>[2]Districts_Boroughs!DZ125</f>
        <v>0</v>
      </c>
      <c r="AW156" s="32">
        <f>[2]Districts_Boroughs!EA125</f>
        <v>0</v>
      </c>
      <c r="AX156" s="32">
        <f>[2]Districts_Boroughs!EB125</f>
        <v>0</v>
      </c>
      <c r="AY156" s="32">
        <f>[2]Districts_Boroughs!EC125</f>
        <v>0</v>
      </c>
    </row>
    <row r="157" spans="1:51" x14ac:dyDescent="0.35">
      <c r="B157" t="str">
        <f t="shared" si="8"/>
        <v>RugbySection 18</v>
      </c>
      <c r="C157" s="357" t="s">
        <v>53</v>
      </c>
      <c r="D157" s="32">
        <f>[2]Districts_Boroughs!CH126</f>
        <v>1</v>
      </c>
      <c r="E157" s="32">
        <f>[2]Districts_Boroughs!CI126</f>
        <v>5</v>
      </c>
      <c r="F157" s="32">
        <f>[2]Districts_Boroughs!CJ126</f>
        <v>5</v>
      </c>
      <c r="G157" s="32">
        <f>[2]Districts_Boroughs!CK126</f>
        <v>11</v>
      </c>
      <c r="H157" s="32">
        <f>[2]Districts_Boroughs!CL126</f>
        <v>3</v>
      </c>
      <c r="I157" s="32">
        <f>[2]Districts_Boroughs!CM126</f>
        <v>6</v>
      </c>
      <c r="J157" s="32">
        <f>[2]Districts_Boroughs!CN126</f>
        <v>4</v>
      </c>
      <c r="K157" s="32">
        <f>[2]Districts_Boroughs!CO126</f>
        <v>3</v>
      </c>
      <c r="L157" s="32">
        <f>[2]Districts_Boroughs!CP126</f>
        <v>7</v>
      </c>
      <c r="M157" s="32">
        <f>[2]Districts_Boroughs!CQ126</f>
        <v>3</v>
      </c>
      <c r="N157" s="32">
        <f>[2]Districts_Boroughs!CR126</f>
        <v>7</v>
      </c>
      <c r="O157" s="32">
        <f>[2]Districts_Boroughs!CS126</f>
        <v>1</v>
      </c>
      <c r="P157" s="32">
        <f>[2]Districts_Boroughs!CT126</f>
        <v>6</v>
      </c>
      <c r="Q157" s="32">
        <f>[2]Districts_Boroughs!CU126</f>
        <v>7</v>
      </c>
      <c r="R157" s="32">
        <f>[2]Districts_Boroughs!CV126</f>
        <v>6</v>
      </c>
      <c r="S157" s="32">
        <f>[2]Districts_Boroughs!CW126</f>
        <v>7</v>
      </c>
      <c r="T157" s="32">
        <f>[2]Districts_Boroughs!CX126</f>
        <v>2</v>
      </c>
      <c r="U157" s="32">
        <f>[2]Districts_Boroughs!CY126</f>
        <v>3</v>
      </c>
      <c r="V157" s="32">
        <f>[2]Districts_Boroughs!CZ126</f>
        <v>5</v>
      </c>
      <c r="W157" s="32">
        <f>[2]Districts_Boroughs!DA126</f>
        <v>4</v>
      </c>
      <c r="X157" s="32">
        <f>[2]Districts_Boroughs!DB126</f>
        <v>7</v>
      </c>
      <c r="Y157" s="32">
        <f>[2]Districts_Boroughs!DC126</f>
        <v>2</v>
      </c>
      <c r="Z157" s="32">
        <f>[2]Districts_Boroughs!DD126</f>
        <v>2</v>
      </c>
      <c r="AA157" s="32">
        <f>[2]Districts_Boroughs!DE126</f>
        <v>8</v>
      </c>
      <c r="AB157" s="32">
        <f>[2]Districts_Boroughs!DF126</f>
        <v>7</v>
      </c>
      <c r="AC157" s="32">
        <f>[2]Districts_Boroughs!DG126</f>
        <v>7</v>
      </c>
      <c r="AD157" s="32">
        <f>[2]Districts_Boroughs!DH126</f>
        <v>10</v>
      </c>
      <c r="AE157" s="32">
        <f>[2]Districts_Boroughs!DI126</f>
        <v>10</v>
      </c>
      <c r="AF157" s="32">
        <f>[2]Districts_Boroughs!DJ126</f>
        <v>7</v>
      </c>
      <c r="AG157" s="32">
        <f>[2]Districts_Boroughs!DK126</f>
        <v>6</v>
      </c>
      <c r="AH157" s="32">
        <f>[2]Districts_Boroughs!DL126</f>
        <v>3</v>
      </c>
      <c r="AI157" s="32">
        <f>[2]Districts_Boroughs!DM126</f>
        <v>2</v>
      </c>
      <c r="AJ157" s="32">
        <f>[2]Districts_Boroughs!DN126</f>
        <v>8</v>
      </c>
      <c r="AK157" s="32">
        <f>[2]Districts_Boroughs!DO126</f>
        <v>4</v>
      </c>
      <c r="AL157" s="32">
        <f>[2]Districts_Boroughs!DP126</f>
        <v>6</v>
      </c>
      <c r="AM157" s="32">
        <f>[2]Districts_Boroughs!DQ126</f>
        <v>3</v>
      </c>
      <c r="AN157" s="32">
        <f>[2]Districts_Boroughs!DR126</f>
        <v>3</v>
      </c>
      <c r="AO157" s="32">
        <f>[2]Districts_Boroughs!DS126</f>
        <v>5</v>
      </c>
      <c r="AP157" s="32">
        <f>[2]Districts_Boroughs!DT126</f>
        <v>4</v>
      </c>
      <c r="AQ157" s="32">
        <f>[2]Districts_Boroughs!DU126</f>
        <v>7</v>
      </c>
      <c r="AR157" s="32">
        <f>[2]Districts_Boroughs!DV126</f>
        <v>4</v>
      </c>
      <c r="AS157" s="32">
        <f>[2]Districts_Boroughs!DW126</f>
        <v>3</v>
      </c>
      <c r="AT157" s="32">
        <f>[2]Districts_Boroughs!DX126</f>
        <v>4</v>
      </c>
      <c r="AU157" s="32">
        <f>[2]Districts_Boroughs!DY126</f>
        <v>7</v>
      </c>
      <c r="AV157" s="32">
        <f>[2]Districts_Boroughs!DZ126</f>
        <v>6</v>
      </c>
      <c r="AW157" s="32">
        <f>[2]Districts_Boroughs!EA126</f>
        <v>6</v>
      </c>
      <c r="AX157" s="32">
        <f>[2]Districts_Boroughs!EB126</f>
        <v>2</v>
      </c>
      <c r="AY157" s="32">
        <f>[2]Districts_Boroughs!EC126</f>
        <v>4</v>
      </c>
    </row>
    <row r="158" spans="1:51" x14ac:dyDescent="0.35">
      <c r="B158" t="str">
        <f t="shared" si="8"/>
        <v>RugbySection 20</v>
      </c>
      <c r="C158" s="357" t="s">
        <v>54</v>
      </c>
      <c r="D158" s="32">
        <f>[2]Districts_Boroughs!CH127</f>
        <v>2</v>
      </c>
      <c r="E158" s="32">
        <f>[2]Districts_Boroughs!CI127</f>
        <v>1</v>
      </c>
      <c r="F158" s="32">
        <f>[2]Districts_Boroughs!CJ127</f>
        <v>1</v>
      </c>
      <c r="G158" s="32">
        <f>[2]Districts_Boroughs!CK127</f>
        <v>6</v>
      </c>
      <c r="H158" s="32">
        <f>[2]Districts_Boroughs!CL127</f>
        <v>5</v>
      </c>
      <c r="I158" s="32">
        <f>[2]Districts_Boroughs!CM127</f>
        <v>1</v>
      </c>
      <c r="J158" s="32">
        <f>[2]Districts_Boroughs!CN127</f>
        <v>5</v>
      </c>
      <c r="K158" s="32">
        <f>[2]Districts_Boroughs!CO127</f>
        <v>3</v>
      </c>
      <c r="L158" s="32">
        <f>[2]Districts_Boroughs!CP127</f>
        <v>6</v>
      </c>
      <c r="M158" s="32">
        <f>[2]Districts_Boroughs!CQ127</f>
        <v>1</v>
      </c>
      <c r="N158" s="32">
        <f>[2]Districts_Boroughs!CR127</f>
        <v>1</v>
      </c>
      <c r="O158" s="32">
        <f>[2]Districts_Boroughs!CS127</f>
        <v>3</v>
      </c>
      <c r="P158" s="32">
        <f>[2]Districts_Boroughs!CT127</f>
        <v>2</v>
      </c>
      <c r="Q158" s="32">
        <f>[2]Districts_Boroughs!CU127</f>
        <v>2</v>
      </c>
      <c r="R158" s="32">
        <f>[2]Districts_Boroughs!CV127</f>
        <v>2</v>
      </c>
      <c r="S158" s="32">
        <f>[2]Districts_Boroughs!CW127</f>
        <v>3</v>
      </c>
      <c r="T158" s="32">
        <f>[2]Districts_Boroughs!CX127</f>
        <v>3</v>
      </c>
      <c r="U158" s="32">
        <f>[2]Districts_Boroughs!CY127</f>
        <v>1</v>
      </c>
      <c r="V158" s="32">
        <f>[2]Districts_Boroughs!CZ127</f>
        <v>2</v>
      </c>
      <c r="W158" s="32">
        <f>[2]Districts_Boroughs!DA127</f>
        <v>4</v>
      </c>
      <c r="X158" s="32">
        <f>[2]Districts_Boroughs!DB127</f>
        <v>5</v>
      </c>
      <c r="Y158" s="32">
        <f>[2]Districts_Boroughs!DC127</f>
        <v>1</v>
      </c>
      <c r="Z158" s="32">
        <f>[2]Districts_Boroughs!DD127</f>
        <v>2</v>
      </c>
      <c r="AA158" s="32">
        <f>[2]Districts_Boroughs!DE127</f>
        <v>3</v>
      </c>
      <c r="AB158" s="32">
        <f>[2]Districts_Boroughs!DF127</f>
        <v>3</v>
      </c>
      <c r="AC158" s="32">
        <f>[2]Districts_Boroughs!DG127</f>
        <v>1</v>
      </c>
      <c r="AD158" s="32">
        <f>[2]Districts_Boroughs!DH127</f>
        <v>3</v>
      </c>
      <c r="AE158" s="32">
        <f>[2]Districts_Boroughs!DI127</f>
        <v>3</v>
      </c>
      <c r="AF158" s="32">
        <f>[2]Districts_Boroughs!DJ127</f>
        <v>1</v>
      </c>
      <c r="AG158" s="32">
        <f>[2]Districts_Boroughs!DK127</f>
        <v>1</v>
      </c>
      <c r="AH158" s="32">
        <f>[2]Districts_Boroughs!DL127</f>
        <v>6</v>
      </c>
      <c r="AI158" s="32">
        <f>[2]Districts_Boroughs!DM127</f>
        <v>3</v>
      </c>
      <c r="AJ158" s="32">
        <f>[2]Districts_Boroughs!DN127</f>
        <v>2</v>
      </c>
      <c r="AK158" s="32">
        <f>[2]Districts_Boroughs!DO127</f>
        <v>2</v>
      </c>
      <c r="AL158" s="32">
        <f>[2]Districts_Boroughs!DP127</f>
        <v>4</v>
      </c>
      <c r="AM158" s="32">
        <f>[2]Districts_Boroughs!DQ127</f>
        <v>3</v>
      </c>
      <c r="AN158" s="32">
        <f>[2]Districts_Boroughs!DR127</f>
        <v>3</v>
      </c>
      <c r="AO158" s="32">
        <f>[2]Districts_Boroughs!DS127</f>
        <v>5</v>
      </c>
      <c r="AP158" s="32">
        <f>[2]Districts_Boroughs!DT127</f>
        <v>7</v>
      </c>
      <c r="AQ158" s="32">
        <f>[2]Districts_Boroughs!DU127</f>
        <v>5</v>
      </c>
      <c r="AR158" s="32">
        <f>[2]Districts_Boroughs!DV127</f>
        <v>1</v>
      </c>
      <c r="AS158" s="32">
        <f>[2]Districts_Boroughs!DW127</f>
        <v>2</v>
      </c>
      <c r="AT158" s="32">
        <f>[2]Districts_Boroughs!DX127</f>
        <v>6</v>
      </c>
      <c r="AU158" s="32">
        <f>[2]Districts_Boroughs!DY127</f>
        <v>3</v>
      </c>
      <c r="AV158" s="32">
        <f>[2]Districts_Boroughs!DZ127</f>
        <v>3</v>
      </c>
      <c r="AW158" s="32">
        <f>[2]Districts_Boroughs!EA127</f>
        <v>1</v>
      </c>
      <c r="AX158" s="32">
        <f>[2]Districts_Boroughs!EB127</f>
        <v>2</v>
      </c>
      <c r="AY158" s="32">
        <f>[2]Districts_Boroughs!EC127</f>
        <v>2</v>
      </c>
    </row>
    <row r="159" spans="1:51" x14ac:dyDescent="0.35">
      <c r="B159" t="str">
        <f t="shared" si="8"/>
        <v>Rugby</v>
      </c>
      <c r="C159" s="357"/>
      <c r="D159" s="32">
        <f>[2]Districts_Boroughs!CH128</f>
        <v>0</v>
      </c>
      <c r="E159" s="32">
        <f>[2]Districts_Boroughs!CI128</f>
        <v>0</v>
      </c>
      <c r="F159" s="32">
        <f>[2]Districts_Boroughs!CJ128</f>
        <v>0</v>
      </c>
      <c r="G159" s="32">
        <f>[2]Districts_Boroughs!CK128</f>
        <v>0</v>
      </c>
      <c r="H159" s="32">
        <f>[2]Districts_Boroughs!CL128</f>
        <v>0</v>
      </c>
      <c r="I159" s="32">
        <f>[2]Districts_Boroughs!CM128</f>
        <v>0</v>
      </c>
      <c r="J159" s="32">
        <f>[2]Districts_Boroughs!CN128</f>
        <v>0</v>
      </c>
      <c r="K159" s="32">
        <f>[2]Districts_Boroughs!CO128</f>
        <v>0</v>
      </c>
      <c r="L159" s="32">
        <f>[2]Districts_Boroughs!CP128</f>
        <v>0</v>
      </c>
      <c r="M159" s="32">
        <f>[2]Districts_Boroughs!CQ128</f>
        <v>0</v>
      </c>
      <c r="N159" s="32">
        <f>[2]Districts_Boroughs!CR128</f>
        <v>0</v>
      </c>
      <c r="O159" s="32">
        <f>[2]Districts_Boroughs!CS128</f>
        <v>0</v>
      </c>
      <c r="P159" s="32">
        <f>[2]Districts_Boroughs!CT128</f>
        <v>0</v>
      </c>
      <c r="Q159" s="32">
        <f>[2]Districts_Boroughs!CU128</f>
        <v>0</v>
      </c>
      <c r="R159" s="32">
        <f>[2]Districts_Boroughs!CV128</f>
        <v>0</v>
      </c>
      <c r="S159" s="32">
        <f>[2]Districts_Boroughs!CW128</f>
        <v>0</v>
      </c>
      <c r="T159" s="32">
        <f>[2]Districts_Boroughs!CX128</f>
        <v>0</v>
      </c>
      <c r="U159" s="32">
        <f>[2]Districts_Boroughs!CY128</f>
        <v>0</v>
      </c>
      <c r="V159" s="32">
        <f>[2]Districts_Boroughs!CZ128</f>
        <v>0</v>
      </c>
      <c r="W159" s="32">
        <f>[2]Districts_Boroughs!DA128</f>
        <v>0</v>
      </c>
      <c r="X159" s="32">
        <f>[2]Districts_Boroughs!DB128</f>
        <v>0</v>
      </c>
      <c r="Y159" s="32">
        <f>[2]Districts_Boroughs!DC128</f>
        <v>0</v>
      </c>
      <c r="Z159" s="32">
        <f>[2]Districts_Boroughs!DD128</f>
        <v>0</v>
      </c>
      <c r="AA159" s="32">
        <f>[2]Districts_Boroughs!DE128</f>
        <v>0</v>
      </c>
      <c r="AB159" s="32">
        <f>[2]Districts_Boroughs!DF128</f>
        <v>0</v>
      </c>
      <c r="AC159" s="32">
        <f>[2]Districts_Boroughs!DG128</f>
        <v>0</v>
      </c>
      <c r="AD159" s="32">
        <f>[2]Districts_Boroughs!DH128</f>
        <v>0</v>
      </c>
      <c r="AE159" s="32">
        <f>[2]Districts_Boroughs!DI128</f>
        <v>0</v>
      </c>
      <c r="AF159" s="32">
        <f>[2]Districts_Boroughs!DJ128</f>
        <v>0</v>
      </c>
      <c r="AG159" s="32">
        <f>[2]Districts_Boroughs!DK128</f>
        <v>0</v>
      </c>
      <c r="AH159" s="32">
        <f>[2]Districts_Boroughs!DL128</f>
        <v>0</v>
      </c>
      <c r="AI159" s="32">
        <f>[2]Districts_Boroughs!DM128</f>
        <v>0</v>
      </c>
      <c r="AJ159" s="32">
        <f>[2]Districts_Boroughs!DN128</f>
        <v>0</v>
      </c>
      <c r="AK159" s="32">
        <f>[2]Districts_Boroughs!DO128</f>
        <v>0</v>
      </c>
      <c r="AL159" s="32">
        <f>[2]Districts_Boroughs!DP128</f>
        <v>0</v>
      </c>
      <c r="AM159" s="32">
        <f>[2]Districts_Boroughs!DQ128</f>
        <v>0</v>
      </c>
      <c r="AN159" s="32">
        <f>[2]Districts_Boroughs!DR128</f>
        <v>0</v>
      </c>
      <c r="AO159" s="32">
        <f>[2]Districts_Boroughs!DS128</f>
        <v>0</v>
      </c>
      <c r="AP159" s="32">
        <f>[2]Districts_Boroughs!DT128</f>
        <v>0</v>
      </c>
      <c r="AQ159" s="32">
        <f>[2]Districts_Boroughs!DU128</f>
        <v>0</v>
      </c>
      <c r="AR159" s="32">
        <f>[2]Districts_Boroughs!DV128</f>
        <v>0</v>
      </c>
      <c r="AS159" s="32">
        <f>[2]Districts_Boroughs!DW128</f>
        <v>0</v>
      </c>
      <c r="AT159" s="32">
        <f>[2]Districts_Boroughs!DX128</f>
        <v>0</v>
      </c>
      <c r="AU159" s="32">
        <f>[2]Districts_Boroughs!DY128</f>
        <v>0</v>
      </c>
      <c r="AV159" s="32">
        <f>[2]Districts_Boroughs!DZ128</f>
        <v>0</v>
      </c>
      <c r="AW159" s="32">
        <f>[2]Districts_Boroughs!EA128</f>
        <v>0</v>
      </c>
      <c r="AX159" s="32">
        <f>[2]Districts_Boroughs!EB128</f>
        <v>0</v>
      </c>
      <c r="AY159" s="32">
        <f>[2]Districts_Boroughs!EC128</f>
        <v>0</v>
      </c>
    </row>
    <row r="160" spans="1:51" x14ac:dyDescent="0.35">
      <c r="B160" t="str">
        <f t="shared" si="8"/>
        <v>RugbyAggravated Vehicle Taking</v>
      </c>
      <c r="C160" s="357" t="s">
        <v>46</v>
      </c>
      <c r="D160" s="32">
        <f>[2]Districts_Boroughs!CH129</f>
        <v>1</v>
      </c>
      <c r="E160" s="32">
        <f>[2]Districts_Boroughs!CI129</f>
        <v>0</v>
      </c>
      <c r="F160" s="32">
        <f>[2]Districts_Boroughs!CJ129</f>
        <v>1</v>
      </c>
      <c r="G160" s="32">
        <f>[2]Districts_Boroughs!CK129</f>
        <v>1</v>
      </c>
      <c r="H160" s="32">
        <f>[2]Districts_Boroughs!CL129</f>
        <v>1</v>
      </c>
      <c r="I160" s="32">
        <f>[2]Districts_Boroughs!CM129</f>
        <v>3</v>
      </c>
      <c r="J160" s="32">
        <f>[2]Districts_Boroughs!CN129</f>
        <v>0</v>
      </c>
      <c r="K160" s="32">
        <f>[2]Districts_Boroughs!CO129</f>
        <v>0</v>
      </c>
      <c r="L160" s="32">
        <f>[2]Districts_Boroughs!CP129</f>
        <v>1</v>
      </c>
      <c r="M160" s="32">
        <f>[2]Districts_Boroughs!CQ129</f>
        <v>1</v>
      </c>
      <c r="N160" s="32">
        <f>[2]Districts_Boroughs!CR129</f>
        <v>0</v>
      </c>
      <c r="O160" s="32">
        <f>[2]Districts_Boroughs!CS129</f>
        <v>0</v>
      </c>
      <c r="P160" s="32">
        <f>[2]Districts_Boroughs!CT129</f>
        <v>0</v>
      </c>
      <c r="Q160" s="32">
        <f>[2]Districts_Boroughs!CU129</f>
        <v>1</v>
      </c>
      <c r="R160" s="32">
        <f>[2]Districts_Boroughs!CV129</f>
        <v>1</v>
      </c>
      <c r="S160" s="32">
        <f>[2]Districts_Boroughs!CW129</f>
        <v>1</v>
      </c>
      <c r="T160" s="32">
        <f>[2]Districts_Boroughs!CX129</f>
        <v>2</v>
      </c>
      <c r="U160" s="32">
        <f>[2]Districts_Boroughs!CY129</f>
        <v>1</v>
      </c>
      <c r="V160" s="32">
        <f>[2]Districts_Boroughs!CZ129</f>
        <v>0</v>
      </c>
      <c r="W160" s="32">
        <f>[2]Districts_Boroughs!DA129</f>
        <v>2</v>
      </c>
      <c r="X160" s="32">
        <f>[2]Districts_Boroughs!DB129</f>
        <v>0</v>
      </c>
      <c r="Y160" s="32">
        <f>[2]Districts_Boroughs!DC129</f>
        <v>2</v>
      </c>
      <c r="Z160" s="32">
        <f>[2]Districts_Boroughs!DD129</f>
        <v>1</v>
      </c>
      <c r="AA160" s="32">
        <f>[2]Districts_Boroughs!DE129</f>
        <v>2</v>
      </c>
      <c r="AB160" s="32">
        <f>[2]Districts_Boroughs!DF129</f>
        <v>1</v>
      </c>
      <c r="AC160" s="32">
        <f>[2]Districts_Boroughs!DG129</f>
        <v>2</v>
      </c>
      <c r="AD160" s="32">
        <f>[2]Districts_Boroughs!DH129</f>
        <v>0</v>
      </c>
      <c r="AE160" s="32">
        <f>[2]Districts_Boroughs!DI129</f>
        <v>3</v>
      </c>
      <c r="AF160" s="32">
        <f>[2]Districts_Boroughs!DJ129</f>
        <v>1</v>
      </c>
      <c r="AG160" s="32">
        <f>[2]Districts_Boroughs!DK129</f>
        <v>3</v>
      </c>
      <c r="AH160" s="32">
        <f>[2]Districts_Boroughs!DL129</f>
        <v>2</v>
      </c>
      <c r="AI160" s="32">
        <f>[2]Districts_Boroughs!DM129</f>
        <v>0</v>
      </c>
      <c r="AJ160" s="32">
        <f>[2]Districts_Boroughs!DN129</f>
        <v>0</v>
      </c>
      <c r="AK160" s="32">
        <f>[2]Districts_Boroughs!DO129</f>
        <v>0</v>
      </c>
      <c r="AL160" s="32">
        <f>[2]Districts_Boroughs!DP129</f>
        <v>2</v>
      </c>
      <c r="AM160" s="32">
        <f>[2]Districts_Boroughs!DQ129</f>
        <v>0</v>
      </c>
      <c r="AN160" s="32">
        <f>[2]Districts_Boroughs!DR129</f>
        <v>0</v>
      </c>
      <c r="AO160" s="32">
        <f>[2]Districts_Boroughs!DS129</f>
        <v>0</v>
      </c>
      <c r="AP160" s="32">
        <f>[2]Districts_Boroughs!DT129</f>
        <v>0</v>
      </c>
      <c r="AQ160" s="32">
        <f>[2]Districts_Boroughs!DU129</f>
        <v>1</v>
      </c>
      <c r="AR160" s="32">
        <f>[2]Districts_Boroughs!DV129</f>
        <v>0</v>
      </c>
      <c r="AS160" s="32">
        <f>[2]Districts_Boroughs!DW129</f>
        <v>0</v>
      </c>
      <c r="AT160" s="32">
        <f>[2]Districts_Boroughs!DX129</f>
        <v>1</v>
      </c>
      <c r="AU160" s="32">
        <f>[2]Districts_Boroughs!DY129</f>
        <v>1</v>
      </c>
      <c r="AV160" s="32">
        <f>[2]Districts_Boroughs!DZ129</f>
        <v>1</v>
      </c>
      <c r="AW160" s="32">
        <f>[2]Districts_Boroughs!EA129</f>
        <v>1</v>
      </c>
      <c r="AX160" s="32">
        <f>[2]Districts_Boroughs!EB129</f>
        <v>0</v>
      </c>
      <c r="AY160" s="32">
        <f>[2]Districts_Boroughs!EC129</f>
        <v>2</v>
      </c>
    </row>
    <row r="161" spans="2:51" x14ac:dyDescent="0.35">
      <c r="B161" t="str">
        <f t="shared" si="8"/>
        <v>RugbyInterfering with a Motor Vehicle</v>
      </c>
      <c r="C161" s="357" t="s">
        <v>47</v>
      </c>
      <c r="D161" s="32">
        <f>[2]Districts_Boroughs!CH130</f>
        <v>8</v>
      </c>
      <c r="E161" s="32">
        <f>[2]Districts_Boroughs!CI130</f>
        <v>9</v>
      </c>
      <c r="F161" s="32">
        <f>[2]Districts_Boroughs!CJ130</f>
        <v>8</v>
      </c>
      <c r="G161" s="32">
        <f>[2]Districts_Boroughs!CK130</f>
        <v>2</v>
      </c>
      <c r="H161" s="32">
        <f>[2]Districts_Boroughs!CL130</f>
        <v>5</v>
      </c>
      <c r="I161" s="32">
        <f>[2]Districts_Boroughs!CM130</f>
        <v>3</v>
      </c>
      <c r="J161" s="32">
        <f>[2]Districts_Boroughs!CN130</f>
        <v>5</v>
      </c>
      <c r="K161" s="32">
        <f>[2]Districts_Boroughs!CO130</f>
        <v>14</v>
      </c>
      <c r="L161" s="32">
        <f>[2]Districts_Boroughs!CP130</f>
        <v>7</v>
      </c>
      <c r="M161" s="32">
        <f>[2]Districts_Boroughs!CQ130</f>
        <v>15</v>
      </c>
      <c r="N161" s="32">
        <f>[2]Districts_Boroughs!CR130</f>
        <v>4</v>
      </c>
      <c r="O161" s="32">
        <f>[2]Districts_Boroughs!CS130</f>
        <v>4</v>
      </c>
      <c r="P161" s="32">
        <f>[2]Districts_Boroughs!CT130</f>
        <v>17</v>
      </c>
      <c r="Q161" s="32">
        <f>[2]Districts_Boroughs!CU130</f>
        <v>5</v>
      </c>
      <c r="R161" s="32">
        <f>[2]Districts_Boroughs!CV130</f>
        <v>11</v>
      </c>
      <c r="S161" s="32">
        <f>[2]Districts_Boroughs!CW130</f>
        <v>12</v>
      </c>
      <c r="T161" s="32">
        <f>[2]Districts_Boroughs!CX130</f>
        <v>11</v>
      </c>
      <c r="U161" s="32">
        <f>[2]Districts_Boroughs!CY130</f>
        <v>7</v>
      </c>
      <c r="V161" s="32">
        <f>[2]Districts_Boroughs!CZ130</f>
        <v>15</v>
      </c>
      <c r="W161" s="32">
        <f>[2]Districts_Boroughs!DA130</f>
        <v>14</v>
      </c>
      <c r="X161" s="32">
        <f>[2]Districts_Boroughs!DB130</f>
        <v>4</v>
      </c>
      <c r="Y161" s="32">
        <f>[2]Districts_Boroughs!DC130</f>
        <v>16</v>
      </c>
      <c r="Z161" s="32">
        <f>[2]Districts_Boroughs!DD130</f>
        <v>10</v>
      </c>
      <c r="AA161" s="32">
        <f>[2]Districts_Boroughs!DE130</f>
        <v>12</v>
      </c>
      <c r="AB161" s="32">
        <f>[2]Districts_Boroughs!DF130</f>
        <v>14</v>
      </c>
      <c r="AC161" s="32">
        <f>[2]Districts_Boroughs!DG130</f>
        <v>10</v>
      </c>
      <c r="AD161" s="32">
        <f>[2]Districts_Boroughs!DH130</f>
        <v>11</v>
      </c>
      <c r="AE161" s="32">
        <f>[2]Districts_Boroughs!DI130</f>
        <v>12</v>
      </c>
      <c r="AF161" s="32">
        <f>[2]Districts_Boroughs!DJ130</f>
        <v>8</v>
      </c>
      <c r="AG161" s="32">
        <f>[2]Districts_Boroughs!DK130</f>
        <v>7</v>
      </c>
      <c r="AH161" s="32">
        <f>[2]Districts_Boroughs!DL130</f>
        <v>9</v>
      </c>
      <c r="AI161" s="32">
        <f>[2]Districts_Boroughs!DM130</f>
        <v>15</v>
      </c>
      <c r="AJ161" s="32">
        <f>[2]Districts_Boroughs!DN130</f>
        <v>6</v>
      </c>
      <c r="AK161" s="32">
        <f>[2]Districts_Boroughs!DO130</f>
        <v>21</v>
      </c>
      <c r="AL161" s="32">
        <f>[2]Districts_Boroughs!DP130</f>
        <v>16</v>
      </c>
      <c r="AM161" s="32">
        <f>[2]Districts_Boroughs!DQ130</f>
        <v>16</v>
      </c>
      <c r="AN161" s="32">
        <f>[2]Districts_Boroughs!DR130</f>
        <v>12</v>
      </c>
      <c r="AO161" s="32">
        <f>[2]Districts_Boroughs!DS130</f>
        <v>10</v>
      </c>
      <c r="AP161" s="32">
        <f>[2]Districts_Boroughs!DT130</f>
        <v>6</v>
      </c>
      <c r="AQ161" s="32">
        <f>[2]Districts_Boroughs!DU130</f>
        <v>13</v>
      </c>
      <c r="AR161" s="32">
        <f>[2]Districts_Boroughs!DV130</f>
        <v>3</v>
      </c>
      <c r="AS161" s="32">
        <f>[2]Districts_Boroughs!DW130</f>
        <v>10</v>
      </c>
      <c r="AT161" s="32">
        <f>[2]Districts_Boroughs!DX130</f>
        <v>7</v>
      </c>
      <c r="AU161" s="32">
        <f>[2]Districts_Boroughs!DY130</f>
        <v>7</v>
      </c>
      <c r="AV161" s="32">
        <f>[2]Districts_Boroughs!DZ130</f>
        <v>2</v>
      </c>
      <c r="AW161" s="32">
        <f>[2]Districts_Boroughs!EA130</f>
        <v>2</v>
      </c>
      <c r="AX161" s="32">
        <f>[2]Districts_Boroughs!EB130</f>
        <v>8</v>
      </c>
      <c r="AY161" s="32">
        <f>[2]Districts_Boroughs!EC130</f>
        <v>3</v>
      </c>
    </row>
    <row r="162" spans="2:51" x14ac:dyDescent="0.35">
      <c r="B162" t="str">
        <f t="shared" si="8"/>
        <v>RugbyTheft From A Vehicle</v>
      </c>
      <c r="C162" s="357" t="s">
        <v>48</v>
      </c>
      <c r="D162" s="32">
        <f>[2]Districts_Boroughs!CH131</f>
        <v>17</v>
      </c>
      <c r="E162" s="32">
        <f>[2]Districts_Boroughs!CI131</f>
        <v>21</v>
      </c>
      <c r="F162" s="32">
        <f>[2]Districts_Boroughs!CJ131</f>
        <v>14</v>
      </c>
      <c r="G162" s="32">
        <f>[2]Districts_Boroughs!CK131</f>
        <v>25</v>
      </c>
      <c r="H162" s="32">
        <f>[2]Districts_Boroughs!CL131</f>
        <v>29</v>
      </c>
      <c r="I162" s="32">
        <f>[2]Districts_Boroughs!CM131</f>
        <v>17</v>
      </c>
      <c r="J162" s="32">
        <f>[2]Districts_Boroughs!CN131</f>
        <v>19</v>
      </c>
      <c r="K162" s="32">
        <f>[2]Districts_Boroughs!CO131</f>
        <v>38</v>
      </c>
      <c r="L162" s="32">
        <f>[2]Districts_Boroughs!CP131</f>
        <v>32</v>
      </c>
      <c r="M162" s="32">
        <f>[2]Districts_Boroughs!CQ131</f>
        <v>29</v>
      </c>
      <c r="N162" s="32">
        <f>[2]Districts_Boroughs!CR131</f>
        <v>35</v>
      </c>
      <c r="O162" s="32">
        <f>[2]Districts_Boroughs!CS131</f>
        <v>37</v>
      </c>
      <c r="P162" s="32">
        <f>[2]Districts_Boroughs!CT131</f>
        <v>55</v>
      </c>
      <c r="Q162" s="32">
        <f>[2]Districts_Boroughs!CU131</f>
        <v>32</v>
      </c>
      <c r="R162" s="32">
        <f>[2]Districts_Boroughs!CV131</f>
        <v>48</v>
      </c>
      <c r="S162" s="32">
        <f>[2]Districts_Boroughs!CW131</f>
        <v>30</v>
      </c>
      <c r="T162" s="32">
        <f>[2]Districts_Boroughs!CX131</f>
        <v>48</v>
      </c>
      <c r="U162" s="32">
        <f>[2]Districts_Boroughs!CY131</f>
        <v>33</v>
      </c>
      <c r="V162" s="32">
        <f>[2]Districts_Boroughs!CZ131</f>
        <v>29</v>
      </c>
      <c r="W162" s="32">
        <f>[2]Districts_Boroughs!DA131</f>
        <v>48</v>
      </c>
      <c r="X162" s="32">
        <f>[2]Districts_Boroughs!DB131</f>
        <v>13</v>
      </c>
      <c r="Y162" s="32">
        <f>[2]Districts_Boroughs!DC131</f>
        <v>35</v>
      </c>
      <c r="Z162" s="32">
        <f>[2]Districts_Boroughs!DD131</f>
        <v>23</v>
      </c>
      <c r="AA162" s="32">
        <f>[2]Districts_Boroughs!DE131</f>
        <v>39</v>
      </c>
      <c r="AB162" s="32">
        <f>[2]Districts_Boroughs!DF131</f>
        <v>28</v>
      </c>
      <c r="AC162" s="32">
        <f>[2]Districts_Boroughs!DG131</f>
        <v>29</v>
      </c>
      <c r="AD162" s="32">
        <f>[2]Districts_Boroughs!DH131</f>
        <v>22</v>
      </c>
      <c r="AE162" s="32">
        <f>[2]Districts_Boroughs!DI131</f>
        <v>29</v>
      </c>
      <c r="AF162" s="32">
        <f>[2]Districts_Boroughs!DJ131</f>
        <v>23</v>
      </c>
      <c r="AG162" s="32">
        <f>[2]Districts_Boroughs!DK131</f>
        <v>23</v>
      </c>
      <c r="AH162" s="32">
        <f>[2]Districts_Boroughs!DL131</f>
        <v>27</v>
      </c>
      <c r="AI162" s="32">
        <f>[2]Districts_Boroughs!DM131</f>
        <v>22</v>
      </c>
      <c r="AJ162" s="32">
        <f>[2]Districts_Boroughs!DN131</f>
        <v>28</v>
      </c>
      <c r="AK162" s="32">
        <f>[2]Districts_Boroughs!DO131</f>
        <v>22</v>
      </c>
      <c r="AL162" s="32">
        <f>[2]Districts_Boroughs!DP131</f>
        <v>13</v>
      </c>
      <c r="AM162" s="32">
        <f>[2]Districts_Boroughs!DQ131</f>
        <v>19</v>
      </c>
      <c r="AN162" s="32">
        <f>[2]Districts_Boroughs!DR131</f>
        <v>18</v>
      </c>
      <c r="AO162" s="32">
        <f>[2]Districts_Boroughs!DS131</f>
        <v>24</v>
      </c>
      <c r="AP162" s="32">
        <f>[2]Districts_Boroughs!DT131</f>
        <v>23</v>
      </c>
      <c r="AQ162" s="32">
        <f>[2]Districts_Boroughs!DU131</f>
        <v>19</v>
      </c>
      <c r="AR162" s="32">
        <f>[2]Districts_Boroughs!DV131</f>
        <v>17</v>
      </c>
      <c r="AS162" s="32">
        <f>[2]Districts_Boroughs!DW131</f>
        <v>29</v>
      </c>
      <c r="AT162" s="32">
        <f>[2]Districts_Boroughs!DX131</f>
        <v>18</v>
      </c>
      <c r="AU162" s="32">
        <f>[2]Districts_Boroughs!DY131</f>
        <v>31</v>
      </c>
      <c r="AV162" s="32">
        <f>[2]Districts_Boroughs!DZ131</f>
        <v>15</v>
      </c>
      <c r="AW162" s="32">
        <f>[2]Districts_Boroughs!EA131</f>
        <v>12</v>
      </c>
      <c r="AX162" s="32">
        <f>[2]Districts_Boroughs!EB131</f>
        <v>22</v>
      </c>
      <c r="AY162" s="32">
        <f>[2]Districts_Boroughs!EC131</f>
        <v>18</v>
      </c>
    </row>
    <row r="163" spans="2:51" x14ac:dyDescent="0.35">
      <c r="B163" t="str">
        <f t="shared" si="8"/>
        <v>RugbyTheft Or Unauthorised Taking Of A Motor Vehicle</v>
      </c>
      <c r="C163" s="357" t="s">
        <v>49</v>
      </c>
      <c r="D163" s="32">
        <f>[2]Districts_Boroughs!CH132</f>
        <v>3</v>
      </c>
      <c r="E163" s="32">
        <f>[2]Districts_Boroughs!CI132</f>
        <v>12</v>
      </c>
      <c r="F163" s="32">
        <f>[2]Districts_Boroughs!CJ132</f>
        <v>7</v>
      </c>
      <c r="G163" s="32">
        <f>[2]Districts_Boroughs!CK132</f>
        <v>11</v>
      </c>
      <c r="H163" s="32">
        <f>[2]Districts_Boroughs!CL132</f>
        <v>19</v>
      </c>
      <c r="I163" s="32">
        <f>[2]Districts_Boroughs!CM132</f>
        <v>18</v>
      </c>
      <c r="J163" s="32">
        <f>[2]Districts_Boroughs!CN132</f>
        <v>12</v>
      </c>
      <c r="K163" s="32">
        <f>[2]Districts_Boroughs!CO132</f>
        <v>18</v>
      </c>
      <c r="L163" s="32">
        <f>[2]Districts_Boroughs!CP132</f>
        <v>17</v>
      </c>
      <c r="M163" s="32">
        <f>[2]Districts_Boroughs!CQ132</f>
        <v>19</v>
      </c>
      <c r="N163" s="32">
        <f>[2]Districts_Boroughs!CR132</f>
        <v>10</v>
      </c>
      <c r="O163" s="32">
        <f>[2]Districts_Boroughs!CS132</f>
        <v>12</v>
      </c>
      <c r="P163" s="32">
        <f>[2]Districts_Boroughs!CT132</f>
        <v>12</v>
      </c>
      <c r="Q163" s="32">
        <f>[2]Districts_Boroughs!CU132</f>
        <v>10</v>
      </c>
      <c r="R163" s="32">
        <f>[2]Districts_Boroughs!CV132</f>
        <v>20</v>
      </c>
      <c r="S163" s="32">
        <f>[2]Districts_Boroughs!CW132</f>
        <v>15</v>
      </c>
      <c r="T163" s="32">
        <f>[2]Districts_Boroughs!CX132</f>
        <v>16</v>
      </c>
      <c r="U163" s="32">
        <f>[2]Districts_Boroughs!CY132</f>
        <v>19</v>
      </c>
      <c r="V163" s="32">
        <f>[2]Districts_Boroughs!CZ132</f>
        <v>18</v>
      </c>
      <c r="W163" s="32">
        <f>[2]Districts_Boroughs!DA132</f>
        <v>17</v>
      </c>
      <c r="X163" s="32">
        <f>[2]Districts_Boroughs!DB132</f>
        <v>9</v>
      </c>
      <c r="Y163" s="32">
        <f>[2]Districts_Boroughs!DC132</f>
        <v>15</v>
      </c>
      <c r="Z163" s="32">
        <f>[2]Districts_Boroughs!DD132</f>
        <v>16</v>
      </c>
      <c r="AA163" s="32">
        <f>[2]Districts_Boroughs!DE132</f>
        <v>9</v>
      </c>
      <c r="AB163" s="32">
        <f>[2]Districts_Boroughs!DF132</f>
        <v>10</v>
      </c>
      <c r="AC163" s="32">
        <f>[2]Districts_Boroughs!DG132</f>
        <v>19</v>
      </c>
      <c r="AD163" s="32">
        <f>[2]Districts_Boroughs!DH132</f>
        <v>11</v>
      </c>
      <c r="AE163" s="32">
        <f>[2]Districts_Boroughs!DI132</f>
        <v>13</v>
      </c>
      <c r="AF163" s="32">
        <f>[2]Districts_Boroughs!DJ132</f>
        <v>23</v>
      </c>
      <c r="AG163" s="32">
        <f>[2]Districts_Boroughs!DK132</f>
        <v>20</v>
      </c>
      <c r="AH163" s="32">
        <f>[2]Districts_Boroughs!DL132</f>
        <v>5</v>
      </c>
      <c r="AI163" s="32">
        <f>[2]Districts_Boroughs!DM132</f>
        <v>17</v>
      </c>
      <c r="AJ163" s="32">
        <f>[2]Districts_Boroughs!DN132</f>
        <v>11</v>
      </c>
      <c r="AK163" s="32">
        <f>[2]Districts_Boroughs!DO132</f>
        <v>7</v>
      </c>
      <c r="AL163" s="32">
        <f>[2]Districts_Boroughs!DP132</f>
        <v>13</v>
      </c>
      <c r="AM163" s="32">
        <f>[2]Districts_Boroughs!DQ132</f>
        <v>18</v>
      </c>
      <c r="AN163" s="32">
        <f>[2]Districts_Boroughs!DR132</f>
        <v>13</v>
      </c>
      <c r="AO163" s="32">
        <f>[2]Districts_Boroughs!DS132</f>
        <v>16</v>
      </c>
      <c r="AP163" s="32">
        <f>[2]Districts_Boroughs!DT132</f>
        <v>26</v>
      </c>
      <c r="AQ163" s="32">
        <f>[2]Districts_Boroughs!DU132</f>
        <v>14</v>
      </c>
      <c r="AR163" s="32">
        <f>[2]Districts_Boroughs!DV132</f>
        <v>14</v>
      </c>
      <c r="AS163" s="32">
        <f>[2]Districts_Boroughs!DW132</f>
        <v>6</v>
      </c>
      <c r="AT163" s="32">
        <f>[2]Districts_Boroughs!DX132</f>
        <v>14</v>
      </c>
      <c r="AU163" s="32">
        <f>[2]Districts_Boroughs!DY132</f>
        <v>15</v>
      </c>
      <c r="AV163" s="32">
        <f>[2]Districts_Boroughs!DZ132</f>
        <v>5</v>
      </c>
      <c r="AW163" s="32">
        <f>[2]Districts_Boroughs!EA132</f>
        <v>14</v>
      </c>
      <c r="AX163" s="32">
        <f>[2]Districts_Boroughs!EB132</f>
        <v>5</v>
      </c>
      <c r="AY163" s="32">
        <f>[2]Districts_Boroughs!EC132</f>
        <v>16</v>
      </c>
    </row>
    <row r="164" spans="2:51" x14ac:dyDescent="0.35">
      <c r="B164" t="str">
        <f t="shared" si="8"/>
        <v>RugbyTotal Vehicle Crime</v>
      </c>
      <c r="C164" s="357" t="s">
        <v>50</v>
      </c>
      <c r="D164" s="32">
        <f>[2]Districts_Boroughs!CH133</f>
        <v>29</v>
      </c>
      <c r="E164" s="32">
        <f>[2]Districts_Boroughs!CI133</f>
        <v>42</v>
      </c>
      <c r="F164" s="32">
        <f>[2]Districts_Boroughs!CJ133</f>
        <v>30</v>
      </c>
      <c r="G164" s="32">
        <f>[2]Districts_Boroughs!CK133</f>
        <v>39</v>
      </c>
      <c r="H164" s="32">
        <f>[2]Districts_Boroughs!CL133</f>
        <v>54</v>
      </c>
      <c r="I164" s="32">
        <f>[2]Districts_Boroughs!CM133</f>
        <v>41</v>
      </c>
      <c r="J164" s="32">
        <f>[2]Districts_Boroughs!CN133</f>
        <v>36</v>
      </c>
      <c r="K164" s="32">
        <f>[2]Districts_Boroughs!CO133</f>
        <v>70</v>
      </c>
      <c r="L164" s="32">
        <f>[2]Districts_Boroughs!CP133</f>
        <v>57</v>
      </c>
      <c r="M164" s="32">
        <f>[2]Districts_Boroughs!CQ133</f>
        <v>64</v>
      </c>
      <c r="N164" s="32">
        <f>[2]Districts_Boroughs!CR133</f>
        <v>49</v>
      </c>
      <c r="O164" s="32">
        <f>[2]Districts_Boroughs!CS133</f>
        <v>53</v>
      </c>
      <c r="P164" s="32">
        <f>[2]Districts_Boroughs!CT133</f>
        <v>84</v>
      </c>
      <c r="Q164" s="32">
        <f>[2]Districts_Boroughs!CU133</f>
        <v>48</v>
      </c>
      <c r="R164" s="32">
        <f>[2]Districts_Boroughs!CV133</f>
        <v>80</v>
      </c>
      <c r="S164" s="32">
        <f>[2]Districts_Boroughs!CW133</f>
        <v>58</v>
      </c>
      <c r="T164" s="32">
        <f>[2]Districts_Boroughs!CX133</f>
        <v>77</v>
      </c>
      <c r="U164" s="32">
        <f>[2]Districts_Boroughs!CY133</f>
        <v>60</v>
      </c>
      <c r="V164" s="32">
        <f>[2]Districts_Boroughs!CZ133</f>
        <v>62</v>
      </c>
      <c r="W164" s="32">
        <f>[2]Districts_Boroughs!DA133</f>
        <v>81</v>
      </c>
      <c r="X164" s="32">
        <f>[2]Districts_Boroughs!DB133</f>
        <v>26</v>
      </c>
      <c r="Y164" s="32">
        <f>[2]Districts_Boroughs!DC133</f>
        <v>68</v>
      </c>
      <c r="Z164" s="32">
        <f>[2]Districts_Boroughs!DD133</f>
        <v>50</v>
      </c>
      <c r="AA164" s="32">
        <f>[2]Districts_Boroughs!DE133</f>
        <v>62</v>
      </c>
      <c r="AB164" s="32">
        <f>[2]Districts_Boroughs!DF133</f>
        <v>53</v>
      </c>
      <c r="AC164" s="32">
        <f>[2]Districts_Boroughs!DG133</f>
        <v>60</v>
      </c>
      <c r="AD164" s="32">
        <f>[2]Districts_Boroughs!DH133</f>
        <v>44</v>
      </c>
      <c r="AE164" s="32">
        <f>[2]Districts_Boroughs!DI133</f>
        <v>57</v>
      </c>
      <c r="AF164" s="32">
        <f>[2]Districts_Boroughs!DJ133</f>
        <v>55</v>
      </c>
      <c r="AG164" s="32">
        <f>[2]Districts_Boroughs!DK133</f>
        <v>53</v>
      </c>
      <c r="AH164" s="32">
        <f>[2]Districts_Boroughs!DL133</f>
        <v>43</v>
      </c>
      <c r="AI164" s="32">
        <f>[2]Districts_Boroughs!DM133</f>
        <v>54</v>
      </c>
      <c r="AJ164" s="32">
        <f>[2]Districts_Boroughs!DN133</f>
        <v>45</v>
      </c>
      <c r="AK164" s="32">
        <f>[2]Districts_Boroughs!DO133</f>
        <v>50</v>
      </c>
      <c r="AL164" s="32">
        <f>[2]Districts_Boroughs!DP133</f>
        <v>44</v>
      </c>
      <c r="AM164" s="32">
        <f>[2]Districts_Boroughs!DQ133</f>
        <v>53</v>
      </c>
      <c r="AN164" s="32">
        <f>[2]Districts_Boroughs!DR133</f>
        <v>43</v>
      </c>
      <c r="AO164" s="32">
        <f>[2]Districts_Boroughs!DS133</f>
        <v>50</v>
      </c>
      <c r="AP164" s="32">
        <f>[2]Districts_Boroughs!DT133</f>
        <v>55</v>
      </c>
      <c r="AQ164" s="32">
        <f>[2]Districts_Boroughs!DU133</f>
        <v>47</v>
      </c>
      <c r="AR164" s="32">
        <f>[2]Districts_Boroughs!DV133</f>
        <v>34</v>
      </c>
      <c r="AS164" s="32">
        <f>[2]Districts_Boroughs!DW133</f>
        <v>45</v>
      </c>
      <c r="AT164" s="32">
        <f>[2]Districts_Boroughs!DX133</f>
        <v>40</v>
      </c>
      <c r="AU164" s="32">
        <f>[2]Districts_Boroughs!DY133</f>
        <v>54</v>
      </c>
      <c r="AV164" s="32">
        <f>[2]Districts_Boroughs!DZ133</f>
        <v>23</v>
      </c>
      <c r="AW164" s="32">
        <f>[2]Districts_Boroughs!EA133</f>
        <v>29</v>
      </c>
      <c r="AX164" s="32">
        <f>[2]Districts_Boroughs!EB133</f>
        <v>35</v>
      </c>
      <c r="AY164" s="32">
        <f>[2]Districts_Boroughs!EC133</f>
        <v>39</v>
      </c>
    </row>
    <row r="165" spans="2:51" x14ac:dyDescent="0.35">
      <c r="B165" t="str">
        <f t="shared" si="8"/>
        <v>Rugby</v>
      </c>
      <c r="C165" s="357"/>
      <c r="D165" s="32">
        <f>[2]Districts_Boroughs!CH134</f>
        <v>0</v>
      </c>
      <c r="E165" s="32">
        <f>[2]Districts_Boroughs!CI134</f>
        <v>0</v>
      </c>
      <c r="F165" s="32">
        <f>[2]Districts_Boroughs!CJ134</f>
        <v>0</v>
      </c>
      <c r="G165" s="32">
        <f>[2]Districts_Boroughs!CK134</f>
        <v>0</v>
      </c>
      <c r="H165" s="32">
        <f>[2]Districts_Boroughs!CL134</f>
        <v>0</v>
      </c>
      <c r="I165" s="32">
        <f>[2]Districts_Boroughs!CM134</f>
        <v>0</v>
      </c>
      <c r="J165" s="32">
        <f>[2]Districts_Boroughs!CN134</f>
        <v>0</v>
      </c>
      <c r="K165" s="32">
        <f>[2]Districts_Boroughs!CO134</f>
        <v>0</v>
      </c>
      <c r="L165" s="32">
        <f>[2]Districts_Boroughs!CP134</f>
        <v>0</v>
      </c>
      <c r="M165" s="32">
        <f>[2]Districts_Boroughs!CQ134</f>
        <v>0</v>
      </c>
      <c r="N165" s="32">
        <f>[2]Districts_Boroughs!CR134</f>
        <v>0</v>
      </c>
      <c r="O165" s="32">
        <f>[2]Districts_Boroughs!CS134</f>
        <v>0</v>
      </c>
      <c r="P165" s="32">
        <f>[2]Districts_Boroughs!CT134</f>
        <v>0</v>
      </c>
      <c r="Q165" s="32">
        <f>[2]Districts_Boroughs!CU134</f>
        <v>0</v>
      </c>
      <c r="R165" s="32">
        <f>[2]Districts_Boroughs!CV134</f>
        <v>0</v>
      </c>
      <c r="S165" s="32">
        <f>[2]Districts_Boroughs!CW134</f>
        <v>0</v>
      </c>
      <c r="T165" s="32">
        <f>[2]Districts_Boroughs!CX134</f>
        <v>0</v>
      </c>
      <c r="U165" s="32">
        <f>[2]Districts_Boroughs!CY134</f>
        <v>0</v>
      </c>
      <c r="V165" s="32">
        <f>[2]Districts_Boroughs!CZ134</f>
        <v>0</v>
      </c>
      <c r="W165" s="32">
        <f>[2]Districts_Boroughs!DA134</f>
        <v>0</v>
      </c>
      <c r="X165" s="32">
        <f>[2]Districts_Boroughs!DB134</f>
        <v>0</v>
      </c>
      <c r="Y165" s="32">
        <f>[2]Districts_Boroughs!DC134</f>
        <v>0</v>
      </c>
      <c r="Z165" s="32">
        <f>[2]Districts_Boroughs!DD134</f>
        <v>0</v>
      </c>
      <c r="AA165" s="32">
        <f>[2]Districts_Boroughs!DE134</f>
        <v>0</v>
      </c>
      <c r="AB165" s="32">
        <f>[2]Districts_Boroughs!DF134</f>
        <v>0</v>
      </c>
      <c r="AC165" s="32">
        <f>[2]Districts_Boroughs!DG134</f>
        <v>0</v>
      </c>
      <c r="AD165" s="32">
        <f>[2]Districts_Boroughs!DH134</f>
        <v>0</v>
      </c>
      <c r="AE165" s="32">
        <f>[2]Districts_Boroughs!DI134</f>
        <v>0</v>
      </c>
      <c r="AF165" s="32">
        <f>[2]Districts_Boroughs!DJ134</f>
        <v>0</v>
      </c>
      <c r="AG165" s="32">
        <f>[2]Districts_Boroughs!DK134</f>
        <v>0</v>
      </c>
      <c r="AH165" s="32">
        <f>[2]Districts_Boroughs!DL134</f>
        <v>0</v>
      </c>
      <c r="AI165" s="32">
        <f>[2]Districts_Boroughs!DM134</f>
        <v>0</v>
      </c>
      <c r="AJ165" s="32">
        <f>[2]Districts_Boroughs!DN134</f>
        <v>0</v>
      </c>
      <c r="AK165" s="32">
        <f>[2]Districts_Boroughs!DO134</f>
        <v>0</v>
      </c>
      <c r="AL165" s="32">
        <f>[2]Districts_Boroughs!DP134</f>
        <v>0</v>
      </c>
      <c r="AM165" s="32">
        <f>[2]Districts_Boroughs!DQ134</f>
        <v>0</v>
      </c>
      <c r="AN165" s="32">
        <f>[2]Districts_Boroughs!DR134</f>
        <v>0</v>
      </c>
      <c r="AO165" s="32">
        <f>[2]Districts_Boroughs!DS134</f>
        <v>0</v>
      </c>
      <c r="AP165" s="32">
        <f>[2]Districts_Boroughs!DT134</f>
        <v>0</v>
      </c>
      <c r="AQ165" s="32">
        <f>[2]Districts_Boroughs!DU134</f>
        <v>0</v>
      </c>
      <c r="AR165" s="32">
        <f>[2]Districts_Boroughs!DV134</f>
        <v>0</v>
      </c>
      <c r="AS165" s="32">
        <f>[2]Districts_Boroughs!DW134</f>
        <v>0</v>
      </c>
      <c r="AT165" s="32">
        <f>[2]Districts_Boroughs!DX134</f>
        <v>0</v>
      </c>
      <c r="AU165" s="32">
        <f>[2]Districts_Boroughs!DY134</f>
        <v>0</v>
      </c>
      <c r="AV165" s="32">
        <f>[2]Districts_Boroughs!DZ134</f>
        <v>0</v>
      </c>
      <c r="AW165" s="32">
        <f>[2]Districts_Boroughs!EA134</f>
        <v>0</v>
      </c>
      <c r="AX165" s="32">
        <f>[2]Districts_Boroughs!EB134</f>
        <v>0</v>
      </c>
      <c r="AY165" s="32">
        <f>[2]Districts_Boroughs!EC134</f>
        <v>0</v>
      </c>
    </row>
    <row r="166" spans="2:51" x14ac:dyDescent="0.35">
      <c r="B166" t="str">
        <f t="shared" si="8"/>
        <v>RugbyHate Offences &amp; Crimed Incidents</v>
      </c>
      <c r="C166" s="357" t="s">
        <v>51</v>
      </c>
      <c r="D166" s="32">
        <f>[2]Districts_Boroughs!CH135</f>
        <v>21</v>
      </c>
      <c r="E166" s="32">
        <f>[2]Districts_Boroughs!CI135</f>
        <v>26</v>
      </c>
      <c r="F166" s="32">
        <f>[2]Districts_Boroughs!CJ135</f>
        <v>22</v>
      </c>
      <c r="G166" s="32">
        <f>[2]Districts_Boroughs!CK135</f>
        <v>18</v>
      </c>
      <c r="H166" s="32">
        <f>[2]Districts_Boroughs!CL135</f>
        <v>28</v>
      </c>
      <c r="I166" s="32">
        <f>[2]Districts_Boroughs!CM135</f>
        <v>26</v>
      </c>
      <c r="J166" s="32">
        <f>[2]Districts_Boroughs!CN135</f>
        <v>22</v>
      </c>
      <c r="K166" s="32">
        <f>[2]Districts_Boroughs!CO135</f>
        <v>19</v>
      </c>
      <c r="L166" s="32">
        <f>[2]Districts_Boroughs!CP135</f>
        <v>20</v>
      </c>
      <c r="M166" s="32">
        <f>[2]Districts_Boroughs!CQ135</f>
        <v>14</v>
      </c>
      <c r="N166" s="32">
        <f>[2]Districts_Boroughs!CR135</f>
        <v>19</v>
      </c>
      <c r="O166" s="32">
        <f>[2]Districts_Boroughs!CS135</f>
        <v>19</v>
      </c>
      <c r="P166" s="32">
        <f>[2]Districts_Boroughs!CT135</f>
        <v>16</v>
      </c>
      <c r="Q166" s="32">
        <f>[2]Districts_Boroughs!CU135</f>
        <v>22</v>
      </c>
      <c r="R166" s="32">
        <f>[2]Districts_Boroughs!CV135</f>
        <v>31</v>
      </c>
      <c r="S166" s="32">
        <f>[2]Districts_Boroughs!CW135</f>
        <v>27</v>
      </c>
      <c r="T166" s="32">
        <f>[2]Districts_Boroughs!CX135</f>
        <v>22</v>
      </c>
      <c r="U166" s="32">
        <f>[2]Districts_Boroughs!CY135</f>
        <v>12</v>
      </c>
      <c r="V166" s="32">
        <f>[2]Districts_Boroughs!CZ135</f>
        <v>12</v>
      </c>
      <c r="W166" s="32">
        <f>[2]Districts_Boroughs!DA135</f>
        <v>16</v>
      </c>
      <c r="X166" s="32">
        <f>[2]Districts_Boroughs!DB135</f>
        <v>16</v>
      </c>
      <c r="Y166" s="32">
        <f>[2]Districts_Boroughs!DC135</f>
        <v>12</v>
      </c>
      <c r="Z166" s="32">
        <f>[2]Districts_Boroughs!DD135</f>
        <v>15</v>
      </c>
      <c r="AA166" s="32">
        <f>[2]Districts_Boroughs!DE135</f>
        <v>14</v>
      </c>
      <c r="AB166" s="32">
        <f>[2]Districts_Boroughs!DF135</f>
        <v>18</v>
      </c>
      <c r="AC166" s="32">
        <f>[2]Districts_Boroughs!DG135</f>
        <v>19</v>
      </c>
      <c r="AD166" s="32">
        <f>[2]Districts_Boroughs!DH135</f>
        <v>11</v>
      </c>
      <c r="AE166" s="32">
        <f>[2]Districts_Boroughs!DI135</f>
        <v>20</v>
      </c>
      <c r="AF166" s="32">
        <f>[2]Districts_Boroughs!DJ135</f>
        <v>11</v>
      </c>
      <c r="AG166" s="32">
        <f>[2]Districts_Boroughs!DK135</f>
        <v>20</v>
      </c>
      <c r="AH166" s="32">
        <f>[2]Districts_Boroughs!DL135</f>
        <v>24</v>
      </c>
      <c r="AI166" s="32">
        <f>[2]Districts_Boroughs!DM135</f>
        <v>22</v>
      </c>
      <c r="AJ166" s="32">
        <f>[2]Districts_Boroughs!DN135</f>
        <v>10</v>
      </c>
      <c r="AK166" s="32">
        <f>[2]Districts_Boroughs!DO135</f>
        <v>7</v>
      </c>
      <c r="AL166" s="32">
        <f>[2]Districts_Boroughs!DP135</f>
        <v>14</v>
      </c>
      <c r="AM166" s="32">
        <f>[2]Districts_Boroughs!DQ135</f>
        <v>21</v>
      </c>
      <c r="AN166" s="32">
        <f>[2]Districts_Boroughs!DR135</f>
        <v>10</v>
      </c>
      <c r="AO166" s="32">
        <f>[2]Districts_Boroughs!DS135</f>
        <v>18</v>
      </c>
      <c r="AP166" s="32">
        <f>[2]Districts_Boroughs!DT135</f>
        <v>17</v>
      </c>
      <c r="AQ166" s="32">
        <f>[2]Districts_Boroughs!DU135</f>
        <v>24</v>
      </c>
      <c r="AR166" s="32">
        <f>[2]Districts_Boroughs!DV135</f>
        <v>24</v>
      </c>
      <c r="AS166" s="32">
        <f>[2]Districts_Boroughs!DW135</f>
        <v>19</v>
      </c>
      <c r="AT166" s="32">
        <f>[2]Districts_Boroughs!DX135</f>
        <v>15</v>
      </c>
      <c r="AU166" s="32">
        <f>[2]Districts_Boroughs!DY135</f>
        <v>18</v>
      </c>
      <c r="AV166" s="32">
        <f>[2]Districts_Boroughs!DZ135</f>
        <v>8</v>
      </c>
      <c r="AW166" s="32">
        <f>[2]Districts_Boroughs!EA135</f>
        <v>14</v>
      </c>
      <c r="AX166" s="32">
        <f>[2]Districts_Boroughs!EB135</f>
        <v>13</v>
      </c>
      <c r="AY166" s="32">
        <f>[2]Districts_Boroughs!EC135</f>
        <v>12</v>
      </c>
    </row>
    <row r="167" spans="2:51" s="64" customFormat="1" x14ac:dyDescent="0.35">
      <c r="B167" s="64" t="str">
        <f t="shared" si="8"/>
        <v>RugbyDA Offences &amp; Crimed Incidents</v>
      </c>
      <c r="C167" s="357" t="s">
        <v>200</v>
      </c>
      <c r="D167" s="32">
        <f>[2]Districts_Boroughs!CH136</f>
        <v>182</v>
      </c>
      <c r="E167" s="32">
        <f>[2]Districts_Boroughs!CI136</f>
        <v>218</v>
      </c>
      <c r="F167" s="32">
        <f>[2]Districts_Boroughs!CJ136</f>
        <v>224</v>
      </c>
      <c r="G167" s="32">
        <f>[2]Districts_Boroughs!CK136</f>
        <v>214</v>
      </c>
      <c r="H167" s="32">
        <f>[2]Districts_Boroughs!CL136</f>
        <v>194</v>
      </c>
      <c r="I167" s="32">
        <f>[2]Districts_Boroughs!CM136</f>
        <v>245</v>
      </c>
      <c r="J167" s="32">
        <f>[2]Districts_Boroughs!CN136</f>
        <v>207</v>
      </c>
      <c r="K167" s="32">
        <f>[2]Districts_Boroughs!CO136</f>
        <v>179</v>
      </c>
      <c r="L167" s="32">
        <f>[2]Districts_Boroughs!CP136</f>
        <v>183</v>
      </c>
      <c r="M167" s="32">
        <f>[2]Districts_Boroughs!CQ136</f>
        <v>182</v>
      </c>
      <c r="N167" s="32">
        <f>[2]Districts_Boroughs!CR136</f>
        <v>133</v>
      </c>
      <c r="O167" s="32">
        <f>[2]Districts_Boroughs!CS136</f>
        <v>180</v>
      </c>
      <c r="P167" s="32">
        <f>[2]Districts_Boroughs!CT136</f>
        <v>156</v>
      </c>
      <c r="Q167" s="32">
        <f>[2]Districts_Boroughs!CU136</f>
        <v>171</v>
      </c>
      <c r="R167" s="32">
        <f>[2]Districts_Boroughs!CV136</f>
        <v>153</v>
      </c>
      <c r="S167" s="32">
        <f>[2]Districts_Boroughs!CW136</f>
        <v>180</v>
      </c>
      <c r="T167" s="32">
        <f>[2]Districts_Boroughs!CX136</f>
        <v>162</v>
      </c>
      <c r="U167" s="32">
        <f>[2]Districts_Boroughs!CY136</f>
        <v>160</v>
      </c>
      <c r="V167" s="32">
        <f>[2]Districts_Boroughs!CZ136</f>
        <v>154</v>
      </c>
      <c r="W167" s="32">
        <f>[2]Districts_Boroughs!DA136</f>
        <v>147</v>
      </c>
      <c r="X167" s="32">
        <f>[2]Districts_Boroughs!DB136</f>
        <v>161</v>
      </c>
      <c r="Y167" s="32">
        <f>[2]Districts_Boroughs!DC136</f>
        <v>149</v>
      </c>
      <c r="Z167" s="32">
        <f>[2]Districts_Boroughs!DD136</f>
        <v>158</v>
      </c>
      <c r="AA167" s="32">
        <f>[2]Districts_Boroughs!DE136</f>
        <v>155</v>
      </c>
      <c r="AB167" s="32">
        <f>[2]Districts_Boroughs!DF136</f>
        <v>146</v>
      </c>
      <c r="AC167" s="32">
        <f>[2]Districts_Boroughs!DG136</f>
        <v>177</v>
      </c>
      <c r="AD167" s="32">
        <f>[2]Districts_Boroughs!DH136</f>
        <v>155</v>
      </c>
      <c r="AE167" s="32">
        <f>[2]Districts_Boroughs!DI136</f>
        <v>154</v>
      </c>
      <c r="AF167" s="32">
        <f>[2]Districts_Boroughs!DJ136</f>
        <v>140</v>
      </c>
      <c r="AG167" s="32">
        <f>[2]Districts_Boroughs!DK136</f>
        <v>150</v>
      </c>
      <c r="AH167" s="32">
        <f>[2]Districts_Boroughs!DL136</f>
        <v>127</v>
      </c>
      <c r="AI167" s="32">
        <f>[2]Districts_Boroughs!DM136</f>
        <v>147</v>
      </c>
      <c r="AJ167" s="32">
        <f>[2]Districts_Boroughs!DN136</f>
        <v>163</v>
      </c>
      <c r="AK167" s="32">
        <f>[2]Districts_Boroughs!DO136</f>
        <v>151</v>
      </c>
      <c r="AL167" s="32">
        <f>[2]Districts_Boroughs!DP136</f>
        <v>140</v>
      </c>
      <c r="AM167" s="32">
        <f>[2]Districts_Boroughs!DQ136</f>
        <v>143</v>
      </c>
      <c r="AN167" s="32">
        <f>[2]Districts_Boroughs!DR136</f>
        <v>176</v>
      </c>
      <c r="AO167" s="32">
        <f>[2]Districts_Boroughs!DS136</f>
        <v>155</v>
      </c>
      <c r="AP167" s="32">
        <f>[2]Districts_Boroughs!DT136</f>
        <v>158</v>
      </c>
      <c r="AQ167" s="32">
        <f>[2]Districts_Boroughs!DU136</f>
        <v>174</v>
      </c>
      <c r="AR167" s="32">
        <f>[2]Districts_Boroughs!DV136</f>
        <v>170</v>
      </c>
      <c r="AS167" s="32">
        <f>[2]Districts_Boroughs!DW136</f>
        <v>143</v>
      </c>
      <c r="AT167" s="32">
        <f>[2]Districts_Boroughs!DX136</f>
        <v>136</v>
      </c>
      <c r="AU167" s="32">
        <f>[2]Districts_Boroughs!DY136</f>
        <v>136</v>
      </c>
      <c r="AV167" s="32">
        <f>[2]Districts_Boroughs!DZ136</f>
        <v>179</v>
      </c>
      <c r="AW167" s="32">
        <f>[2]Districts_Boroughs!EA136</f>
        <v>143</v>
      </c>
      <c r="AX167" s="32">
        <f>[2]Districts_Boroughs!EB136</f>
        <v>150</v>
      </c>
      <c r="AY167" s="32">
        <f>[2]Districts_Boroughs!EC136</f>
        <v>154</v>
      </c>
    </row>
    <row r="168" spans="2:51" s="64" customFormat="1" x14ac:dyDescent="0.35">
      <c r="B168" s="64" t="str">
        <f t="shared" si="8"/>
        <v>RugbyVulnerable adult offences and crimed incidents</v>
      </c>
      <c r="C168" s="357" t="s">
        <v>201</v>
      </c>
      <c r="D168" s="32">
        <f>[2]Districts_Boroughs!CH137</f>
        <v>103</v>
      </c>
      <c r="E168" s="32">
        <f>[2]Districts_Boroughs!CI137</f>
        <v>85</v>
      </c>
      <c r="F168" s="32">
        <f>[2]Districts_Boroughs!CJ137</f>
        <v>107</v>
      </c>
      <c r="G168" s="32">
        <f>[2]Districts_Boroughs!CK137</f>
        <v>86</v>
      </c>
      <c r="H168" s="32">
        <f>[2]Districts_Boroughs!CL137</f>
        <v>99</v>
      </c>
      <c r="I168" s="32">
        <f>[2]Districts_Boroughs!CM137</f>
        <v>96</v>
      </c>
      <c r="J168" s="32">
        <f>[2]Districts_Boroughs!CN137</f>
        <v>105</v>
      </c>
      <c r="K168" s="32">
        <f>[2]Districts_Boroughs!CO137</f>
        <v>96</v>
      </c>
      <c r="L168" s="32">
        <f>[2]Districts_Boroughs!CP137</f>
        <v>84</v>
      </c>
      <c r="M168" s="32">
        <f>[2]Districts_Boroughs!CQ137</f>
        <v>89</v>
      </c>
      <c r="N168" s="32">
        <f>[2]Districts_Boroughs!CR137</f>
        <v>82</v>
      </c>
      <c r="O168" s="32">
        <f>[2]Districts_Boroughs!CS137</f>
        <v>75</v>
      </c>
      <c r="P168" s="32">
        <f>[2]Districts_Boroughs!CT137</f>
        <v>77</v>
      </c>
      <c r="Q168" s="32">
        <f>[2]Districts_Boroughs!CU137</f>
        <v>87</v>
      </c>
      <c r="R168" s="32">
        <f>[2]Districts_Boroughs!CV137</f>
        <v>79</v>
      </c>
      <c r="S168" s="32">
        <f>[2]Districts_Boroughs!CW137</f>
        <v>102</v>
      </c>
      <c r="T168" s="32">
        <f>[2]Districts_Boroughs!CX137</f>
        <v>126</v>
      </c>
      <c r="U168" s="32">
        <f>[2]Districts_Boroughs!CY137</f>
        <v>112</v>
      </c>
      <c r="V168" s="32">
        <f>[2]Districts_Boroughs!CZ137</f>
        <v>110</v>
      </c>
      <c r="W168" s="32">
        <f>[2]Districts_Boroughs!DA137</f>
        <v>108</v>
      </c>
      <c r="X168" s="32">
        <f>[2]Districts_Boroughs!DB137</f>
        <v>85</v>
      </c>
      <c r="Y168" s="32">
        <f>[2]Districts_Boroughs!DC137</f>
        <v>74</v>
      </c>
      <c r="Z168" s="32">
        <f>[2]Districts_Boroughs!DD137</f>
        <v>83</v>
      </c>
      <c r="AA168" s="32">
        <f>[2]Districts_Boroughs!DE137</f>
        <v>96</v>
      </c>
      <c r="AB168" s="32">
        <f>[2]Districts_Boroughs!DF137</f>
        <v>94</v>
      </c>
      <c r="AC168" s="32">
        <f>[2]Districts_Boroughs!DG137</f>
        <v>121</v>
      </c>
      <c r="AD168" s="32">
        <f>[2]Districts_Boroughs!DH137</f>
        <v>99</v>
      </c>
      <c r="AE168" s="32">
        <f>[2]Districts_Boroughs!DI137</f>
        <v>119</v>
      </c>
      <c r="AF168" s="32">
        <f>[2]Districts_Boroughs!DJ137</f>
        <v>88</v>
      </c>
      <c r="AG168" s="32">
        <f>[2]Districts_Boroughs!DK137</f>
        <v>107</v>
      </c>
      <c r="AH168" s="32">
        <f>[2]Districts_Boroughs!DL137</f>
        <v>89</v>
      </c>
      <c r="AI168" s="32">
        <f>[2]Districts_Boroughs!DM137</f>
        <v>87</v>
      </c>
      <c r="AJ168" s="32">
        <f>[2]Districts_Boroughs!DN137</f>
        <v>94</v>
      </c>
      <c r="AK168" s="32">
        <f>[2]Districts_Boroughs!DO137</f>
        <v>102</v>
      </c>
      <c r="AL168" s="32">
        <f>[2]Districts_Boroughs!DP137</f>
        <v>91</v>
      </c>
      <c r="AM168" s="32">
        <f>[2]Districts_Boroughs!DQ137</f>
        <v>85</v>
      </c>
      <c r="AN168" s="32">
        <f>[2]Districts_Boroughs!DR137</f>
        <v>109</v>
      </c>
      <c r="AO168" s="32">
        <f>[2]Districts_Boroughs!DS137</f>
        <v>97</v>
      </c>
      <c r="AP168" s="32">
        <f>[2]Districts_Boroughs!DT137</f>
        <v>88</v>
      </c>
      <c r="AQ168" s="32">
        <f>[2]Districts_Boroughs!DU137</f>
        <v>86</v>
      </c>
      <c r="AR168" s="32">
        <f>[2]Districts_Boroughs!DV137</f>
        <v>86</v>
      </c>
      <c r="AS168" s="32">
        <f>[2]Districts_Boroughs!DW137</f>
        <v>82</v>
      </c>
      <c r="AT168" s="32">
        <f>[2]Districts_Boroughs!DX137</f>
        <v>101</v>
      </c>
      <c r="AU168" s="32">
        <f>[2]Districts_Boroughs!DY137</f>
        <v>78</v>
      </c>
      <c r="AV168" s="32">
        <f>[2]Districts_Boroughs!DZ137</f>
        <v>76</v>
      </c>
      <c r="AW168" s="32">
        <f>[2]Districts_Boroughs!EA137</f>
        <v>75</v>
      </c>
      <c r="AX168" s="32">
        <f>[2]Districts_Boroughs!EB137</f>
        <v>82</v>
      </c>
      <c r="AY168" s="32">
        <f>[2]Districts_Boroughs!EC137</f>
        <v>86</v>
      </c>
    </row>
    <row r="169" spans="2:51" s="64" customFormat="1" x14ac:dyDescent="0.35">
      <c r="B169" s="64" t="str">
        <f t="shared" si="8"/>
        <v>RugbyCSE offences and crimed incidents</v>
      </c>
      <c r="C169" s="357" t="s">
        <v>202</v>
      </c>
      <c r="D169" s="32">
        <f>[2]Districts_Boroughs!CH138</f>
        <v>3</v>
      </c>
      <c r="E169" s="32">
        <f>[2]Districts_Boroughs!CI138</f>
        <v>3</v>
      </c>
      <c r="F169" s="32">
        <f>[2]Districts_Boroughs!CJ138</f>
        <v>1</v>
      </c>
      <c r="G169" s="32">
        <f>[2]Districts_Boroughs!CK138</f>
        <v>0</v>
      </c>
      <c r="H169" s="32">
        <f>[2]Districts_Boroughs!CL138</f>
        <v>2</v>
      </c>
      <c r="I169" s="32">
        <f>[2]Districts_Boroughs!CM138</f>
        <v>0</v>
      </c>
      <c r="J169" s="32">
        <f>[2]Districts_Boroughs!CN138</f>
        <v>5</v>
      </c>
      <c r="K169" s="32">
        <f>[2]Districts_Boroughs!CO138</f>
        <v>5</v>
      </c>
      <c r="L169" s="32">
        <f>[2]Districts_Boroughs!CP138</f>
        <v>1</v>
      </c>
      <c r="M169" s="32">
        <f>[2]Districts_Boroughs!CQ138</f>
        <v>0</v>
      </c>
      <c r="N169" s="32">
        <f>[2]Districts_Boroughs!CR138</f>
        <v>2</v>
      </c>
      <c r="O169" s="32">
        <f>[2]Districts_Boroughs!CS138</f>
        <v>0</v>
      </c>
      <c r="P169" s="32">
        <f>[2]Districts_Boroughs!CT138</f>
        <v>10</v>
      </c>
      <c r="Q169" s="32">
        <f>[2]Districts_Boroughs!CU138</f>
        <v>2</v>
      </c>
      <c r="R169" s="32">
        <f>[2]Districts_Boroughs!CV138</f>
        <v>2</v>
      </c>
      <c r="S169" s="32">
        <f>[2]Districts_Boroughs!CW138</f>
        <v>5</v>
      </c>
      <c r="T169" s="32">
        <f>[2]Districts_Boroughs!CX138</f>
        <v>2</v>
      </c>
      <c r="U169" s="32">
        <f>[2]Districts_Boroughs!CY138</f>
        <v>5</v>
      </c>
      <c r="V169" s="32">
        <f>[2]Districts_Boroughs!CZ138</f>
        <v>3</v>
      </c>
      <c r="W169" s="32">
        <f>[2]Districts_Boroughs!DA138</f>
        <v>6</v>
      </c>
      <c r="X169" s="32">
        <f>[2]Districts_Boroughs!DB138</f>
        <v>2</v>
      </c>
      <c r="Y169" s="32">
        <f>[2]Districts_Boroughs!DC138</f>
        <v>12</v>
      </c>
      <c r="Z169" s="32">
        <f>[2]Districts_Boroughs!DD138</f>
        <v>6</v>
      </c>
      <c r="AA169" s="32">
        <f>[2]Districts_Boroughs!DE138</f>
        <v>3</v>
      </c>
      <c r="AB169" s="32">
        <f>[2]Districts_Boroughs!DF138</f>
        <v>3</v>
      </c>
      <c r="AC169" s="32">
        <f>[2]Districts_Boroughs!DG138</f>
        <v>3</v>
      </c>
      <c r="AD169" s="32">
        <f>[2]Districts_Boroughs!DH138</f>
        <v>3</v>
      </c>
      <c r="AE169" s="32">
        <f>[2]Districts_Boroughs!DI138</f>
        <v>0</v>
      </c>
      <c r="AF169" s="32">
        <f>[2]Districts_Boroughs!DJ138</f>
        <v>2</v>
      </c>
      <c r="AG169" s="32">
        <f>[2]Districts_Boroughs!DK138</f>
        <v>3</v>
      </c>
      <c r="AH169" s="32">
        <f>[2]Districts_Boroughs!DL138</f>
        <v>5</v>
      </c>
      <c r="AI169" s="32">
        <f>[2]Districts_Boroughs!DM138</f>
        <v>0</v>
      </c>
      <c r="AJ169" s="32">
        <f>[2]Districts_Boroughs!DN138</f>
        <v>4</v>
      </c>
      <c r="AK169" s="32">
        <f>[2]Districts_Boroughs!DO138</f>
        <v>4</v>
      </c>
      <c r="AL169" s="32">
        <f>[2]Districts_Boroughs!DP138</f>
        <v>0</v>
      </c>
      <c r="AM169" s="32">
        <f>[2]Districts_Boroughs!DQ138</f>
        <v>0</v>
      </c>
      <c r="AN169" s="32">
        <f>[2]Districts_Boroughs!DR138</f>
        <v>6</v>
      </c>
      <c r="AO169" s="32">
        <f>[2]Districts_Boroughs!DS138</f>
        <v>7</v>
      </c>
      <c r="AP169" s="32">
        <f>[2]Districts_Boroughs!DT138</f>
        <v>3</v>
      </c>
      <c r="AQ169" s="32">
        <f>[2]Districts_Boroughs!DU138</f>
        <v>1</v>
      </c>
      <c r="AR169" s="32">
        <f>[2]Districts_Boroughs!DV138</f>
        <v>8</v>
      </c>
      <c r="AS169" s="32">
        <f>[2]Districts_Boroughs!DW138</f>
        <v>0</v>
      </c>
      <c r="AT169" s="32">
        <f>[2]Districts_Boroughs!DX138</f>
        <v>1</v>
      </c>
      <c r="AU169" s="32">
        <f>[2]Districts_Boroughs!DY138</f>
        <v>1</v>
      </c>
      <c r="AV169" s="32">
        <f>[2]Districts_Boroughs!DZ138</f>
        <v>0</v>
      </c>
      <c r="AW169" s="32">
        <f>[2]Districts_Boroughs!EA138</f>
        <v>3</v>
      </c>
      <c r="AX169" s="32">
        <f>[2]Districts_Boroughs!EB138</f>
        <v>1</v>
      </c>
      <c r="AY169" s="32">
        <f>[2]Districts_Boroughs!EC138</f>
        <v>2</v>
      </c>
    </row>
    <row r="170" spans="2:51" x14ac:dyDescent="0.35">
      <c r="B170" s="64" t="str">
        <f t="shared" si="8"/>
        <v>Rugby</v>
      </c>
      <c r="C170" s="357"/>
      <c r="D170" s="32">
        <f>[2]Districts_Boroughs!CH139</f>
        <v>0</v>
      </c>
      <c r="E170" s="32">
        <f>[2]Districts_Boroughs!CI139</f>
        <v>0</v>
      </c>
      <c r="F170" s="32">
        <f>[2]Districts_Boroughs!CJ139</f>
        <v>0</v>
      </c>
      <c r="G170" s="32">
        <f>[2]Districts_Boroughs!CK139</f>
        <v>0</v>
      </c>
      <c r="H170" s="32">
        <f>[2]Districts_Boroughs!CL139</f>
        <v>0</v>
      </c>
      <c r="I170" s="32">
        <f>[2]Districts_Boroughs!CM139</f>
        <v>0</v>
      </c>
      <c r="J170" s="32">
        <f>[2]Districts_Boroughs!CN139</f>
        <v>0</v>
      </c>
      <c r="K170" s="32">
        <f>[2]Districts_Boroughs!CO139</f>
        <v>0</v>
      </c>
      <c r="L170" s="32">
        <f>[2]Districts_Boroughs!CP139</f>
        <v>0</v>
      </c>
      <c r="M170" s="32">
        <f>[2]Districts_Boroughs!CQ139</f>
        <v>0</v>
      </c>
      <c r="N170" s="32">
        <f>[2]Districts_Boroughs!CR139</f>
        <v>0</v>
      </c>
      <c r="O170" s="32">
        <f>[2]Districts_Boroughs!CS139</f>
        <v>0</v>
      </c>
      <c r="P170" s="32">
        <f>[2]Districts_Boroughs!CT139</f>
        <v>0</v>
      </c>
      <c r="Q170" s="32">
        <f>[2]Districts_Boroughs!CU139</f>
        <v>0</v>
      </c>
      <c r="R170" s="32">
        <f>[2]Districts_Boroughs!CV139</f>
        <v>0</v>
      </c>
      <c r="S170" s="32">
        <f>[2]Districts_Boroughs!CW139</f>
        <v>0</v>
      </c>
      <c r="T170" s="32">
        <f>[2]Districts_Boroughs!CX139</f>
        <v>0</v>
      </c>
      <c r="U170" s="32">
        <f>[2]Districts_Boroughs!CY139</f>
        <v>0</v>
      </c>
      <c r="V170" s="32">
        <f>[2]Districts_Boroughs!CZ139</f>
        <v>0</v>
      </c>
      <c r="W170" s="32">
        <f>[2]Districts_Boroughs!DA139</f>
        <v>0</v>
      </c>
      <c r="X170" s="32">
        <f>[2]Districts_Boroughs!DB139</f>
        <v>0</v>
      </c>
      <c r="Y170" s="32">
        <f>[2]Districts_Boroughs!DC139</f>
        <v>0</v>
      </c>
      <c r="Z170" s="32">
        <f>[2]Districts_Boroughs!DD139</f>
        <v>0</v>
      </c>
      <c r="AA170" s="32">
        <f>[2]Districts_Boroughs!DE139</f>
        <v>0</v>
      </c>
      <c r="AB170" s="32">
        <f>[2]Districts_Boroughs!DF139</f>
        <v>0</v>
      </c>
      <c r="AC170" s="32">
        <f>[2]Districts_Boroughs!DG139</f>
        <v>0</v>
      </c>
      <c r="AD170" s="32">
        <f>[2]Districts_Boroughs!DH139</f>
        <v>0</v>
      </c>
      <c r="AE170" s="32">
        <f>[2]Districts_Boroughs!DI139</f>
        <v>0</v>
      </c>
      <c r="AF170" s="32">
        <f>[2]Districts_Boroughs!DJ139</f>
        <v>0</v>
      </c>
      <c r="AG170" s="32">
        <f>[2]Districts_Boroughs!DK139</f>
        <v>0</v>
      </c>
      <c r="AH170" s="32">
        <f>[2]Districts_Boroughs!DL139</f>
        <v>0</v>
      </c>
      <c r="AI170" s="32">
        <f>[2]Districts_Boroughs!DM139</f>
        <v>0</v>
      </c>
      <c r="AJ170" s="32">
        <f>[2]Districts_Boroughs!DN139</f>
        <v>0</v>
      </c>
      <c r="AK170" s="32">
        <f>[2]Districts_Boroughs!DO139</f>
        <v>0</v>
      </c>
      <c r="AL170" s="32">
        <f>[2]Districts_Boroughs!DP139</f>
        <v>0</v>
      </c>
      <c r="AM170" s="32">
        <f>[2]Districts_Boroughs!DQ139</f>
        <v>0</v>
      </c>
      <c r="AN170" s="32">
        <f>[2]Districts_Boroughs!DR139</f>
        <v>0</v>
      </c>
      <c r="AO170" s="32">
        <f>[2]Districts_Boroughs!DS139</f>
        <v>0</v>
      </c>
      <c r="AP170" s="32">
        <f>[2]Districts_Boroughs!DT139</f>
        <v>0</v>
      </c>
      <c r="AQ170" s="32">
        <f>[2]Districts_Boroughs!DU139</f>
        <v>0</v>
      </c>
      <c r="AR170" s="32">
        <f>[2]Districts_Boroughs!DV139</f>
        <v>0</v>
      </c>
      <c r="AS170" s="32">
        <f>[2]Districts_Boroughs!DW139</f>
        <v>0</v>
      </c>
      <c r="AT170" s="32">
        <f>[2]Districts_Boroughs!DX139</f>
        <v>0</v>
      </c>
      <c r="AU170" s="32">
        <f>[2]Districts_Boroughs!DY139</f>
        <v>0</v>
      </c>
      <c r="AV170" s="32">
        <f>[2]Districts_Boroughs!DZ139</f>
        <v>0</v>
      </c>
      <c r="AW170" s="32">
        <f>[2]Districts_Boroughs!EA139</f>
        <v>0</v>
      </c>
      <c r="AX170" s="32">
        <f>[2]Districts_Boroughs!EB139</f>
        <v>0</v>
      </c>
      <c r="AY170" s="32">
        <f>[2]Districts_Boroughs!EC139</f>
        <v>0</v>
      </c>
    </row>
    <row r="171" spans="2:51" x14ac:dyDescent="0.35">
      <c r="B171" t="str">
        <f t="shared" si="8"/>
        <v>RugbyBusiness Crime</v>
      </c>
      <c r="C171" s="357" t="s">
        <v>52</v>
      </c>
      <c r="D171" s="32">
        <f>[2]Districts_Boroughs!CH140</f>
        <v>54</v>
      </c>
      <c r="E171" s="32">
        <f>[2]Districts_Boroughs!CI140</f>
        <v>77</v>
      </c>
      <c r="F171" s="32">
        <f>[2]Districts_Boroughs!CJ140</f>
        <v>64</v>
      </c>
      <c r="G171" s="32">
        <f>[2]Districts_Boroughs!CK140</f>
        <v>73</v>
      </c>
      <c r="H171" s="32">
        <f>[2]Districts_Boroughs!CL140</f>
        <v>76</v>
      </c>
      <c r="I171" s="32">
        <f>[2]Districts_Boroughs!CM140</f>
        <v>74</v>
      </c>
      <c r="J171" s="32">
        <f>[2]Districts_Boroughs!CN140</f>
        <v>77</v>
      </c>
      <c r="K171" s="32">
        <f>[2]Districts_Boroughs!CO140</f>
        <v>111</v>
      </c>
      <c r="L171" s="32">
        <f>[2]Districts_Boroughs!CP140</f>
        <v>73</v>
      </c>
      <c r="M171" s="32">
        <f>[2]Districts_Boroughs!CQ140</f>
        <v>69</v>
      </c>
      <c r="N171" s="32">
        <f>[2]Districts_Boroughs!CR140</f>
        <v>56</v>
      </c>
      <c r="O171" s="32">
        <f>[2]Districts_Boroughs!CS140</f>
        <v>89</v>
      </c>
      <c r="P171" s="32">
        <f>[2]Districts_Boroughs!CT140</f>
        <v>101</v>
      </c>
      <c r="Q171" s="32">
        <f>[2]Districts_Boroughs!CU140</f>
        <v>82</v>
      </c>
      <c r="R171" s="32">
        <f>[2]Districts_Boroughs!CV140</f>
        <v>90</v>
      </c>
      <c r="S171" s="32">
        <f>[2]Districts_Boroughs!CW140</f>
        <v>84</v>
      </c>
      <c r="T171" s="32">
        <f>[2]Districts_Boroughs!CX140</f>
        <v>86</v>
      </c>
      <c r="U171" s="32">
        <f>[2]Districts_Boroughs!CY140</f>
        <v>72</v>
      </c>
      <c r="V171" s="32">
        <f>[2]Districts_Boroughs!CZ140</f>
        <v>89</v>
      </c>
      <c r="W171" s="32">
        <f>[2]Districts_Boroughs!DA140</f>
        <v>117</v>
      </c>
      <c r="X171" s="32">
        <f>[2]Districts_Boroughs!DB140</f>
        <v>104</v>
      </c>
      <c r="Y171" s="32">
        <f>[2]Districts_Boroughs!DC140</f>
        <v>94</v>
      </c>
      <c r="Z171" s="32">
        <f>[2]Districts_Boroughs!DD140</f>
        <v>86</v>
      </c>
      <c r="AA171" s="32">
        <f>[2]Districts_Boroughs!DE140</f>
        <v>125</v>
      </c>
      <c r="AB171" s="32">
        <f>[2]Districts_Boroughs!DF140</f>
        <v>93</v>
      </c>
      <c r="AC171" s="32">
        <f>[2]Districts_Boroughs!DG140</f>
        <v>83</v>
      </c>
      <c r="AD171" s="32">
        <f>[2]Districts_Boroughs!DH140</f>
        <v>103</v>
      </c>
      <c r="AE171" s="32">
        <f>[2]Districts_Boroughs!DI140</f>
        <v>78</v>
      </c>
      <c r="AF171" s="32">
        <f>[2]Districts_Boroughs!DJ140</f>
        <v>92</v>
      </c>
      <c r="AG171" s="32">
        <f>[2]Districts_Boroughs!DK140</f>
        <v>119</v>
      </c>
      <c r="AH171" s="32">
        <f>[2]Districts_Boroughs!DL140</f>
        <v>111</v>
      </c>
      <c r="AI171" s="32">
        <f>[2]Districts_Boroughs!DM140</f>
        <v>140</v>
      </c>
      <c r="AJ171" s="32">
        <f>[2]Districts_Boroughs!DN140</f>
        <v>104</v>
      </c>
      <c r="AK171" s="32">
        <f>[2]Districts_Boroughs!DO140</f>
        <v>125</v>
      </c>
      <c r="AL171" s="32">
        <f>[2]Districts_Boroughs!DP140</f>
        <v>108</v>
      </c>
      <c r="AM171" s="32">
        <f>[2]Districts_Boroughs!DQ140</f>
        <v>111</v>
      </c>
      <c r="AN171" s="32">
        <f>[2]Districts_Boroughs!DR140</f>
        <v>109</v>
      </c>
      <c r="AO171" s="32">
        <f>[2]Districts_Boroughs!DS140</f>
        <v>113</v>
      </c>
      <c r="AP171" s="32">
        <f>[2]Districts_Boroughs!DT140</f>
        <v>87</v>
      </c>
      <c r="AQ171" s="32">
        <f>[2]Districts_Boroughs!DU140</f>
        <v>104</v>
      </c>
      <c r="AR171" s="32">
        <f>[2]Districts_Boroughs!DV140</f>
        <v>88</v>
      </c>
      <c r="AS171" s="32">
        <f>[2]Districts_Boroughs!DW140</f>
        <v>89</v>
      </c>
      <c r="AT171" s="32">
        <f>[2]Districts_Boroughs!DX140</f>
        <v>111</v>
      </c>
      <c r="AU171" s="32">
        <f>[2]Districts_Boroughs!DY140</f>
        <v>88</v>
      </c>
      <c r="AV171" s="32">
        <f>[2]Districts_Boroughs!DZ140</f>
        <v>83</v>
      </c>
      <c r="AW171" s="32">
        <f>[2]Districts_Boroughs!EA140</f>
        <v>78</v>
      </c>
      <c r="AX171" s="32">
        <f>[2]Districts_Boroughs!EB140</f>
        <v>85</v>
      </c>
      <c r="AY171" s="32">
        <f>[2]Districts_Boroughs!EC140</f>
        <v>66</v>
      </c>
    </row>
    <row r="172" spans="2:51" x14ac:dyDescent="0.35">
      <c r="B172" t="str">
        <f t="shared" si="8"/>
        <v>Rugby</v>
      </c>
      <c r="C172" s="359"/>
      <c r="D172" s="32">
        <f>[2]Districts_Boroughs!CH141</f>
        <v>0</v>
      </c>
      <c r="E172" s="32">
        <f>[2]Districts_Boroughs!CI141</f>
        <v>0</v>
      </c>
      <c r="F172" s="32">
        <f>[2]Districts_Boroughs!CJ141</f>
        <v>0</v>
      </c>
      <c r="G172" s="32">
        <f>[2]Districts_Boroughs!CK141</f>
        <v>0</v>
      </c>
      <c r="H172" s="32">
        <f>[2]Districts_Boroughs!CL141</f>
        <v>0</v>
      </c>
      <c r="I172" s="32">
        <f>[2]Districts_Boroughs!CM141</f>
        <v>0</v>
      </c>
      <c r="J172" s="32">
        <f>[2]Districts_Boroughs!CN141</f>
        <v>0</v>
      </c>
      <c r="K172" s="32">
        <f>[2]Districts_Boroughs!CO141</f>
        <v>0</v>
      </c>
      <c r="L172" s="32">
        <f>[2]Districts_Boroughs!CP141</f>
        <v>0</v>
      </c>
      <c r="M172" s="32">
        <f>[2]Districts_Boroughs!CQ141</f>
        <v>0</v>
      </c>
      <c r="N172" s="32">
        <f>[2]Districts_Boroughs!CR141</f>
        <v>0</v>
      </c>
      <c r="O172" s="32">
        <f>[2]Districts_Boroughs!CS141</f>
        <v>0</v>
      </c>
      <c r="P172" s="32">
        <f>[2]Districts_Boroughs!CT141</f>
        <v>0</v>
      </c>
      <c r="Q172" s="32">
        <f>[2]Districts_Boroughs!CU141</f>
        <v>0</v>
      </c>
      <c r="R172" s="32">
        <f>[2]Districts_Boroughs!CV141</f>
        <v>0</v>
      </c>
      <c r="S172" s="32">
        <f>[2]Districts_Boroughs!CW141</f>
        <v>0</v>
      </c>
      <c r="T172" s="32">
        <f>[2]Districts_Boroughs!CX141</f>
        <v>0</v>
      </c>
      <c r="U172" s="32">
        <f>[2]Districts_Boroughs!CY141</f>
        <v>0</v>
      </c>
      <c r="V172" s="32">
        <f>[2]Districts_Boroughs!CZ141</f>
        <v>0</v>
      </c>
      <c r="W172" s="32">
        <f>[2]Districts_Boroughs!DA141</f>
        <v>0</v>
      </c>
      <c r="X172" s="32">
        <f>[2]Districts_Boroughs!DB141</f>
        <v>0</v>
      </c>
      <c r="Y172" s="32">
        <f>[2]Districts_Boroughs!DC141</f>
        <v>0</v>
      </c>
      <c r="Z172" s="32">
        <f>[2]Districts_Boroughs!DD141</f>
        <v>0</v>
      </c>
      <c r="AA172" s="32">
        <f>[2]Districts_Boroughs!DE141</f>
        <v>0</v>
      </c>
      <c r="AB172" s="32">
        <f>[2]Districts_Boroughs!DF141</f>
        <v>0</v>
      </c>
      <c r="AC172" s="32">
        <f>[2]Districts_Boroughs!DG141</f>
        <v>0</v>
      </c>
      <c r="AD172" s="32">
        <f>[2]Districts_Boroughs!DH141</f>
        <v>0</v>
      </c>
      <c r="AE172" s="32">
        <f>[2]Districts_Boroughs!DI141</f>
        <v>0</v>
      </c>
      <c r="AF172" s="32">
        <f>[2]Districts_Boroughs!DJ141</f>
        <v>0</v>
      </c>
      <c r="AG172" s="32">
        <f>[2]Districts_Boroughs!DK141</f>
        <v>0</v>
      </c>
      <c r="AH172" s="32">
        <f>[2]Districts_Boroughs!DL141</f>
        <v>0</v>
      </c>
      <c r="AI172" s="32">
        <f>[2]Districts_Boroughs!DM141</f>
        <v>0</v>
      </c>
      <c r="AJ172" s="32">
        <f>[2]Districts_Boroughs!DN141</f>
        <v>0</v>
      </c>
      <c r="AK172" s="32">
        <f>[2]Districts_Boroughs!DO141</f>
        <v>0</v>
      </c>
      <c r="AL172" s="32">
        <f>[2]Districts_Boroughs!DP141</f>
        <v>0</v>
      </c>
      <c r="AM172" s="32">
        <f>[2]Districts_Boroughs!DQ141</f>
        <v>0</v>
      </c>
      <c r="AN172" s="32">
        <f>[2]Districts_Boroughs!DR141</f>
        <v>0</v>
      </c>
      <c r="AO172" s="32">
        <f>[2]Districts_Boroughs!DS141</f>
        <v>0</v>
      </c>
      <c r="AP172" s="32">
        <f>[2]Districts_Boroughs!DT141</f>
        <v>0</v>
      </c>
      <c r="AQ172" s="32">
        <f>[2]Districts_Boroughs!DU141</f>
        <v>0</v>
      </c>
      <c r="AR172" s="32">
        <f>[2]Districts_Boroughs!DV141</f>
        <v>0</v>
      </c>
      <c r="AS172" s="32">
        <f>[2]Districts_Boroughs!DW141</f>
        <v>0</v>
      </c>
      <c r="AT172" s="32">
        <f>[2]Districts_Boroughs!DX141</f>
        <v>0</v>
      </c>
      <c r="AU172" s="32">
        <f>[2]Districts_Boroughs!DY141</f>
        <v>0</v>
      </c>
      <c r="AV172" s="32">
        <f>[2]Districts_Boroughs!DZ141</f>
        <v>0</v>
      </c>
      <c r="AW172" s="32">
        <f>[2]Districts_Boroughs!EA141</f>
        <v>0</v>
      </c>
      <c r="AX172" s="32">
        <f>[2]Districts_Boroughs!EB141</f>
        <v>0</v>
      </c>
      <c r="AY172" s="32">
        <f>[2]Districts_Boroughs!EC141</f>
        <v>0</v>
      </c>
    </row>
    <row r="173" spans="2:51" x14ac:dyDescent="0.35">
      <c r="B173" t="str">
        <f t="shared" si="8"/>
        <v>RugbyResidential dwelling</v>
      </c>
      <c r="C173" s="357" t="s">
        <v>81</v>
      </c>
      <c r="D173" s="32">
        <f>[2]Districts_Boroughs!CH142</f>
        <v>13</v>
      </c>
      <c r="E173" s="32">
        <f>[2]Districts_Boroughs!CI142</f>
        <v>22</v>
      </c>
      <c r="F173" s="32">
        <f>[2]Districts_Boroughs!CJ142</f>
        <v>11</v>
      </c>
      <c r="G173" s="32">
        <f>[2]Districts_Boroughs!CK142</f>
        <v>11</v>
      </c>
      <c r="H173" s="32">
        <f>[2]Districts_Boroughs!CL142</f>
        <v>8</v>
      </c>
      <c r="I173" s="32">
        <f>[2]Districts_Boroughs!CM142</f>
        <v>15</v>
      </c>
      <c r="J173" s="32">
        <f>[2]Districts_Boroughs!CN142</f>
        <v>17</v>
      </c>
      <c r="K173" s="32">
        <f>[2]Districts_Boroughs!CO142</f>
        <v>11</v>
      </c>
      <c r="L173" s="32">
        <f>[2]Districts_Boroughs!CP142</f>
        <v>11</v>
      </c>
      <c r="M173" s="32">
        <f>[2]Districts_Boroughs!CQ142</f>
        <v>16</v>
      </c>
      <c r="N173" s="32">
        <f>[2]Districts_Boroughs!CR142</f>
        <v>8</v>
      </c>
      <c r="O173" s="32">
        <f>[2]Districts_Boroughs!CS142</f>
        <v>15</v>
      </c>
      <c r="P173" s="32">
        <f>[2]Districts_Boroughs!CT142</f>
        <v>10</v>
      </c>
      <c r="Q173" s="32">
        <f>[2]Districts_Boroughs!CU142</f>
        <v>15</v>
      </c>
      <c r="R173" s="32">
        <f>[2]Districts_Boroughs!CV142</f>
        <v>10</v>
      </c>
      <c r="S173" s="32">
        <f>[2]Districts_Boroughs!CW142</f>
        <v>11</v>
      </c>
      <c r="T173" s="32">
        <f>[2]Districts_Boroughs!CX142</f>
        <v>8</v>
      </c>
      <c r="U173" s="32">
        <f>[2]Districts_Boroughs!CY142</f>
        <v>9</v>
      </c>
      <c r="V173" s="32">
        <f>[2]Districts_Boroughs!CZ142</f>
        <v>11</v>
      </c>
      <c r="W173" s="32">
        <f>[2]Districts_Boroughs!DA142</f>
        <v>13</v>
      </c>
      <c r="X173" s="32">
        <f>[2]Districts_Boroughs!DB142</f>
        <v>12</v>
      </c>
      <c r="Y173" s="32">
        <f>[2]Districts_Boroughs!DC142</f>
        <v>9</v>
      </c>
      <c r="Z173" s="32">
        <f>[2]Districts_Boroughs!DD142</f>
        <v>8</v>
      </c>
      <c r="AA173" s="32">
        <f>[2]Districts_Boroughs!DE142</f>
        <v>11</v>
      </c>
      <c r="AB173" s="32">
        <f>[2]Districts_Boroughs!DF142</f>
        <v>18</v>
      </c>
      <c r="AC173" s="32">
        <f>[2]Districts_Boroughs!DG142</f>
        <v>12</v>
      </c>
      <c r="AD173" s="32">
        <f>[2]Districts_Boroughs!DH142</f>
        <v>6</v>
      </c>
      <c r="AE173" s="32">
        <f>[2]Districts_Boroughs!DI142</f>
        <v>3</v>
      </c>
      <c r="AF173" s="32">
        <f>[2]Districts_Boroughs!DJ142</f>
        <v>11</v>
      </c>
      <c r="AG173" s="32">
        <f>[2]Districts_Boroughs!DK142</f>
        <v>12</v>
      </c>
      <c r="AH173" s="32">
        <f>[2]Districts_Boroughs!DL142</f>
        <v>12</v>
      </c>
      <c r="AI173" s="32">
        <f>[2]Districts_Boroughs!DM142</f>
        <v>6</v>
      </c>
      <c r="AJ173" s="32">
        <f>[2]Districts_Boroughs!DN142</f>
        <v>8</v>
      </c>
      <c r="AK173" s="32">
        <f>[2]Districts_Boroughs!DO142</f>
        <v>17</v>
      </c>
      <c r="AL173" s="32">
        <f>[2]Districts_Boroughs!DP142</f>
        <v>19</v>
      </c>
      <c r="AM173" s="32">
        <f>[2]Districts_Boroughs!DQ142</f>
        <v>14</v>
      </c>
      <c r="AN173" s="32">
        <f>[2]Districts_Boroughs!DR142</f>
        <v>21</v>
      </c>
      <c r="AO173" s="32">
        <f>[2]Districts_Boroughs!DS142</f>
        <v>14</v>
      </c>
      <c r="AP173" s="32">
        <f>[2]Districts_Boroughs!DT142</f>
        <v>12</v>
      </c>
      <c r="AQ173" s="32">
        <f>[2]Districts_Boroughs!DU142</f>
        <v>22</v>
      </c>
      <c r="AR173" s="32">
        <f>[2]Districts_Boroughs!DV142</f>
        <v>23</v>
      </c>
      <c r="AS173" s="32">
        <f>[2]Districts_Boroughs!DW142</f>
        <v>19</v>
      </c>
      <c r="AT173" s="32">
        <f>[2]Districts_Boroughs!DX142</f>
        <v>19</v>
      </c>
      <c r="AU173" s="32">
        <f>[2]Districts_Boroughs!DY142</f>
        <v>18</v>
      </c>
      <c r="AV173" s="32">
        <f>[2]Districts_Boroughs!DZ142</f>
        <v>23</v>
      </c>
      <c r="AW173" s="32">
        <f>[2]Districts_Boroughs!EA142</f>
        <v>9</v>
      </c>
      <c r="AX173" s="32">
        <f>[2]Districts_Boroughs!EB142</f>
        <v>11</v>
      </c>
      <c r="AY173" s="32">
        <f>[2]Districts_Boroughs!EC142</f>
        <v>9</v>
      </c>
    </row>
    <row r="174" spans="2:51" s="36" customFormat="1" x14ac:dyDescent="0.35">
      <c r="C174" s="38"/>
    </row>
    <row r="175" spans="2:51" s="36" customFormat="1" ht="23" x14ac:dyDescent="0.5">
      <c r="C175" s="360" t="s">
        <v>60</v>
      </c>
    </row>
    <row r="176" spans="2:51" s="36" customFormat="1" x14ac:dyDescent="0.35">
      <c r="C176" s="345" t="s">
        <v>56</v>
      </c>
      <c r="D176" s="39">
        <v>44287</v>
      </c>
      <c r="E176" s="39">
        <v>44317</v>
      </c>
      <c r="F176" s="39">
        <v>44348</v>
      </c>
      <c r="G176" s="39">
        <v>44378</v>
      </c>
      <c r="H176" s="39">
        <v>44409</v>
      </c>
      <c r="I176" s="39">
        <v>44440</v>
      </c>
      <c r="J176" s="39">
        <v>44470</v>
      </c>
      <c r="K176" s="39">
        <v>44501</v>
      </c>
      <c r="L176" s="39">
        <v>44531</v>
      </c>
      <c r="M176" s="39">
        <v>44562</v>
      </c>
      <c r="N176" s="39">
        <v>44593</v>
      </c>
      <c r="O176" s="39">
        <v>44621</v>
      </c>
      <c r="P176" s="39">
        <v>44652</v>
      </c>
      <c r="Q176" s="39">
        <v>44682</v>
      </c>
      <c r="R176" s="39">
        <v>44713</v>
      </c>
      <c r="S176" s="39">
        <v>44743</v>
      </c>
      <c r="T176" s="39">
        <v>44774</v>
      </c>
      <c r="U176" s="39">
        <v>44805</v>
      </c>
      <c r="V176" s="39">
        <v>44835</v>
      </c>
      <c r="W176" s="39">
        <v>44866</v>
      </c>
      <c r="X176" s="39">
        <v>44896</v>
      </c>
      <c r="Y176" s="39">
        <v>44927</v>
      </c>
      <c r="Z176" s="39">
        <v>44958</v>
      </c>
      <c r="AA176" s="39">
        <v>44986</v>
      </c>
      <c r="AB176" s="39">
        <v>45017</v>
      </c>
      <c r="AC176" s="39">
        <v>45047</v>
      </c>
      <c r="AD176" s="39">
        <v>45078</v>
      </c>
      <c r="AE176" s="39">
        <v>45108</v>
      </c>
      <c r="AF176" s="39">
        <v>45139</v>
      </c>
      <c r="AG176" s="39">
        <v>45170</v>
      </c>
      <c r="AH176" s="39">
        <v>45200</v>
      </c>
      <c r="AI176" s="39">
        <v>45231</v>
      </c>
      <c r="AJ176" s="39">
        <v>45261</v>
      </c>
      <c r="AK176" s="39">
        <v>45292</v>
      </c>
      <c r="AL176" s="39">
        <v>45323</v>
      </c>
      <c r="AM176" s="39">
        <v>45352</v>
      </c>
      <c r="AN176" s="39">
        <v>45383</v>
      </c>
      <c r="AO176" s="39">
        <v>45413</v>
      </c>
      <c r="AP176" s="39">
        <v>45444</v>
      </c>
      <c r="AQ176" s="39">
        <v>45474</v>
      </c>
      <c r="AR176" s="39">
        <v>45505</v>
      </c>
      <c r="AS176" s="39">
        <v>45536</v>
      </c>
      <c r="AT176" s="39">
        <v>45566</v>
      </c>
      <c r="AU176" s="39">
        <v>45597</v>
      </c>
      <c r="AV176" s="39">
        <v>45627</v>
      </c>
      <c r="AW176" s="39">
        <v>45658</v>
      </c>
      <c r="AX176" s="39">
        <v>45689</v>
      </c>
      <c r="AY176" s="39">
        <v>45717</v>
      </c>
    </row>
    <row r="177" spans="2:51" x14ac:dyDescent="0.35">
      <c r="B177" t="str">
        <f>CONCATENATE($C$175,C177)</f>
        <v>StratfordTotal Recorded Crime</v>
      </c>
      <c r="C177" s="345" t="s">
        <v>33</v>
      </c>
      <c r="D177" s="32">
        <f>[2]Districts_Boroughs!CH152</f>
        <v>587</v>
      </c>
      <c r="E177" s="32">
        <f>[2]Districts_Boroughs!CI152</f>
        <v>562</v>
      </c>
      <c r="F177" s="32">
        <f>[2]Districts_Boroughs!CJ152</f>
        <v>616</v>
      </c>
      <c r="G177" s="32">
        <f>[2]Districts_Boroughs!CK152</f>
        <v>652</v>
      </c>
      <c r="H177" s="32">
        <f>[2]Districts_Boroughs!CL152</f>
        <v>628</v>
      </c>
      <c r="I177" s="32">
        <f>[2]Districts_Boroughs!CM152</f>
        <v>593</v>
      </c>
      <c r="J177" s="32">
        <f>[2]Districts_Boroughs!CN152</f>
        <v>658</v>
      </c>
      <c r="K177" s="32">
        <f>[2]Districts_Boroughs!CO152</f>
        <v>638</v>
      </c>
      <c r="L177" s="32">
        <f>[2]Districts_Boroughs!CP152</f>
        <v>584</v>
      </c>
      <c r="M177" s="32">
        <f>[2]Districts_Boroughs!CQ152</f>
        <v>599</v>
      </c>
      <c r="N177" s="32">
        <f>[2]Districts_Boroughs!CR152</f>
        <v>524</v>
      </c>
      <c r="O177" s="32">
        <f>[2]Districts_Boroughs!CS152</f>
        <v>659</v>
      </c>
      <c r="P177" s="32">
        <f>[2]Districts_Boroughs!CT152</f>
        <v>582</v>
      </c>
      <c r="Q177" s="32">
        <f>[2]Districts_Boroughs!CU152</f>
        <v>661</v>
      </c>
      <c r="R177" s="32">
        <f>[2]Districts_Boroughs!CV152</f>
        <v>611</v>
      </c>
      <c r="S177" s="32">
        <f>[2]Districts_Boroughs!CW152</f>
        <v>751</v>
      </c>
      <c r="T177" s="32">
        <f>[2]Districts_Boroughs!CX152</f>
        <v>702</v>
      </c>
      <c r="U177" s="32">
        <f>[2]Districts_Boroughs!CY152</f>
        <v>679</v>
      </c>
      <c r="V177" s="32">
        <f>[2]Districts_Boroughs!CZ152</f>
        <v>699</v>
      </c>
      <c r="W177" s="32">
        <f>[2]Districts_Boroughs!DA152</f>
        <v>671</v>
      </c>
      <c r="X177" s="32">
        <f>[2]Districts_Boroughs!DB152</f>
        <v>588</v>
      </c>
      <c r="Y177" s="32">
        <f>[2]Districts_Boroughs!DC152</f>
        <v>635</v>
      </c>
      <c r="Z177" s="32">
        <f>[2]Districts_Boroughs!DD152</f>
        <v>646</v>
      </c>
      <c r="AA177" s="32">
        <f>[2]Districts_Boroughs!DE152</f>
        <v>706</v>
      </c>
      <c r="AB177" s="32">
        <f>[2]Districts_Boroughs!DF152</f>
        <v>692</v>
      </c>
      <c r="AC177" s="32">
        <f>[2]Districts_Boroughs!DG152</f>
        <v>658</v>
      </c>
      <c r="AD177" s="32">
        <f>[2]Districts_Boroughs!DH152</f>
        <v>726</v>
      </c>
      <c r="AE177" s="32">
        <f>[2]Districts_Boroughs!DI152</f>
        <v>681</v>
      </c>
      <c r="AF177" s="32">
        <f>[2]Districts_Boroughs!DJ152</f>
        <v>644</v>
      </c>
      <c r="AG177" s="32">
        <f>[2]Districts_Boroughs!DK152</f>
        <v>646</v>
      </c>
      <c r="AH177" s="32">
        <f>[2]Districts_Boroughs!DL152</f>
        <v>667</v>
      </c>
      <c r="AI177" s="32">
        <f>[2]Districts_Boroughs!DM152</f>
        <v>655</v>
      </c>
      <c r="AJ177" s="32">
        <f>[2]Districts_Boroughs!DN152</f>
        <v>613</v>
      </c>
      <c r="AK177" s="32">
        <f>[2]Districts_Boroughs!DO152</f>
        <v>623</v>
      </c>
      <c r="AL177" s="32">
        <f>[2]Districts_Boroughs!DP152</f>
        <v>595</v>
      </c>
      <c r="AM177" s="32">
        <f>[2]Districts_Boroughs!DQ152</f>
        <v>599</v>
      </c>
      <c r="AN177" s="32">
        <f>[2]Districts_Boroughs!DR152</f>
        <v>652</v>
      </c>
      <c r="AO177" s="32">
        <f>[2]Districts_Boroughs!DS152</f>
        <v>766</v>
      </c>
      <c r="AP177" s="32">
        <f>[2]Districts_Boroughs!DT152</f>
        <v>670</v>
      </c>
      <c r="AQ177" s="32">
        <f>[2]Districts_Boroughs!DU152</f>
        <v>715</v>
      </c>
      <c r="AR177" s="32">
        <f>[2]Districts_Boroughs!DV152</f>
        <v>638</v>
      </c>
      <c r="AS177" s="32">
        <f>[2]Districts_Boroughs!DW152</f>
        <v>633</v>
      </c>
      <c r="AT177" s="32">
        <f>[2]Districts_Boroughs!DX152</f>
        <v>703</v>
      </c>
      <c r="AU177" s="32">
        <f>[2]Districts_Boroughs!DY152</f>
        <v>623</v>
      </c>
      <c r="AV177" s="32">
        <f>[2]Districts_Boroughs!DZ152</f>
        <v>582</v>
      </c>
      <c r="AW177" s="32">
        <f>[2]Districts_Boroughs!EA152</f>
        <v>570</v>
      </c>
      <c r="AX177" s="32">
        <f>[2]Districts_Boroughs!EB152</f>
        <v>574</v>
      </c>
      <c r="AY177" s="32">
        <f>[2]Districts_Boroughs!EC152</f>
        <v>626</v>
      </c>
    </row>
    <row r="178" spans="2:51" x14ac:dyDescent="0.35">
      <c r="B178" t="str">
        <f t="shared" ref="B178:B216" si="10">CONCATENATE($C$175,C178)</f>
        <v>Stratford</v>
      </c>
      <c r="C178" s="345"/>
      <c r="D178" s="32">
        <f>[2]Districts_Boroughs!CH153</f>
        <v>0</v>
      </c>
      <c r="E178" s="32">
        <f>[2]Districts_Boroughs!CI153</f>
        <v>0</v>
      </c>
      <c r="F178" s="32">
        <f>[2]Districts_Boroughs!CJ153</f>
        <v>0</v>
      </c>
      <c r="G178" s="32">
        <f>[2]Districts_Boroughs!CK153</f>
        <v>0</v>
      </c>
      <c r="H178" s="32">
        <f>[2]Districts_Boroughs!CL153</f>
        <v>0</v>
      </c>
      <c r="I178" s="32">
        <f>[2]Districts_Boroughs!CM153</f>
        <v>0</v>
      </c>
      <c r="J178" s="32">
        <f>[2]Districts_Boroughs!CN153</f>
        <v>0</v>
      </c>
      <c r="K178" s="32">
        <f>[2]Districts_Boroughs!CO153</f>
        <v>0</v>
      </c>
      <c r="L178" s="32">
        <f>[2]Districts_Boroughs!CP153</f>
        <v>0</v>
      </c>
      <c r="M178" s="32">
        <f>[2]Districts_Boroughs!CQ153</f>
        <v>0</v>
      </c>
      <c r="N178" s="32">
        <f>[2]Districts_Boroughs!CR153</f>
        <v>0</v>
      </c>
      <c r="O178" s="32">
        <f>[2]Districts_Boroughs!CS153</f>
        <v>0</v>
      </c>
      <c r="P178" s="32">
        <f>[2]Districts_Boroughs!CT153</f>
        <v>0</v>
      </c>
      <c r="Q178" s="32">
        <f>[2]Districts_Boroughs!CU153</f>
        <v>0</v>
      </c>
      <c r="R178" s="32">
        <f>[2]Districts_Boroughs!CV153</f>
        <v>0</v>
      </c>
      <c r="S178" s="32">
        <f>[2]Districts_Boroughs!CW153</f>
        <v>0</v>
      </c>
      <c r="T178" s="32">
        <f>[2]Districts_Boroughs!CX153</f>
        <v>0</v>
      </c>
      <c r="U178" s="32">
        <f>[2]Districts_Boroughs!CY153</f>
        <v>0</v>
      </c>
      <c r="V178" s="32">
        <f>[2]Districts_Boroughs!CZ153</f>
        <v>0</v>
      </c>
      <c r="W178" s="32">
        <f>[2]Districts_Boroughs!DA153</f>
        <v>0</v>
      </c>
      <c r="X178" s="32">
        <f>[2]Districts_Boroughs!DB153</f>
        <v>0</v>
      </c>
      <c r="Y178" s="32">
        <f>[2]Districts_Boroughs!DC153</f>
        <v>0</v>
      </c>
      <c r="Z178" s="32">
        <f>[2]Districts_Boroughs!DD153</f>
        <v>0</v>
      </c>
      <c r="AA178" s="32">
        <f>[2]Districts_Boroughs!DE153</f>
        <v>0</v>
      </c>
      <c r="AB178" s="32">
        <f>[2]Districts_Boroughs!DF153</f>
        <v>0</v>
      </c>
      <c r="AC178" s="32">
        <f>[2]Districts_Boroughs!DG153</f>
        <v>0</v>
      </c>
      <c r="AD178" s="32">
        <f>[2]Districts_Boroughs!DH153</f>
        <v>0</v>
      </c>
      <c r="AE178" s="32">
        <f>[2]Districts_Boroughs!DI153</f>
        <v>0</v>
      </c>
      <c r="AF178" s="32">
        <f>[2]Districts_Boroughs!DJ153</f>
        <v>0</v>
      </c>
      <c r="AG178" s="32">
        <f>[2]Districts_Boroughs!DK153</f>
        <v>0</v>
      </c>
      <c r="AH178" s="32">
        <f>[2]Districts_Boroughs!DL153</f>
        <v>0</v>
      </c>
      <c r="AI178" s="32">
        <f>[2]Districts_Boroughs!DM153</f>
        <v>0</v>
      </c>
      <c r="AJ178" s="32">
        <f>[2]Districts_Boroughs!DN153</f>
        <v>0</v>
      </c>
      <c r="AK178" s="32">
        <f>[2]Districts_Boroughs!DO153</f>
        <v>0</v>
      </c>
      <c r="AL178" s="32">
        <f>[2]Districts_Boroughs!DP153</f>
        <v>0</v>
      </c>
      <c r="AM178" s="32">
        <f>[2]Districts_Boroughs!DQ153</f>
        <v>0</v>
      </c>
      <c r="AN178" s="32">
        <f>[2]Districts_Boroughs!DR153</f>
        <v>0</v>
      </c>
      <c r="AO178" s="32">
        <f>[2]Districts_Boroughs!DS153</f>
        <v>0</v>
      </c>
      <c r="AP178" s="32">
        <f>[2]Districts_Boroughs!DT153</f>
        <v>0</v>
      </c>
      <c r="AQ178" s="32">
        <f>[2]Districts_Boroughs!DU153</f>
        <v>0</v>
      </c>
      <c r="AR178" s="32">
        <f>[2]Districts_Boroughs!DV153</f>
        <v>0</v>
      </c>
      <c r="AS178" s="32">
        <f>[2]Districts_Boroughs!DW153</f>
        <v>0</v>
      </c>
      <c r="AT178" s="32">
        <f>[2]Districts_Boroughs!DX153</f>
        <v>0</v>
      </c>
      <c r="AU178" s="32">
        <f>[2]Districts_Boroughs!DY153</f>
        <v>0</v>
      </c>
      <c r="AV178" s="32">
        <f>[2]Districts_Boroughs!DZ153</f>
        <v>0</v>
      </c>
      <c r="AW178" s="32">
        <f>[2]Districts_Boroughs!EA153</f>
        <v>0</v>
      </c>
      <c r="AX178" s="32">
        <f>[2]Districts_Boroughs!EB153</f>
        <v>0</v>
      </c>
      <c r="AY178" s="32">
        <f>[2]Districts_Boroughs!EC153</f>
        <v>0</v>
      </c>
    </row>
    <row r="179" spans="2:51" x14ac:dyDescent="0.35">
      <c r="B179" t="str">
        <f t="shared" ref="B179:B185" si="11">CONCATENATE($C$175,C179)</f>
        <v>StratfordViolence With Injury</v>
      </c>
      <c r="C179" s="345" t="s">
        <v>39</v>
      </c>
      <c r="D179" s="32">
        <f>[2]Districts_Boroughs!CH154</f>
        <v>56</v>
      </c>
      <c r="E179" s="32">
        <f>[2]Districts_Boroughs!CI154</f>
        <v>43</v>
      </c>
      <c r="F179" s="32">
        <f>[2]Districts_Boroughs!CJ154</f>
        <v>67</v>
      </c>
      <c r="G179" s="32">
        <f>[2]Districts_Boroughs!CK154</f>
        <v>63</v>
      </c>
      <c r="H179" s="32">
        <f>[2]Districts_Boroughs!CL154</f>
        <v>70</v>
      </c>
      <c r="I179" s="32">
        <f>[2]Districts_Boroughs!CM154</f>
        <v>62</v>
      </c>
      <c r="J179" s="32">
        <f>[2]Districts_Boroughs!CN154</f>
        <v>61</v>
      </c>
      <c r="K179" s="32">
        <f>[2]Districts_Boroughs!CO154</f>
        <v>51</v>
      </c>
      <c r="L179" s="32">
        <f>[2]Districts_Boroughs!CP154</f>
        <v>60</v>
      </c>
      <c r="M179" s="32">
        <f>[2]Districts_Boroughs!CQ154</f>
        <v>58</v>
      </c>
      <c r="N179" s="32">
        <f>[2]Districts_Boroughs!CR154</f>
        <v>44</v>
      </c>
      <c r="O179" s="32">
        <f>[2]Districts_Boroughs!CS154</f>
        <v>54</v>
      </c>
      <c r="P179" s="32">
        <f>[2]Districts_Boroughs!CT154</f>
        <v>69</v>
      </c>
      <c r="Q179" s="32">
        <f>[2]Districts_Boroughs!CU154</f>
        <v>64</v>
      </c>
      <c r="R179" s="32">
        <f>[2]Districts_Boroughs!CV154</f>
        <v>64</v>
      </c>
      <c r="S179" s="32">
        <f>[2]Districts_Boroughs!CW154</f>
        <v>69</v>
      </c>
      <c r="T179" s="32">
        <f>[2]Districts_Boroughs!CX154</f>
        <v>94</v>
      </c>
      <c r="U179" s="32">
        <f>[2]Districts_Boroughs!CY154</f>
        <v>66</v>
      </c>
      <c r="V179" s="32">
        <f>[2]Districts_Boroughs!CZ154</f>
        <v>56</v>
      </c>
      <c r="W179" s="32">
        <f>[2]Districts_Boroughs!DA154</f>
        <v>58</v>
      </c>
      <c r="X179" s="32">
        <f>[2]Districts_Boroughs!DB154</f>
        <v>61</v>
      </c>
      <c r="Y179" s="32">
        <f>[2]Districts_Boroughs!DC154</f>
        <v>58</v>
      </c>
      <c r="Z179" s="32">
        <f>[2]Districts_Boroughs!DD154</f>
        <v>68</v>
      </c>
      <c r="AA179" s="32">
        <f>[2]Districts_Boroughs!DE154</f>
        <v>58</v>
      </c>
      <c r="AB179" s="32">
        <f>[2]Districts_Boroughs!DF154</f>
        <v>77</v>
      </c>
      <c r="AC179" s="32">
        <f>[2]Districts_Boroughs!DG154</f>
        <v>74</v>
      </c>
      <c r="AD179" s="32">
        <f>[2]Districts_Boroughs!DH154</f>
        <v>97</v>
      </c>
      <c r="AE179" s="32">
        <f>[2]Districts_Boroughs!DI154</f>
        <v>81</v>
      </c>
      <c r="AF179" s="32">
        <f>[2]Districts_Boroughs!DJ154</f>
        <v>79</v>
      </c>
      <c r="AG179" s="32">
        <f>[2]Districts_Boroughs!DK154</f>
        <v>70</v>
      </c>
      <c r="AH179" s="32">
        <f>[2]Districts_Boroughs!DL154</f>
        <v>72</v>
      </c>
      <c r="AI179" s="32">
        <f>[2]Districts_Boroughs!DM154</f>
        <v>70</v>
      </c>
      <c r="AJ179" s="32">
        <f>[2]Districts_Boroughs!DN154</f>
        <v>69</v>
      </c>
      <c r="AK179" s="32">
        <f>[2]Districts_Boroughs!DO154</f>
        <v>58</v>
      </c>
      <c r="AL179" s="32">
        <f>[2]Districts_Boroughs!DP154</f>
        <v>83</v>
      </c>
      <c r="AM179" s="32">
        <f>[2]Districts_Boroughs!DQ154</f>
        <v>69</v>
      </c>
      <c r="AN179" s="32">
        <f>[2]Districts_Boroughs!DR154</f>
        <v>72</v>
      </c>
      <c r="AO179" s="32">
        <f>[2]Districts_Boroughs!DS154</f>
        <v>81</v>
      </c>
      <c r="AP179" s="32">
        <f>[2]Districts_Boroughs!DT154</f>
        <v>76</v>
      </c>
      <c r="AQ179" s="32">
        <f>[2]Districts_Boroughs!DU154</f>
        <v>95</v>
      </c>
      <c r="AR179" s="32">
        <f>[2]Districts_Boroughs!DV154</f>
        <v>71</v>
      </c>
      <c r="AS179" s="32">
        <f>[2]Districts_Boroughs!DW154</f>
        <v>65</v>
      </c>
      <c r="AT179" s="32">
        <f>[2]Districts_Boroughs!DX154</f>
        <v>83</v>
      </c>
      <c r="AU179" s="32">
        <f>[2]Districts_Boroughs!DY154</f>
        <v>69</v>
      </c>
      <c r="AV179" s="32">
        <f>[2]Districts_Boroughs!DZ154</f>
        <v>65</v>
      </c>
      <c r="AW179" s="32">
        <f>[2]Districts_Boroughs!EA154</f>
        <v>82</v>
      </c>
      <c r="AX179" s="32">
        <f>[2]Districts_Boroughs!EB154</f>
        <v>55</v>
      </c>
      <c r="AY179" s="32">
        <f>[2]Districts_Boroughs!EC154</f>
        <v>55</v>
      </c>
    </row>
    <row r="180" spans="2:51" x14ac:dyDescent="0.35">
      <c r="B180" t="str">
        <f t="shared" si="11"/>
        <v>StratfordViolence Without Injury</v>
      </c>
      <c r="C180" s="345" t="s">
        <v>40</v>
      </c>
      <c r="D180" s="32">
        <f>[2]Districts_Boroughs!CH155</f>
        <v>162</v>
      </c>
      <c r="E180" s="32">
        <f>[2]Districts_Boroughs!CI155</f>
        <v>165</v>
      </c>
      <c r="F180" s="32">
        <f>[2]Districts_Boroughs!CJ155</f>
        <v>160</v>
      </c>
      <c r="G180" s="32">
        <f>[2]Districts_Boroughs!CK155</f>
        <v>205</v>
      </c>
      <c r="H180" s="32">
        <f>[2]Districts_Boroughs!CL155</f>
        <v>172</v>
      </c>
      <c r="I180" s="32">
        <f>[2]Districts_Boroughs!CM155</f>
        <v>153</v>
      </c>
      <c r="J180" s="32">
        <f>[2]Districts_Boroughs!CN155</f>
        <v>170</v>
      </c>
      <c r="K180" s="32">
        <f>[2]Districts_Boroughs!CO155</f>
        <v>142</v>
      </c>
      <c r="L180" s="32">
        <f>[2]Districts_Boroughs!CP155</f>
        <v>162</v>
      </c>
      <c r="M180" s="32">
        <f>[2]Districts_Boroughs!CQ155</f>
        <v>140</v>
      </c>
      <c r="N180" s="32">
        <f>[2]Districts_Boroughs!CR155</f>
        <v>133</v>
      </c>
      <c r="O180" s="32">
        <f>[2]Districts_Boroughs!CS155</f>
        <v>176</v>
      </c>
      <c r="P180" s="32">
        <f>[2]Districts_Boroughs!CT155</f>
        <v>135</v>
      </c>
      <c r="Q180" s="32">
        <f>[2]Districts_Boroughs!CU155</f>
        <v>162</v>
      </c>
      <c r="R180" s="32">
        <f>[2]Districts_Boroughs!CV155</f>
        <v>154</v>
      </c>
      <c r="S180" s="32">
        <f>[2]Districts_Boroughs!CW155</f>
        <v>188</v>
      </c>
      <c r="T180" s="32">
        <f>[2]Districts_Boroughs!CX155</f>
        <v>134</v>
      </c>
      <c r="U180" s="32">
        <f>[2]Districts_Boroughs!CY155</f>
        <v>147</v>
      </c>
      <c r="V180" s="32">
        <f>[2]Districts_Boroughs!CZ155</f>
        <v>173</v>
      </c>
      <c r="W180" s="32">
        <f>[2]Districts_Boroughs!DA155</f>
        <v>152</v>
      </c>
      <c r="X180" s="32">
        <f>[2]Districts_Boroughs!DB155</f>
        <v>145</v>
      </c>
      <c r="Y180" s="32">
        <f>[2]Districts_Boroughs!DC155</f>
        <v>139</v>
      </c>
      <c r="Z180" s="32">
        <f>[2]Districts_Boroughs!DD155</f>
        <v>136</v>
      </c>
      <c r="AA180" s="32">
        <f>[2]Districts_Boroughs!DE155</f>
        <v>187</v>
      </c>
      <c r="AB180" s="32">
        <f>[2]Districts_Boroughs!DF155</f>
        <v>148</v>
      </c>
      <c r="AC180" s="32">
        <f>[2]Districts_Boroughs!DG155</f>
        <v>125</v>
      </c>
      <c r="AD180" s="32">
        <f>[2]Districts_Boroughs!DH155</f>
        <v>173</v>
      </c>
      <c r="AE180" s="32">
        <f>[2]Districts_Boroughs!DI155</f>
        <v>145</v>
      </c>
      <c r="AF180" s="32">
        <f>[2]Districts_Boroughs!DJ155</f>
        <v>148</v>
      </c>
      <c r="AG180" s="32">
        <f>[2]Districts_Boroughs!DK155</f>
        <v>175</v>
      </c>
      <c r="AH180" s="32">
        <f>[2]Districts_Boroughs!DL155</f>
        <v>172</v>
      </c>
      <c r="AI180" s="32">
        <f>[2]Districts_Boroughs!DM155</f>
        <v>159</v>
      </c>
      <c r="AJ180" s="32">
        <f>[2]Districts_Boroughs!DN155</f>
        <v>162</v>
      </c>
      <c r="AK180" s="32">
        <f>[2]Districts_Boroughs!DO155</f>
        <v>157</v>
      </c>
      <c r="AL180" s="32">
        <f>[2]Districts_Boroughs!DP155</f>
        <v>157</v>
      </c>
      <c r="AM180" s="32">
        <f>[2]Districts_Boroughs!DQ155</f>
        <v>143</v>
      </c>
      <c r="AN180" s="32">
        <f>[2]Districts_Boroughs!DR155</f>
        <v>153</v>
      </c>
      <c r="AO180" s="32">
        <f>[2]Districts_Boroughs!DS155</f>
        <v>160</v>
      </c>
      <c r="AP180" s="32">
        <f>[2]Districts_Boroughs!DT155</f>
        <v>163</v>
      </c>
      <c r="AQ180" s="32">
        <f>[2]Districts_Boroughs!DU155</f>
        <v>164</v>
      </c>
      <c r="AR180" s="32">
        <f>[2]Districts_Boroughs!DV155</f>
        <v>147</v>
      </c>
      <c r="AS180" s="32">
        <f>[2]Districts_Boroughs!DW155</f>
        <v>135</v>
      </c>
      <c r="AT180" s="32">
        <f>[2]Districts_Boroughs!DX155</f>
        <v>156</v>
      </c>
      <c r="AU180" s="32">
        <f>[2]Districts_Boroughs!DY155</f>
        <v>152</v>
      </c>
      <c r="AV180" s="32">
        <f>[2]Districts_Boroughs!DZ155</f>
        <v>138</v>
      </c>
      <c r="AW180" s="32">
        <f>[2]Districts_Boroughs!EA155</f>
        <v>127</v>
      </c>
      <c r="AX180" s="32">
        <f>[2]Districts_Boroughs!EB155</f>
        <v>170</v>
      </c>
      <c r="AY180" s="32">
        <f>[2]Districts_Boroughs!EC155</f>
        <v>158</v>
      </c>
    </row>
    <row r="181" spans="2:51" x14ac:dyDescent="0.35">
      <c r="B181" t="str">
        <f t="shared" si="11"/>
        <v>StratfordRape</v>
      </c>
      <c r="C181" s="345" t="s">
        <v>5</v>
      </c>
      <c r="D181" s="32">
        <f>[2]Districts_Boroughs!CH156</f>
        <v>9</v>
      </c>
      <c r="E181" s="32">
        <f>[2]Districts_Boroughs!CI156</f>
        <v>2</v>
      </c>
      <c r="F181" s="32">
        <f>[2]Districts_Boroughs!CJ156</f>
        <v>6</v>
      </c>
      <c r="G181" s="32">
        <f>[2]Districts_Boroughs!CK156</f>
        <v>14</v>
      </c>
      <c r="H181" s="32">
        <f>[2]Districts_Boroughs!CL156</f>
        <v>13</v>
      </c>
      <c r="I181" s="32">
        <f>[2]Districts_Boroughs!CM156</f>
        <v>7</v>
      </c>
      <c r="J181" s="32">
        <f>[2]Districts_Boroughs!CN156</f>
        <v>3</v>
      </c>
      <c r="K181" s="32">
        <f>[2]Districts_Boroughs!CO156</f>
        <v>7</v>
      </c>
      <c r="L181" s="32">
        <f>[2]Districts_Boroughs!CP156</f>
        <v>5</v>
      </c>
      <c r="M181" s="32">
        <f>[2]Districts_Boroughs!CQ156</f>
        <v>9</v>
      </c>
      <c r="N181" s="32">
        <f>[2]Districts_Boroughs!CR156</f>
        <v>7</v>
      </c>
      <c r="O181" s="32">
        <f>[2]Districts_Boroughs!CS156</f>
        <v>10</v>
      </c>
      <c r="P181" s="32">
        <f>[2]Districts_Boroughs!CT156</f>
        <v>6</v>
      </c>
      <c r="Q181" s="32">
        <f>[2]Districts_Boroughs!CU156</f>
        <v>5</v>
      </c>
      <c r="R181" s="32">
        <f>[2]Districts_Boroughs!CV156</f>
        <v>7</v>
      </c>
      <c r="S181" s="32">
        <f>[2]Districts_Boroughs!CW156</f>
        <v>1</v>
      </c>
      <c r="T181" s="32">
        <f>[2]Districts_Boroughs!CX156</f>
        <v>4</v>
      </c>
      <c r="U181" s="32">
        <f>[2]Districts_Boroughs!CY156</f>
        <v>5</v>
      </c>
      <c r="V181" s="32">
        <f>[2]Districts_Boroughs!CZ156</f>
        <v>8</v>
      </c>
      <c r="W181" s="32">
        <f>[2]Districts_Boroughs!DA156</f>
        <v>9</v>
      </c>
      <c r="X181" s="32">
        <f>[2]Districts_Boroughs!DB156</f>
        <v>18</v>
      </c>
      <c r="Y181" s="32">
        <f>[2]Districts_Boroughs!DC156</f>
        <v>6</v>
      </c>
      <c r="Z181" s="32">
        <f>[2]Districts_Boroughs!DD156</f>
        <v>8</v>
      </c>
      <c r="AA181" s="32">
        <f>[2]Districts_Boroughs!DE156</f>
        <v>17</v>
      </c>
      <c r="AB181" s="32">
        <f>[2]Districts_Boroughs!DF156</f>
        <v>4</v>
      </c>
      <c r="AC181" s="32">
        <f>[2]Districts_Boroughs!DG156</f>
        <v>4</v>
      </c>
      <c r="AD181" s="32">
        <f>[2]Districts_Boroughs!DH156</f>
        <v>8</v>
      </c>
      <c r="AE181" s="32">
        <f>[2]Districts_Boroughs!DI156</f>
        <v>6</v>
      </c>
      <c r="AF181" s="32">
        <f>[2]Districts_Boroughs!DJ156</f>
        <v>12</v>
      </c>
      <c r="AG181" s="32">
        <f>[2]Districts_Boroughs!DK156</f>
        <v>13</v>
      </c>
      <c r="AH181" s="32">
        <f>[2]Districts_Boroughs!DL156</f>
        <v>8</v>
      </c>
      <c r="AI181" s="32">
        <f>[2]Districts_Boroughs!DM156</f>
        <v>12</v>
      </c>
      <c r="AJ181" s="32">
        <f>[2]Districts_Boroughs!DN156</f>
        <v>7</v>
      </c>
      <c r="AK181" s="32">
        <f>[2]Districts_Boroughs!DO156</f>
        <v>8</v>
      </c>
      <c r="AL181" s="32">
        <f>[2]Districts_Boroughs!DP156</f>
        <v>8</v>
      </c>
      <c r="AM181" s="32">
        <f>[2]Districts_Boroughs!DQ156</f>
        <v>8</v>
      </c>
      <c r="AN181" s="32">
        <f>[2]Districts_Boroughs!DR156</f>
        <v>6</v>
      </c>
      <c r="AO181" s="32">
        <f>[2]Districts_Boroughs!DS156</f>
        <v>9</v>
      </c>
      <c r="AP181" s="32">
        <f>[2]Districts_Boroughs!DT156</f>
        <v>8</v>
      </c>
      <c r="AQ181" s="32">
        <f>[2]Districts_Boroughs!DU156</f>
        <v>6</v>
      </c>
      <c r="AR181" s="32">
        <f>[2]Districts_Boroughs!DV156</f>
        <v>8</v>
      </c>
      <c r="AS181" s="32">
        <f>[2]Districts_Boroughs!DW156</f>
        <v>2</v>
      </c>
      <c r="AT181" s="32">
        <f>[2]Districts_Boroughs!DX156</f>
        <v>15</v>
      </c>
      <c r="AU181" s="32">
        <f>[2]Districts_Boroughs!DY156</f>
        <v>9</v>
      </c>
      <c r="AV181" s="32">
        <f>[2]Districts_Boroughs!DZ156</f>
        <v>9</v>
      </c>
      <c r="AW181" s="32">
        <f>[2]Districts_Boroughs!EA156</f>
        <v>11</v>
      </c>
      <c r="AX181" s="32">
        <f>[2]Districts_Boroughs!EB156</f>
        <v>5</v>
      </c>
      <c r="AY181" s="32">
        <f>[2]Districts_Boroughs!EC156</f>
        <v>5</v>
      </c>
    </row>
    <row r="182" spans="2:51" x14ac:dyDescent="0.35">
      <c r="B182" t="str">
        <f t="shared" si="11"/>
        <v>StratfordOther Sexual Offences</v>
      </c>
      <c r="C182" s="345" t="s">
        <v>35</v>
      </c>
      <c r="D182" s="32">
        <f>[2]Districts_Boroughs!CH157</f>
        <v>11</v>
      </c>
      <c r="E182" s="32">
        <f>[2]Districts_Boroughs!CI157</f>
        <v>12</v>
      </c>
      <c r="F182" s="32">
        <f>[2]Districts_Boroughs!CJ157</f>
        <v>11</v>
      </c>
      <c r="G182" s="32">
        <f>[2]Districts_Boroughs!CK157</f>
        <v>13</v>
      </c>
      <c r="H182" s="32">
        <f>[2]Districts_Boroughs!CL157</f>
        <v>12</v>
      </c>
      <c r="I182" s="32">
        <f>[2]Districts_Boroughs!CM157</f>
        <v>10</v>
      </c>
      <c r="J182" s="32">
        <f>[2]Districts_Boroughs!CN157</f>
        <v>9</v>
      </c>
      <c r="K182" s="32">
        <f>[2]Districts_Boroughs!CO157</f>
        <v>14</v>
      </c>
      <c r="L182" s="32">
        <f>[2]Districts_Boroughs!CP157</f>
        <v>8</v>
      </c>
      <c r="M182" s="32">
        <f>[2]Districts_Boroughs!CQ157</f>
        <v>18</v>
      </c>
      <c r="N182" s="32">
        <f>[2]Districts_Boroughs!CR157</f>
        <v>15</v>
      </c>
      <c r="O182" s="32">
        <f>[2]Districts_Boroughs!CS157</f>
        <v>19</v>
      </c>
      <c r="P182" s="32">
        <f>[2]Districts_Boroughs!CT157</f>
        <v>10</v>
      </c>
      <c r="Q182" s="32">
        <f>[2]Districts_Boroughs!CU157</f>
        <v>22</v>
      </c>
      <c r="R182" s="32">
        <f>[2]Districts_Boroughs!CV157</f>
        <v>12</v>
      </c>
      <c r="S182" s="32">
        <f>[2]Districts_Boroughs!CW157</f>
        <v>20</v>
      </c>
      <c r="T182" s="32">
        <f>[2]Districts_Boroughs!CX157</f>
        <v>17</v>
      </c>
      <c r="U182" s="32">
        <f>[2]Districts_Boroughs!CY157</f>
        <v>12</v>
      </c>
      <c r="V182" s="32">
        <f>[2]Districts_Boroughs!CZ157</f>
        <v>15</v>
      </c>
      <c r="W182" s="32">
        <f>[2]Districts_Boroughs!DA157</f>
        <v>15</v>
      </c>
      <c r="X182" s="32">
        <f>[2]Districts_Boroughs!DB157</f>
        <v>18</v>
      </c>
      <c r="Y182" s="32">
        <f>[2]Districts_Boroughs!DC157</f>
        <v>17</v>
      </c>
      <c r="Z182" s="32">
        <f>[2]Districts_Boroughs!DD157</f>
        <v>19</v>
      </c>
      <c r="AA182" s="32">
        <f>[2]Districts_Boroughs!DE157</f>
        <v>20</v>
      </c>
      <c r="AB182" s="32">
        <f>[2]Districts_Boroughs!DF157</f>
        <v>14</v>
      </c>
      <c r="AC182" s="32">
        <f>[2]Districts_Boroughs!DG157</f>
        <v>17</v>
      </c>
      <c r="AD182" s="32">
        <f>[2]Districts_Boroughs!DH157</f>
        <v>15</v>
      </c>
      <c r="AE182" s="32">
        <f>[2]Districts_Boroughs!DI157</f>
        <v>14</v>
      </c>
      <c r="AF182" s="32">
        <f>[2]Districts_Boroughs!DJ157</f>
        <v>18</v>
      </c>
      <c r="AG182" s="32">
        <f>[2]Districts_Boroughs!DK157</f>
        <v>20</v>
      </c>
      <c r="AH182" s="32">
        <f>[2]Districts_Boroughs!DL157</f>
        <v>23</v>
      </c>
      <c r="AI182" s="32">
        <f>[2]Districts_Boroughs!DM157</f>
        <v>19</v>
      </c>
      <c r="AJ182" s="32">
        <f>[2]Districts_Boroughs!DN157</f>
        <v>18</v>
      </c>
      <c r="AK182" s="32">
        <f>[2]Districts_Boroughs!DO157</f>
        <v>15</v>
      </c>
      <c r="AL182" s="32">
        <f>[2]Districts_Boroughs!DP157</f>
        <v>16</v>
      </c>
      <c r="AM182" s="32">
        <f>[2]Districts_Boroughs!DQ157</f>
        <v>19</v>
      </c>
      <c r="AN182" s="32">
        <f>[2]Districts_Boroughs!DR157</f>
        <v>16</v>
      </c>
      <c r="AO182" s="32">
        <f>[2]Districts_Boroughs!DS157</f>
        <v>15</v>
      </c>
      <c r="AP182" s="32">
        <f>[2]Districts_Boroughs!DT157</f>
        <v>22</v>
      </c>
      <c r="AQ182" s="32">
        <f>[2]Districts_Boroughs!DU157</f>
        <v>14</v>
      </c>
      <c r="AR182" s="32">
        <f>[2]Districts_Boroughs!DV157</f>
        <v>19</v>
      </c>
      <c r="AS182" s="32">
        <f>[2]Districts_Boroughs!DW157</f>
        <v>13</v>
      </c>
      <c r="AT182" s="32">
        <f>[2]Districts_Boroughs!DX157</f>
        <v>21</v>
      </c>
      <c r="AU182" s="32">
        <f>[2]Districts_Boroughs!DY157</f>
        <v>17</v>
      </c>
      <c r="AV182" s="32">
        <f>[2]Districts_Boroughs!DZ157</f>
        <v>25</v>
      </c>
      <c r="AW182" s="32">
        <f>[2]Districts_Boroughs!EA157</f>
        <v>21</v>
      </c>
      <c r="AX182" s="32">
        <f>[2]Districts_Boroughs!EB157</f>
        <v>15</v>
      </c>
      <c r="AY182" s="32">
        <f>[2]Districts_Boroughs!EC157</f>
        <v>29</v>
      </c>
    </row>
    <row r="183" spans="2:51" x14ac:dyDescent="0.35">
      <c r="B183" t="str">
        <f t="shared" si="11"/>
        <v>StratfordBusiness Robbery</v>
      </c>
      <c r="C183" s="345" t="s">
        <v>36</v>
      </c>
      <c r="D183" s="32">
        <f>[2]Districts_Boroughs!CH158</f>
        <v>1</v>
      </c>
      <c r="E183" s="32" t="str">
        <f>[2]Districts_Boroughs!CI158</f>
        <v>0</v>
      </c>
      <c r="F183" s="32" t="str">
        <f>[2]Districts_Boroughs!CJ158</f>
        <v>0</v>
      </c>
      <c r="G183" s="32">
        <f>[2]Districts_Boroughs!CK158</f>
        <v>6</v>
      </c>
      <c r="H183" s="32" t="str">
        <f>[2]Districts_Boroughs!CL158</f>
        <v>0</v>
      </c>
      <c r="I183" s="32" t="str">
        <f>[2]Districts_Boroughs!CM158</f>
        <v>0</v>
      </c>
      <c r="J183" s="32" t="str">
        <f>[2]Districts_Boroughs!CN158</f>
        <v>0</v>
      </c>
      <c r="K183" s="32" t="str">
        <f>[2]Districts_Boroughs!CO158</f>
        <v>0</v>
      </c>
      <c r="L183" s="32">
        <f>[2]Districts_Boroughs!CP158</f>
        <v>1</v>
      </c>
      <c r="M183" s="32" t="str">
        <f>[2]Districts_Boroughs!CQ158</f>
        <v>0</v>
      </c>
      <c r="N183" s="32" t="str">
        <f>[2]Districts_Boroughs!CR158</f>
        <v>0</v>
      </c>
      <c r="O183" s="32">
        <f>[2]Districts_Boroughs!CS158</f>
        <v>1</v>
      </c>
      <c r="P183" s="32">
        <f>[2]Districts_Boroughs!CT158</f>
        <v>0</v>
      </c>
      <c r="Q183" s="32">
        <f>[2]Districts_Boroughs!CU158</f>
        <v>0</v>
      </c>
      <c r="R183" s="32">
        <f>[2]Districts_Boroughs!CV158</f>
        <v>0</v>
      </c>
      <c r="S183" s="32">
        <f>[2]Districts_Boroughs!CW158</f>
        <v>0</v>
      </c>
      <c r="T183" s="32">
        <f>[2]Districts_Boroughs!CX158</f>
        <v>0</v>
      </c>
      <c r="U183" s="32">
        <f>[2]Districts_Boroughs!CY158</f>
        <v>0</v>
      </c>
      <c r="V183" s="32">
        <f>[2]Districts_Boroughs!CZ158</f>
        <v>0</v>
      </c>
      <c r="W183" s="32">
        <f>[2]Districts_Boroughs!DA158</f>
        <v>2</v>
      </c>
      <c r="X183" s="32">
        <f>[2]Districts_Boroughs!DB158</f>
        <v>0</v>
      </c>
      <c r="Y183" s="32">
        <f>[2]Districts_Boroughs!DC158</f>
        <v>0</v>
      </c>
      <c r="Z183" s="32">
        <f>[2]Districts_Boroughs!DD158</f>
        <v>2</v>
      </c>
      <c r="AA183" s="32">
        <f>[2]Districts_Boroughs!DE158</f>
        <v>1</v>
      </c>
      <c r="AB183" s="32">
        <f>[2]Districts_Boroughs!DF158</f>
        <v>1</v>
      </c>
      <c r="AC183" s="32">
        <f>[2]Districts_Boroughs!DG158</f>
        <v>0</v>
      </c>
      <c r="AD183" s="32">
        <f>[2]Districts_Boroughs!DH158</f>
        <v>1</v>
      </c>
      <c r="AE183" s="32">
        <f>[2]Districts_Boroughs!DI158</f>
        <v>0</v>
      </c>
      <c r="AF183" s="32">
        <f>[2]Districts_Boroughs!DJ158</f>
        <v>0</v>
      </c>
      <c r="AG183" s="32">
        <f>[2]Districts_Boroughs!DK158</f>
        <v>0</v>
      </c>
      <c r="AH183" s="32">
        <f>[2]Districts_Boroughs!DL158</f>
        <v>0</v>
      </c>
      <c r="AI183" s="32">
        <f>[2]Districts_Boroughs!DM158</f>
        <v>1</v>
      </c>
      <c r="AJ183" s="32">
        <f>[2]Districts_Boroughs!DN158</f>
        <v>0</v>
      </c>
      <c r="AK183" s="32">
        <f>[2]Districts_Boroughs!DO158</f>
        <v>0</v>
      </c>
      <c r="AL183" s="32">
        <f>[2]Districts_Boroughs!DP158</f>
        <v>0</v>
      </c>
      <c r="AM183" s="32">
        <f>[2]Districts_Boroughs!DQ158</f>
        <v>0</v>
      </c>
      <c r="AN183" s="32">
        <f>[2]Districts_Boroughs!DR158</f>
        <v>1</v>
      </c>
      <c r="AO183" s="32">
        <f>[2]Districts_Boroughs!DS158</f>
        <v>0</v>
      </c>
      <c r="AP183" s="32">
        <f>[2]Districts_Boroughs!DT158</f>
        <v>2</v>
      </c>
      <c r="AQ183" s="32">
        <f>[2]Districts_Boroughs!DU158</f>
        <v>0</v>
      </c>
      <c r="AR183" s="32">
        <f>[2]Districts_Boroughs!DV158</f>
        <v>0</v>
      </c>
      <c r="AS183" s="32">
        <f>[2]Districts_Boroughs!DW158</f>
        <v>1</v>
      </c>
      <c r="AT183" s="32">
        <f>[2]Districts_Boroughs!DX158</f>
        <v>0</v>
      </c>
      <c r="AU183" s="32">
        <f>[2]Districts_Boroughs!DY158</f>
        <v>1</v>
      </c>
      <c r="AV183" s="32">
        <f>[2]Districts_Boroughs!DZ158</f>
        <v>2</v>
      </c>
      <c r="AW183" s="32">
        <f>[2]Districts_Boroughs!EA158</f>
        <v>1</v>
      </c>
      <c r="AX183" s="32">
        <f>[2]Districts_Boroughs!EB158</f>
        <v>2</v>
      </c>
      <c r="AY183" s="32">
        <f>[2]Districts_Boroughs!EC158</f>
        <v>3</v>
      </c>
    </row>
    <row r="184" spans="2:51" x14ac:dyDescent="0.35">
      <c r="B184" t="str">
        <f t="shared" si="11"/>
        <v>StratfordPersonal Robbery</v>
      </c>
      <c r="C184" s="345" t="s">
        <v>37</v>
      </c>
      <c r="D184" s="32" t="str">
        <f>[2]Districts_Boroughs!CH159</f>
        <v>0</v>
      </c>
      <c r="E184" s="32">
        <f>[2]Districts_Boroughs!CI159</f>
        <v>1</v>
      </c>
      <c r="F184" s="32">
        <f>[2]Districts_Boroughs!CJ159</f>
        <v>6</v>
      </c>
      <c r="G184" s="32">
        <f>[2]Districts_Boroughs!CK159</f>
        <v>2</v>
      </c>
      <c r="H184" s="32">
        <f>[2]Districts_Boroughs!CL159</f>
        <v>7</v>
      </c>
      <c r="I184" s="32">
        <f>[2]Districts_Boroughs!CM159</f>
        <v>2</v>
      </c>
      <c r="J184" s="32">
        <f>[2]Districts_Boroughs!CN159</f>
        <v>5</v>
      </c>
      <c r="K184" s="32">
        <f>[2]Districts_Boroughs!CO159</f>
        <v>7</v>
      </c>
      <c r="L184" s="32" t="str">
        <f>[2]Districts_Boroughs!CP159</f>
        <v>0</v>
      </c>
      <c r="M184" s="32">
        <f>[2]Districts_Boroughs!CQ159</f>
        <v>3</v>
      </c>
      <c r="N184" s="32">
        <f>[2]Districts_Boroughs!CR159</f>
        <v>2</v>
      </c>
      <c r="O184" s="32">
        <f>[2]Districts_Boroughs!CS159</f>
        <v>4</v>
      </c>
      <c r="P184" s="32">
        <f>[2]Districts_Boroughs!CT159</f>
        <v>2</v>
      </c>
      <c r="Q184" s="32">
        <f>[2]Districts_Boroughs!CU159</f>
        <v>5</v>
      </c>
      <c r="R184" s="32">
        <f>[2]Districts_Boroughs!CV159</f>
        <v>1</v>
      </c>
      <c r="S184" s="32">
        <f>[2]Districts_Boroughs!CW159</f>
        <v>4</v>
      </c>
      <c r="T184" s="32">
        <f>[2]Districts_Boroughs!CX159</f>
        <v>2</v>
      </c>
      <c r="U184" s="32">
        <f>[2]Districts_Boroughs!CY159</f>
        <v>3</v>
      </c>
      <c r="V184" s="32">
        <f>[2]Districts_Boroughs!CZ159</f>
        <v>3</v>
      </c>
      <c r="W184" s="32">
        <f>[2]Districts_Boroughs!DA159</f>
        <v>5</v>
      </c>
      <c r="X184" s="32">
        <f>[2]Districts_Boroughs!DB159</f>
        <v>5</v>
      </c>
      <c r="Y184" s="32">
        <f>[2]Districts_Boroughs!DC159</f>
        <v>10</v>
      </c>
      <c r="Z184" s="32">
        <f>[2]Districts_Boroughs!DD159</f>
        <v>2</v>
      </c>
      <c r="AA184" s="32">
        <f>[2]Districts_Boroughs!DE159</f>
        <v>4</v>
      </c>
      <c r="AB184" s="32">
        <f>[2]Districts_Boroughs!DF159</f>
        <v>4</v>
      </c>
      <c r="AC184" s="32">
        <f>[2]Districts_Boroughs!DG159</f>
        <v>7</v>
      </c>
      <c r="AD184" s="32">
        <f>[2]Districts_Boroughs!DH159</f>
        <v>4</v>
      </c>
      <c r="AE184" s="32">
        <f>[2]Districts_Boroughs!DI159</f>
        <v>5</v>
      </c>
      <c r="AF184" s="32">
        <f>[2]Districts_Boroughs!DJ159</f>
        <v>4</v>
      </c>
      <c r="AG184" s="32">
        <f>[2]Districts_Boroughs!DK159</f>
        <v>5</v>
      </c>
      <c r="AH184" s="32">
        <f>[2]Districts_Boroughs!DL159</f>
        <v>3</v>
      </c>
      <c r="AI184" s="32">
        <f>[2]Districts_Boroughs!DM159</f>
        <v>1</v>
      </c>
      <c r="AJ184" s="32">
        <f>[2]Districts_Boroughs!DN159</f>
        <v>3</v>
      </c>
      <c r="AK184" s="32">
        <f>[2]Districts_Boroughs!DO159</f>
        <v>3</v>
      </c>
      <c r="AL184" s="32">
        <f>[2]Districts_Boroughs!DP159</f>
        <v>3</v>
      </c>
      <c r="AM184" s="32">
        <f>[2]Districts_Boroughs!DQ159</f>
        <v>5</v>
      </c>
      <c r="AN184" s="32">
        <f>[2]Districts_Boroughs!DR159</f>
        <v>0</v>
      </c>
      <c r="AO184" s="32">
        <f>[2]Districts_Boroughs!DS159</f>
        <v>3</v>
      </c>
      <c r="AP184" s="32">
        <f>[2]Districts_Boroughs!DT159</f>
        <v>8</v>
      </c>
      <c r="AQ184" s="32">
        <f>[2]Districts_Boroughs!DU159</f>
        <v>7</v>
      </c>
      <c r="AR184" s="32">
        <f>[2]Districts_Boroughs!DV159</f>
        <v>9</v>
      </c>
      <c r="AS184" s="32">
        <f>[2]Districts_Boroughs!DW159</f>
        <v>4</v>
      </c>
      <c r="AT184" s="32">
        <f>[2]Districts_Boroughs!DX159</f>
        <v>5</v>
      </c>
      <c r="AU184" s="32">
        <f>[2]Districts_Boroughs!DY159</f>
        <v>3</v>
      </c>
      <c r="AV184" s="32">
        <f>[2]Districts_Boroughs!DZ159</f>
        <v>2</v>
      </c>
      <c r="AW184" s="32">
        <f>[2]Districts_Boroughs!EA159</f>
        <v>1</v>
      </c>
      <c r="AX184" s="32">
        <f>[2]Districts_Boroughs!EB159</f>
        <v>7</v>
      </c>
      <c r="AY184" s="32">
        <f>[2]Districts_Boroughs!EC159</f>
        <v>4</v>
      </c>
    </row>
    <row r="185" spans="2:51" x14ac:dyDescent="0.35">
      <c r="B185" t="str">
        <f t="shared" si="11"/>
        <v>StratfordBurglary Residential</v>
      </c>
      <c r="C185" s="345" t="s">
        <v>31</v>
      </c>
      <c r="D185" s="32">
        <f>[2]Districts_Boroughs!CH160</f>
        <v>20</v>
      </c>
      <c r="E185" s="32">
        <f>[2]Districts_Boroughs!CI160</f>
        <v>25</v>
      </c>
      <c r="F185" s="32">
        <f>[2]Districts_Boroughs!CJ160</f>
        <v>26</v>
      </c>
      <c r="G185" s="32">
        <f>[2]Districts_Boroughs!CK160</f>
        <v>29</v>
      </c>
      <c r="H185" s="32">
        <f>[2]Districts_Boroughs!CL160</f>
        <v>27</v>
      </c>
      <c r="I185" s="32">
        <f>[2]Districts_Boroughs!CM160</f>
        <v>32</v>
      </c>
      <c r="J185" s="32">
        <f>[2]Districts_Boroughs!CN160</f>
        <v>44</v>
      </c>
      <c r="K185" s="32">
        <f>[2]Districts_Boroughs!CO160</f>
        <v>49</v>
      </c>
      <c r="L185" s="32">
        <f>[2]Districts_Boroughs!CP160</f>
        <v>38</v>
      </c>
      <c r="M185" s="32">
        <f>[2]Districts_Boroughs!CQ160</f>
        <v>36</v>
      </c>
      <c r="N185" s="32">
        <f>[2]Districts_Boroughs!CR160</f>
        <v>33</v>
      </c>
      <c r="O185" s="32">
        <f>[2]Districts_Boroughs!CS160</f>
        <v>45</v>
      </c>
      <c r="P185" s="32">
        <f>[2]Districts_Boroughs!CT160</f>
        <v>43</v>
      </c>
      <c r="Q185" s="32">
        <f>[2]Districts_Boroughs!CU160</f>
        <v>27</v>
      </c>
      <c r="R185" s="32">
        <f>[2]Districts_Boroughs!CV160</f>
        <v>34</v>
      </c>
      <c r="S185" s="32">
        <f>[2]Districts_Boroughs!CW160</f>
        <v>28</v>
      </c>
      <c r="T185" s="32">
        <f>[2]Districts_Boroughs!CX160</f>
        <v>26</v>
      </c>
      <c r="U185" s="32">
        <f>[2]Districts_Boroughs!CY160</f>
        <v>43</v>
      </c>
      <c r="V185" s="32">
        <f>[2]Districts_Boroughs!CZ160</f>
        <v>41</v>
      </c>
      <c r="W185" s="32">
        <f>[2]Districts_Boroughs!DA160</f>
        <v>48</v>
      </c>
      <c r="X185" s="32">
        <f>[2]Districts_Boroughs!DB160</f>
        <v>29</v>
      </c>
      <c r="Y185" s="32">
        <f>[2]Districts_Boroughs!DC160</f>
        <v>41</v>
      </c>
      <c r="Z185" s="32">
        <f>[2]Districts_Boroughs!DD160</f>
        <v>25</v>
      </c>
      <c r="AA185" s="32">
        <f>[2]Districts_Boroughs!DE160</f>
        <v>33</v>
      </c>
      <c r="AB185" s="32">
        <f>[2]Districts_Boroughs!DF160</f>
        <v>44</v>
      </c>
      <c r="AC185" s="32">
        <f>[2]Districts_Boroughs!DG160</f>
        <v>23</v>
      </c>
      <c r="AD185" s="32">
        <f>[2]Districts_Boroughs!DH160</f>
        <v>38</v>
      </c>
      <c r="AE185" s="32">
        <f>[2]Districts_Boroughs!DI160</f>
        <v>35</v>
      </c>
      <c r="AF185" s="32">
        <f>[2]Districts_Boroughs!DJ160</f>
        <v>20</v>
      </c>
      <c r="AG185" s="32">
        <f>[2]Districts_Boroughs!DK160</f>
        <v>26</v>
      </c>
      <c r="AH185" s="32">
        <f>[2]Districts_Boroughs!DL160</f>
        <v>38</v>
      </c>
      <c r="AI185" s="32">
        <f>[2]Districts_Boroughs!DM160</f>
        <v>41</v>
      </c>
      <c r="AJ185" s="32">
        <f>[2]Districts_Boroughs!DN160</f>
        <v>43</v>
      </c>
      <c r="AK185" s="32">
        <f>[2]Districts_Boroughs!DO160</f>
        <v>34</v>
      </c>
      <c r="AL185" s="32">
        <f>[2]Districts_Boroughs!DP160</f>
        <v>29</v>
      </c>
      <c r="AM185" s="32">
        <f>[2]Districts_Boroughs!DQ160</f>
        <v>21</v>
      </c>
      <c r="AN185" s="32">
        <f>[2]Districts_Boroughs!DR160</f>
        <v>35</v>
      </c>
      <c r="AO185" s="32">
        <f>[2]Districts_Boroughs!DS160</f>
        <v>49</v>
      </c>
      <c r="AP185" s="32">
        <f>[2]Districts_Boroughs!DT160</f>
        <v>35</v>
      </c>
      <c r="AQ185" s="32">
        <f>[2]Districts_Boroughs!DU160</f>
        <v>48</v>
      </c>
      <c r="AR185" s="32">
        <f>[2]Districts_Boroughs!DV160</f>
        <v>23</v>
      </c>
      <c r="AS185" s="32">
        <f>[2]Districts_Boroughs!DW160</f>
        <v>44</v>
      </c>
      <c r="AT185" s="32">
        <f>[2]Districts_Boroughs!DX160</f>
        <v>32</v>
      </c>
      <c r="AU185" s="32">
        <f>[2]Districts_Boroughs!DY160</f>
        <v>31</v>
      </c>
      <c r="AV185" s="32">
        <f>[2]Districts_Boroughs!DZ160</f>
        <v>35</v>
      </c>
      <c r="AW185" s="32">
        <f>[2]Districts_Boroughs!EA160</f>
        <v>46</v>
      </c>
      <c r="AX185" s="32">
        <f>[2]Districts_Boroughs!EB160</f>
        <v>41</v>
      </c>
      <c r="AY185" s="32">
        <f>[2]Districts_Boroughs!EC160</f>
        <v>50</v>
      </c>
    </row>
    <row r="186" spans="2:51" x14ac:dyDescent="0.35">
      <c r="B186" t="str">
        <f t="shared" si="10"/>
        <v>StratfordBurglary Business and Community</v>
      </c>
      <c r="C186" s="345" t="s">
        <v>55</v>
      </c>
      <c r="D186" s="32">
        <f>[2]Districts_Boroughs!CH161</f>
        <v>19</v>
      </c>
      <c r="E186" s="32">
        <f>[2]Districts_Boroughs!CI161</f>
        <v>14</v>
      </c>
      <c r="F186" s="32">
        <f>[2]Districts_Boroughs!CJ161</f>
        <v>11</v>
      </c>
      <c r="G186" s="32">
        <f>[2]Districts_Boroughs!CK161</f>
        <v>12</v>
      </c>
      <c r="H186" s="32">
        <f>[2]Districts_Boroughs!CL161</f>
        <v>9</v>
      </c>
      <c r="I186" s="32">
        <f>[2]Districts_Boroughs!CM161</f>
        <v>12</v>
      </c>
      <c r="J186" s="32">
        <f>[2]Districts_Boroughs!CN161</f>
        <v>12</v>
      </c>
      <c r="K186" s="32">
        <f>[2]Districts_Boroughs!CO161</f>
        <v>20</v>
      </c>
      <c r="L186" s="32">
        <f>[2]Districts_Boroughs!CP161</f>
        <v>18</v>
      </c>
      <c r="M186" s="32">
        <f>[2]Districts_Boroughs!CQ161</f>
        <v>21</v>
      </c>
      <c r="N186" s="32">
        <f>[2]Districts_Boroughs!CR161</f>
        <v>23</v>
      </c>
      <c r="O186" s="32">
        <f>[2]Districts_Boroughs!CS161</f>
        <v>13</v>
      </c>
      <c r="P186" s="32">
        <f>[2]Districts_Boroughs!CT161</f>
        <v>27</v>
      </c>
      <c r="Q186" s="32">
        <f>[2]Districts_Boroughs!CU161</f>
        <v>16</v>
      </c>
      <c r="R186" s="32">
        <f>[2]Districts_Boroughs!CV161</f>
        <v>10</v>
      </c>
      <c r="S186" s="32">
        <f>[2]Districts_Boroughs!CW161</f>
        <v>14</v>
      </c>
      <c r="T186" s="32">
        <f>[2]Districts_Boroughs!CX161</f>
        <v>30</v>
      </c>
      <c r="U186" s="32">
        <f>[2]Districts_Boroughs!CY161</f>
        <v>8</v>
      </c>
      <c r="V186" s="32">
        <f>[2]Districts_Boroughs!CZ161</f>
        <v>15</v>
      </c>
      <c r="W186" s="32">
        <f>[2]Districts_Boroughs!DA161</f>
        <v>17</v>
      </c>
      <c r="X186" s="32">
        <f>[2]Districts_Boroughs!DB161</f>
        <v>15</v>
      </c>
      <c r="Y186" s="32">
        <f>[2]Districts_Boroughs!DC161</f>
        <v>16</v>
      </c>
      <c r="Z186" s="32">
        <f>[2]Districts_Boroughs!DD161</f>
        <v>15</v>
      </c>
      <c r="AA186" s="32">
        <f>[2]Districts_Boroughs!DE161</f>
        <v>16</v>
      </c>
      <c r="AB186" s="32">
        <f>[2]Districts_Boroughs!DF161</f>
        <v>19</v>
      </c>
      <c r="AC186" s="32">
        <f>[2]Districts_Boroughs!DG161</f>
        <v>17</v>
      </c>
      <c r="AD186" s="32">
        <f>[2]Districts_Boroughs!DH161</f>
        <v>13</v>
      </c>
      <c r="AE186" s="32">
        <f>[2]Districts_Boroughs!DI161</f>
        <v>13</v>
      </c>
      <c r="AF186" s="32">
        <f>[2]Districts_Boroughs!DJ161</f>
        <v>17</v>
      </c>
      <c r="AG186" s="32">
        <f>[2]Districts_Boroughs!DK161</f>
        <v>26</v>
      </c>
      <c r="AH186" s="32">
        <f>[2]Districts_Boroughs!DL161</f>
        <v>20</v>
      </c>
      <c r="AI186" s="32">
        <f>[2]Districts_Boroughs!DM161</f>
        <v>16</v>
      </c>
      <c r="AJ186" s="32">
        <f>[2]Districts_Boroughs!DN161</f>
        <v>9</v>
      </c>
      <c r="AK186" s="32">
        <f>[2]Districts_Boroughs!DO161</f>
        <v>15</v>
      </c>
      <c r="AL186" s="32">
        <f>[2]Districts_Boroughs!DP161</f>
        <v>7</v>
      </c>
      <c r="AM186" s="32">
        <f>[2]Districts_Boroughs!DQ161</f>
        <v>10</v>
      </c>
      <c r="AN186" s="32">
        <f>[2]Districts_Boroughs!DR161</f>
        <v>11</v>
      </c>
      <c r="AO186" s="32">
        <f>[2]Districts_Boroughs!DS161</f>
        <v>25</v>
      </c>
      <c r="AP186" s="32">
        <f>[2]Districts_Boroughs!DT161</f>
        <v>16</v>
      </c>
      <c r="AQ186" s="32">
        <f>[2]Districts_Boroughs!DU161</f>
        <v>21</v>
      </c>
      <c r="AR186" s="32">
        <f>[2]Districts_Boroughs!DV161</f>
        <v>16</v>
      </c>
      <c r="AS186" s="32">
        <f>[2]Districts_Boroughs!DW161</f>
        <v>11</v>
      </c>
      <c r="AT186" s="32">
        <f>[2]Districts_Boroughs!DX161</f>
        <v>16</v>
      </c>
      <c r="AU186" s="32">
        <f>[2]Districts_Boroughs!DY161</f>
        <v>14</v>
      </c>
      <c r="AV186" s="32">
        <f>[2]Districts_Boroughs!DZ161</f>
        <v>14</v>
      </c>
      <c r="AW186" s="32">
        <f>[2]Districts_Boroughs!EA161</f>
        <v>13</v>
      </c>
      <c r="AX186" s="32">
        <f>[2]Districts_Boroughs!EB161</f>
        <v>8</v>
      </c>
      <c r="AY186" s="32">
        <f>[2]Districts_Boroughs!EC161</f>
        <v>17</v>
      </c>
    </row>
    <row r="187" spans="2:51" x14ac:dyDescent="0.35">
      <c r="B187" t="str">
        <f>CONCATENATE($C$175,C187)</f>
        <v>StratfordVehicle Offences</v>
      </c>
      <c r="C187" s="345" t="s">
        <v>38</v>
      </c>
      <c r="D187" s="32">
        <f>[2]Districts_Boroughs!CH162</f>
        <v>42</v>
      </c>
      <c r="E187" s="32">
        <f>[2]Districts_Boroughs!CI162</f>
        <v>51</v>
      </c>
      <c r="F187" s="32">
        <f>[2]Districts_Boroughs!CJ162</f>
        <v>43</v>
      </c>
      <c r="G187" s="32">
        <f>[2]Districts_Boroughs!CK162</f>
        <v>63</v>
      </c>
      <c r="H187" s="32">
        <f>[2]Districts_Boroughs!CL162</f>
        <v>77</v>
      </c>
      <c r="I187" s="32">
        <f>[2]Districts_Boroughs!CM162</f>
        <v>61</v>
      </c>
      <c r="J187" s="32">
        <f>[2]Districts_Boroughs!CN162</f>
        <v>71</v>
      </c>
      <c r="K187" s="32">
        <f>[2]Districts_Boroughs!CO162</f>
        <v>71</v>
      </c>
      <c r="L187" s="32">
        <f>[2]Districts_Boroughs!CP162</f>
        <v>51</v>
      </c>
      <c r="M187" s="32">
        <f>[2]Districts_Boroughs!CQ162</f>
        <v>74</v>
      </c>
      <c r="N187" s="32">
        <f>[2]Districts_Boroughs!CR162</f>
        <v>56</v>
      </c>
      <c r="O187" s="32">
        <f>[2]Districts_Boroughs!CS162</f>
        <v>88</v>
      </c>
      <c r="P187" s="32">
        <f>[2]Districts_Boroughs!CT162</f>
        <v>72</v>
      </c>
      <c r="Q187" s="32">
        <f>[2]Districts_Boroughs!CU162</f>
        <v>76</v>
      </c>
      <c r="R187" s="32">
        <f>[2]Districts_Boroughs!CV162</f>
        <v>67</v>
      </c>
      <c r="S187" s="32">
        <f>[2]Districts_Boroughs!CW162</f>
        <v>93</v>
      </c>
      <c r="T187" s="32">
        <f>[2]Districts_Boroughs!CX162</f>
        <v>113</v>
      </c>
      <c r="U187" s="32">
        <f>[2]Districts_Boroughs!CY162</f>
        <v>125</v>
      </c>
      <c r="V187" s="32">
        <f>[2]Districts_Boroughs!CZ162</f>
        <v>85</v>
      </c>
      <c r="W187" s="32">
        <f>[2]Districts_Boroughs!DA162</f>
        <v>96</v>
      </c>
      <c r="X187" s="32">
        <f>[2]Districts_Boroughs!DB162</f>
        <v>64</v>
      </c>
      <c r="Y187" s="32">
        <f>[2]Districts_Boroughs!DC162</f>
        <v>108</v>
      </c>
      <c r="Z187" s="32">
        <f>[2]Districts_Boroughs!DD162</f>
        <v>111</v>
      </c>
      <c r="AA187" s="32">
        <f>[2]Districts_Boroughs!DE162</f>
        <v>92</v>
      </c>
      <c r="AB187" s="32">
        <f>[2]Districts_Boroughs!DF162</f>
        <v>104</v>
      </c>
      <c r="AC187" s="32">
        <f>[2]Districts_Boroughs!DG162</f>
        <v>108</v>
      </c>
      <c r="AD187" s="32">
        <f>[2]Districts_Boroughs!DH162</f>
        <v>79</v>
      </c>
      <c r="AE187" s="32">
        <f>[2]Districts_Boroughs!DI162</f>
        <v>83</v>
      </c>
      <c r="AF187" s="32">
        <f>[2]Districts_Boroughs!DJ162</f>
        <v>66</v>
      </c>
      <c r="AG187" s="32">
        <f>[2]Districts_Boroughs!DK162</f>
        <v>61</v>
      </c>
      <c r="AH187" s="32">
        <f>[2]Districts_Boroughs!DL162</f>
        <v>84</v>
      </c>
      <c r="AI187" s="32">
        <f>[2]Districts_Boroughs!DM162</f>
        <v>78</v>
      </c>
      <c r="AJ187" s="32">
        <f>[2]Districts_Boroughs!DN162</f>
        <v>56</v>
      </c>
      <c r="AK187" s="32">
        <f>[2]Districts_Boroughs!DO162</f>
        <v>72</v>
      </c>
      <c r="AL187" s="32">
        <f>[2]Districts_Boroughs!DP162</f>
        <v>51</v>
      </c>
      <c r="AM187" s="32">
        <f>[2]Districts_Boroughs!DQ162</f>
        <v>60</v>
      </c>
      <c r="AN187" s="32">
        <f>[2]Districts_Boroughs!DR162</f>
        <v>55</v>
      </c>
      <c r="AO187" s="32">
        <f>[2]Districts_Boroughs!DS162</f>
        <v>112</v>
      </c>
      <c r="AP187" s="32">
        <f>[2]Districts_Boroughs!DT162</f>
        <v>76</v>
      </c>
      <c r="AQ187" s="32">
        <f>[2]Districts_Boroughs!DU162</f>
        <v>72</v>
      </c>
      <c r="AR187" s="32">
        <f>[2]Districts_Boroughs!DV162</f>
        <v>49</v>
      </c>
      <c r="AS187" s="32">
        <f>[2]Districts_Boroughs!DW162</f>
        <v>37</v>
      </c>
      <c r="AT187" s="32">
        <f>[2]Districts_Boroughs!DX162</f>
        <v>88</v>
      </c>
      <c r="AU187" s="32">
        <f>[2]Districts_Boroughs!DY162</f>
        <v>87</v>
      </c>
      <c r="AV187" s="32">
        <f>[2]Districts_Boroughs!DZ162</f>
        <v>65</v>
      </c>
      <c r="AW187" s="32">
        <f>[2]Districts_Boroughs!EA162</f>
        <v>72</v>
      </c>
      <c r="AX187" s="32">
        <f>[2]Districts_Boroughs!EB162</f>
        <v>40</v>
      </c>
      <c r="AY187" s="32">
        <f>[2]Districts_Boroughs!EC162</f>
        <v>65</v>
      </c>
    </row>
    <row r="188" spans="2:51" x14ac:dyDescent="0.35">
      <c r="B188" t="str">
        <f>CONCATENATE($C$175,C188)</f>
        <v>StratfordShoplifting</v>
      </c>
      <c r="C188" s="345" t="s">
        <v>17</v>
      </c>
      <c r="D188" s="32">
        <f>[2]Districts_Boroughs!CH163</f>
        <v>30</v>
      </c>
      <c r="E188" s="32">
        <f>[2]Districts_Boroughs!CI163</f>
        <v>35</v>
      </c>
      <c r="F188" s="32">
        <f>[2]Districts_Boroughs!CJ163</f>
        <v>36</v>
      </c>
      <c r="G188" s="32">
        <f>[2]Districts_Boroughs!CK163</f>
        <v>37</v>
      </c>
      <c r="H188" s="32">
        <f>[2]Districts_Boroughs!CL163</f>
        <v>35</v>
      </c>
      <c r="I188" s="32">
        <f>[2]Districts_Boroughs!CM163</f>
        <v>42</v>
      </c>
      <c r="J188" s="32">
        <f>[2]Districts_Boroughs!CN163</f>
        <v>45</v>
      </c>
      <c r="K188" s="32">
        <f>[2]Districts_Boroughs!CO163</f>
        <v>48</v>
      </c>
      <c r="L188" s="32">
        <f>[2]Districts_Boroughs!CP163</f>
        <v>39</v>
      </c>
      <c r="M188" s="32">
        <f>[2]Districts_Boroughs!CQ163</f>
        <v>39</v>
      </c>
      <c r="N188" s="32">
        <f>[2]Districts_Boroughs!CR163</f>
        <v>30</v>
      </c>
      <c r="O188" s="32">
        <f>[2]Districts_Boroughs!CS163</f>
        <v>46</v>
      </c>
      <c r="P188" s="32">
        <f>[2]Districts_Boroughs!CT163</f>
        <v>35</v>
      </c>
      <c r="Q188" s="32">
        <f>[2]Districts_Boroughs!CU163</f>
        <v>47</v>
      </c>
      <c r="R188" s="32">
        <f>[2]Districts_Boroughs!CV163</f>
        <v>26</v>
      </c>
      <c r="S188" s="32">
        <f>[2]Districts_Boroughs!CW163</f>
        <v>27</v>
      </c>
      <c r="T188" s="32">
        <f>[2]Districts_Boroughs!CX163</f>
        <v>41</v>
      </c>
      <c r="U188" s="32">
        <f>[2]Districts_Boroughs!CY163</f>
        <v>30</v>
      </c>
      <c r="V188" s="32">
        <f>[2]Districts_Boroughs!CZ163</f>
        <v>39</v>
      </c>
      <c r="W188" s="32">
        <f>[2]Districts_Boroughs!DA163</f>
        <v>38</v>
      </c>
      <c r="X188" s="32">
        <f>[2]Districts_Boroughs!DB163</f>
        <v>33</v>
      </c>
      <c r="Y188" s="32">
        <f>[2]Districts_Boroughs!DC163</f>
        <v>32</v>
      </c>
      <c r="Z188" s="32">
        <f>[2]Districts_Boroughs!DD163</f>
        <v>60</v>
      </c>
      <c r="AA188" s="32">
        <f>[2]Districts_Boroughs!DE163</f>
        <v>45</v>
      </c>
      <c r="AB188" s="32">
        <f>[2]Districts_Boroughs!DF163</f>
        <v>43</v>
      </c>
      <c r="AC188" s="32">
        <f>[2]Districts_Boroughs!DG163</f>
        <v>46</v>
      </c>
      <c r="AD188" s="32">
        <f>[2]Districts_Boroughs!DH163</f>
        <v>38</v>
      </c>
      <c r="AE188" s="32">
        <f>[2]Districts_Boroughs!DI163</f>
        <v>45</v>
      </c>
      <c r="AF188" s="32">
        <f>[2]Districts_Boroughs!DJ163</f>
        <v>30</v>
      </c>
      <c r="AG188" s="32">
        <f>[2]Districts_Boroughs!DK163</f>
        <v>37</v>
      </c>
      <c r="AH188" s="32">
        <f>[2]Districts_Boroughs!DL163</f>
        <v>46</v>
      </c>
      <c r="AI188" s="32">
        <f>[2]Districts_Boroughs!DM163</f>
        <v>45</v>
      </c>
      <c r="AJ188" s="32">
        <f>[2]Districts_Boroughs!DN163</f>
        <v>53</v>
      </c>
      <c r="AK188" s="32">
        <f>[2]Districts_Boroughs!DO163</f>
        <v>52</v>
      </c>
      <c r="AL188" s="32">
        <f>[2]Districts_Boroughs!DP163</f>
        <v>43</v>
      </c>
      <c r="AM188" s="32">
        <f>[2]Districts_Boroughs!DQ163</f>
        <v>59</v>
      </c>
      <c r="AN188" s="32">
        <f>[2]Districts_Boroughs!DR163</f>
        <v>69</v>
      </c>
      <c r="AO188" s="32">
        <f>[2]Districts_Boroughs!DS163</f>
        <v>76</v>
      </c>
      <c r="AP188" s="32">
        <f>[2]Districts_Boroughs!DT163</f>
        <v>49</v>
      </c>
      <c r="AQ188" s="32">
        <f>[2]Districts_Boroughs!DU163</f>
        <v>52</v>
      </c>
      <c r="AR188" s="32">
        <f>[2]Districts_Boroughs!DV163</f>
        <v>76</v>
      </c>
      <c r="AS188" s="32">
        <f>[2]Districts_Boroughs!DW163</f>
        <v>75</v>
      </c>
      <c r="AT188" s="32">
        <f>[2]Districts_Boroughs!DX163</f>
        <v>81</v>
      </c>
      <c r="AU188" s="32">
        <f>[2]Districts_Boroughs!DY163</f>
        <v>43</v>
      </c>
      <c r="AV188" s="32">
        <f>[2]Districts_Boroughs!DZ163</f>
        <v>38</v>
      </c>
      <c r="AW188" s="32">
        <f>[2]Districts_Boroughs!EA163</f>
        <v>29</v>
      </c>
      <c r="AX188" s="32">
        <f>[2]Districts_Boroughs!EB163</f>
        <v>36</v>
      </c>
      <c r="AY188" s="32">
        <f>[2]Districts_Boroughs!EC163</f>
        <v>41</v>
      </c>
    </row>
    <row r="189" spans="2:51" x14ac:dyDescent="0.35">
      <c r="B189" t="str">
        <f t="shared" si="10"/>
        <v>StratfordCriminal Damage &amp; Arson</v>
      </c>
      <c r="C189" s="345" t="s">
        <v>34</v>
      </c>
      <c r="D189" s="32">
        <f>[2]Districts_Boroughs!CH164</f>
        <v>76</v>
      </c>
      <c r="E189" s="32">
        <f>[2]Districts_Boroughs!CI164</f>
        <v>68</v>
      </c>
      <c r="F189" s="32">
        <f>[2]Districts_Boroughs!CJ164</f>
        <v>54</v>
      </c>
      <c r="G189" s="32">
        <f>[2]Districts_Boroughs!CK164</f>
        <v>58</v>
      </c>
      <c r="H189" s="32">
        <f>[2]Districts_Boroughs!CL164</f>
        <v>53</v>
      </c>
      <c r="I189" s="32">
        <f>[2]Districts_Boroughs!CM164</f>
        <v>52</v>
      </c>
      <c r="J189" s="32">
        <f>[2]Districts_Boroughs!CN164</f>
        <v>69</v>
      </c>
      <c r="K189" s="32">
        <f>[2]Districts_Boroughs!CO164</f>
        <v>49</v>
      </c>
      <c r="L189" s="32">
        <f>[2]Districts_Boroughs!CP164</f>
        <v>48</v>
      </c>
      <c r="M189" s="32">
        <f>[2]Districts_Boroughs!CQ164</f>
        <v>51</v>
      </c>
      <c r="N189" s="32">
        <f>[2]Districts_Boroughs!CR164</f>
        <v>40</v>
      </c>
      <c r="O189" s="32">
        <f>[2]Districts_Boroughs!CS164</f>
        <v>42</v>
      </c>
      <c r="P189" s="32">
        <f>[2]Districts_Boroughs!CT164</f>
        <v>41</v>
      </c>
      <c r="Q189" s="32">
        <f>[2]Districts_Boroughs!CU164</f>
        <v>61</v>
      </c>
      <c r="R189" s="32">
        <f>[2]Districts_Boroughs!CV164</f>
        <v>60</v>
      </c>
      <c r="S189" s="32">
        <f>[2]Districts_Boroughs!CW164</f>
        <v>84</v>
      </c>
      <c r="T189" s="32">
        <f>[2]Districts_Boroughs!CX164</f>
        <v>76</v>
      </c>
      <c r="U189" s="32">
        <f>[2]Districts_Boroughs!CY164</f>
        <v>50</v>
      </c>
      <c r="V189" s="32">
        <f>[2]Districts_Boroughs!CZ164</f>
        <v>75</v>
      </c>
      <c r="W189" s="32">
        <f>[2]Districts_Boroughs!DA164</f>
        <v>51</v>
      </c>
      <c r="X189" s="32">
        <f>[2]Districts_Boroughs!DB164</f>
        <v>55</v>
      </c>
      <c r="Y189" s="32">
        <f>[2]Districts_Boroughs!DC164</f>
        <v>48</v>
      </c>
      <c r="Z189" s="32">
        <f>[2]Districts_Boroughs!DD164</f>
        <v>50</v>
      </c>
      <c r="AA189" s="32">
        <f>[2]Districts_Boroughs!DE164</f>
        <v>51</v>
      </c>
      <c r="AB189" s="32">
        <f>[2]Districts_Boroughs!DF164</f>
        <v>58</v>
      </c>
      <c r="AC189" s="32">
        <f>[2]Districts_Boroughs!DG164</f>
        <v>44</v>
      </c>
      <c r="AD189" s="32">
        <f>[2]Districts_Boroughs!DH164</f>
        <v>62</v>
      </c>
      <c r="AE189" s="32">
        <f>[2]Districts_Boroughs!DI164</f>
        <v>70</v>
      </c>
      <c r="AF189" s="32">
        <f>[2]Districts_Boroughs!DJ164</f>
        <v>61</v>
      </c>
      <c r="AG189" s="32">
        <f>[2]Districts_Boroughs!DK164</f>
        <v>58</v>
      </c>
      <c r="AH189" s="32">
        <f>[2]Districts_Boroughs!DL164</f>
        <v>50</v>
      </c>
      <c r="AI189" s="32">
        <f>[2]Districts_Boroughs!DM164</f>
        <v>44</v>
      </c>
      <c r="AJ189" s="32">
        <f>[2]Districts_Boroughs!DN164</f>
        <v>50</v>
      </c>
      <c r="AK189" s="32">
        <f>[2]Districts_Boroughs!DO164</f>
        <v>47</v>
      </c>
      <c r="AL189" s="32">
        <f>[2]Districts_Boroughs!DP164</f>
        <v>39</v>
      </c>
      <c r="AM189" s="32">
        <f>[2]Districts_Boroughs!DQ164</f>
        <v>46</v>
      </c>
      <c r="AN189" s="32">
        <f>[2]Districts_Boroughs!DR164</f>
        <v>65</v>
      </c>
      <c r="AO189" s="32">
        <f>[2]Districts_Boroughs!DS164</f>
        <v>64</v>
      </c>
      <c r="AP189" s="32">
        <f>[2]Districts_Boroughs!DT164</f>
        <v>53</v>
      </c>
      <c r="AQ189" s="32">
        <f>[2]Districts_Boroughs!DU164</f>
        <v>62</v>
      </c>
      <c r="AR189" s="32">
        <f>[2]Districts_Boroughs!DV164</f>
        <v>61</v>
      </c>
      <c r="AS189" s="32">
        <f>[2]Districts_Boroughs!DW164</f>
        <v>68</v>
      </c>
      <c r="AT189" s="32">
        <f>[2]Districts_Boroughs!DX164</f>
        <v>45</v>
      </c>
      <c r="AU189" s="32">
        <f>[2]Districts_Boroughs!DY164</f>
        <v>52</v>
      </c>
      <c r="AV189" s="32">
        <f>[2]Districts_Boroughs!DZ164</f>
        <v>63</v>
      </c>
      <c r="AW189" s="32">
        <f>[2]Districts_Boroughs!EA164</f>
        <v>49</v>
      </c>
      <c r="AX189" s="32">
        <f>[2]Districts_Boroughs!EB164</f>
        <v>52</v>
      </c>
      <c r="AY189" s="32">
        <f>[2]Districts_Boroughs!EC164</f>
        <v>39</v>
      </c>
    </row>
    <row r="190" spans="2:51" x14ac:dyDescent="0.35">
      <c r="B190" t="str">
        <f t="shared" si="10"/>
        <v>StratfordTotal Robbery</v>
      </c>
      <c r="C190" s="345" t="s">
        <v>41</v>
      </c>
      <c r="D190" s="32">
        <f>[2]Districts_Boroughs!CH165</f>
        <v>1</v>
      </c>
      <c r="E190" s="32">
        <f>[2]Districts_Boroughs!CI165</f>
        <v>1</v>
      </c>
      <c r="F190" s="32">
        <f>[2]Districts_Boroughs!CJ165</f>
        <v>6</v>
      </c>
      <c r="G190" s="32">
        <f>[2]Districts_Boroughs!CK165</f>
        <v>8</v>
      </c>
      <c r="H190" s="32">
        <f>[2]Districts_Boroughs!CL165</f>
        <v>7</v>
      </c>
      <c r="I190" s="32">
        <f>[2]Districts_Boroughs!CM165</f>
        <v>2</v>
      </c>
      <c r="J190" s="32">
        <f>[2]Districts_Boroughs!CN165</f>
        <v>5</v>
      </c>
      <c r="K190" s="32">
        <f>[2]Districts_Boroughs!CO165</f>
        <v>7</v>
      </c>
      <c r="L190" s="32">
        <f>[2]Districts_Boroughs!CP165</f>
        <v>1</v>
      </c>
      <c r="M190" s="32">
        <f>[2]Districts_Boroughs!CQ165</f>
        <v>3</v>
      </c>
      <c r="N190" s="32">
        <f>[2]Districts_Boroughs!CR165</f>
        <v>2</v>
      </c>
      <c r="O190" s="32">
        <f>[2]Districts_Boroughs!CS165</f>
        <v>5</v>
      </c>
      <c r="P190" s="32">
        <f>[2]Districts_Boroughs!CT165</f>
        <v>2</v>
      </c>
      <c r="Q190" s="32">
        <f>[2]Districts_Boroughs!CU165</f>
        <v>5</v>
      </c>
      <c r="R190" s="32">
        <f>[2]Districts_Boroughs!CV165</f>
        <v>1</v>
      </c>
      <c r="S190" s="32">
        <f>[2]Districts_Boroughs!CW165</f>
        <v>4</v>
      </c>
      <c r="T190" s="32">
        <f>[2]Districts_Boroughs!CX165</f>
        <v>2</v>
      </c>
      <c r="U190" s="32">
        <f>[2]Districts_Boroughs!CY165</f>
        <v>3</v>
      </c>
      <c r="V190" s="32">
        <f>[2]Districts_Boroughs!CZ165</f>
        <v>3</v>
      </c>
      <c r="W190" s="32">
        <f>[2]Districts_Boroughs!DA165</f>
        <v>7</v>
      </c>
      <c r="X190" s="32">
        <f>[2]Districts_Boroughs!DB165</f>
        <v>5</v>
      </c>
      <c r="Y190" s="32">
        <f>[2]Districts_Boroughs!DC165</f>
        <v>10</v>
      </c>
      <c r="Z190" s="32">
        <f>[2]Districts_Boroughs!DD165</f>
        <v>4</v>
      </c>
      <c r="AA190" s="32">
        <f>[2]Districts_Boroughs!DE165</f>
        <v>5</v>
      </c>
      <c r="AB190" s="32">
        <f>[2]Districts_Boroughs!DF165</f>
        <v>5</v>
      </c>
      <c r="AC190" s="32">
        <f>[2]Districts_Boroughs!DG165</f>
        <v>7</v>
      </c>
      <c r="AD190" s="32">
        <f>[2]Districts_Boroughs!DH165</f>
        <v>5</v>
      </c>
      <c r="AE190" s="32">
        <f>[2]Districts_Boroughs!DI165</f>
        <v>5</v>
      </c>
      <c r="AF190" s="32">
        <f>[2]Districts_Boroughs!DJ165</f>
        <v>4</v>
      </c>
      <c r="AG190" s="32">
        <f>[2]Districts_Boroughs!DK165</f>
        <v>5</v>
      </c>
      <c r="AH190" s="32">
        <f>[2]Districts_Boroughs!DL165</f>
        <v>3</v>
      </c>
      <c r="AI190" s="32">
        <f>[2]Districts_Boroughs!DM165</f>
        <v>2</v>
      </c>
      <c r="AJ190" s="32">
        <f>[2]Districts_Boroughs!DN165</f>
        <v>3</v>
      </c>
      <c r="AK190" s="32">
        <f>[2]Districts_Boroughs!DO165</f>
        <v>3</v>
      </c>
      <c r="AL190" s="32">
        <f>[2]Districts_Boroughs!DP165</f>
        <v>3</v>
      </c>
      <c r="AM190" s="32">
        <f>[2]Districts_Boroughs!DQ165</f>
        <v>5</v>
      </c>
      <c r="AN190" s="32">
        <f>[2]Districts_Boroughs!DR165</f>
        <v>1</v>
      </c>
      <c r="AO190" s="32">
        <f>[2]Districts_Boroughs!DS165</f>
        <v>3</v>
      </c>
      <c r="AP190" s="32">
        <f>[2]Districts_Boroughs!DT165</f>
        <v>10</v>
      </c>
      <c r="AQ190" s="32">
        <f>[2]Districts_Boroughs!DU165</f>
        <v>7</v>
      </c>
      <c r="AR190" s="32">
        <f>[2]Districts_Boroughs!DV165</f>
        <v>9</v>
      </c>
      <c r="AS190" s="32">
        <f>[2]Districts_Boroughs!DW165</f>
        <v>5</v>
      </c>
      <c r="AT190" s="32">
        <f>[2]Districts_Boroughs!DX165</f>
        <v>5</v>
      </c>
      <c r="AU190" s="32">
        <f>[2]Districts_Boroughs!DY165</f>
        <v>4</v>
      </c>
      <c r="AV190" s="32">
        <f>[2]Districts_Boroughs!DZ165</f>
        <v>4</v>
      </c>
      <c r="AW190" s="32">
        <f>[2]Districts_Boroughs!EA165</f>
        <v>2</v>
      </c>
      <c r="AX190" s="32">
        <f>[2]Districts_Boroughs!EB165</f>
        <v>9</v>
      </c>
      <c r="AY190" s="32">
        <f>[2]Districts_Boroughs!EC165</f>
        <v>7</v>
      </c>
    </row>
    <row r="191" spans="2:51" x14ac:dyDescent="0.35">
      <c r="B191" t="str">
        <f t="shared" si="10"/>
        <v>StratfordTotal VAP &amp; Sexual Offences</v>
      </c>
      <c r="C191" s="345" t="s">
        <v>42</v>
      </c>
      <c r="D191" s="32">
        <f>[2]Districts_Boroughs!CH166</f>
        <v>238</v>
      </c>
      <c r="E191" s="32">
        <f>[2]Districts_Boroughs!CI166</f>
        <v>222</v>
      </c>
      <c r="F191" s="32">
        <f>[2]Districts_Boroughs!CJ166</f>
        <v>244</v>
      </c>
      <c r="G191" s="32">
        <f>[2]Districts_Boroughs!CK166</f>
        <v>295</v>
      </c>
      <c r="H191" s="32">
        <f>[2]Districts_Boroughs!CL166</f>
        <v>267</v>
      </c>
      <c r="I191" s="32">
        <f>[2]Districts_Boroughs!CM166</f>
        <v>232</v>
      </c>
      <c r="J191" s="32">
        <f>[2]Districts_Boroughs!CN166</f>
        <v>243</v>
      </c>
      <c r="K191" s="32">
        <f>[2]Districts_Boroughs!CO166</f>
        <v>214</v>
      </c>
      <c r="L191" s="32">
        <f>[2]Districts_Boroughs!CP166</f>
        <v>235</v>
      </c>
      <c r="M191" s="32">
        <f>[2]Districts_Boroughs!CQ166</f>
        <v>225</v>
      </c>
      <c r="N191" s="32">
        <f>[2]Districts_Boroughs!CR166</f>
        <v>199</v>
      </c>
      <c r="O191" s="32">
        <f>[2]Districts_Boroughs!CS166</f>
        <v>259</v>
      </c>
      <c r="P191" s="32">
        <f>[2]Districts_Boroughs!CT166</f>
        <v>220</v>
      </c>
      <c r="Q191" s="32">
        <f>[2]Districts_Boroughs!CU166</f>
        <v>253</v>
      </c>
      <c r="R191" s="32">
        <f>[2]Districts_Boroughs!CV166</f>
        <v>237</v>
      </c>
      <c r="S191" s="32">
        <f>[2]Districts_Boroughs!CW166</f>
        <v>278</v>
      </c>
      <c r="T191" s="32">
        <f>[2]Districts_Boroughs!CX166</f>
        <v>249</v>
      </c>
      <c r="U191" s="32">
        <f>[2]Districts_Boroughs!CY166</f>
        <v>230</v>
      </c>
      <c r="V191" s="32">
        <f>[2]Districts_Boroughs!CZ166</f>
        <v>252</v>
      </c>
      <c r="W191" s="32">
        <f>[2]Districts_Boroughs!DA166</f>
        <v>234</v>
      </c>
      <c r="X191" s="32">
        <f>[2]Districts_Boroughs!DB166</f>
        <v>242</v>
      </c>
      <c r="Y191" s="32">
        <f>[2]Districts_Boroughs!DC166</f>
        <v>220</v>
      </c>
      <c r="Z191" s="32">
        <f>[2]Districts_Boroughs!DD166</f>
        <v>231</v>
      </c>
      <c r="AA191" s="32">
        <f>[2]Districts_Boroughs!DE166</f>
        <v>282</v>
      </c>
      <c r="AB191" s="32">
        <f>[2]Districts_Boroughs!DF166</f>
        <v>243</v>
      </c>
      <c r="AC191" s="32">
        <f>[2]Districts_Boroughs!DG166</f>
        <v>220</v>
      </c>
      <c r="AD191" s="32">
        <f>[2]Districts_Boroughs!DH166</f>
        <v>293</v>
      </c>
      <c r="AE191" s="32">
        <f>[2]Districts_Boroughs!DI166</f>
        <v>246</v>
      </c>
      <c r="AF191" s="32">
        <f>[2]Districts_Boroughs!DJ166</f>
        <v>257</v>
      </c>
      <c r="AG191" s="32">
        <f>[2]Districts_Boroughs!DK166</f>
        <v>278</v>
      </c>
      <c r="AH191" s="32">
        <f>[2]Districts_Boroughs!DL166</f>
        <v>275</v>
      </c>
      <c r="AI191" s="32">
        <f>[2]Districts_Boroughs!DM166</f>
        <v>260</v>
      </c>
      <c r="AJ191" s="32">
        <f>[2]Districts_Boroughs!DN166</f>
        <v>256</v>
      </c>
      <c r="AK191" s="32">
        <f>[2]Districts_Boroughs!DO166</f>
        <v>238</v>
      </c>
      <c r="AL191" s="32">
        <f>[2]Districts_Boroughs!DP166</f>
        <v>264</v>
      </c>
      <c r="AM191" s="32">
        <f>[2]Districts_Boroughs!DQ166</f>
        <v>239</v>
      </c>
      <c r="AN191" s="32">
        <f>[2]Districts_Boroughs!DR166</f>
        <v>247</v>
      </c>
      <c r="AO191" s="32">
        <f>[2]Districts_Boroughs!DS166</f>
        <v>265</v>
      </c>
      <c r="AP191" s="32">
        <f>[2]Districts_Boroughs!DT166</f>
        <v>269</v>
      </c>
      <c r="AQ191" s="32">
        <f>[2]Districts_Boroughs!DU166</f>
        <v>279</v>
      </c>
      <c r="AR191" s="32">
        <f>[2]Districts_Boroughs!DV166</f>
        <v>245</v>
      </c>
      <c r="AS191" s="32">
        <f>[2]Districts_Boroughs!DW166</f>
        <v>215</v>
      </c>
      <c r="AT191" s="32">
        <f>[2]Districts_Boroughs!DX166</f>
        <v>275</v>
      </c>
      <c r="AU191" s="32">
        <f>[2]Districts_Boroughs!DY166</f>
        <v>247</v>
      </c>
      <c r="AV191" s="32">
        <f>[2]Districts_Boroughs!DZ166</f>
        <v>237</v>
      </c>
      <c r="AW191" s="32">
        <f>[2]Districts_Boroughs!EA166</f>
        <v>241</v>
      </c>
      <c r="AX191" s="32">
        <f>[2]Districts_Boroughs!EB166</f>
        <v>245</v>
      </c>
      <c r="AY191" s="32">
        <f>[2]Districts_Boroughs!EC166</f>
        <v>247</v>
      </c>
    </row>
    <row r="192" spans="2:51" x14ac:dyDescent="0.35">
      <c r="B192" t="str">
        <f t="shared" si="10"/>
        <v>Stratford</v>
      </c>
      <c r="C192" s="345"/>
      <c r="D192" s="32">
        <f>[2]Districts_Boroughs!CH167</f>
        <v>0</v>
      </c>
      <c r="E192" s="32">
        <f>[2]Districts_Boroughs!CI167</f>
        <v>0</v>
      </c>
      <c r="F192" s="32">
        <f>[2]Districts_Boroughs!CJ167</f>
        <v>0</v>
      </c>
      <c r="G192" s="32">
        <f>[2]Districts_Boroughs!CK167</f>
        <v>0</v>
      </c>
      <c r="H192" s="32">
        <f>[2]Districts_Boroughs!CL167</f>
        <v>0</v>
      </c>
      <c r="I192" s="32">
        <f>[2]Districts_Boroughs!CM167</f>
        <v>0</v>
      </c>
      <c r="J192" s="32">
        <f>[2]Districts_Boroughs!CN167</f>
        <v>0</v>
      </c>
      <c r="K192" s="32">
        <f>[2]Districts_Boroughs!CO167</f>
        <v>0</v>
      </c>
      <c r="L192" s="32">
        <f>[2]Districts_Boroughs!CP167</f>
        <v>0</v>
      </c>
      <c r="M192" s="32">
        <f>[2]Districts_Boroughs!CQ167</f>
        <v>0</v>
      </c>
      <c r="N192" s="32">
        <f>[2]Districts_Boroughs!CR167</f>
        <v>0</v>
      </c>
      <c r="O192" s="32">
        <f>[2]Districts_Boroughs!CS167</f>
        <v>0</v>
      </c>
      <c r="P192" s="32">
        <f>[2]Districts_Boroughs!CT167</f>
        <v>0</v>
      </c>
      <c r="Q192" s="32">
        <f>[2]Districts_Boroughs!CU167</f>
        <v>0</v>
      </c>
      <c r="R192" s="32">
        <f>[2]Districts_Boroughs!CV167</f>
        <v>0</v>
      </c>
      <c r="S192" s="32">
        <f>[2]Districts_Boroughs!CW167</f>
        <v>0</v>
      </c>
      <c r="T192" s="32">
        <f>[2]Districts_Boroughs!CX167</f>
        <v>0</v>
      </c>
      <c r="U192" s="32">
        <f>[2]Districts_Boroughs!CY167</f>
        <v>0</v>
      </c>
      <c r="V192" s="32">
        <f>[2]Districts_Boroughs!CZ167</f>
        <v>0</v>
      </c>
      <c r="W192" s="32">
        <f>[2]Districts_Boroughs!DA167</f>
        <v>0</v>
      </c>
      <c r="X192" s="32">
        <f>[2]Districts_Boroughs!DB167</f>
        <v>0</v>
      </c>
      <c r="Y192" s="32">
        <f>[2]Districts_Boroughs!DC167</f>
        <v>0</v>
      </c>
      <c r="Z192" s="32">
        <f>[2]Districts_Boroughs!DD167</f>
        <v>0</v>
      </c>
      <c r="AA192" s="32">
        <f>[2]Districts_Boroughs!DE167</f>
        <v>0</v>
      </c>
      <c r="AB192" s="32">
        <f>[2]Districts_Boroughs!DF167</f>
        <v>0</v>
      </c>
      <c r="AC192" s="32">
        <f>[2]Districts_Boroughs!DG167</f>
        <v>0</v>
      </c>
      <c r="AD192" s="32">
        <f>[2]Districts_Boroughs!DH167</f>
        <v>0</v>
      </c>
      <c r="AE192" s="32">
        <f>[2]Districts_Boroughs!DI167</f>
        <v>0</v>
      </c>
      <c r="AF192" s="32">
        <f>[2]Districts_Boroughs!DJ167</f>
        <v>0</v>
      </c>
      <c r="AG192" s="32">
        <f>[2]Districts_Boroughs!DK167</f>
        <v>0</v>
      </c>
      <c r="AH192" s="32">
        <f>[2]Districts_Boroughs!DL167</f>
        <v>0</v>
      </c>
      <c r="AI192" s="32">
        <f>[2]Districts_Boroughs!DM167</f>
        <v>0</v>
      </c>
      <c r="AJ192" s="32">
        <f>[2]Districts_Boroughs!DN167</f>
        <v>0</v>
      </c>
      <c r="AK192" s="32">
        <f>[2]Districts_Boroughs!DO167</f>
        <v>0</v>
      </c>
      <c r="AL192" s="32">
        <f>[2]Districts_Boroughs!DP167</f>
        <v>0</v>
      </c>
      <c r="AM192" s="32">
        <f>[2]Districts_Boroughs!DQ167</f>
        <v>0</v>
      </c>
      <c r="AN192" s="32">
        <f>[2]Districts_Boroughs!DR167</f>
        <v>0</v>
      </c>
      <c r="AO192" s="32">
        <f>[2]Districts_Boroughs!DS167</f>
        <v>0</v>
      </c>
      <c r="AP192" s="32">
        <f>[2]Districts_Boroughs!DT167</f>
        <v>0</v>
      </c>
      <c r="AQ192" s="32">
        <f>[2]Districts_Boroughs!DU167</f>
        <v>0</v>
      </c>
      <c r="AR192" s="32">
        <f>[2]Districts_Boroughs!DV167</f>
        <v>0</v>
      </c>
      <c r="AS192" s="32">
        <f>[2]Districts_Boroughs!DW167</f>
        <v>0</v>
      </c>
      <c r="AT192" s="32">
        <f>[2]Districts_Boroughs!DX167</f>
        <v>0</v>
      </c>
      <c r="AU192" s="32">
        <f>[2]Districts_Boroughs!DY167</f>
        <v>0</v>
      </c>
      <c r="AV192" s="32">
        <f>[2]Districts_Boroughs!DZ167</f>
        <v>0</v>
      </c>
      <c r="AW192" s="32">
        <f>[2]Districts_Boroughs!EA167</f>
        <v>0</v>
      </c>
      <c r="AX192" s="32">
        <f>[2]Districts_Boroughs!EB167</f>
        <v>0</v>
      </c>
      <c r="AY192" s="32">
        <f>[2]Districts_Boroughs!EC167</f>
        <v>0</v>
      </c>
    </row>
    <row r="193" spans="2:51" x14ac:dyDescent="0.35">
      <c r="B193" t="str">
        <f t="shared" si="10"/>
        <v>StratfordVAP With Injury - Alcohol Related</v>
      </c>
      <c r="C193" s="345" t="s">
        <v>43</v>
      </c>
      <c r="D193" s="32">
        <f>[2]Districts_Boroughs!CH168</f>
        <v>7</v>
      </c>
      <c r="E193" s="32">
        <f>[2]Districts_Boroughs!CI168</f>
        <v>2</v>
      </c>
      <c r="F193" s="32">
        <f>[2]Districts_Boroughs!CJ168</f>
        <v>9</v>
      </c>
      <c r="G193" s="32">
        <f>[2]Districts_Boroughs!CK168</f>
        <v>7</v>
      </c>
      <c r="H193" s="32">
        <f>[2]Districts_Boroughs!CL168</f>
        <v>7</v>
      </c>
      <c r="I193" s="32">
        <f>[2]Districts_Boroughs!CM168</f>
        <v>6</v>
      </c>
      <c r="J193" s="32">
        <f>[2]Districts_Boroughs!CN168</f>
        <v>7</v>
      </c>
      <c r="K193" s="32">
        <f>[2]Districts_Boroughs!CO168</f>
        <v>5</v>
      </c>
      <c r="L193" s="32">
        <f>[2]Districts_Boroughs!CP168</f>
        <v>5</v>
      </c>
      <c r="M193" s="32">
        <f>[2]Districts_Boroughs!CQ168</f>
        <v>8</v>
      </c>
      <c r="N193" s="32">
        <f>[2]Districts_Boroughs!CR168</f>
        <v>3</v>
      </c>
      <c r="O193" s="32">
        <f>[2]Districts_Boroughs!CS168</f>
        <v>2</v>
      </c>
      <c r="P193" s="32">
        <f>[2]Districts_Boroughs!CT168</f>
        <v>8</v>
      </c>
      <c r="Q193" s="32">
        <f>[2]Districts_Boroughs!CU168</f>
        <v>6</v>
      </c>
      <c r="R193" s="32">
        <f>[2]Districts_Boroughs!CV168</f>
        <v>6</v>
      </c>
      <c r="S193" s="32">
        <f>[2]Districts_Boroughs!CW168</f>
        <v>9</v>
      </c>
      <c r="T193" s="32">
        <f>[2]Districts_Boroughs!CX168</f>
        <v>13</v>
      </c>
      <c r="U193" s="32">
        <f>[2]Districts_Boroughs!CY168</f>
        <v>4</v>
      </c>
      <c r="V193" s="32">
        <f>[2]Districts_Boroughs!CZ168</f>
        <v>6</v>
      </c>
      <c r="W193" s="32">
        <f>[2]Districts_Boroughs!DA168</f>
        <v>4</v>
      </c>
      <c r="X193" s="32">
        <f>[2]Districts_Boroughs!DB168</f>
        <v>6</v>
      </c>
      <c r="Y193" s="32">
        <f>[2]Districts_Boroughs!DC168</f>
        <v>3</v>
      </c>
      <c r="Z193" s="32">
        <f>[2]Districts_Boroughs!DD168</f>
        <v>7</v>
      </c>
      <c r="AA193" s="32">
        <f>[2]Districts_Boroughs!DE168</f>
        <v>1</v>
      </c>
      <c r="AB193" s="32">
        <f>[2]Districts_Boroughs!DF168</f>
        <v>4</v>
      </c>
      <c r="AC193" s="32">
        <f>[2]Districts_Boroughs!DG168</f>
        <v>10</v>
      </c>
      <c r="AD193" s="32">
        <f>[2]Districts_Boroughs!DH168</f>
        <v>7</v>
      </c>
      <c r="AE193" s="32">
        <f>[2]Districts_Boroughs!DI168</f>
        <v>5</v>
      </c>
      <c r="AF193" s="32">
        <f>[2]Districts_Boroughs!DJ168</f>
        <v>6</v>
      </c>
      <c r="AG193" s="32">
        <f>[2]Districts_Boroughs!DK168</f>
        <v>6</v>
      </c>
      <c r="AH193" s="32">
        <f>[2]Districts_Boroughs!DL168</f>
        <v>2</v>
      </c>
      <c r="AI193" s="32">
        <f>[2]Districts_Boroughs!DM168</f>
        <v>10</v>
      </c>
      <c r="AJ193" s="32">
        <f>[2]Districts_Boroughs!DN168</f>
        <v>7</v>
      </c>
      <c r="AK193" s="32">
        <f>[2]Districts_Boroughs!DO168</f>
        <v>2</v>
      </c>
      <c r="AL193" s="32">
        <f>[2]Districts_Boroughs!DP168</f>
        <v>10</v>
      </c>
      <c r="AM193" s="32">
        <f>[2]Districts_Boroughs!DQ168</f>
        <v>10</v>
      </c>
      <c r="AN193" s="32">
        <f>[2]Districts_Boroughs!DR168</f>
        <v>8</v>
      </c>
      <c r="AO193" s="32">
        <f>[2]Districts_Boroughs!DS168</f>
        <v>12</v>
      </c>
      <c r="AP193" s="32">
        <f>[2]Districts_Boroughs!DT168</f>
        <v>7</v>
      </c>
      <c r="AQ193" s="32">
        <f>[2]Districts_Boroughs!DU168</f>
        <v>8</v>
      </c>
      <c r="AR193" s="32">
        <f>[2]Districts_Boroughs!DV168</f>
        <v>4</v>
      </c>
      <c r="AS193" s="32">
        <f>[2]Districts_Boroughs!DW168</f>
        <v>6</v>
      </c>
      <c r="AT193" s="32">
        <f>[2]Districts_Boroughs!DX168</f>
        <v>9</v>
      </c>
      <c r="AU193" s="32">
        <f>[2]Districts_Boroughs!DY168</f>
        <v>8</v>
      </c>
      <c r="AV193" s="32">
        <f>[2]Districts_Boroughs!DZ168</f>
        <v>5</v>
      </c>
      <c r="AW193" s="32">
        <f>[2]Districts_Boroughs!EA168</f>
        <v>4</v>
      </c>
      <c r="AX193" s="32">
        <f>[2]Districts_Boroughs!EB168</f>
        <v>8</v>
      </c>
      <c r="AY193" s="32">
        <f>[2]Districts_Boroughs!EC168</f>
        <v>3</v>
      </c>
    </row>
    <row r="194" spans="2:51" s="64" customFormat="1" x14ac:dyDescent="0.35">
      <c r="B194" s="64" t="str">
        <f t="shared" si="10"/>
        <v>StratfordVAP Without Injury - Alcohol Related</v>
      </c>
      <c r="C194" s="345" t="s">
        <v>198</v>
      </c>
      <c r="D194" s="32">
        <f>[2]Districts_Boroughs!CH169</f>
        <v>8</v>
      </c>
      <c r="E194" s="32">
        <f>[2]Districts_Boroughs!CI169</f>
        <v>11</v>
      </c>
      <c r="F194" s="32">
        <f>[2]Districts_Boroughs!CJ169</f>
        <v>13</v>
      </c>
      <c r="G194" s="32">
        <f>[2]Districts_Boroughs!CK169</f>
        <v>17</v>
      </c>
      <c r="H194" s="32">
        <f>[2]Districts_Boroughs!CL169</f>
        <v>15</v>
      </c>
      <c r="I194" s="32">
        <f>[2]Districts_Boroughs!CM169</f>
        <v>7</v>
      </c>
      <c r="J194" s="32">
        <f>[2]Districts_Boroughs!CN169</f>
        <v>6</v>
      </c>
      <c r="K194" s="32">
        <f>[2]Districts_Boroughs!CO169</f>
        <v>11</v>
      </c>
      <c r="L194" s="32">
        <f>[2]Districts_Boroughs!CP169</f>
        <v>9</v>
      </c>
      <c r="M194" s="32">
        <f>[2]Districts_Boroughs!CQ169</f>
        <v>8</v>
      </c>
      <c r="N194" s="32">
        <f>[2]Districts_Boroughs!CR169</f>
        <v>10</v>
      </c>
      <c r="O194" s="32">
        <f>[2]Districts_Boroughs!CS169</f>
        <v>12</v>
      </c>
      <c r="P194" s="32">
        <f>[2]Districts_Boroughs!CT169</f>
        <v>11</v>
      </c>
      <c r="Q194" s="32">
        <f>[2]Districts_Boroughs!CU169</f>
        <v>10</v>
      </c>
      <c r="R194" s="32">
        <f>[2]Districts_Boroughs!CV169</f>
        <v>6</v>
      </c>
      <c r="S194" s="32">
        <f>[2]Districts_Boroughs!CW169</f>
        <v>15</v>
      </c>
      <c r="T194" s="32">
        <f>[2]Districts_Boroughs!CX169</f>
        <v>6</v>
      </c>
      <c r="U194" s="32">
        <f>[2]Districts_Boroughs!CY169</f>
        <v>5</v>
      </c>
      <c r="V194" s="32">
        <f>[2]Districts_Boroughs!CZ169</f>
        <v>8</v>
      </c>
      <c r="W194" s="32">
        <f>[2]Districts_Boroughs!DA169</f>
        <v>10</v>
      </c>
      <c r="X194" s="32">
        <f>[2]Districts_Boroughs!DB169</f>
        <v>14</v>
      </c>
      <c r="Y194" s="32">
        <f>[2]Districts_Boroughs!DC169</f>
        <v>9</v>
      </c>
      <c r="Z194" s="32">
        <f>[2]Districts_Boroughs!DD169</f>
        <v>8</v>
      </c>
      <c r="AA194" s="32">
        <f>[2]Districts_Boroughs!DE169</f>
        <v>11</v>
      </c>
      <c r="AB194" s="32">
        <f>[2]Districts_Boroughs!DF169</f>
        <v>7</v>
      </c>
      <c r="AC194" s="32">
        <f>[2]Districts_Boroughs!DG169</f>
        <v>8</v>
      </c>
      <c r="AD194" s="32">
        <f>[2]Districts_Boroughs!DH169</f>
        <v>7</v>
      </c>
      <c r="AE194" s="32">
        <f>[2]Districts_Boroughs!DI169</f>
        <v>6</v>
      </c>
      <c r="AF194" s="32">
        <f>[2]Districts_Boroughs!DJ169</f>
        <v>16</v>
      </c>
      <c r="AG194" s="32">
        <f>[2]Districts_Boroughs!DK169</f>
        <v>19</v>
      </c>
      <c r="AH194" s="32">
        <f>[2]Districts_Boroughs!DL169</f>
        <v>10</v>
      </c>
      <c r="AI194" s="32">
        <f>[2]Districts_Boroughs!DM169</f>
        <v>8</v>
      </c>
      <c r="AJ194" s="32">
        <f>[2]Districts_Boroughs!DN169</f>
        <v>8</v>
      </c>
      <c r="AK194" s="32">
        <f>[2]Districts_Boroughs!DO169</f>
        <v>13</v>
      </c>
      <c r="AL194" s="32">
        <f>[2]Districts_Boroughs!DP169</f>
        <v>4</v>
      </c>
      <c r="AM194" s="32">
        <f>[2]Districts_Boroughs!DQ169</f>
        <v>7</v>
      </c>
      <c r="AN194" s="32">
        <f>[2]Districts_Boroughs!DR169</f>
        <v>6</v>
      </c>
      <c r="AO194" s="32">
        <f>[2]Districts_Boroughs!DS169</f>
        <v>5</v>
      </c>
      <c r="AP194" s="32">
        <f>[2]Districts_Boroughs!DT169</f>
        <v>11</v>
      </c>
      <c r="AQ194" s="32">
        <f>[2]Districts_Boroughs!DU169</f>
        <v>9</v>
      </c>
      <c r="AR194" s="32">
        <f>[2]Districts_Boroughs!DV169</f>
        <v>3</v>
      </c>
      <c r="AS194" s="32">
        <f>[2]Districts_Boroughs!DW169</f>
        <v>5</v>
      </c>
      <c r="AT194" s="32">
        <f>[2]Districts_Boroughs!DX169</f>
        <v>9</v>
      </c>
      <c r="AU194" s="32">
        <f>[2]Districts_Boroughs!DY169</f>
        <v>6</v>
      </c>
      <c r="AV194" s="32">
        <f>[2]Districts_Boroughs!DZ169</f>
        <v>8</v>
      </c>
      <c r="AW194" s="32">
        <f>[2]Districts_Boroughs!EA169</f>
        <v>8</v>
      </c>
      <c r="AX194" s="32">
        <f>[2]Districts_Boroughs!EB169</f>
        <v>9</v>
      </c>
      <c r="AY194" s="32">
        <f>[2]Districts_Boroughs!EC169</f>
        <v>6</v>
      </c>
    </row>
    <row r="195" spans="2:51" x14ac:dyDescent="0.35">
      <c r="B195" s="64" t="str">
        <f t="shared" si="10"/>
        <v>StratfordVAP With Injury - Drug Related</v>
      </c>
      <c r="C195" s="345" t="s">
        <v>44</v>
      </c>
      <c r="D195" s="32">
        <f>[2]Districts_Boroughs!CH170</f>
        <v>0</v>
      </c>
      <c r="E195" s="32">
        <f>[2]Districts_Boroughs!CI170</f>
        <v>0</v>
      </c>
      <c r="F195" s="32">
        <f>[2]Districts_Boroughs!CJ170</f>
        <v>1</v>
      </c>
      <c r="G195" s="32">
        <f>[2]Districts_Boroughs!CK170</f>
        <v>0</v>
      </c>
      <c r="H195" s="32">
        <f>[2]Districts_Boroughs!CL170</f>
        <v>0</v>
      </c>
      <c r="I195" s="32">
        <f>[2]Districts_Boroughs!CM170</f>
        <v>0</v>
      </c>
      <c r="J195" s="32">
        <f>[2]Districts_Boroughs!CN170</f>
        <v>0</v>
      </c>
      <c r="K195" s="32">
        <f>[2]Districts_Boroughs!CO170</f>
        <v>0</v>
      </c>
      <c r="L195" s="32">
        <f>[2]Districts_Boroughs!CP170</f>
        <v>0</v>
      </c>
      <c r="M195" s="32">
        <f>[2]Districts_Boroughs!CQ170</f>
        <v>0</v>
      </c>
      <c r="N195" s="32">
        <f>[2]Districts_Boroughs!CR170</f>
        <v>0</v>
      </c>
      <c r="O195" s="32">
        <f>[2]Districts_Boroughs!CS170</f>
        <v>0</v>
      </c>
      <c r="P195" s="32">
        <f>[2]Districts_Boroughs!CT170</f>
        <v>0</v>
      </c>
      <c r="Q195" s="32">
        <f>[2]Districts_Boroughs!CU170</f>
        <v>1</v>
      </c>
      <c r="R195" s="32">
        <f>[2]Districts_Boroughs!CV170</f>
        <v>1</v>
      </c>
      <c r="S195" s="32">
        <f>[2]Districts_Boroughs!CW170</f>
        <v>0</v>
      </c>
      <c r="T195" s="32">
        <f>[2]Districts_Boroughs!CX170</f>
        <v>0</v>
      </c>
      <c r="U195" s="32">
        <f>[2]Districts_Boroughs!CY170</f>
        <v>0</v>
      </c>
      <c r="V195" s="32">
        <f>[2]Districts_Boroughs!CZ170</f>
        <v>0</v>
      </c>
      <c r="W195" s="32">
        <f>[2]Districts_Boroughs!DA170</f>
        <v>0</v>
      </c>
      <c r="X195" s="32">
        <f>[2]Districts_Boroughs!DB170</f>
        <v>2</v>
      </c>
      <c r="Y195" s="32">
        <f>[2]Districts_Boroughs!DC170</f>
        <v>0</v>
      </c>
      <c r="Z195" s="32">
        <f>[2]Districts_Boroughs!DD170</f>
        <v>1</v>
      </c>
      <c r="AA195" s="32">
        <f>[2]Districts_Boroughs!DE170</f>
        <v>1</v>
      </c>
      <c r="AB195" s="32">
        <f>[2]Districts_Boroughs!DF170</f>
        <v>1</v>
      </c>
      <c r="AC195" s="32">
        <f>[2]Districts_Boroughs!DG170</f>
        <v>0</v>
      </c>
      <c r="AD195" s="32">
        <f>[2]Districts_Boroughs!DH170</f>
        <v>0</v>
      </c>
      <c r="AE195" s="32">
        <f>[2]Districts_Boroughs!DI170</f>
        <v>1</v>
      </c>
      <c r="AF195" s="32">
        <f>[2]Districts_Boroughs!DJ170</f>
        <v>0</v>
      </c>
      <c r="AG195" s="32">
        <f>[2]Districts_Boroughs!DK170</f>
        <v>0</v>
      </c>
      <c r="AH195" s="32">
        <f>[2]Districts_Boroughs!DL170</f>
        <v>0</v>
      </c>
      <c r="AI195" s="32">
        <f>[2]Districts_Boroughs!DM170</f>
        <v>0</v>
      </c>
      <c r="AJ195" s="32">
        <f>[2]Districts_Boroughs!DN170</f>
        <v>0</v>
      </c>
      <c r="AK195" s="32">
        <f>[2]Districts_Boroughs!DO170</f>
        <v>0</v>
      </c>
      <c r="AL195" s="32">
        <f>[2]Districts_Boroughs!DP170</f>
        <v>0</v>
      </c>
      <c r="AM195" s="32">
        <f>[2]Districts_Boroughs!DQ170</f>
        <v>0</v>
      </c>
      <c r="AN195" s="32">
        <f>[2]Districts_Boroughs!DR170</f>
        <v>1</v>
      </c>
      <c r="AO195" s="32">
        <f>[2]Districts_Boroughs!DS170</f>
        <v>0</v>
      </c>
      <c r="AP195" s="32">
        <f>[2]Districts_Boroughs!DT170</f>
        <v>1</v>
      </c>
      <c r="AQ195" s="32">
        <f>[2]Districts_Boroughs!DU170</f>
        <v>1</v>
      </c>
      <c r="AR195" s="32">
        <f>[2]Districts_Boroughs!DV170</f>
        <v>0</v>
      </c>
      <c r="AS195" s="32">
        <f>[2]Districts_Boroughs!DW170</f>
        <v>0</v>
      </c>
      <c r="AT195" s="32">
        <f>[2]Districts_Boroughs!DX170</f>
        <v>0</v>
      </c>
      <c r="AU195" s="32">
        <f>[2]Districts_Boroughs!DY170</f>
        <v>1</v>
      </c>
      <c r="AV195" s="32">
        <f>[2]Districts_Boroughs!DZ170</f>
        <v>1</v>
      </c>
      <c r="AW195" s="32">
        <f>[2]Districts_Boroughs!EA170</f>
        <v>0</v>
      </c>
      <c r="AX195" s="32">
        <f>[2]Districts_Boroughs!EB170</f>
        <v>0</v>
      </c>
      <c r="AY195" s="32">
        <f>[2]Districts_Boroughs!EC170</f>
        <v>0</v>
      </c>
    </row>
    <row r="196" spans="2:51" s="64" customFormat="1" x14ac:dyDescent="0.35">
      <c r="B196" s="64" t="str">
        <f t="shared" si="10"/>
        <v>StratfordVAP Without Injury - Drug Related</v>
      </c>
      <c r="C196" s="345" t="s">
        <v>199</v>
      </c>
      <c r="D196" s="32">
        <f>[2]Districts_Boroughs!CH171</f>
        <v>1</v>
      </c>
      <c r="E196" s="32">
        <f>[2]Districts_Boroughs!CI171</f>
        <v>0</v>
      </c>
      <c r="F196" s="32">
        <f>[2]Districts_Boroughs!CJ171</f>
        <v>0</v>
      </c>
      <c r="G196" s="32">
        <f>[2]Districts_Boroughs!CK171</f>
        <v>1</v>
      </c>
      <c r="H196" s="32">
        <f>[2]Districts_Boroughs!CL171</f>
        <v>0</v>
      </c>
      <c r="I196" s="32">
        <f>[2]Districts_Boroughs!CM171</f>
        <v>0</v>
      </c>
      <c r="J196" s="32">
        <f>[2]Districts_Boroughs!CN171</f>
        <v>0</v>
      </c>
      <c r="K196" s="32">
        <f>[2]Districts_Boroughs!CO171</f>
        <v>0</v>
      </c>
      <c r="L196" s="32">
        <f>[2]Districts_Boroughs!CP171</f>
        <v>0</v>
      </c>
      <c r="M196" s="32">
        <f>[2]Districts_Boroughs!CQ171</f>
        <v>0</v>
      </c>
      <c r="N196" s="32">
        <f>[2]Districts_Boroughs!CR171</f>
        <v>0</v>
      </c>
      <c r="O196" s="32">
        <f>[2]Districts_Boroughs!CS171</f>
        <v>0</v>
      </c>
      <c r="P196" s="32">
        <f>[2]Districts_Boroughs!CT171</f>
        <v>0</v>
      </c>
      <c r="Q196" s="32">
        <f>[2]Districts_Boroughs!CU171</f>
        <v>2</v>
      </c>
      <c r="R196" s="32">
        <f>[2]Districts_Boroughs!CV171</f>
        <v>1</v>
      </c>
      <c r="S196" s="32">
        <f>[2]Districts_Boroughs!CW171</f>
        <v>0</v>
      </c>
      <c r="T196" s="32">
        <f>[2]Districts_Boroughs!CX171</f>
        <v>0</v>
      </c>
      <c r="U196" s="32">
        <f>[2]Districts_Boroughs!CY171</f>
        <v>0</v>
      </c>
      <c r="V196" s="32">
        <f>[2]Districts_Boroughs!CZ171</f>
        <v>0</v>
      </c>
      <c r="W196" s="32">
        <f>[2]Districts_Boroughs!DA171</f>
        <v>0</v>
      </c>
      <c r="X196" s="32">
        <f>[2]Districts_Boroughs!DB171</f>
        <v>0</v>
      </c>
      <c r="Y196" s="32">
        <f>[2]Districts_Boroughs!DC171</f>
        <v>0</v>
      </c>
      <c r="Z196" s="32">
        <f>[2]Districts_Boroughs!DD171</f>
        <v>0</v>
      </c>
      <c r="AA196" s="32">
        <f>[2]Districts_Boroughs!DE171</f>
        <v>1</v>
      </c>
      <c r="AB196" s="32">
        <f>[2]Districts_Boroughs!DF171</f>
        <v>0</v>
      </c>
      <c r="AC196" s="32">
        <f>[2]Districts_Boroughs!DG171</f>
        <v>0</v>
      </c>
      <c r="AD196" s="32">
        <f>[2]Districts_Boroughs!DH171</f>
        <v>1</v>
      </c>
      <c r="AE196" s="32">
        <f>[2]Districts_Boroughs!DI171</f>
        <v>3</v>
      </c>
      <c r="AF196" s="32">
        <f>[2]Districts_Boroughs!DJ171</f>
        <v>1</v>
      </c>
      <c r="AG196" s="32">
        <f>[2]Districts_Boroughs!DK171</f>
        <v>5</v>
      </c>
      <c r="AH196" s="32">
        <f>[2]Districts_Boroughs!DL171</f>
        <v>0</v>
      </c>
      <c r="AI196" s="32">
        <f>[2]Districts_Boroughs!DM171</f>
        <v>0</v>
      </c>
      <c r="AJ196" s="32">
        <f>[2]Districts_Boroughs!DN171</f>
        <v>0</v>
      </c>
      <c r="AK196" s="32">
        <f>[2]Districts_Boroughs!DO171</f>
        <v>1</v>
      </c>
      <c r="AL196" s="32">
        <f>[2]Districts_Boroughs!DP171</f>
        <v>0</v>
      </c>
      <c r="AM196" s="32">
        <f>[2]Districts_Boroughs!DQ171</f>
        <v>0</v>
      </c>
      <c r="AN196" s="32">
        <f>[2]Districts_Boroughs!DR171</f>
        <v>0</v>
      </c>
      <c r="AO196" s="32">
        <f>[2]Districts_Boroughs!DS171</f>
        <v>0</v>
      </c>
      <c r="AP196" s="32">
        <f>[2]Districts_Boroughs!DT171</f>
        <v>0</v>
      </c>
      <c r="AQ196" s="32">
        <f>[2]Districts_Boroughs!DU171</f>
        <v>0</v>
      </c>
      <c r="AR196" s="32">
        <f>[2]Districts_Boroughs!DV171</f>
        <v>0</v>
      </c>
      <c r="AS196" s="32">
        <f>[2]Districts_Boroughs!DW171</f>
        <v>0</v>
      </c>
      <c r="AT196" s="32">
        <f>[2]Districts_Boroughs!DX171</f>
        <v>0</v>
      </c>
      <c r="AU196" s="32">
        <f>[2]Districts_Boroughs!DY171</f>
        <v>0</v>
      </c>
      <c r="AV196" s="32">
        <f>[2]Districts_Boroughs!DZ171</f>
        <v>0</v>
      </c>
      <c r="AW196" s="32">
        <f>[2]Districts_Boroughs!EA171</f>
        <v>0</v>
      </c>
      <c r="AX196" s="32">
        <f>[2]Districts_Boroughs!EB171</f>
        <v>0</v>
      </c>
      <c r="AY196" s="32">
        <f>[2]Districts_Boroughs!EC171</f>
        <v>1</v>
      </c>
    </row>
    <row r="197" spans="2:51" x14ac:dyDescent="0.35">
      <c r="B197" s="64" t="str">
        <f t="shared" si="10"/>
        <v>StratfordVAP With Injury- Domestic Abuse Related</v>
      </c>
      <c r="C197" s="345" t="s">
        <v>45</v>
      </c>
      <c r="D197" s="32">
        <f>[2]Districts_Boroughs!CH172</f>
        <v>20</v>
      </c>
      <c r="E197" s="32">
        <f>[2]Districts_Boroughs!CI172</f>
        <v>13</v>
      </c>
      <c r="F197" s="32">
        <f>[2]Districts_Boroughs!CJ172</f>
        <v>22</v>
      </c>
      <c r="G197" s="32">
        <f>[2]Districts_Boroughs!CK172</f>
        <v>23</v>
      </c>
      <c r="H197" s="32">
        <f>[2]Districts_Boroughs!CL172</f>
        <v>18</v>
      </c>
      <c r="I197" s="32">
        <f>[2]Districts_Boroughs!CM172</f>
        <v>20</v>
      </c>
      <c r="J197" s="32">
        <f>[2]Districts_Boroughs!CN172</f>
        <v>17</v>
      </c>
      <c r="K197" s="32">
        <f>[2]Districts_Boroughs!CO172</f>
        <v>18</v>
      </c>
      <c r="L197" s="32">
        <f>[2]Districts_Boroughs!CP172</f>
        <v>24</v>
      </c>
      <c r="M197" s="32">
        <f>[2]Districts_Boroughs!CQ172</f>
        <v>21</v>
      </c>
      <c r="N197" s="32">
        <f>[2]Districts_Boroughs!CR172</f>
        <v>11</v>
      </c>
      <c r="O197" s="32">
        <f>[2]Districts_Boroughs!CS172</f>
        <v>16</v>
      </c>
      <c r="P197" s="32">
        <f>[2]Districts_Boroughs!CT172</f>
        <v>33</v>
      </c>
      <c r="Q197" s="32">
        <f>[2]Districts_Boroughs!CU172</f>
        <v>27</v>
      </c>
      <c r="R197" s="32">
        <f>[2]Districts_Boroughs!CV172</f>
        <v>21</v>
      </c>
      <c r="S197" s="32">
        <f>[2]Districts_Boroughs!CW172</f>
        <v>31</v>
      </c>
      <c r="T197" s="32">
        <f>[2]Districts_Boroughs!CX172</f>
        <v>26</v>
      </c>
      <c r="U197" s="32">
        <f>[2]Districts_Boroughs!CY172</f>
        <v>21</v>
      </c>
      <c r="V197" s="32">
        <f>[2]Districts_Boroughs!CZ172</f>
        <v>26</v>
      </c>
      <c r="W197" s="32">
        <f>[2]Districts_Boroughs!DA172</f>
        <v>23</v>
      </c>
      <c r="X197" s="32">
        <f>[2]Districts_Boroughs!DB172</f>
        <v>31</v>
      </c>
      <c r="Y197" s="32">
        <f>[2]Districts_Boroughs!DC172</f>
        <v>18</v>
      </c>
      <c r="Z197" s="32">
        <f>[2]Districts_Boroughs!DD172</f>
        <v>28</v>
      </c>
      <c r="AA197" s="32">
        <f>[2]Districts_Boroughs!DE172</f>
        <v>27</v>
      </c>
      <c r="AB197" s="32">
        <f>[2]Districts_Boroughs!DF172</f>
        <v>30</v>
      </c>
      <c r="AC197" s="32">
        <f>[2]Districts_Boroughs!DG172</f>
        <v>16</v>
      </c>
      <c r="AD197" s="32">
        <f>[2]Districts_Boroughs!DH172</f>
        <v>38</v>
      </c>
      <c r="AE197" s="32">
        <f>[2]Districts_Boroughs!DI172</f>
        <v>25</v>
      </c>
      <c r="AF197" s="32">
        <f>[2]Districts_Boroughs!DJ172</f>
        <v>32</v>
      </c>
      <c r="AG197" s="32">
        <f>[2]Districts_Boroughs!DK172</f>
        <v>23</v>
      </c>
      <c r="AH197" s="32">
        <f>[2]Districts_Boroughs!DL172</f>
        <v>13</v>
      </c>
      <c r="AI197" s="32">
        <f>[2]Districts_Boroughs!DM172</f>
        <v>20</v>
      </c>
      <c r="AJ197" s="32">
        <f>[2]Districts_Boroughs!DN172</f>
        <v>21</v>
      </c>
      <c r="AK197" s="32">
        <f>[2]Districts_Boroughs!DO172</f>
        <v>26</v>
      </c>
      <c r="AL197" s="32">
        <f>[2]Districts_Boroughs!DP172</f>
        <v>26</v>
      </c>
      <c r="AM197" s="32">
        <f>[2]Districts_Boroughs!DQ172</f>
        <v>17</v>
      </c>
      <c r="AN197" s="32">
        <f>[2]Districts_Boroughs!DR172</f>
        <v>29</v>
      </c>
      <c r="AO197" s="32">
        <f>[2]Districts_Boroughs!DS172</f>
        <v>29</v>
      </c>
      <c r="AP197" s="32">
        <f>[2]Districts_Boroughs!DT172</f>
        <v>28</v>
      </c>
      <c r="AQ197" s="32">
        <f>[2]Districts_Boroughs!DU172</f>
        <v>26</v>
      </c>
      <c r="AR197" s="32">
        <f>[2]Districts_Boroughs!DV172</f>
        <v>32</v>
      </c>
      <c r="AS197" s="32">
        <f>[2]Districts_Boroughs!DW172</f>
        <v>25</v>
      </c>
      <c r="AT197" s="32">
        <f>[2]Districts_Boroughs!DX172</f>
        <v>27</v>
      </c>
      <c r="AU197" s="32">
        <f>[2]Districts_Boroughs!DY172</f>
        <v>21</v>
      </c>
      <c r="AV197" s="32">
        <f>[2]Districts_Boroughs!DZ172</f>
        <v>23</v>
      </c>
      <c r="AW197" s="32">
        <f>[2]Districts_Boroughs!EA172</f>
        <v>29</v>
      </c>
      <c r="AX197" s="32">
        <f>[2]Districts_Boroughs!EB172</f>
        <v>24</v>
      </c>
      <c r="AY197" s="32">
        <f>[2]Districts_Boroughs!EC172</f>
        <v>20</v>
      </c>
    </row>
    <row r="198" spans="2:51" s="64" customFormat="1" x14ac:dyDescent="0.35">
      <c r="B198" s="64" t="str">
        <f t="shared" si="10"/>
        <v>StratfordVAP Without Injury- Domestic Abuse Related</v>
      </c>
      <c r="C198" s="345" t="s">
        <v>191</v>
      </c>
      <c r="D198" s="32">
        <f>[2]Districts_Boroughs!CH173</f>
        <v>68</v>
      </c>
      <c r="E198" s="32">
        <f>[2]Districts_Boroughs!CI173</f>
        <v>81</v>
      </c>
      <c r="F198" s="32">
        <f>[2]Districts_Boroughs!CJ173</f>
        <v>71</v>
      </c>
      <c r="G198" s="32">
        <f>[2]Districts_Boroughs!CK173</f>
        <v>66</v>
      </c>
      <c r="H198" s="32">
        <f>[2]Districts_Boroughs!CL173</f>
        <v>71</v>
      </c>
      <c r="I198" s="32">
        <f>[2]Districts_Boroughs!CM173</f>
        <v>60</v>
      </c>
      <c r="J198" s="32">
        <f>[2]Districts_Boroughs!CN173</f>
        <v>60</v>
      </c>
      <c r="K198" s="32">
        <f>[2]Districts_Boroughs!CO173</f>
        <v>49</v>
      </c>
      <c r="L198" s="32">
        <f>[2]Districts_Boroughs!CP173</f>
        <v>61</v>
      </c>
      <c r="M198" s="32">
        <f>[2]Districts_Boroughs!CQ173</f>
        <v>60</v>
      </c>
      <c r="N198" s="32">
        <f>[2]Districts_Boroughs!CR173</f>
        <v>58</v>
      </c>
      <c r="O198" s="32">
        <f>[2]Districts_Boroughs!CS173</f>
        <v>75</v>
      </c>
      <c r="P198" s="32">
        <f>[2]Districts_Boroughs!CT173</f>
        <v>58</v>
      </c>
      <c r="Q198" s="32">
        <f>[2]Districts_Boroughs!CU173</f>
        <v>67</v>
      </c>
      <c r="R198" s="32">
        <f>[2]Districts_Boroughs!CV173</f>
        <v>54</v>
      </c>
      <c r="S198" s="32">
        <f>[2]Districts_Boroughs!CW173</f>
        <v>81</v>
      </c>
      <c r="T198" s="32">
        <f>[2]Districts_Boroughs!CX173</f>
        <v>43</v>
      </c>
      <c r="U198" s="32">
        <f>[2]Districts_Boroughs!CY173</f>
        <v>64</v>
      </c>
      <c r="V198" s="32">
        <f>[2]Districts_Boroughs!CZ173</f>
        <v>53</v>
      </c>
      <c r="W198" s="32">
        <f>[2]Districts_Boroughs!DA173</f>
        <v>57</v>
      </c>
      <c r="X198" s="32">
        <f>[2]Districts_Boroughs!DB173</f>
        <v>64</v>
      </c>
      <c r="Y198" s="32">
        <f>[2]Districts_Boroughs!DC173</f>
        <v>43</v>
      </c>
      <c r="Z198" s="32">
        <f>[2]Districts_Boroughs!DD173</f>
        <v>53</v>
      </c>
      <c r="AA198" s="32">
        <f>[2]Districts_Boroughs!DE173</f>
        <v>69</v>
      </c>
      <c r="AB198" s="32">
        <f>[2]Districts_Boroughs!DF173</f>
        <v>70</v>
      </c>
      <c r="AC198" s="32">
        <f>[2]Districts_Boroughs!DG173</f>
        <v>51</v>
      </c>
      <c r="AD198" s="32">
        <f>[2]Districts_Boroughs!DH173</f>
        <v>53</v>
      </c>
      <c r="AE198" s="32">
        <f>[2]Districts_Boroughs!DI173</f>
        <v>60</v>
      </c>
      <c r="AF198" s="32">
        <f>[2]Districts_Boroughs!DJ173</f>
        <v>57</v>
      </c>
      <c r="AG198" s="32">
        <f>[2]Districts_Boroughs!DK173</f>
        <v>51</v>
      </c>
      <c r="AH198" s="32">
        <f>[2]Districts_Boroughs!DL173</f>
        <v>55</v>
      </c>
      <c r="AI198" s="32">
        <f>[2]Districts_Boroughs!DM173</f>
        <v>56</v>
      </c>
      <c r="AJ198" s="32">
        <f>[2]Districts_Boroughs!DN173</f>
        <v>61</v>
      </c>
      <c r="AK198" s="32">
        <f>[2]Districts_Boroughs!DO173</f>
        <v>55</v>
      </c>
      <c r="AL198" s="32">
        <f>[2]Districts_Boroughs!DP173</f>
        <v>47</v>
      </c>
      <c r="AM198" s="32">
        <f>[2]Districts_Boroughs!DQ173</f>
        <v>65</v>
      </c>
      <c r="AN198" s="32">
        <f>[2]Districts_Boroughs!DR173</f>
        <v>58</v>
      </c>
      <c r="AO198" s="32">
        <f>[2]Districts_Boroughs!DS173</f>
        <v>47</v>
      </c>
      <c r="AP198" s="32">
        <f>[2]Districts_Boroughs!DT173</f>
        <v>53</v>
      </c>
      <c r="AQ198" s="32">
        <f>[2]Districts_Boroughs!DU173</f>
        <v>63</v>
      </c>
      <c r="AR198" s="32">
        <f>[2]Districts_Boroughs!DV173</f>
        <v>56</v>
      </c>
      <c r="AS198" s="32">
        <f>[2]Districts_Boroughs!DW173</f>
        <v>53</v>
      </c>
      <c r="AT198" s="32">
        <f>[2]Districts_Boroughs!DX173</f>
        <v>55</v>
      </c>
      <c r="AU198" s="32">
        <f>[2]Districts_Boroughs!DY173</f>
        <v>54</v>
      </c>
      <c r="AV198" s="32">
        <f>[2]Districts_Boroughs!DZ173</f>
        <v>60</v>
      </c>
      <c r="AW198" s="32">
        <f>[2]Districts_Boroughs!EA173</f>
        <v>49</v>
      </c>
      <c r="AX198" s="32">
        <f>[2]Districts_Boroughs!EB173</f>
        <v>64</v>
      </c>
      <c r="AY198" s="32">
        <f>[2]Districts_Boroughs!EC173</f>
        <v>61</v>
      </c>
    </row>
    <row r="199" spans="2:51" x14ac:dyDescent="0.35">
      <c r="B199" t="str">
        <f t="shared" si="10"/>
        <v>Stratford</v>
      </c>
      <c r="C199" s="345"/>
      <c r="D199" s="32">
        <f>[2]Districts_Boroughs!CH174</f>
        <v>0</v>
      </c>
      <c r="E199" s="32">
        <f>[2]Districts_Boroughs!CI174</f>
        <v>0</v>
      </c>
      <c r="F199" s="32">
        <f>[2]Districts_Boroughs!CJ174</f>
        <v>0</v>
      </c>
      <c r="G199" s="32">
        <f>[2]Districts_Boroughs!CK174</f>
        <v>0</v>
      </c>
      <c r="H199" s="32">
        <f>[2]Districts_Boroughs!CL174</f>
        <v>0</v>
      </c>
      <c r="I199" s="32">
        <f>[2]Districts_Boroughs!CM174</f>
        <v>0</v>
      </c>
      <c r="J199" s="32">
        <f>[2]Districts_Boroughs!CN174</f>
        <v>0</v>
      </c>
      <c r="K199" s="32">
        <f>[2]Districts_Boroughs!CO174</f>
        <v>0</v>
      </c>
      <c r="L199" s="32">
        <f>[2]Districts_Boroughs!CP174</f>
        <v>0</v>
      </c>
      <c r="M199" s="32">
        <f>[2]Districts_Boroughs!CQ174</f>
        <v>0</v>
      </c>
      <c r="N199" s="32">
        <f>[2]Districts_Boroughs!CR174</f>
        <v>0</v>
      </c>
      <c r="O199" s="32">
        <f>[2]Districts_Boroughs!CS174</f>
        <v>0</v>
      </c>
      <c r="P199" s="32">
        <f>[2]Districts_Boroughs!CT174</f>
        <v>0</v>
      </c>
      <c r="Q199" s="32">
        <f>[2]Districts_Boroughs!CU174</f>
        <v>0</v>
      </c>
      <c r="R199" s="32">
        <f>[2]Districts_Boroughs!CV174</f>
        <v>0</v>
      </c>
      <c r="S199" s="32">
        <f>[2]Districts_Boroughs!CW174</f>
        <v>0</v>
      </c>
      <c r="T199" s="32">
        <f>[2]Districts_Boroughs!CX174</f>
        <v>0</v>
      </c>
      <c r="U199" s="32">
        <f>[2]Districts_Boroughs!CY174</f>
        <v>0</v>
      </c>
      <c r="V199" s="32">
        <f>[2]Districts_Boroughs!CZ174</f>
        <v>0</v>
      </c>
      <c r="W199" s="32">
        <f>[2]Districts_Boroughs!DA174</f>
        <v>0</v>
      </c>
      <c r="X199" s="32">
        <f>[2]Districts_Boroughs!DB174</f>
        <v>0</v>
      </c>
      <c r="Y199" s="32">
        <f>[2]Districts_Boroughs!DC174</f>
        <v>0</v>
      </c>
      <c r="Z199" s="32">
        <f>[2]Districts_Boroughs!DD174</f>
        <v>0</v>
      </c>
      <c r="AA199" s="32">
        <f>[2]Districts_Boroughs!DE174</f>
        <v>0</v>
      </c>
      <c r="AB199" s="32">
        <f>[2]Districts_Boroughs!DF174</f>
        <v>0</v>
      </c>
      <c r="AC199" s="32">
        <f>[2]Districts_Boroughs!DG174</f>
        <v>0</v>
      </c>
      <c r="AD199" s="32">
        <f>[2]Districts_Boroughs!DH174</f>
        <v>0</v>
      </c>
      <c r="AE199" s="32">
        <f>[2]Districts_Boroughs!DI174</f>
        <v>0</v>
      </c>
      <c r="AF199" s="32">
        <f>[2]Districts_Boroughs!DJ174</f>
        <v>0</v>
      </c>
      <c r="AG199" s="32">
        <f>[2]Districts_Boroughs!DK174</f>
        <v>0</v>
      </c>
      <c r="AH199" s="32">
        <f>[2]Districts_Boroughs!DL174</f>
        <v>0</v>
      </c>
      <c r="AI199" s="32">
        <f>[2]Districts_Boroughs!DM174</f>
        <v>0</v>
      </c>
      <c r="AJ199" s="32">
        <f>[2]Districts_Boroughs!DN174</f>
        <v>0</v>
      </c>
      <c r="AK199" s="32">
        <f>[2]Districts_Boroughs!DO174</f>
        <v>0</v>
      </c>
      <c r="AL199" s="32">
        <f>[2]Districts_Boroughs!DP174</f>
        <v>0</v>
      </c>
      <c r="AM199" s="32">
        <f>[2]Districts_Boroughs!DQ174</f>
        <v>0</v>
      </c>
      <c r="AN199" s="32">
        <f>[2]Districts_Boroughs!DR174</f>
        <v>0</v>
      </c>
      <c r="AO199" s="32">
        <f>[2]Districts_Boroughs!DS174</f>
        <v>0</v>
      </c>
      <c r="AP199" s="32">
        <f>[2]Districts_Boroughs!DT174</f>
        <v>0</v>
      </c>
      <c r="AQ199" s="32">
        <f>[2]Districts_Boroughs!DU174</f>
        <v>0</v>
      </c>
      <c r="AR199" s="32">
        <f>[2]Districts_Boroughs!DV174</f>
        <v>0</v>
      </c>
      <c r="AS199" s="32">
        <f>[2]Districts_Boroughs!DW174</f>
        <v>0</v>
      </c>
      <c r="AT199" s="32">
        <f>[2]Districts_Boroughs!DX174</f>
        <v>0</v>
      </c>
      <c r="AU199" s="32">
        <f>[2]Districts_Boroughs!DY174</f>
        <v>0</v>
      </c>
      <c r="AV199" s="32">
        <f>[2]Districts_Boroughs!DZ174</f>
        <v>0</v>
      </c>
      <c r="AW199" s="32">
        <f>[2]Districts_Boroughs!EA174</f>
        <v>0</v>
      </c>
      <c r="AX199" s="32">
        <f>[2]Districts_Boroughs!EB174</f>
        <v>0</v>
      </c>
      <c r="AY199" s="32">
        <f>[2]Districts_Boroughs!EC174</f>
        <v>0</v>
      </c>
    </row>
    <row r="200" spans="2:51" x14ac:dyDescent="0.35">
      <c r="B200" t="str">
        <f t="shared" si="10"/>
        <v>StratfordSection 18</v>
      </c>
      <c r="C200" s="345" t="s">
        <v>53</v>
      </c>
      <c r="D200" s="32">
        <f>[2]Districts_Boroughs!CH175</f>
        <v>4</v>
      </c>
      <c r="E200" s="32">
        <f>[2]Districts_Boroughs!CI175</f>
        <v>5</v>
      </c>
      <c r="F200" s="32">
        <f>[2]Districts_Boroughs!CJ175</f>
        <v>6</v>
      </c>
      <c r="G200" s="32">
        <f>[2]Districts_Boroughs!CK175</f>
        <v>3</v>
      </c>
      <c r="H200" s="32">
        <f>[2]Districts_Boroughs!CL175</f>
        <v>1</v>
      </c>
      <c r="I200" s="32">
        <f>[2]Districts_Boroughs!CM175</f>
        <v>2</v>
      </c>
      <c r="J200" s="32">
        <f>[2]Districts_Boroughs!CN175</f>
        <v>5</v>
      </c>
      <c r="K200" s="32">
        <f>[2]Districts_Boroughs!CO175</f>
        <v>0</v>
      </c>
      <c r="L200" s="32">
        <f>[2]Districts_Boroughs!CP175</f>
        <v>1</v>
      </c>
      <c r="M200" s="32">
        <f>[2]Districts_Boroughs!CQ175</f>
        <v>4</v>
      </c>
      <c r="N200" s="32">
        <f>[2]Districts_Boroughs!CR175</f>
        <v>2</v>
      </c>
      <c r="O200" s="32">
        <f>[2]Districts_Boroughs!CS175</f>
        <v>2</v>
      </c>
      <c r="P200" s="32">
        <f>[2]Districts_Boroughs!CT175</f>
        <v>5</v>
      </c>
      <c r="Q200" s="32">
        <f>[2]Districts_Boroughs!CU175</f>
        <v>0</v>
      </c>
      <c r="R200" s="32">
        <f>[2]Districts_Boroughs!CV175</f>
        <v>1</v>
      </c>
      <c r="S200" s="32">
        <f>[2]Districts_Boroughs!CW175</f>
        <v>1</v>
      </c>
      <c r="T200" s="32">
        <f>[2]Districts_Boroughs!CX175</f>
        <v>3</v>
      </c>
      <c r="U200" s="32">
        <f>[2]Districts_Boroughs!CY175</f>
        <v>3</v>
      </c>
      <c r="V200" s="32">
        <f>[2]Districts_Boroughs!CZ175</f>
        <v>1</v>
      </c>
      <c r="W200" s="32">
        <f>[2]Districts_Boroughs!DA175</f>
        <v>5</v>
      </c>
      <c r="X200" s="32">
        <f>[2]Districts_Boroughs!DB175</f>
        <v>0</v>
      </c>
      <c r="Y200" s="32">
        <f>[2]Districts_Boroughs!DC175</f>
        <v>5</v>
      </c>
      <c r="Z200" s="32">
        <f>[2]Districts_Boroughs!DD175</f>
        <v>2</v>
      </c>
      <c r="AA200" s="32">
        <f>[2]Districts_Boroughs!DE175</f>
        <v>3</v>
      </c>
      <c r="AB200" s="32">
        <f>[2]Districts_Boroughs!DF175</f>
        <v>5</v>
      </c>
      <c r="AC200" s="32">
        <f>[2]Districts_Boroughs!DG175</f>
        <v>5</v>
      </c>
      <c r="AD200" s="32">
        <f>[2]Districts_Boroughs!DH175</f>
        <v>4</v>
      </c>
      <c r="AE200" s="32">
        <f>[2]Districts_Boroughs!DI175</f>
        <v>3</v>
      </c>
      <c r="AF200" s="32">
        <f>[2]Districts_Boroughs!DJ175</f>
        <v>9</v>
      </c>
      <c r="AG200" s="32">
        <f>[2]Districts_Boroughs!DK175</f>
        <v>5</v>
      </c>
      <c r="AH200" s="32">
        <f>[2]Districts_Boroughs!DL175</f>
        <v>1</v>
      </c>
      <c r="AI200" s="32">
        <f>[2]Districts_Boroughs!DM175</f>
        <v>0</v>
      </c>
      <c r="AJ200" s="32">
        <f>[2]Districts_Boroughs!DN175</f>
        <v>2</v>
      </c>
      <c r="AK200" s="32">
        <f>[2]Districts_Boroughs!DO175</f>
        <v>5</v>
      </c>
      <c r="AL200" s="32">
        <f>[2]Districts_Boroughs!DP175</f>
        <v>7</v>
      </c>
      <c r="AM200" s="32">
        <f>[2]Districts_Boroughs!DQ175</f>
        <v>8</v>
      </c>
      <c r="AN200" s="32">
        <f>[2]Districts_Boroughs!DR175</f>
        <v>6</v>
      </c>
      <c r="AO200" s="32">
        <f>[2]Districts_Boroughs!DS175</f>
        <v>6</v>
      </c>
      <c r="AP200" s="32">
        <f>[2]Districts_Boroughs!DT175</f>
        <v>4</v>
      </c>
      <c r="AQ200" s="32">
        <f>[2]Districts_Boroughs!DU175</f>
        <v>4</v>
      </c>
      <c r="AR200" s="32">
        <f>[2]Districts_Boroughs!DV175</f>
        <v>6</v>
      </c>
      <c r="AS200" s="32">
        <f>[2]Districts_Boroughs!DW175</f>
        <v>5</v>
      </c>
      <c r="AT200" s="32">
        <f>[2]Districts_Boroughs!DX175</f>
        <v>5</v>
      </c>
      <c r="AU200" s="32">
        <f>[2]Districts_Boroughs!DY175</f>
        <v>6</v>
      </c>
      <c r="AV200" s="32">
        <f>[2]Districts_Boroughs!DZ175</f>
        <v>2</v>
      </c>
      <c r="AW200" s="32">
        <f>[2]Districts_Boroughs!EA175</f>
        <v>5</v>
      </c>
      <c r="AX200" s="32">
        <f>[2]Districts_Boroughs!EB175</f>
        <v>4</v>
      </c>
      <c r="AY200" s="32">
        <f>[2]Districts_Boroughs!EC175</f>
        <v>4</v>
      </c>
    </row>
    <row r="201" spans="2:51" x14ac:dyDescent="0.35">
      <c r="B201" t="str">
        <f t="shared" si="10"/>
        <v>StratfordSection 20</v>
      </c>
      <c r="C201" s="345" t="s">
        <v>54</v>
      </c>
      <c r="D201" s="32">
        <f>[2]Districts_Boroughs!CH176</f>
        <v>4</v>
      </c>
      <c r="E201" s="32">
        <f>[2]Districts_Boroughs!CI176</f>
        <v>4</v>
      </c>
      <c r="F201" s="32">
        <f>[2]Districts_Boroughs!CJ176</f>
        <v>4</v>
      </c>
      <c r="G201" s="32">
        <f>[2]Districts_Boroughs!CK176</f>
        <v>2</v>
      </c>
      <c r="H201" s="32">
        <f>[2]Districts_Boroughs!CL176</f>
        <v>0</v>
      </c>
      <c r="I201" s="32">
        <f>[2]Districts_Boroughs!CM176</f>
        <v>1</v>
      </c>
      <c r="J201" s="32">
        <f>[2]Districts_Boroughs!CN176</f>
        <v>5</v>
      </c>
      <c r="K201" s="32">
        <f>[2]Districts_Boroughs!CO176</f>
        <v>1</v>
      </c>
      <c r="L201" s="32">
        <f>[2]Districts_Boroughs!CP176</f>
        <v>2</v>
      </c>
      <c r="M201" s="32">
        <f>[2]Districts_Boroughs!CQ176</f>
        <v>1</v>
      </c>
      <c r="N201" s="32">
        <f>[2]Districts_Boroughs!CR176</f>
        <v>2</v>
      </c>
      <c r="O201" s="32">
        <f>[2]Districts_Boroughs!CS176</f>
        <v>2</v>
      </c>
      <c r="P201" s="32">
        <f>[2]Districts_Boroughs!CT176</f>
        <v>3</v>
      </c>
      <c r="Q201" s="32">
        <f>[2]Districts_Boroughs!CU176</f>
        <v>4</v>
      </c>
      <c r="R201" s="32">
        <f>[2]Districts_Boroughs!CV176</f>
        <v>0</v>
      </c>
      <c r="S201" s="32">
        <f>[2]Districts_Boroughs!CW176</f>
        <v>0</v>
      </c>
      <c r="T201" s="32">
        <f>[2]Districts_Boroughs!CX176</f>
        <v>5</v>
      </c>
      <c r="U201" s="32">
        <f>[2]Districts_Boroughs!CY176</f>
        <v>2</v>
      </c>
      <c r="V201" s="32">
        <f>[2]Districts_Boroughs!CZ176</f>
        <v>2</v>
      </c>
      <c r="W201" s="32">
        <f>[2]Districts_Boroughs!DA176</f>
        <v>1</v>
      </c>
      <c r="X201" s="32">
        <f>[2]Districts_Boroughs!DB176</f>
        <v>3</v>
      </c>
      <c r="Y201" s="32">
        <f>[2]Districts_Boroughs!DC176</f>
        <v>3</v>
      </c>
      <c r="Z201" s="32">
        <f>[2]Districts_Boroughs!DD176</f>
        <v>3</v>
      </c>
      <c r="AA201" s="32">
        <f>[2]Districts_Boroughs!DE176</f>
        <v>3</v>
      </c>
      <c r="AB201" s="32">
        <f>[2]Districts_Boroughs!DF176</f>
        <v>2</v>
      </c>
      <c r="AC201" s="32">
        <f>[2]Districts_Boroughs!DG176</f>
        <v>2</v>
      </c>
      <c r="AD201" s="32">
        <f>[2]Districts_Boroughs!DH176</f>
        <v>2</v>
      </c>
      <c r="AE201" s="32">
        <f>[2]Districts_Boroughs!DI176</f>
        <v>0</v>
      </c>
      <c r="AF201" s="32">
        <f>[2]Districts_Boroughs!DJ176</f>
        <v>6</v>
      </c>
      <c r="AG201" s="32">
        <f>[2]Districts_Boroughs!DK176</f>
        <v>0</v>
      </c>
      <c r="AH201" s="32">
        <f>[2]Districts_Boroughs!DL176</f>
        <v>2</v>
      </c>
      <c r="AI201" s="32">
        <f>[2]Districts_Boroughs!DM176</f>
        <v>3</v>
      </c>
      <c r="AJ201" s="32">
        <f>[2]Districts_Boroughs!DN176</f>
        <v>2</v>
      </c>
      <c r="AK201" s="32">
        <f>[2]Districts_Boroughs!DO176</f>
        <v>2</v>
      </c>
      <c r="AL201" s="32">
        <f>[2]Districts_Boroughs!DP176</f>
        <v>1</v>
      </c>
      <c r="AM201" s="32">
        <f>[2]Districts_Boroughs!DQ176</f>
        <v>2</v>
      </c>
      <c r="AN201" s="32">
        <f>[2]Districts_Boroughs!DR176</f>
        <v>2</v>
      </c>
      <c r="AO201" s="32">
        <f>[2]Districts_Boroughs!DS176</f>
        <v>4</v>
      </c>
      <c r="AP201" s="32">
        <f>[2]Districts_Boroughs!DT176</f>
        <v>9</v>
      </c>
      <c r="AQ201" s="32">
        <f>[2]Districts_Boroughs!DU176</f>
        <v>4</v>
      </c>
      <c r="AR201" s="32">
        <f>[2]Districts_Boroughs!DV176</f>
        <v>5</v>
      </c>
      <c r="AS201" s="32">
        <f>[2]Districts_Boroughs!DW176</f>
        <v>1</v>
      </c>
      <c r="AT201" s="32">
        <f>[2]Districts_Boroughs!DX176</f>
        <v>8</v>
      </c>
      <c r="AU201" s="32">
        <f>[2]Districts_Boroughs!DY176</f>
        <v>2</v>
      </c>
      <c r="AV201" s="32">
        <f>[2]Districts_Boroughs!DZ176</f>
        <v>3</v>
      </c>
      <c r="AW201" s="32">
        <f>[2]Districts_Boroughs!EA176</f>
        <v>2</v>
      </c>
      <c r="AX201" s="32">
        <f>[2]Districts_Boroughs!EB176</f>
        <v>3</v>
      </c>
      <c r="AY201" s="32">
        <f>[2]Districts_Boroughs!EC176</f>
        <v>2</v>
      </c>
    </row>
    <row r="202" spans="2:51" x14ac:dyDescent="0.35">
      <c r="B202" t="str">
        <f t="shared" si="10"/>
        <v>Stratford</v>
      </c>
      <c r="C202" s="345"/>
      <c r="D202" s="32">
        <f>[2]Districts_Boroughs!CH177</f>
        <v>0</v>
      </c>
      <c r="E202" s="32">
        <f>[2]Districts_Boroughs!CI177</f>
        <v>0</v>
      </c>
      <c r="F202" s="32">
        <f>[2]Districts_Boroughs!CJ177</f>
        <v>0</v>
      </c>
      <c r="G202" s="32">
        <f>[2]Districts_Boroughs!CK177</f>
        <v>0</v>
      </c>
      <c r="H202" s="32">
        <f>[2]Districts_Boroughs!CL177</f>
        <v>0</v>
      </c>
      <c r="I202" s="32">
        <f>[2]Districts_Boroughs!CM177</f>
        <v>0</v>
      </c>
      <c r="J202" s="32">
        <f>[2]Districts_Boroughs!CN177</f>
        <v>0</v>
      </c>
      <c r="K202" s="32">
        <f>[2]Districts_Boroughs!CO177</f>
        <v>0</v>
      </c>
      <c r="L202" s="32">
        <f>[2]Districts_Boroughs!CP177</f>
        <v>0</v>
      </c>
      <c r="M202" s="32">
        <f>[2]Districts_Boroughs!CQ177</f>
        <v>0</v>
      </c>
      <c r="N202" s="32">
        <f>[2]Districts_Boroughs!CR177</f>
        <v>0</v>
      </c>
      <c r="O202" s="32">
        <f>[2]Districts_Boroughs!CS177</f>
        <v>0</v>
      </c>
      <c r="P202" s="32">
        <f>[2]Districts_Boroughs!CT177</f>
        <v>0</v>
      </c>
      <c r="Q202" s="32">
        <f>[2]Districts_Boroughs!CU177</f>
        <v>0</v>
      </c>
      <c r="R202" s="32">
        <f>[2]Districts_Boroughs!CV177</f>
        <v>0</v>
      </c>
      <c r="S202" s="32">
        <f>[2]Districts_Boroughs!CW177</f>
        <v>0</v>
      </c>
      <c r="T202" s="32">
        <f>[2]Districts_Boroughs!CX177</f>
        <v>0</v>
      </c>
      <c r="U202" s="32">
        <f>[2]Districts_Boroughs!CY177</f>
        <v>0</v>
      </c>
      <c r="V202" s="32">
        <f>[2]Districts_Boroughs!CZ177</f>
        <v>0</v>
      </c>
      <c r="W202" s="32">
        <f>[2]Districts_Boroughs!DA177</f>
        <v>0</v>
      </c>
      <c r="X202" s="32">
        <f>[2]Districts_Boroughs!DB177</f>
        <v>0</v>
      </c>
      <c r="Y202" s="32">
        <f>[2]Districts_Boroughs!DC177</f>
        <v>0</v>
      </c>
      <c r="Z202" s="32">
        <f>[2]Districts_Boroughs!DD177</f>
        <v>0</v>
      </c>
      <c r="AA202" s="32">
        <f>[2]Districts_Boroughs!DE177</f>
        <v>0</v>
      </c>
      <c r="AB202" s="32">
        <f>[2]Districts_Boroughs!DF177</f>
        <v>0</v>
      </c>
      <c r="AC202" s="32">
        <f>[2]Districts_Boroughs!DG177</f>
        <v>0</v>
      </c>
      <c r="AD202" s="32">
        <f>[2]Districts_Boroughs!DH177</f>
        <v>0</v>
      </c>
      <c r="AE202" s="32">
        <f>[2]Districts_Boroughs!DI177</f>
        <v>0</v>
      </c>
      <c r="AF202" s="32">
        <f>[2]Districts_Boroughs!DJ177</f>
        <v>0</v>
      </c>
      <c r="AG202" s="32">
        <f>[2]Districts_Boroughs!DK177</f>
        <v>0</v>
      </c>
      <c r="AH202" s="32">
        <f>[2]Districts_Boroughs!DL177</f>
        <v>0</v>
      </c>
      <c r="AI202" s="32">
        <f>[2]Districts_Boroughs!DM177</f>
        <v>0</v>
      </c>
      <c r="AJ202" s="32">
        <f>[2]Districts_Boroughs!DN177</f>
        <v>0</v>
      </c>
      <c r="AK202" s="32">
        <f>[2]Districts_Boroughs!DO177</f>
        <v>0</v>
      </c>
      <c r="AL202" s="32">
        <f>[2]Districts_Boroughs!DP177</f>
        <v>0</v>
      </c>
      <c r="AM202" s="32">
        <f>[2]Districts_Boroughs!DQ177</f>
        <v>0</v>
      </c>
      <c r="AN202" s="32">
        <f>[2]Districts_Boroughs!DR177</f>
        <v>0</v>
      </c>
      <c r="AO202" s="32">
        <f>[2]Districts_Boroughs!DS177</f>
        <v>0</v>
      </c>
      <c r="AP202" s="32">
        <f>[2]Districts_Boroughs!DT177</f>
        <v>0</v>
      </c>
      <c r="AQ202" s="32">
        <f>[2]Districts_Boroughs!DU177</f>
        <v>0</v>
      </c>
      <c r="AR202" s="32">
        <f>[2]Districts_Boroughs!DV177</f>
        <v>0</v>
      </c>
      <c r="AS202" s="32">
        <f>[2]Districts_Boroughs!DW177</f>
        <v>0</v>
      </c>
      <c r="AT202" s="32">
        <f>[2]Districts_Boroughs!DX177</f>
        <v>0</v>
      </c>
      <c r="AU202" s="32">
        <f>[2]Districts_Boroughs!DY177</f>
        <v>0</v>
      </c>
      <c r="AV202" s="32">
        <f>[2]Districts_Boroughs!DZ177</f>
        <v>0</v>
      </c>
      <c r="AW202" s="32">
        <f>[2]Districts_Boroughs!EA177</f>
        <v>0</v>
      </c>
      <c r="AX202" s="32">
        <f>[2]Districts_Boroughs!EB177</f>
        <v>0</v>
      </c>
      <c r="AY202" s="32">
        <f>[2]Districts_Boroughs!EC177</f>
        <v>0</v>
      </c>
    </row>
    <row r="203" spans="2:51" x14ac:dyDescent="0.35">
      <c r="B203" t="str">
        <f t="shared" si="10"/>
        <v>StratfordAggravated Vehicle Taking</v>
      </c>
      <c r="C203" s="345" t="s">
        <v>46</v>
      </c>
      <c r="D203" s="32">
        <f>[2]Districts_Boroughs!CH178</f>
        <v>0</v>
      </c>
      <c r="E203" s="32">
        <f>[2]Districts_Boroughs!CI178</f>
        <v>0</v>
      </c>
      <c r="F203" s="32">
        <f>[2]Districts_Boroughs!CJ178</f>
        <v>0</v>
      </c>
      <c r="G203" s="32">
        <f>[2]Districts_Boroughs!CK178</f>
        <v>1</v>
      </c>
      <c r="H203" s="32">
        <f>[2]Districts_Boroughs!CL178</f>
        <v>0</v>
      </c>
      <c r="I203" s="32">
        <f>[2]Districts_Boroughs!CM178</f>
        <v>0</v>
      </c>
      <c r="J203" s="32">
        <f>[2]Districts_Boroughs!CN178</f>
        <v>1</v>
      </c>
      <c r="K203" s="32">
        <f>[2]Districts_Boroughs!CO178</f>
        <v>1</v>
      </c>
      <c r="L203" s="32">
        <f>[2]Districts_Boroughs!CP178</f>
        <v>2</v>
      </c>
      <c r="M203" s="32">
        <f>[2]Districts_Boroughs!CQ178</f>
        <v>1</v>
      </c>
      <c r="N203" s="32">
        <f>[2]Districts_Boroughs!CR178</f>
        <v>1</v>
      </c>
      <c r="O203" s="32">
        <f>[2]Districts_Boroughs!CS178</f>
        <v>0</v>
      </c>
      <c r="P203" s="32">
        <f>[2]Districts_Boroughs!CT178</f>
        <v>2</v>
      </c>
      <c r="Q203" s="32">
        <f>[2]Districts_Boroughs!CU178</f>
        <v>0</v>
      </c>
      <c r="R203" s="32">
        <f>[2]Districts_Boroughs!CV178</f>
        <v>1</v>
      </c>
      <c r="S203" s="32">
        <f>[2]Districts_Boroughs!CW178</f>
        <v>0</v>
      </c>
      <c r="T203" s="32">
        <f>[2]Districts_Boroughs!CX178</f>
        <v>1</v>
      </c>
      <c r="U203" s="32">
        <f>[2]Districts_Boroughs!CY178</f>
        <v>1</v>
      </c>
      <c r="V203" s="32">
        <f>[2]Districts_Boroughs!CZ178</f>
        <v>1</v>
      </c>
      <c r="W203" s="32">
        <f>[2]Districts_Boroughs!DA178</f>
        <v>1</v>
      </c>
      <c r="X203" s="32">
        <f>[2]Districts_Boroughs!DB178</f>
        <v>0</v>
      </c>
      <c r="Y203" s="32">
        <f>[2]Districts_Boroughs!DC178</f>
        <v>0</v>
      </c>
      <c r="Z203" s="32">
        <f>[2]Districts_Boroughs!DD178</f>
        <v>1</v>
      </c>
      <c r="AA203" s="32">
        <f>[2]Districts_Boroughs!DE178</f>
        <v>2</v>
      </c>
      <c r="AB203" s="32">
        <f>[2]Districts_Boroughs!DF178</f>
        <v>1</v>
      </c>
      <c r="AC203" s="32">
        <f>[2]Districts_Boroughs!DG178</f>
        <v>2</v>
      </c>
      <c r="AD203" s="32">
        <f>[2]Districts_Boroughs!DH178</f>
        <v>1</v>
      </c>
      <c r="AE203" s="32">
        <f>[2]Districts_Boroughs!DI178</f>
        <v>1</v>
      </c>
      <c r="AF203" s="32">
        <f>[2]Districts_Boroughs!DJ178</f>
        <v>0</v>
      </c>
      <c r="AG203" s="32">
        <f>[2]Districts_Boroughs!DK178</f>
        <v>0</v>
      </c>
      <c r="AH203" s="32">
        <f>[2]Districts_Boroughs!DL178</f>
        <v>1</v>
      </c>
      <c r="AI203" s="32">
        <f>[2]Districts_Boroughs!DM178</f>
        <v>1</v>
      </c>
      <c r="AJ203" s="32">
        <f>[2]Districts_Boroughs!DN178</f>
        <v>1</v>
      </c>
      <c r="AK203" s="32">
        <f>[2]Districts_Boroughs!DO178</f>
        <v>1</v>
      </c>
      <c r="AL203" s="32">
        <f>[2]Districts_Boroughs!DP178</f>
        <v>1</v>
      </c>
      <c r="AM203" s="32">
        <f>[2]Districts_Boroughs!DQ178</f>
        <v>0</v>
      </c>
      <c r="AN203" s="32">
        <f>[2]Districts_Boroughs!DR178</f>
        <v>3</v>
      </c>
      <c r="AO203" s="32">
        <f>[2]Districts_Boroughs!DS178</f>
        <v>2</v>
      </c>
      <c r="AP203" s="32">
        <f>[2]Districts_Boroughs!DT178</f>
        <v>1</v>
      </c>
      <c r="AQ203" s="32">
        <f>[2]Districts_Boroughs!DU178</f>
        <v>0</v>
      </c>
      <c r="AR203" s="32">
        <f>[2]Districts_Boroughs!DV178</f>
        <v>0</v>
      </c>
      <c r="AS203" s="32">
        <f>[2]Districts_Boroughs!DW178</f>
        <v>0</v>
      </c>
      <c r="AT203" s="32">
        <f>[2]Districts_Boroughs!DX178</f>
        <v>1</v>
      </c>
      <c r="AU203" s="32">
        <f>[2]Districts_Boroughs!DY178</f>
        <v>2</v>
      </c>
      <c r="AV203" s="32">
        <f>[2]Districts_Boroughs!DZ178</f>
        <v>0</v>
      </c>
      <c r="AW203" s="32">
        <f>[2]Districts_Boroughs!EA178</f>
        <v>0</v>
      </c>
      <c r="AX203" s="32">
        <f>[2]Districts_Boroughs!EB178</f>
        <v>0</v>
      </c>
      <c r="AY203" s="32">
        <f>[2]Districts_Boroughs!EC178</f>
        <v>1</v>
      </c>
    </row>
    <row r="204" spans="2:51" x14ac:dyDescent="0.35">
      <c r="B204" t="str">
        <f t="shared" si="10"/>
        <v>StratfordInterfering with a Motor Vehicle</v>
      </c>
      <c r="C204" s="345" t="s">
        <v>47</v>
      </c>
      <c r="D204" s="32">
        <f>[2]Districts_Boroughs!CH179</f>
        <v>12</v>
      </c>
      <c r="E204" s="32">
        <f>[2]Districts_Boroughs!CI179</f>
        <v>14</v>
      </c>
      <c r="F204" s="32">
        <f>[2]Districts_Boroughs!CJ179</f>
        <v>15</v>
      </c>
      <c r="G204" s="32">
        <f>[2]Districts_Boroughs!CK179</f>
        <v>8</v>
      </c>
      <c r="H204" s="32">
        <f>[2]Districts_Boroughs!CL179</f>
        <v>13</v>
      </c>
      <c r="I204" s="32">
        <f>[2]Districts_Boroughs!CM179</f>
        <v>13</v>
      </c>
      <c r="J204" s="32">
        <f>[2]Districts_Boroughs!CN179</f>
        <v>12</v>
      </c>
      <c r="K204" s="32">
        <f>[2]Districts_Boroughs!CO179</f>
        <v>10</v>
      </c>
      <c r="L204" s="32">
        <f>[2]Districts_Boroughs!CP179</f>
        <v>7</v>
      </c>
      <c r="M204" s="32">
        <f>[2]Districts_Boroughs!CQ179</f>
        <v>19</v>
      </c>
      <c r="N204" s="32">
        <f>[2]Districts_Boroughs!CR179</f>
        <v>11</v>
      </c>
      <c r="O204" s="32">
        <f>[2]Districts_Boroughs!CS179</f>
        <v>9</v>
      </c>
      <c r="P204" s="32">
        <f>[2]Districts_Boroughs!CT179</f>
        <v>11</v>
      </c>
      <c r="Q204" s="32">
        <f>[2]Districts_Boroughs!CU179</f>
        <v>19</v>
      </c>
      <c r="R204" s="32">
        <f>[2]Districts_Boroughs!CV179</f>
        <v>17</v>
      </c>
      <c r="S204" s="32">
        <f>[2]Districts_Boroughs!CW179</f>
        <v>21</v>
      </c>
      <c r="T204" s="32">
        <f>[2]Districts_Boroughs!CX179</f>
        <v>23</v>
      </c>
      <c r="U204" s="32">
        <f>[2]Districts_Boroughs!CY179</f>
        <v>21</v>
      </c>
      <c r="V204" s="32">
        <f>[2]Districts_Boroughs!CZ179</f>
        <v>17</v>
      </c>
      <c r="W204" s="32">
        <f>[2]Districts_Boroughs!DA179</f>
        <v>19</v>
      </c>
      <c r="X204" s="32">
        <f>[2]Districts_Boroughs!DB179</f>
        <v>9</v>
      </c>
      <c r="Y204" s="32">
        <f>[2]Districts_Boroughs!DC179</f>
        <v>24</v>
      </c>
      <c r="Z204" s="32">
        <f>[2]Districts_Boroughs!DD179</f>
        <v>29</v>
      </c>
      <c r="AA204" s="32">
        <f>[2]Districts_Boroughs!DE179</f>
        <v>25</v>
      </c>
      <c r="AB204" s="32">
        <f>[2]Districts_Boroughs!DF179</f>
        <v>17</v>
      </c>
      <c r="AC204" s="32">
        <f>[2]Districts_Boroughs!DG179</f>
        <v>21</v>
      </c>
      <c r="AD204" s="32">
        <f>[2]Districts_Boroughs!DH179</f>
        <v>8</v>
      </c>
      <c r="AE204" s="32">
        <f>[2]Districts_Boroughs!DI179</f>
        <v>11</v>
      </c>
      <c r="AF204" s="32">
        <f>[2]Districts_Boroughs!DJ179</f>
        <v>9</v>
      </c>
      <c r="AG204" s="32">
        <f>[2]Districts_Boroughs!DK179</f>
        <v>14</v>
      </c>
      <c r="AH204" s="32">
        <f>[2]Districts_Boroughs!DL179</f>
        <v>15</v>
      </c>
      <c r="AI204" s="32">
        <f>[2]Districts_Boroughs!DM179</f>
        <v>19</v>
      </c>
      <c r="AJ204" s="32">
        <f>[2]Districts_Boroughs!DN179</f>
        <v>13</v>
      </c>
      <c r="AK204" s="32">
        <f>[2]Districts_Boroughs!DO179</f>
        <v>23</v>
      </c>
      <c r="AL204" s="32">
        <f>[2]Districts_Boroughs!DP179</f>
        <v>19</v>
      </c>
      <c r="AM204" s="32">
        <f>[2]Districts_Boroughs!DQ179</f>
        <v>15</v>
      </c>
      <c r="AN204" s="32">
        <f>[2]Districts_Boroughs!DR179</f>
        <v>12</v>
      </c>
      <c r="AO204" s="32">
        <f>[2]Districts_Boroughs!DS179</f>
        <v>27</v>
      </c>
      <c r="AP204" s="32">
        <f>[2]Districts_Boroughs!DT179</f>
        <v>7</v>
      </c>
      <c r="AQ204" s="32">
        <f>[2]Districts_Boroughs!DU179</f>
        <v>20</v>
      </c>
      <c r="AR204" s="32">
        <f>[2]Districts_Boroughs!DV179</f>
        <v>9</v>
      </c>
      <c r="AS204" s="32">
        <f>[2]Districts_Boroughs!DW179</f>
        <v>4</v>
      </c>
      <c r="AT204" s="32">
        <f>[2]Districts_Boroughs!DX179</f>
        <v>12</v>
      </c>
      <c r="AU204" s="32">
        <f>[2]Districts_Boroughs!DY179</f>
        <v>12</v>
      </c>
      <c r="AV204" s="32">
        <f>[2]Districts_Boroughs!DZ179</f>
        <v>7</v>
      </c>
      <c r="AW204" s="32">
        <f>[2]Districts_Boroughs!EA179</f>
        <v>11</v>
      </c>
      <c r="AX204" s="32">
        <f>[2]Districts_Boroughs!EB179</f>
        <v>1</v>
      </c>
      <c r="AY204" s="32">
        <f>[2]Districts_Boroughs!EC179</f>
        <v>7</v>
      </c>
    </row>
    <row r="205" spans="2:51" x14ac:dyDescent="0.35">
      <c r="B205" t="str">
        <f t="shared" si="10"/>
        <v>StratfordTheft From A Vehicle</v>
      </c>
      <c r="C205" s="345" t="s">
        <v>48</v>
      </c>
      <c r="D205" s="32">
        <f>[2]Districts_Boroughs!CH180</f>
        <v>27</v>
      </c>
      <c r="E205" s="32">
        <f>[2]Districts_Boroughs!CI180</f>
        <v>30</v>
      </c>
      <c r="F205" s="32">
        <f>[2]Districts_Boroughs!CJ180</f>
        <v>23</v>
      </c>
      <c r="G205" s="32">
        <f>[2]Districts_Boroughs!CK180</f>
        <v>37</v>
      </c>
      <c r="H205" s="32">
        <f>[2]Districts_Boroughs!CL180</f>
        <v>53</v>
      </c>
      <c r="I205" s="32">
        <f>[2]Districts_Boroughs!CM180</f>
        <v>38</v>
      </c>
      <c r="J205" s="32">
        <f>[2]Districts_Boroughs!CN180</f>
        <v>41</v>
      </c>
      <c r="K205" s="32">
        <f>[2]Districts_Boroughs!CO180</f>
        <v>49</v>
      </c>
      <c r="L205" s="32">
        <f>[2]Districts_Boroughs!CP180</f>
        <v>26</v>
      </c>
      <c r="M205" s="32">
        <f>[2]Districts_Boroughs!CQ180</f>
        <v>38</v>
      </c>
      <c r="N205" s="32">
        <f>[2]Districts_Boroughs!CR180</f>
        <v>27</v>
      </c>
      <c r="O205" s="32">
        <f>[2]Districts_Boroughs!CS180</f>
        <v>60</v>
      </c>
      <c r="P205" s="32">
        <f>[2]Districts_Boroughs!CT180</f>
        <v>46</v>
      </c>
      <c r="Q205" s="32">
        <f>[2]Districts_Boroughs!CU180</f>
        <v>52</v>
      </c>
      <c r="R205" s="32">
        <f>[2]Districts_Boroughs!CV180</f>
        <v>37</v>
      </c>
      <c r="S205" s="32">
        <f>[2]Districts_Boroughs!CW180</f>
        <v>52</v>
      </c>
      <c r="T205" s="32">
        <f>[2]Districts_Boroughs!CX180</f>
        <v>68</v>
      </c>
      <c r="U205" s="32">
        <f>[2]Districts_Boroughs!CY180</f>
        <v>81</v>
      </c>
      <c r="V205" s="32">
        <f>[2]Districts_Boroughs!CZ180</f>
        <v>51</v>
      </c>
      <c r="W205" s="32">
        <f>[2]Districts_Boroughs!DA180</f>
        <v>61</v>
      </c>
      <c r="X205" s="32">
        <f>[2]Districts_Boroughs!DB180</f>
        <v>35</v>
      </c>
      <c r="Y205" s="32">
        <f>[2]Districts_Boroughs!DC180</f>
        <v>69</v>
      </c>
      <c r="Z205" s="32">
        <f>[2]Districts_Boroughs!DD180</f>
        <v>69</v>
      </c>
      <c r="AA205" s="32">
        <f>[2]Districts_Boroughs!DE180</f>
        <v>48</v>
      </c>
      <c r="AB205" s="32">
        <f>[2]Districts_Boroughs!DF180</f>
        <v>65</v>
      </c>
      <c r="AC205" s="32">
        <f>[2]Districts_Boroughs!DG180</f>
        <v>63</v>
      </c>
      <c r="AD205" s="32">
        <f>[2]Districts_Boroughs!DH180</f>
        <v>53</v>
      </c>
      <c r="AE205" s="32">
        <f>[2]Districts_Boroughs!DI180</f>
        <v>59</v>
      </c>
      <c r="AF205" s="32">
        <f>[2]Districts_Boroughs!DJ180</f>
        <v>45</v>
      </c>
      <c r="AG205" s="32">
        <f>[2]Districts_Boroughs!DK180</f>
        <v>35</v>
      </c>
      <c r="AH205" s="32">
        <f>[2]Districts_Boroughs!DL180</f>
        <v>55</v>
      </c>
      <c r="AI205" s="32">
        <f>[2]Districts_Boroughs!DM180</f>
        <v>46</v>
      </c>
      <c r="AJ205" s="32">
        <f>[2]Districts_Boroughs!DN180</f>
        <v>36</v>
      </c>
      <c r="AK205" s="32">
        <f>[2]Districts_Boroughs!DO180</f>
        <v>29</v>
      </c>
      <c r="AL205" s="32">
        <f>[2]Districts_Boroughs!DP180</f>
        <v>19</v>
      </c>
      <c r="AM205" s="32">
        <f>[2]Districts_Boroughs!DQ180</f>
        <v>25</v>
      </c>
      <c r="AN205" s="32">
        <f>[2]Districts_Boroughs!DR180</f>
        <v>30</v>
      </c>
      <c r="AO205" s="32">
        <f>[2]Districts_Boroughs!DS180</f>
        <v>57</v>
      </c>
      <c r="AP205" s="32">
        <f>[2]Districts_Boroughs!DT180</f>
        <v>52</v>
      </c>
      <c r="AQ205" s="32">
        <f>[2]Districts_Boroughs!DU180</f>
        <v>40</v>
      </c>
      <c r="AR205" s="32">
        <f>[2]Districts_Boroughs!DV180</f>
        <v>28</v>
      </c>
      <c r="AS205" s="32">
        <f>[2]Districts_Boroughs!DW180</f>
        <v>16</v>
      </c>
      <c r="AT205" s="32">
        <f>[2]Districts_Boroughs!DX180</f>
        <v>56</v>
      </c>
      <c r="AU205" s="32">
        <f>[2]Districts_Boroughs!DY180</f>
        <v>54</v>
      </c>
      <c r="AV205" s="32">
        <f>[2]Districts_Boroughs!DZ180</f>
        <v>32</v>
      </c>
      <c r="AW205" s="32">
        <f>[2]Districts_Boroughs!EA180</f>
        <v>30</v>
      </c>
      <c r="AX205" s="32">
        <f>[2]Districts_Boroughs!EB180</f>
        <v>22</v>
      </c>
      <c r="AY205" s="32">
        <f>[2]Districts_Boroughs!EC180</f>
        <v>33</v>
      </c>
    </row>
    <row r="206" spans="2:51" x14ac:dyDescent="0.35">
      <c r="B206" t="str">
        <f t="shared" si="10"/>
        <v>StratfordTheft Or Unauthorised Taking Of A Motor Vehicle</v>
      </c>
      <c r="C206" s="345" t="s">
        <v>49</v>
      </c>
      <c r="D206" s="32">
        <f>[2]Districts_Boroughs!CH181</f>
        <v>3</v>
      </c>
      <c r="E206" s="32">
        <f>[2]Districts_Boroughs!CI181</f>
        <v>7</v>
      </c>
      <c r="F206" s="32">
        <f>[2]Districts_Boroughs!CJ181</f>
        <v>5</v>
      </c>
      <c r="G206" s="32">
        <f>[2]Districts_Boroughs!CK181</f>
        <v>17</v>
      </c>
      <c r="H206" s="32">
        <f>[2]Districts_Boroughs!CL181</f>
        <v>11</v>
      </c>
      <c r="I206" s="32">
        <f>[2]Districts_Boroughs!CM181</f>
        <v>10</v>
      </c>
      <c r="J206" s="32">
        <f>[2]Districts_Boroughs!CN181</f>
        <v>17</v>
      </c>
      <c r="K206" s="32">
        <f>[2]Districts_Boroughs!CO181</f>
        <v>11</v>
      </c>
      <c r="L206" s="32">
        <f>[2]Districts_Boroughs!CP181</f>
        <v>16</v>
      </c>
      <c r="M206" s="32">
        <f>[2]Districts_Boroughs!CQ181</f>
        <v>16</v>
      </c>
      <c r="N206" s="32">
        <f>[2]Districts_Boroughs!CR181</f>
        <v>17</v>
      </c>
      <c r="O206" s="32">
        <f>[2]Districts_Boroughs!CS181</f>
        <v>19</v>
      </c>
      <c r="P206" s="32">
        <f>[2]Districts_Boroughs!CT181</f>
        <v>13</v>
      </c>
      <c r="Q206" s="32">
        <f>[2]Districts_Boroughs!CU181</f>
        <v>5</v>
      </c>
      <c r="R206" s="32">
        <f>[2]Districts_Boroughs!CV181</f>
        <v>12</v>
      </c>
      <c r="S206" s="32">
        <f>[2]Districts_Boroughs!CW181</f>
        <v>20</v>
      </c>
      <c r="T206" s="32">
        <f>[2]Districts_Boroughs!CX181</f>
        <v>21</v>
      </c>
      <c r="U206" s="32">
        <f>[2]Districts_Boroughs!CY181</f>
        <v>22</v>
      </c>
      <c r="V206" s="32">
        <f>[2]Districts_Boroughs!CZ181</f>
        <v>16</v>
      </c>
      <c r="W206" s="32">
        <f>[2]Districts_Boroughs!DA181</f>
        <v>15</v>
      </c>
      <c r="X206" s="32">
        <f>[2]Districts_Boroughs!DB181</f>
        <v>20</v>
      </c>
      <c r="Y206" s="32">
        <f>[2]Districts_Boroughs!DC181</f>
        <v>15</v>
      </c>
      <c r="Z206" s="32">
        <f>[2]Districts_Boroughs!DD181</f>
        <v>12</v>
      </c>
      <c r="AA206" s="32">
        <f>[2]Districts_Boroughs!DE181</f>
        <v>17</v>
      </c>
      <c r="AB206" s="32">
        <f>[2]Districts_Boroughs!DF181</f>
        <v>21</v>
      </c>
      <c r="AC206" s="32">
        <f>[2]Districts_Boroughs!DG181</f>
        <v>22</v>
      </c>
      <c r="AD206" s="32">
        <f>[2]Districts_Boroughs!DH181</f>
        <v>17</v>
      </c>
      <c r="AE206" s="32">
        <f>[2]Districts_Boroughs!DI181</f>
        <v>12</v>
      </c>
      <c r="AF206" s="32">
        <f>[2]Districts_Boroughs!DJ181</f>
        <v>12</v>
      </c>
      <c r="AG206" s="32">
        <f>[2]Districts_Boroughs!DK181</f>
        <v>12</v>
      </c>
      <c r="AH206" s="32">
        <f>[2]Districts_Boroughs!DL181</f>
        <v>13</v>
      </c>
      <c r="AI206" s="32">
        <f>[2]Districts_Boroughs!DM181</f>
        <v>12</v>
      </c>
      <c r="AJ206" s="32">
        <f>[2]Districts_Boroughs!DN181</f>
        <v>6</v>
      </c>
      <c r="AK206" s="32">
        <f>[2]Districts_Boroughs!DO181</f>
        <v>19</v>
      </c>
      <c r="AL206" s="32">
        <f>[2]Districts_Boroughs!DP181</f>
        <v>12</v>
      </c>
      <c r="AM206" s="32">
        <f>[2]Districts_Boroughs!DQ181</f>
        <v>20</v>
      </c>
      <c r="AN206" s="32">
        <f>[2]Districts_Boroughs!DR181</f>
        <v>10</v>
      </c>
      <c r="AO206" s="32">
        <f>[2]Districts_Boroughs!DS181</f>
        <v>26</v>
      </c>
      <c r="AP206" s="32">
        <f>[2]Districts_Boroughs!DT181</f>
        <v>16</v>
      </c>
      <c r="AQ206" s="32">
        <f>[2]Districts_Boroughs!DU181</f>
        <v>12</v>
      </c>
      <c r="AR206" s="32">
        <f>[2]Districts_Boroughs!DV181</f>
        <v>12</v>
      </c>
      <c r="AS206" s="32">
        <f>[2]Districts_Boroughs!DW181</f>
        <v>17</v>
      </c>
      <c r="AT206" s="32">
        <f>[2]Districts_Boroughs!DX181</f>
        <v>19</v>
      </c>
      <c r="AU206" s="32">
        <f>[2]Districts_Boroughs!DY181</f>
        <v>19</v>
      </c>
      <c r="AV206" s="32">
        <f>[2]Districts_Boroughs!DZ181</f>
        <v>26</v>
      </c>
      <c r="AW206" s="32">
        <f>[2]Districts_Boroughs!EA181</f>
        <v>31</v>
      </c>
      <c r="AX206" s="32">
        <f>[2]Districts_Boroughs!EB181</f>
        <v>17</v>
      </c>
      <c r="AY206" s="32">
        <f>[2]Districts_Boroughs!EC181</f>
        <v>24</v>
      </c>
    </row>
    <row r="207" spans="2:51" x14ac:dyDescent="0.35">
      <c r="B207" t="str">
        <f t="shared" si="10"/>
        <v>StratfordTotal Vehicle Crime</v>
      </c>
      <c r="C207" s="345" t="s">
        <v>50</v>
      </c>
      <c r="D207" s="32">
        <f>[2]Districts_Boroughs!CH182</f>
        <v>42</v>
      </c>
      <c r="E207" s="32">
        <f>[2]Districts_Boroughs!CI182</f>
        <v>51</v>
      </c>
      <c r="F207" s="32">
        <f>[2]Districts_Boroughs!CJ182</f>
        <v>43</v>
      </c>
      <c r="G207" s="32">
        <f>[2]Districts_Boroughs!CK182</f>
        <v>63</v>
      </c>
      <c r="H207" s="32">
        <f>[2]Districts_Boroughs!CL182</f>
        <v>77</v>
      </c>
      <c r="I207" s="32">
        <f>[2]Districts_Boroughs!CM182</f>
        <v>61</v>
      </c>
      <c r="J207" s="32">
        <f>[2]Districts_Boroughs!CN182</f>
        <v>71</v>
      </c>
      <c r="K207" s="32">
        <f>[2]Districts_Boroughs!CO182</f>
        <v>71</v>
      </c>
      <c r="L207" s="32">
        <f>[2]Districts_Boroughs!CP182</f>
        <v>51</v>
      </c>
      <c r="M207" s="32">
        <f>[2]Districts_Boroughs!CQ182</f>
        <v>74</v>
      </c>
      <c r="N207" s="32">
        <f>[2]Districts_Boroughs!CR182</f>
        <v>56</v>
      </c>
      <c r="O207" s="32">
        <f>[2]Districts_Boroughs!CS182</f>
        <v>88</v>
      </c>
      <c r="P207" s="32">
        <f>[2]Districts_Boroughs!CT182</f>
        <v>72</v>
      </c>
      <c r="Q207" s="32">
        <f>[2]Districts_Boroughs!CU182</f>
        <v>76</v>
      </c>
      <c r="R207" s="32">
        <f>[2]Districts_Boroughs!CV182</f>
        <v>67</v>
      </c>
      <c r="S207" s="32">
        <f>[2]Districts_Boroughs!CW182</f>
        <v>93</v>
      </c>
      <c r="T207" s="32">
        <f>[2]Districts_Boroughs!CX182</f>
        <v>113</v>
      </c>
      <c r="U207" s="32">
        <f>[2]Districts_Boroughs!CY182</f>
        <v>125</v>
      </c>
      <c r="V207" s="32">
        <f>[2]Districts_Boroughs!CZ182</f>
        <v>85</v>
      </c>
      <c r="W207" s="32">
        <f>[2]Districts_Boroughs!DA182</f>
        <v>96</v>
      </c>
      <c r="X207" s="32">
        <f>[2]Districts_Boroughs!DB182</f>
        <v>64</v>
      </c>
      <c r="Y207" s="32">
        <f>[2]Districts_Boroughs!DC182</f>
        <v>108</v>
      </c>
      <c r="Z207" s="32">
        <f>[2]Districts_Boroughs!DD182</f>
        <v>111</v>
      </c>
      <c r="AA207" s="32">
        <f>[2]Districts_Boroughs!DE182</f>
        <v>92</v>
      </c>
      <c r="AB207" s="32">
        <f>[2]Districts_Boroughs!DF182</f>
        <v>104</v>
      </c>
      <c r="AC207" s="32">
        <f>[2]Districts_Boroughs!DG182</f>
        <v>108</v>
      </c>
      <c r="AD207" s="32">
        <f>[2]Districts_Boroughs!DH182</f>
        <v>79</v>
      </c>
      <c r="AE207" s="32">
        <f>[2]Districts_Boroughs!DI182</f>
        <v>83</v>
      </c>
      <c r="AF207" s="32">
        <f>[2]Districts_Boroughs!DJ182</f>
        <v>66</v>
      </c>
      <c r="AG207" s="32">
        <f>[2]Districts_Boroughs!DK182</f>
        <v>61</v>
      </c>
      <c r="AH207" s="32">
        <f>[2]Districts_Boroughs!DL182</f>
        <v>84</v>
      </c>
      <c r="AI207" s="32">
        <f>[2]Districts_Boroughs!DM182</f>
        <v>78</v>
      </c>
      <c r="AJ207" s="32">
        <f>[2]Districts_Boroughs!DN182</f>
        <v>56</v>
      </c>
      <c r="AK207" s="32">
        <f>[2]Districts_Boroughs!DO182</f>
        <v>72</v>
      </c>
      <c r="AL207" s="32">
        <f>[2]Districts_Boroughs!DP182</f>
        <v>51</v>
      </c>
      <c r="AM207" s="32">
        <f>[2]Districts_Boroughs!DQ182</f>
        <v>60</v>
      </c>
      <c r="AN207" s="32">
        <f>[2]Districts_Boroughs!DR182</f>
        <v>55</v>
      </c>
      <c r="AO207" s="32">
        <f>[2]Districts_Boroughs!DS182</f>
        <v>112</v>
      </c>
      <c r="AP207" s="32">
        <f>[2]Districts_Boroughs!DT182</f>
        <v>76</v>
      </c>
      <c r="AQ207" s="32">
        <f>[2]Districts_Boroughs!DU182</f>
        <v>72</v>
      </c>
      <c r="AR207" s="32">
        <f>[2]Districts_Boroughs!DV182</f>
        <v>49</v>
      </c>
      <c r="AS207" s="32">
        <f>[2]Districts_Boroughs!DW182</f>
        <v>37</v>
      </c>
      <c r="AT207" s="32">
        <f>[2]Districts_Boroughs!DX182</f>
        <v>88</v>
      </c>
      <c r="AU207" s="32">
        <f>[2]Districts_Boroughs!DY182</f>
        <v>87</v>
      </c>
      <c r="AV207" s="32">
        <f>[2]Districts_Boroughs!DZ182</f>
        <v>65</v>
      </c>
      <c r="AW207" s="32">
        <f>[2]Districts_Boroughs!EA182</f>
        <v>72</v>
      </c>
      <c r="AX207" s="32">
        <f>[2]Districts_Boroughs!EB182</f>
        <v>40</v>
      </c>
      <c r="AY207" s="32">
        <f>[2]Districts_Boroughs!EC182</f>
        <v>65</v>
      </c>
    </row>
    <row r="208" spans="2:51" x14ac:dyDescent="0.35">
      <c r="B208" t="str">
        <f t="shared" si="10"/>
        <v>Stratford</v>
      </c>
      <c r="C208" s="345"/>
      <c r="D208" s="32">
        <f>[2]Districts_Boroughs!CH183</f>
        <v>0</v>
      </c>
      <c r="E208" s="32">
        <f>[2]Districts_Boroughs!CI183</f>
        <v>0</v>
      </c>
      <c r="F208" s="32">
        <f>[2]Districts_Boroughs!CJ183</f>
        <v>0</v>
      </c>
      <c r="G208" s="32">
        <f>[2]Districts_Boroughs!CK183</f>
        <v>0</v>
      </c>
      <c r="H208" s="32">
        <f>[2]Districts_Boroughs!CL183</f>
        <v>0</v>
      </c>
      <c r="I208" s="32">
        <f>[2]Districts_Boroughs!CM183</f>
        <v>0</v>
      </c>
      <c r="J208" s="32">
        <f>[2]Districts_Boroughs!CN183</f>
        <v>0</v>
      </c>
      <c r="K208" s="32">
        <f>[2]Districts_Boroughs!CO183</f>
        <v>0</v>
      </c>
      <c r="L208" s="32">
        <f>[2]Districts_Boroughs!CP183</f>
        <v>0</v>
      </c>
      <c r="M208" s="32">
        <f>[2]Districts_Boroughs!CQ183</f>
        <v>0</v>
      </c>
      <c r="N208" s="32">
        <f>[2]Districts_Boroughs!CR183</f>
        <v>0</v>
      </c>
      <c r="O208" s="32">
        <f>[2]Districts_Boroughs!CS183</f>
        <v>0</v>
      </c>
      <c r="P208" s="32">
        <f>[2]Districts_Boroughs!CT183</f>
        <v>0</v>
      </c>
      <c r="Q208" s="32">
        <f>[2]Districts_Boroughs!CU183</f>
        <v>0</v>
      </c>
      <c r="R208" s="32">
        <f>[2]Districts_Boroughs!CV183</f>
        <v>0</v>
      </c>
      <c r="S208" s="32">
        <f>[2]Districts_Boroughs!CW183</f>
        <v>0</v>
      </c>
      <c r="T208" s="32">
        <f>[2]Districts_Boroughs!CX183</f>
        <v>0</v>
      </c>
      <c r="U208" s="32">
        <f>[2]Districts_Boroughs!CY183</f>
        <v>0</v>
      </c>
      <c r="V208" s="32">
        <f>[2]Districts_Boroughs!CZ183</f>
        <v>0</v>
      </c>
      <c r="W208" s="32">
        <f>[2]Districts_Boroughs!DA183</f>
        <v>0</v>
      </c>
      <c r="X208" s="32">
        <f>[2]Districts_Boroughs!DB183</f>
        <v>0</v>
      </c>
      <c r="Y208" s="32">
        <f>[2]Districts_Boroughs!DC183</f>
        <v>0</v>
      </c>
      <c r="Z208" s="32">
        <f>[2]Districts_Boroughs!DD183</f>
        <v>0</v>
      </c>
      <c r="AA208" s="32">
        <f>[2]Districts_Boroughs!DE183</f>
        <v>0</v>
      </c>
      <c r="AB208" s="32">
        <f>[2]Districts_Boroughs!DF183</f>
        <v>0</v>
      </c>
      <c r="AC208" s="32">
        <f>[2]Districts_Boroughs!DG183</f>
        <v>0</v>
      </c>
      <c r="AD208" s="32">
        <f>[2]Districts_Boroughs!DH183</f>
        <v>0</v>
      </c>
      <c r="AE208" s="32">
        <f>[2]Districts_Boroughs!DI183</f>
        <v>0</v>
      </c>
      <c r="AF208" s="32">
        <f>[2]Districts_Boroughs!DJ183</f>
        <v>0</v>
      </c>
      <c r="AG208" s="32">
        <f>[2]Districts_Boroughs!DK183</f>
        <v>0</v>
      </c>
      <c r="AH208" s="32">
        <f>[2]Districts_Boroughs!DL183</f>
        <v>0</v>
      </c>
      <c r="AI208" s="32">
        <f>[2]Districts_Boroughs!DM183</f>
        <v>0</v>
      </c>
      <c r="AJ208" s="32">
        <f>[2]Districts_Boroughs!DN183</f>
        <v>0</v>
      </c>
      <c r="AK208" s="32">
        <f>[2]Districts_Boroughs!DO183</f>
        <v>0</v>
      </c>
      <c r="AL208" s="32">
        <f>[2]Districts_Boroughs!DP183</f>
        <v>0</v>
      </c>
      <c r="AM208" s="32">
        <f>[2]Districts_Boroughs!DQ183</f>
        <v>0</v>
      </c>
      <c r="AN208" s="32">
        <f>[2]Districts_Boroughs!DR183</f>
        <v>0</v>
      </c>
      <c r="AO208" s="32">
        <f>[2]Districts_Boroughs!DS183</f>
        <v>0</v>
      </c>
      <c r="AP208" s="32">
        <f>[2]Districts_Boroughs!DT183</f>
        <v>0</v>
      </c>
      <c r="AQ208" s="32">
        <f>[2]Districts_Boroughs!DU183</f>
        <v>0</v>
      </c>
      <c r="AR208" s="32">
        <f>[2]Districts_Boroughs!DV183</f>
        <v>0</v>
      </c>
      <c r="AS208" s="32">
        <f>[2]Districts_Boroughs!DW183</f>
        <v>0</v>
      </c>
      <c r="AT208" s="32">
        <f>[2]Districts_Boroughs!DX183</f>
        <v>0</v>
      </c>
      <c r="AU208" s="32">
        <f>[2]Districts_Boroughs!DY183</f>
        <v>0</v>
      </c>
      <c r="AV208" s="32">
        <f>[2]Districts_Boroughs!DZ183</f>
        <v>0</v>
      </c>
      <c r="AW208" s="32">
        <f>[2]Districts_Boroughs!EA183</f>
        <v>0</v>
      </c>
      <c r="AX208" s="32">
        <f>[2]Districts_Boroughs!EB183</f>
        <v>0</v>
      </c>
      <c r="AY208" s="32">
        <f>[2]Districts_Boroughs!EC183</f>
        <v>0</v>
      </c>
    </row>
    <row r="209" spans="2:51" x14ac:dyDescent="0.35">
      <c r="B209" t="str">
        <f t="shared" si="10"/>
        <v>StratfordHate Offences &amp; Crimed Incidents</v>
      </c>
      <c r="C209" s="345" t="s">
        <v>51</v>
      </c>
      <c r="D209" s="32">
        <f>[2]Districts_Boroughs!CH184</f>
        <v>22</v>
      </c>
      <c r="E209" s="32">
        <f>[2]Districts_Boroughs!CI184</f>
        <v>13</v>
      </c>
      <c r="F209" s="32">
        <f>[2]Districts_Boroughs!CJ184</f>
        <v>21</v>
      </c>
      <c r="G209" s="32">
        <f>[2]Districts_Boroughs!CK184</f>
        <v>15</v>
      </c>
      <c r="H209" s="32">
        <f>[2]Districts_Boroughs!CL184</f>
        <v>19</v>
      </c>
      <c r="I209" s="32">
        <f>[2]Districts_Boroughs!CM184</f>
        <v>11</v>
      </c>
      <c r="J209" s="32">
        <f>[2]Districts_Boroughs!CN184</f>
        <v>12</v>
      </c>
      <c r="K209" s="32">
        <f>[2]Districts_Boroughs!CO184</f>
        <v>16</v>
      </c>
      <c r="L209" s="32">
        <f>[2]Districts_Boroughs!CP184</f>
        <v>18</v>
      </c>
      <c r="M209" s="32">
        <f>[2]Districts_Boroughs!CQ184</f>
        <v>4</v>
      </c>
      <c r="N209" s="32">
        <f>[2]Districts_Boroughs!CR184</f>
        <v>14</v>
      </c>
      <c r="O209" s="32">
        <f>[2]Districts_Boroughs!CS184</f>
        <v>13</v>
      </c>
      <c r="P209" s="32">
        <f>[2]Districts_Boroughs!CT184</f>
        <v>13</v>
      </c>
      <c r="Q209" s="32">
        <f>[2]Districts_Boroughs!CU184</f>
        <v>15</v>
      </c>
      <c r="R209" s="32">
        <f>[2]Districts_Boroughs!CV184</f>
        <v>18</v>
      </c>
      <c r="S209" s="32">
        <f>[2]Districts_Boroughs!CW184</f>
        <v>24</v>
      </c>
      <c r="T209" s="32">
        <f>[2]Districts_Boroughs!CX184</f>
        <v>21</v>
      </c>
      <c r="U209" s="32">
        <f>[2]Districts_Boroughs!CY184</f>
        <v>19</v>
      </c>
      <c r="V209" s="32">
        <f>[2]Districts_Boroughs!CZ184</f>
        <v>15</v>
      </c>
      <c r="W209" s="32">
        <f>[2]Districts_Boroughs!DA184</f>
        <v>20</v>
      </c>
      <c r="X209" s="32">
        <f>[2]Districts_Boroughs!DB184</f>
        <v>10</v>
      </c>
      <c r="Y209" s="32">
        <f>[2]Districts_Boroughs!DC184</f>
        <v>12</v>
      </c>
      <c r="Z209" s="32">
        <f>[2]Districts_Boroughs!DD184</f>
        <v>12</v>
      </c>
      <c r="AA209" s="32">
        <f>[2]Districts_Boroughs!DE184</f>
        <v>18</v>
      </c>
      <c r="AB209" s="32">
        <f>[2]Districts_Boroughs!DF184</f>
        <v>13</v>
      </c>
      <c r="AC209" s="32">
        <f>[2]Districts_Boroughs!DG184</f>
        <v>11</v>
      </c>
      <c r="AD209" s="32">
        <f>[2]Districts_Boroughs!DH184</f>
        <v>10</v>
      </c>
      <c r="AE209" s="32">
        <f>[2]Districts_Boroughs!DI184</f>
        <v>12</v>
      </c>
      <c r="AF209" s="32">
        <f>[2]Districts_Boroughs!DJ184</f>
        <v>20</v>
      </c>
      <c r="AG209" s="32">
        <f>[2]Districts_Boroughs!DK184</f>
        <v>12</v>
      </c>
      <c r="AH209" s="32">
        <f>[2]Districts_Boroughs!DL184</f>
        <v>15</v>
      </c>
      <c r="AI209" s="32">
        <f>[2]Districts_Boroughs!DM184</f>
        <v>13</v>
      </c>
      <c r="AJ209" s="32">
        <f>[2]Districts_Boroughs!DN184</f>
        <v>18</v>
      </c>
      <c r="AK209" s="32">
        <f>[2]Districts_Boroughs!DO184</f>
        <v>14</v>
      </c>
      <c r="AL209" s="32">
        <f>[2]Districts_Boroughs!DP184</f>
        <v>21</v>
      </c>
      <c r="AM209" s="32">
        <f>[2]Districts_Boroughs!DQ184</f>
        <v>17</v>
      </c>
      <c r="AN209" s="32">
        <f>[2]Districts_Boroughs!DR184</f>
        <v>9</v>
      </c>
      <c r="AO209" s="32">
        <f>[2]Districts_Boroughs!DS184</f>
        <v>18</v>
      </c>
      <c r="AP209" s="32">
        <f>[2]Districts_Boroughs!DT184</f>
        <v>10</v>
      </c>
      <c r="AQ209" s="32">
        <f>[2]Districts_Boroughs!DU184</f>
        <v>15</v>
      </c>
      <c r="AR209" s="32">
        <f>[2]Districts_Boroughs!DV184</f>
        <v>30</v>
      </c>
      <c r="AS209" s="32">
        <f>[2]Districts_Boroughs!DW184</f>
        <v>14</v>
      </c>
      <c r="AT209" s="32">
        <f>[2]Districts_Boroughs!DX184</f>
        <v>13</v>
      </c>
      <c r="AU209" s="32">
        <f>[2]Districts_Boroughs!DY184</f>
        <v>14</v>
      </c>
      <c r="AV209" s="32">
        <f>[2]Districts_Boroughs!DZ184</f>
        <v>15</v>
      </c>
      <c r="AW209" s="32">
        <f>[2]Districts_Boroughs!EA184</f>
        <v>5</v>
      </c>
      <c r="AX209" s="32">
        <f>[2]Districts_Boroughs!EB184</f>
        <v>13</v>
      </c>
      <c r="AY209" s="32">
        <f>[2]Districts_Boroughs!EC184</f>
        <v>20</v>
      </c>
    </row>
    <row r="210" spans="2:51" s="64" customFormat="1" x14ac:dyDescent="0.35">
      <c r="B210" s="64" t="str">
        <f t="shared" si="10"/>
        <v>StratfordDA Offences &amp; Crimed Incidents</v>
      </c>
      <c r="C210" s="345" t="s">
        <v>200</v>
      </c>
      <c r="D210" s="32">
        <f>[2]Districts_Boroughs!CH185</f>
        <v>184</v>
      </c>
      <c r="E210" s="32">
        <f>[2]Districts_Boroughs!CI185</f>
        <v>172</v>
      </c>
      <c r="F210" s="32">
        <f>[2]Districts_Boroughs!CJ185</f>
        <v>192</v>
      </c>
      <c r="G210" s="32">
        <f>[2]Districts_Boroughs!CK185</f>
        <v>187</v>
      </c>
      <c r="H210" s="32">
        <f>[2]Districts_Boroughs!CL185</f>
        <v>188</v>
      </c>
      <c r="I210" s="32">
        <f>[2]Districts_Boroughs!CM185</f>
        <v>174</v>
      </c>
      <c r="J210" s="32">
        <f>[2]Districts_Boroughs!CN185</f>
        <v>159</v>
      </c>
      <c r="K210" s="32">
        <f>[2]Districts_Boroughs!CO185</f>
        <v>116</v>
      </c>
      <c r="L210" s="32">
        <f>[2]Districts_Boroughs!CP185</f>
        <v>154</v>
      </c>
      <c r="M210" s="32">
        <f>[2]Districts_Boroughs!CQ185</f>
        <v>157</v>
      </c>
      <c r="N210" s="32">
        <f>[2]Districts_Boroughs!CR185</f>
        <v>132</v>
      </c>
      <c r="O210" s="32">
        <f>[2]Districts_Boroughs!CS185</f>
        <v>178</v>
      </c>
      <c r="P210" s="32">
        <f>[2]Districts_Boroughs!CT185</f>
        <v>150</v>
      </c>
      <c r="Q210" s="32">
        <f>[2]Districts_Boroughs!CU185</f>
        <v>184</v>
      </c>
      <c r="R210" s="32">
        <f>[2]Districts_Boroughs!CV185</f>
        <v>141</v>
      </c>
      <c r="S210" s="32">
        <f>[2]Districts_Boroughs!CW185</f>
        <v>202</v>
      </c>
      <c r="T210" s="32">
        <f>[2]Districts_Boroughs!CX185</f>
        <v>159</v>
      </c>
      <c r="U210" s="32">
        <f>[2]Districts_Boroughs!CY185</f>
        <v>162</v>
      </c>
      <c r="V210" s="32">
        <f>[2]Districts_Boroughs!CZ185</f>
        <v>147</v>
      </c>
      <c r="W210" s="32">
        <f>[2]Districts_Boroughs!DA185</f>
        <v>150</v>
      </c>
      <c r="X210" s="32">
        <f>[2]Districts_Boroughs!DB185</f>
        <v>170</v>
      </c>
      <c r="Y210" s="32">
        <f>[2]Districts_Boroughs!DC185</f>
        <v>128</v>
      </c>
      <c r="Z210" s="32">
        <f>[2]Districts_Boroughs!DD185</f>
        <v>147</v>
      </c>
      <c r="AA210" s="32">
        <f>[2]Districts_Boroughs!DE185</f>
        <v>175</v>
      </c>
      <c r="AB210" s="32">
        <f>[2]Districts_Boroughs!DF185</f>
        <v>199</v>
      </c>
      <c r="AC210" s="32">
        <f>[2]Districts_Boroughs!DG185</f>
        <v>148</v>
      </c>
      <c r="AD210" s="32">
        <f>[2]Districts_Boroughs!DH185</f>
        <v>189</v>
      </c>
      <c r="AE210" s="32">
        <f>[2]Districts_Boroughs!DI185</f>
        <v>163</v>
      </c>
      <c r="AF210" s="32">
        <f>[2]Districts_Boroughs!DJ185</f>
        <v>166</v>
      </c>
      <c r="AG210" s="32">
        <f>[2]Districts_Boroughs!DK185</f>
        <v>153</v>
      </c>
      <c r="AH210" s="32">
        <f>[2]Districts_Boroughs!DL185</f>
        <v>150</v>
      </c>
      <c r="AI210" s="32">
        <f>[2]Districts_Boroughs!DM185</f>
        <v>154</v>
      </c>
      <c r="AJ210" s="32">
        <f>[2]Districts_Boroughs!DN185</f>
        <v>172</v>
      </c>
      <c r="AK210" s="32">
        <f>[2]Districts_Boroughs!DO185</f>
        <v>153</v>
      </c>
      <c r="AL210" s="32">
        <f>[2]Districts_Boroughs!DP185</f>
        <v>159</v>
      </c>
      <c r="AM210" s="32">
        <f>[2]Districts_Boroughs!DQ185</f>
        <v>175</v>
      </c>
      <c r="AN210" s="32">
        <f>[2]Districts_Boroughs!DR185</f>
        <v>151</v>
      </c>
      <c r="AO210" s="32">
        <f>[2]Districts_Boroughs!DS185</f>
        <v>170</v>
      </c>
      <c r="AP210" s="32">
        <f>[2]Districts_Boroughs!DT185</f>
        <v>164</v>
      </c>
      <c r="AQ210" s="32">
        <f>[2]Districts_Boroughs!DU185</f>
        <v>177</v>
      </c>
      <c r="AR210" s="32">
        <f>[2]Districts_Boroughs!DV185</f>
        <v>161</v>
      </c>
      <c r="AS210" s="32">
        <f>[2]Districts_Boroughs!DW185</f>
        <v>170</v>
      </c>
      <c r="AT210" s="32">
        <f>[2]Districts_Boroughs!DX185</f>
        <v>166</v>
      </c>
      <c r="AU210" s="32">
        <f>[2]Districts_Boroughs!DY185</f>
        <v>140</v>
      </c>
      <c r="AV210" s="32">
        <f>[2]Districts_Boroughs!DZ185</f>
        <v>182</v>
      </c>
      <c r="AW210" s="32">
        <f>[2]Districts_Boroughs!EA185</f>
        <v>146</v>
      </c>
      <c r="AX210" s="32">
        <f>[2]Districts_Boroughs!EB185</f>
        <v>171</v>
      </c>
      <c r="AY210" s="32">
        <f>[2]Districts_Boroughs!EC185</f>
        <v>180</v>
      </c>
    </row>
    <row r="211" spans="2:51" s="64" customFormat="1" x14ac:dyDescent="0.35">
      <c r="B211" s="64" t="str">
        <f t="shared" si="10"/>
        <v>StratfordVulnerable adult offences and crimed incidents</v>
      </c>
      <c r="C211" s="345" t="s">
        <v>201</v>
      </c>
      <c r="D211" s="32">
        <f>[2]Districts_Boroughs!CH186</f>
        <v>117</v>
      </c>
      <c r="E211" s="32">
        <f>[2]Districts_Boroughs!CI186</f>
        <v>94</v>
      </c>
      <c r="F211" s="32">
        <f>[2]Districts_Boroughs!CJ186</f>
        <v>89</v>
      </c>
      <c r="G211" s="32">
        <f>[2]Districts_Boroughs!CK186</f>
        <v>104</v>
      </c>
      <c r="H211" s="32">
        <f>[2]Districts_Boroughs!CL186</f>
        <v>93</v>
      </c>
      <c r="I211" s="32">
        <f>[2]Districts_Boroughs!CM186</f>
        <v>86</v>
      </c>
      <c r="J211" s="32">
        <f>[2]Districts_Boroughs!CN186</f>
        <v>85</v>
      </c>
      <c r="K211" s="32">
        <f>[2]Districts_Boroughs!CO186</f>
        <v>100</v>
      </c>
      <c r="L211" s="32">
        <f>[2]Districts_Boroughs!CP186</f>
        <v>78</v>
      </c>
      <c r="M211" s="32">
        <f>[2]Districts_Boroughs!CQ186</f>
        <v>88</v>
      </c>
      <c r="N211" s="32">
        <f>[2]Districts_Boroughs!CR186</f>
        <v>101</v>
      </c>
      <c r="O211" s="32">
        <f>[2]Districts_Boroughs!CS186</f>
        <v>77</v>
      </c>
      <c r="P211" s="32">
        <f>[2]Districts_Boroughs!CT186</f>
        <v>98</v>
      </c>
      <c r="Q211" s="32">
        <f>[2]Districts_Boroughs!CU186</f>
        <v>120</v>
      </c>
      <c r="R211" s="32">
        <f>[2]Districts_Boroughs!CV186</f>
        <v>95</v>
      </c>
      <c r="S211" s="32">
        <f>[2]Districts_Boroughs!CW186</f>
        <v>106</v>
      </c>
      <c r="T211" s="32">
        <f>[2]Districts_Boroughs!CX186</f>
        <v>126</v>
      </c>
      <c r="U211" s="32">
        <f>[2]Districts_Boroughs!CY186</f>
        <v>115</v>
      </c>
      <c r="V211" s="32">
        <f>[2]Districts_Boroughs!CZ186</f>
        <v>114</v>
      </c>
      <c r="W211" s="32">
        <f>[2]Districts_Boroughs!DA186</f>
        <v>110</v>
      </c>
      <c r="X211" s="32">
        <f>[2]Districts_Boroughs!DB186</f>
        <v>114</v>
      </c>
      <c r="Y211" s="32">
        <f>[2]Districts_Boroughs!DC186</f>
        <v>100</v>
      </c>
      <c r="Z211" s="32">
        <f>[2]Districts_Boroughs!DD186</f>
        <v>96</v>
      </c>
      <c r="AA211" s="32">
        <f>[2]Districts_Boroughs!DE186</f>
        <v>120</v>
      </c>
      <c r="AB211" s="32">
        <f>[2]Districts_Boroughs!DF186</f>
        <v>113</v>
      </c>
      <c r="AC211" s="32">
        <f>[2]Districts_Boroughs!DG186</f>
        <v>130</v>
      </c>
      <c r="AD211" s="32">
        <f>[2]Districts_Boroughs!DH186</f>
        <v>111</v>
      </c>
      <c r="AE211" s="32">
        <f>[2]Districts_Boroughs!DI186</f>
        <v>115</v>
      </c>
      <c r="AF211" s="32">
        <f>[2]Districts_Boroughs!DJ186</f>
        <v>115</v>
      </c>
      <c r="AG211" s="32">
        <f>[2]Districts_Boroughs!DK186</f>
        <v>108</v>
      </c>
      <c r="AH211" s="32">
        <f>[2]Districts_Boroughs!DL186</f>
        <v>111</v>
      </c>
      <c r="AI211" s="32">
        <f>[2]Districts_Boroughs!DM186</f>
        <v>110</v>
      </c>
      <c r="AJ211" s="32">
        <f>[2]Districts_Boroughs!DN186</f>
        <v>97</v>
      </c>
      <c r="AK211" s="32">
        <f>[2]Districts_Boroughs!DO186</f>
        <v>98</v>
      </c>
      <c r="AL211" s="32">
        <f>[2]Districts_Boroughs!DP186</f>
        <v>106</v>
      </c>
      <c r="AM211" s="32">
        <f>[2]Districts_Boroughs!DQ186</f>
        <v>104</v>
      </c>
      <c r="AN211" s="32">
        <f>[2]Districts_Boroughs!DR186</f>
        <v>90</v>
      </c>
      <c r="AO211" s="32">
        <f>[2]Districts_Boroughs!DS186</f>
        <v>96</v>
      </c>
      <c r="AP211" s="32">
        <f>[2]Districts_Boroughs!DT186</f>
        <v>89</v>
      </c>
      <c r="AQ211" s="32">
        <f>[2]Districts_Boroughs!DU186</f>
        <v>96</v>
      </c>
      <c r="AR211" s="32">
        <f>[2]Districts_Boroughs!DV186</f>
        <v>85</v>
      </c>
      <c r="AS211" s="32">
        <f>[2]Districts_Boroughs!DW186</f>
        <v>97</v>
      </c>
      <c r="AT211" s="32">
        <f>[2]Districts_Boroughs!DX186</f>
        <v>92</v>
      </c>
      <c r="AU211" s="32">
        <f>[2]Districts_Boroughs!DY186</f>
        <v>85</v>
      </c>
      <c r="AV211" s="32">
        <f>[2]Districts_Boroughs!DZ186</f>
        <v>101</v>
      </c>
      <c r="AW211" s="32">
        <f>[2]Districts_Boroughs!EA186</f>
        <v>105</v>
      </c>
      <c r="AX211" s="32">
        <f>[2]Districts_Boroughs!EB186</f>
        <v>96</v>
      </c>
      <c r="AY211" s="32">
        <f>[2]Districts_Boroughs!EC186</f>
        <v>93</v>
      </c>
    </row>
    <row r="212" spans="2:51" s="64" customFormat="1" x14ac:dyDescent="0.35">
      <c r="B212" s="64" t="str">
        <f t="shared" si="10"/>
        <v>StratfordCSE offences and crimed incidents</v>
      </c>
      <c r="C212" s="345" t="s">
        <v>202</v>
      </c>
      <c r="D212" s="32">
        <f>[2]Districts_Boroughs!CH187</f>
        <v>0</v>
      </c>
      <c r="E212" s="32">
        <f>[2]Districts_Boroughs!CI187</f>
        <v>1</v>
      </c>
      <c r="F212" s="32">
        <f>[2]Districts_Boroughs!CJ187</f>
        <v>0</v>
      </c>
      <c r="G212" s="32">
        <f>[2]Districts_Boroughs!CK187</f>
        <v>0</v>
      </c>
      <c r="H212" s="32">
        <f>[2]Districts_Boroughs!CL187</f>
        <v>1</v>
      </c>
      <c r="I212" s="32">
        <f>[2]Districts_Boroughs!CM187</f>
        <v>0</v>
      </c>
      <c r="J212" s="32">
        <f>[2]Districts_Boroughs!CN187</f>
        <v>1</v>
      </c>
      <c r="K212" s="32">
        <f>[2]Districts_Boroughs!CO187</f>
        <v>0</v>
      </c>
      <c r="L212" s="32">
        <f>[2]Districts_Boroughs!CP187</f>
        <v>0</v>
      </c>
      <c r="M212" s="32">
        <f>[2]Districts_Boroughs!CQ187</f>
        <v>6</v>
      </c>
      <c r="N212" s="32">
        <f>[2]Districts_Boroughs!CR187</f>
        <v>0</v>
      </c>
      <c r="O212" s="32">
        <f>[2]Districts_Boroughs!CS187</f>
        <v>1</v>
      </c>
      <c r="P212" s="32">
        <f>[2]Districts_Boroughs!CT187</f>
        <v>1</v>
      </c>
      <c r="Q212" s="32">
        <f>[2]Districts_Boroughs!CU187</f>
        <v>1</v>
      </c>
      <c r="R212" s="32">
        <f>[2]Districts_Boroughs!CV187</f>
        <v>1</v>
      </c>
      <c r="S212" s="32">
        <f>[2]Districts_Boroughs!CW187</f>
        <v>4</v>
      </c>
      <c r="T212" s="32">
        <f>[2]Districts_Boroughs!CX187</f>
        <v>6</v>
      </c>
      <c r="U212" s="32">
        <f>[2]Districts_Boroughs!CY187</f>
        <v>4</v>
      </c>
      <c r="V212" s="32">
        <f>[2]Districts_Boroughs!CZ187</f>
        <v>5</v>
      </c>
      <c r="W212" s="32">
        <f>[2]Districts_Boroughs!DA187</f>
        <v>1</v>
      </c>
      <c r="X212" s="32">
        <f>[2]Districts_Boroughs!DB187</f>
        <v>5</v>
      </c>
      <c r="Y212" s="32">
        <f>[2]Districts_Boroughs!DC187</f>
        <v>10</v>
      </c>
      <c r="Z212" s="32">
        <f>[2]Districts_Boroughs!DD187</f>
        <v>4</v>
      </c>
      <c r="AA212" s="32">
        <f>[2]Districts_Boroughs!DE187</f>
        <v>9</v>
      </c>
      <c r="AB212" s="32">
        <f>[2]Districts_Boroughs!DF187</f>
        <v>0</v>
      </c>
      <c r="AC212" s="32">
        <f>[2]Districts_Boroughs!DG187</f>
        <v>3</v>
      </c>
      <c r="AD212" s="32">
        <f>[2]Districts_Boroughs!DH187</f>
        <v>0</v>
      </c>
      <c r="AE212" s="32">
        <f>[2]Districts_Boroughs!DI187</f>
        <v>0</v>
      </c>
      <c r="AF212" s="32">
        <f>[2]Districts_Boroughs!DJ187</f>
        <v>0</v>
      </c>
      <c r="AG212" s="32">
        <f>[2]Districts_Boroughs!DK187</f>
        <v>1</v>
      </c>
      <c r="AH212" s="32">
        <f>[2]Districts_Boroughs!DL187</f>
        <v>0</v>
      </c>
      <c r="AI212" s="32">
        <f>[2]Districts_Boroughs!DM187</f>
        <v>2</v>
      </c>
      <c r="AJ212" s="32">
        <f>[2]Districts_Boroughs!DN187</f>
        <v>4</v>
      </c>
      <c r="AK212" s="32">
        <f>[2]Districts_Boroughs!DO187</f>
        <v>6</v>
      </c>
      <c r="AL212" s="32">
        <f>[2]Districts_Boroughs!DP187</f>
        <v>1</v>
      </c>
      <c r="AM212" s="32">
        <f>[2]Districts_Boroughs!DQ187</f>
        <v>4</v>
      </c>
      <c r="AN212" s="32">
        <f>[2]Districts_Boroughs!DR187</f>
        <v>6</v>
      </c>
      <c r="AO212" s="32">
        <f>[2]Districts_Boroughs!DS187</f>
        <v>5</v>
      </c>
      <c r="AP212" s="32">
        <f>[2]Districts_Boroughs!DT187</f>
        <v>1</v>
      </c>
      <c r="AQ212" s="32">
        <f>[2]Districts_Boroughs!DU187</f>
        <v>0</v>
      </c>
      <c r="AR212" s="32">
        <f>[2]Districts_Boroughs!DV187</f>
        <v>2</v>
      </c>
      <c r="AS212" s="32">
        <f>[2]Districts_Boroughs!DW187</f>
        <v>2</v>
      </c>
      <c r="AT212" s="32">
        <f>[2]Districts_Boroughs!DX187</f>
        <v>5</v>
      </c>
      <c r="AU212" s="32">
        <f>[2]Districts_Boroughs!DY187</f>
        <v>2</v>
      </c>
      <c r="AV212" s="32">
        <f>[2]Districts_Boroughs!DZ187</f>
        <v>2</v>
      </c>
      <c r="AW212" s="32">
        <f>[2]Districts_Boroughs!EA187</f>
        <v>1</v>
      </c>
      <c r="AX212" s="32">
        <f>[2]Districts_Boroughs!EB187</f>
        <v>7</v>
      </c>
      <c r="AY212" s="32">
        <f>[2]Districts_Boroughs!EC187</f>
        <v>4</v>
      </c>
    </row>
    <row r="213" spans="2:51" x14ac:dyDescent="0.35">
      <c r="B213" s="64" t="str">
        <f t="shared" si="10"/>
        <v>Stratford</v>
      </c>
      <c r="C213" s="345"/>
      <c r="D213" s="32">
        <f>[2]Districts_Boroughs!CH188</f>
        <v>0</v>
      </c>
      <c r="E213" s="32">
        <f>[2]Districts_Boroughs!CI188</f>
        <v>0</v>
      </c>
      <c r="F213" s="32">
        <f>[2]Districts_Boroughs!CJ188</f>
        <v>0</v>
      </c>
      <c r="G213" s="32">
        <f>[2]Districts_Boroughs!CK188</f>
        <v>0</v>
      </c>
      <c r="H213" s="32">
        <f>[2]Districts_Boroughs!CL188</f>
        <v>0</v>
      </c>
      <c r="I213" s="32">
        <f>[2]Districts_Boroughs!CM188</f>
        <v>0</v>
      </c>
      <c r="J213" s="32">
        <f>[2]Districts_Boroughs!CN188</f>
        <v>0</v>
      </c>
      <c r="K213" s="32">
        <f>[2]Districts_Boroughs!CO188</f>
        <v>0</v>
      </c>
      <c r="L213" s="32">
        <f>[2]Districts_Boroughs!CP188</f>
        <v>0</v>
      </c>
      <c r="M213" s="32">
        <f>[2]Districts_Boroughs!CQ188</f>
        <v>0</v>
      </c>
      <c r="N213" s="32">
        <f>[2]Districts_Boroughs!CR188</f>
        <v>0</v>
      </c>
      <c r="O213" s="32">
        <f>[2]Districts_Boroughs!CS188</f>
        <v>0</v>
      </c>
      <c r="P213" s="32">
        <f>[2]Districts_Boroughs!CT188</f>
        <v>0</v>
      </c>
      <c r="Q213" s="32">
        <f>[2]Districts_Boroughs!CU188</f>
        <v>0</v>
      </c>
      <c r="R213" s="32">
        <f>[2]Districts_Boroughs!CV188</f>
        <v>0</v>
      </c>
      <c r="S213" s="32">
        <f>[2]Districts_Boroughs!CW188</f>
        <v>0</v>
      </c>
      <c r="T213" s="32">
        <f>[2]Districts_Boroughs!CX188</f>
        <v>0</v>
      </c>
      <c r="U213" s="32">
        <f>[2]Districts_Boroughs!CY188</f>
        <v>0</v>
      </c>
      <c r="V213" s="32">
        <f>[2]Districts_Boroughs!CZ188</f>
        <v>0</v>
      </c>
      <c r="W213" s="32">
        <f>[2]Districts_Boroughs!DA188</f>
        <v>0</v>
      </c>
      <c r="X213" s="32">
        <f>[2]Districts_Boroughs!DB188</f>
        <v>0</v>
      </c>
      <c r="Y213" s="32">
        <f>[2]Districts_Boroughs!DC188</f>
        <v>0</v>
      </c>
      <c r="Z213" s="32">
        <f>[2]Districts_Boroughs!DD188</f>
        <v>0</v>
      </c>
      <c r="AA213" s="32">
        <f>[2]Districts_Boroughs!DE188</f>
        <v>0</v>
      </c>
      <c r="AB213" s="32">
        <f>[2]Districts_Boroughs!DF188</f>
        <v>0</v>
      </c>
      <c r="AC213" s="32">
        <f>[2]Districts_Boroughs!DG188</f>
        <v>0</v>
      </c>
      <c r="AD213" s="32">
        <f>[2]Districts_Boroughs!DH188</f>
        <v>0</v>
      </c>
      <c r="AE213" s="32">
        <f>[2]Districts_Boroughs!DI188</f>
        <v>0</v>
      </c>
      <c r="AF213" s="32">
        <f>[2]Districts_Boroughs!DJ188</f>
        <v>0</v>
      </c>
      <c r="AG213" s="32">
        <f>[2]Districts_Boroughs!DK188</f>
        <v>0</v>
      </c>
      <c r="AH213" s="32">
        <f>[2]Districts_Boroughs!DL188</f>
        <v>0</v>
      </c>
      <c r="AI213" s="32">
        <f>[2]Districts_Boroughs!DM188</f>
        <v>0</v>
      </c>
      <c r="AJ213" s="32">
        <f>[2]Districts_Boroughs!DN188</f>
        <v>0</v>
      </c>
      <c r="AK213" s="32">
        <f>[2]Districts_Boroughs!DO188</f>
        <v>0</v>
      </c>
      <c r="AL213" s="32">
        <f>[2]Districts_Boroughs!DP188</f>
        <v>0</v>
      </c>
      <c r="AM213" s="32">
        <f>[2]Districts_Boroughs!DQ188</f>
        <v>0</v>
      </c>
      <c r="AN213" s="32">
        <f>[2]Districts_Boroughs!DR188</f>
        <v>0</v>
      </c>
      <c r="AO213" s="32">
        <f>[2]Districts_Boroughs!DS188</f>
        <v>0</v>
      </c>
      <c r="AP213" s="32">
        <f>[2]Districts_Boroughs!DT188</f>
        <v>0</v>
      </c>
      <c r="AQ213" s="32">
        <f>[2]Districts_Boroughs!DU188</f>
        <v>0</v>
      </c>
      <c r="AR213" s="32">
        <f>[2]Districts_Boroughs!DV188</f>
        <v>0</v>
      </c>
      <c r="AS213" s="32">
        <f>[2]Districts_Boroughs!DW188</f>
        <v>0</v>
      </c>
      <c r="AT213" s="32">
        <f>[2]Districts_Boroughs!DX188</f>
        <v>0</v>
      </c>
      <c r="AU213" s="32">
        <f>[2]Districts_Boroughs!DY188</f>
        <v>0</v>
      </c>
      <c r="AV213" s="32">
        <f>[2]Districts_Boroughs!DZ188</f>
        <v>0</v>
      </c>
      <c r="AW213" s="32">
        <f>[2]Districts_Boroughs!EA188</f>
        <v>0</v>
      </c>
      <c r="AX213" s="32">
        <f>[2]Districts_Boroughs!EB188</f>
        <v>0</v>
      </c>
      <c r="AY213" s="32">
        <f>[2]Districts_Boroughs!EC188</f>
        <v>0</v>
      </c>
    </row>
    <row r="214" spans="2:51" x14ac:dyDescent="0.35">
      <c r="B214" t="str">
        <f t="shared" si="10"/>
        <v>StratfordBusiness Crime</v>
      </c>
      <c r="C214" s="345" t="s">
        <v>52</v>
      </c>
      <c r="D214" s="32">
        <f>[2]Districts_Boroughs!CH189</f>
        <v>86</v>
      </c>
      <c r="E214" s="32">
        <f>[2]Districts_Boroughs!CI189</f>
        <v>78</v>
      </c>
      <c r="F214" s="32">
        <f>[2]Districts_Boroughs!CJ189</f>
        <v>90</v>
      </c>
      <c r="G214" s="32">
        <f>[2]Districts_Boroughs!CK189</f>
        <v>96</v>
      </c>
      <c r="H214" s="32">
        <f>[2]Districts_Boroughs!CL189</f>
        <v>79</v>
      </c>
      <c r="I214" s="32">
        <f>[2]Districts_Boroughs!CM189</f>
        <v>104</v>
      </c>
      <c r="J214" s="32">
        <f>[2]Districts_Boroughs!CN189</f>
        <v>77</v>
      </c>
      <c r="K214" s="32">
        <f>[2]Districts_Boroughs!CO189</f>
        <v>95</v>
      </c>
      <c r="L214" s="32">
        <f>[2]Districts_Boroughs!CP189</f>
        <v>77</v>
      </c>
      <c r="M214" s="32">
        <f>[2]Districts_Boroughs!CQ189</f>
        <v>93</v>
      </c>
      <c r="N214" s="32">
        <f>[2]Districts_Boroughs!CR189</f>
        <v>75</v>
      </c>
      <c r="O214" s="32">
        <f>[2]Districts_Boroughs!CS189</f>
        <v>92</v>
      </c>
      <c r="P214" s="32">
        <f>[2]Districts_Boroughs!CT189</f>
        <v>97</v>
      </c>
      <c r="Q214" s="32">
        <f>[2]Districts_Boroughs!CU189</f>
        <v>110</v>
      </c>
      <c r="R214" s="32">
        <f>[2]Districts_Boroughs!CV189</f>
        <v>92</v>
      </c>
      <c r="S214" s="32">
        <f>[2]Districts_Boroughs!CW189</f>
        <v>79</v>
      </c>
      <c r="T214" s="32">
        <f>[2]Districts_Boroughs!CX189</f>
        <v>113</v>
      </c>
      <c r="U214" s="32">
        <f>[2]Districts_Boroughs!CY189</f>
        <v>83</v>
      </c>
      <c r="V214" s="32">
        <f>[2]Districts_Boroughs!CZ189</f>
        <v>102</v>
      </c>
      <c r="W214" s="32">
        <f>[2]Districts_Boroughs!DA189</f>
        <v>113</v>
      </c>
      <c r="X214" s="32">
        <f>[2]Districts_Boroughs!DB189</f>
        <v>100</v>
      </c>
      <c r="Y214" s="32">
        <f>[2]Districts_Boroughs!DC189</f>
        <v>97</v>
      </c>
      <c r="Z214" s="32">
        <f>[2]Districts_Boroughs!DD189</f>
        <v>147</v>
      </c>
      <c r="AA214" s="32">
        <f>[2]Districts_Boroughs!DE189</f>
        <v>117</v>
      </c>
      <c r="AB214" s="32">
        <f>[2]Districts_Boroughs!DF189</f>
        <v>105</v>
      </c>
      <c r="AC214" s="32">
        <f>[2]Districts_Boroughs!DG189</f>
        <v>123</v>
      </c>
      <c r="AD214" s="32">
        <f>[2]Districts_Boroughs!DH189</f>
        <v>92</v>
      </c>
      <c r="AE214" s="32">
        <f>[2]Districts_Boroughs!DI189</f>
        <v>116</v>
      </c>
      <c r="AF214" s="32">
        <f>[2]Districts_Boroughs!DJ189</f>
        <v>86</v>
      </c>
      <c r="AG214" s="32">
        <f>[2]Districts_Boroughs!DK189</f>
        <v>90</v>
      </c>
      <c r="AH214" s="32">
        <f>[2]Districts_Boroughs!DL189</f>
        <v>111</v>
      </c>
      <c r="AI214" s="32">
        <f>[2]Districts_Boroughs!DM189</f>
        <v>121</v>
      </c>
      <c r="AJ214" s="32">
        <f>[2]Districts_Boroughs!DN189</f>
        <v>100</v>
      </c>
      <c r="AK214" s="32">
        <f>[2]Districts_Boroughs!DO189</f>
        <v>136</v>
      </c>
      <c r="AL214" s="32">
        <f>[2]Districts_Boroughs!DP189</f>
        <v>98</v>
      </c>
      <c r="AM214" s="32">
        <f>[2]Districts_Boroughs!DQ189</f>
        <v>116</v>
      </c>
      <c r="AN214" s="32">
        <f>[2]Districts_Boroughs!DR189</f>
        <v>141</v>
      </c>
      <c r="AO214" s="32">
        <f>[2]Districts_Boroughs!DS189</f>
        <v>166</v>
      </c>
      <c r="AP214" s="32">
        <f>[2]Districts_Boroughs!DT189</f>
        <v>116</v>
      </c>
      <c r="AQ214" s="32">
        <f>[2]Districts_Boroughs!DU189</f>
        <v>116</v>
      </c>
      <c r="AR214" s="32">
        <f>[2]Districts_Boroughs!DV189</f>
        <v>144</v>
      </c>
      <c r="AS214" s="32">
        <f>[2]Districts_Boroughs!DW189</f>
        <v>134</v>
      </c>
      <c r="AT214" s="32">
        <f>[2]Districts_Boroughs!DX189</f>
        <v>141</v>
      </c>
      <c r="AU214" s="32">
        <f>[2]Districts_Boroughs!DY189</f>
        <v>98</v>
      </c>
      <c r="AV214" s="32">
        <f>[2]Districts_Boroughs!DZ189</f>
        <v>83</v>
      </c>
      <c r="AW214" s="32">
        <f>[2]Districts_Boroughs!EA189</f>
        <v>75</v>
      </c>
      <c r="AX214" s="32">
        <f>[2]Districts_Boroughs!EB189</f>
        <v>83</v>
      </c>
      <c r="AY214" s="32">
        <f>[2]Districts_Boroughs!EC189</f>
        <v>85</v>
      </c>
    </row>
    <row r="215" spans="2:51" x14ac:dyDescent="0.35">
      <c r="B215" t="str">
        <f t="shared" si="10"/>
        <v>Stratford</v>
      </c>
      <c r="C215" s="361"/>
      <c r="D215" s="32">
        <f>[2]Districts_Boroughs!CH190</f>
        <v>0</v>
      </c>
      <c r="E215" s="32">
        <f>[2]Districts_Boroughs!CI190</f>
        <v>0</v>
      </c>
      <c r="F215" s="32">
        <f>[2]Districts_Boroughs!CJ190</f>
        <v>0</v>
      </c>
      <c r="G215" s="32">
        <f>[2]Districts_Boroughs!CK190</f>
        <v>0</v>
      </c>
      <c r="H215" s="32">
        <f>[2]Districts_Boroughs!CL190</f>
        <v>0</v>
      </c>
      <c r="I215" s="32">
        <f>[2]Districts_Boroughs!CM190</f>
        <v>0</v>
      </c>
      <c r="J215" s="32">
        <f>[2]Districts_Boroughs!CN190</f>
        <v>0</v>
      </c>
      <c r="K215" s="32">
        <f>[2]Districts_Boroughs!CO190</f>
        <v>0</v>
      </c>
      <c r="L215" s="32">
        <f>[2]Districts_Boroughs!CP190</f>
        <v>0</v>
      </c>
      <c r="M215" s="32">
        <f>[2]Districts_Boroughs!CQ190</f>
        <v>0</v>
      </c>
      <c r="N215" s="32">
        <f>[2]Districts_Boroughs!CR190</f>
        <v>0</v>
      </c>
      <c r="O215" s="32">
        <f>[2]Districts_Boroughs!CS190</f>
        <v>0</v>
      </c>
      <c r="P215" s="32">
        <f>[2]Districts_Boroughs!CT190</f>
        <v>0</v>
      </c>
      <c r="Q215" s="32">
        <f>[2]Districts_Boroughs!CU190</f>
        <v>0</v>
      </c>
      <c r="R215" s="32">
        <f>[2]Districts_Boroughs!CV190</f>
        <v>0</v>
      </c>
      <c r="S215" s="32">
        <f>[2]Districts_Boroughs!CW190</f>
        <v>0</v>
      </c>
      <c r="T215" s="32">
        <f>[2]Districts_Boroughs!CX190</f>
        <v>0</v>
      </c>
      <c r="U215" s="32">
        <f>[2]Districts_Boroughs!CY190</f>
        <v>0</v>
      </c>
      <c r="V215" s="32">
        <f>[2]Districts_Boroughs!CZ190</f>
        <v>0</v>
      </c>
      <c r="W215" s="32">
        <f>[2]Districts_Boroughs!DA190</f>
        <v>0</v>
      </c>
      <c r="X215" s="32">
        <f>[2]Districts_Boroughs!DB190</f>
        <v>0</v>
      </c>
      <c r="Y215" s="32">
        <f>[2]Districts_Boroughs!DC190</f>
        <v>0</v>
      </c>
      <c r="Z215" s="32">
        <f>[2]Districts_Boroughs!DD190</f>
        <v>0</v>
      </c>
      <c r="AA215" s="32">
        <f>[2]Districts_Boroughs!DE190</f>
        <v>0</v>
      </c>
      <c r="AB215" s="32">
        <f>[2]Districts_Boroughs!DF190</f>
        <v>0</v>
      </c>
      <c r="AC215" s="32">
        <f>[2]Districts_Boroughs!DG190</f>
        <v>0</v>
      </c>
      <c r="AD215" s="32">
        <f>[2]Districts_Boroughs!DH190</f>
        <v>0</v>
      </c>
      <c r="AE215" s="32">
        <f>[2]Districts_Boroughs!DI190</f>
        <v>0</v>
      </c>
      <c r="AF215" s="32">
        <f>[2]Districts_Boroughs!DJ190</f>
        <v>0</v>
      </c>
      <c r="AG215" s="32">
        <f>[2]Districts_Boroughs!DK190</f>
        <v>0</v>
      </c>
      <c r="AH215" s="32">
        <f>[2]Districts_Boroughs!DL190</f>
        <v>0</v>
      </c>
      <c r="AI215" s="32">
        <f>[2]Districts_Boroughs!DM190</f>
        <v>0</v>
      </c>
      <c r="AJ215" s="32">
        <f>[2]Districts_Boroughs!DN190</f>
        <v>0</v>
      </c>
      <c r="AK215" s="32">
        <f>[2]Districts_Boroughs!DO190</f>
        <v>0</v>
      </c>
      <c r="AL215" s="32">
        <f>[2]Districts_Boroughs!DP190</f>
        <v>0</v>
      </c>
      <c r="AM215" s="32">
        <f>[2]Districts_Boroughs!DQ190</f>
        <v>0</v>
      </c>
      <c r="AN215" s="32">
        <f>[2]Districts_Boroughs!DR190</f>
        <v>0</v>
      </c>
      <c r="AO215" s="32">
        <f>[2]Districts_Boroughs!DS190</f>
        <v>0</v>
      </c>
      <c r="AP215" s="32">
        <f>[2]Districts_Boroughs!DT190</f>
        <v>0</v>
      </c>
      <c r="AQ215" s="32">
        <f>[2]Districts_Boroughs!DU190</f>
        <v>0</v>
      </c>
      <c r="AR215" s="32">
        <f>[2]Districts_Boroughs!DV190</f>
        <v>0</v>
      </c>
      <c r="AS215" s="32">
        <f>[2]Districts_Boroughs!DW190</f>
        <v>0</v>
      </c>
      <c r="AT215" s="32">
        <f>[2]Districts_Boroughs!DX190</f>
        <v>0</v>
      </c>
      <c r="AU215" s="32">
        <f>[2]Districts_Boroughs!DY190</f>
        <v>0</v>
      </c>
      <c r="AV215" s="32">
        <f>[2]Districts_Boroughs!DZ190</f>
        <v>0</v>
      </c>
      <c r="AW215" s="32">
        <f>[2]Districts_Boroughs!EA190</f>
        <v>0</v>
      </c>
      <c r="AX215" s="32">
        <f>[2]Districts_Boroughs!EB190</f>
        <v>0</v>
      </c>
      <c r="AY215" s="32">
        <f>[2]Districts_Boroughs!EC190</f>
        <v>0</v>
      </c>
    </row>
    <row r="216" spans="2:51" x14ac:dyDescent="0.35">
      <c r="B216" t="str">
        <f t="shared" si="10"/>
        <v>StratfordResidential dwelling</v>
      </c>
      <c r="C216" s="345" t="s">
        <v>81</v>
      </c>
      <c r="D216" s="32">
        <f>[2]Districts_Boroughs!CH191</f>
        <v>14</v>
      </c>
      <c r="E216" s="32">
        <f>[2]Districts_Boroughs!CI191</f>
        <v>9</v>
      </c>
      <c r="F216" s="32">
        <f>[2]Districts_Boroughs!CJ191</f>
        <v>10</v>
      </c>
      <c r="G216" s="32">
        <f>[2]Districts_Boroughs!CK191</f>
        <v>20</v>
      </c>
      <c r="H216" s="32">
        <f>[2]Districts_Boroughs!CL191</f>
        <v>15</v>
      </c>
      <c r="I216" s="32">
        <f>[2]Districts_Boroughs!CM191</f>
        <v>23</v>
      </c>
      <c r="J216" s="32">
        <f>[2]Districts_Boroughs!CN191</f>
        <v>27</v>
      </c>
      <c r="K216" s="32">
        <f>[2]Districts_Boroughs!CO191</f>
        <v>31</v>
      </c>
      <c r="L216" s="32">
        <f>[2]Districts_Boroughs!CP191</f>
        <v>16</v>
      </c>
      <c r="M216" s="32">
        <f>[2]Districts_Boroughs!CQ191</f>
        <v>12</v>
      </c>
      <c r="N216" s="32">
        <f>[2]Districts_Boroughs!CR191</f>
        <v>19</v>
      </c>
      <c r="O216" s="32">
        <f>[2]Districts_Boroughs!CS191</f>
        <v>23</v>
      </c>
      <c r="P216" s="32">
        <f>[2]Districts_Boroughs!CT191</f>
        <v>23</v>
      </c>
      <c r="Q216" s="32">
        <f>[2]Districts_Boroughs!CU191</f>
        <v>18</v>
      </c>
      <c r="R216" s="32">
        <f>[2]Districts_Boroughs!CV191</f>
        <v>26</v>
      </c>
      <c r="S216" s="32">
        <f>[2]Districts_Boroughs!CW191</f>
        <v>22</v>
      </c>
      <c r="T216" s="32">
        <f>[2]Districts_Boroughs!CX191</f>
        <v>19</v>
      </c>
      <c r="U216" s="32">
        <f>[2]Districts_Boroughs!CY191</f>
        <v>30</v>
      </c>
      <c r="V216" s="32">
        <f>[2]Districts_Boroughs!CZ191</f>
        <v>23</v>
      </c>
      <c r="W216" s="32">
        <f>[2]Districts_Boroughs!DA191</f>
        <v>36</v>
      </c>
      <c r="X216" s="32">
        <f>[2]Districts_Boroughs!DB191</f>
        <v>19</v>
      </c>
      <c r="Y216" s="32">
        <f>[2]Districts_Boroughs!DC191</f>
        <v>20</v>
      </c>
      <c r="Z216" s="32">
        <f>[2]Districts_Boroughs!DD191</f>
        <v>18</v>
      </c>
      <c r="AA216" s="32">
        <f>[2]Districts_Boroughs!DE191</f>
        <v>26</v>
      </c>
      <c r="AB216" s="32">
        <f>[2]Districts_Boroughs!DF191</f>
        <v>34</v>
      </c>
      <c r="AC216" s="32">
        <f>[2]Districts_Boroughs!DG191</f>
        <v>17</v>
      </c>
      <c r="AD216" s="32">
        <f>[2]Districts_Boroughs!DH191</f>
        <v>25</v>
      </c>
      <c r="AE216" s="32">
        <f>[2]Districts_Boroughs!DI191</f>
        <v>21</v>
      </c>
      <c r="AF216" s="32">
        <f>[2]Districts_Boroughs!DJ191</f>
        <v>14</v>
      </c>
      <c r="AG216" s="32">
        <f>[2]Districts_Boroughs!DK191</f>
        <v>17</v>
      </c>
      <c r="AH216" s="32">
        <f>[2]Districts_Boroughs!DL191</f>
        <v>11</v>
      </c>
      <c r="AI216" s="32">
        <f>[2]Districts_Boroughs!DM191</f>
        <v>20</v>
      </c>
      <c r="AJ216" s="32">
        <f>[2]Districts_Boroughs!DN191</f>
        <v>36</v>
      </c>
      <c r="AK216" s="32">
        <f>[2]Districts_Boroughs!DO191</f>
        <v>26</v>
      </c>
      <c r="AL216" s="32">
        <f>[2]Districts_Boroughs!DP191</f>
        <v>21</v>
      </c>
      <c r="AM216" s="32">
        <f>[2]Districts_Boroughs!DQ191</f>
        <v>15</v>
      </c>
      <c r="AN216" s="32">
        <f>[2]Districts_Boroughs!DR191</f>
        <v>22</v>
      </c>
      <c r="AO216" s="32">
        <f>[2]Districts_Boroughs!DS191</f>
        <v>25</v>
      </c>
      <c r="AP216" s="32">
        <f>[2]Districts_Boroughs!DT191</f>
        <v>21</v>
      </c>
      <c r="AQ216" s="32">
        <f>[2]Districts_Boroughs!DU191</f>
        <v>40</v>
      </c>
      <c r="AR216" s="32">
        <f>[2]Districts_Boroughs!DV191</f>
        <v>14</v>
      </c>
      <c r="AS216" s="32">
        <f>[2]Districts_Boroughs!DW191</f>
        <v>32</v>
      </c>
      <c r="AT216" s="32">
        <f>[2]Districts_Boroughs!DX191</f>
        <v>20</v>
      </c>
      <c r="AU216" s="32">
        <f>[2]Districts_Boroughs!DY191</f>
        <v>24</v>
      </c>
      <c r="AV216" s="32">
        <f>[2]Districts_Boroughs!DZ191</f>
        <v>20</v>
      </c>
      <c r="AW216" s="32">
        <f>[2]Districts_Boroughs!EA191</f>
        <v>20</v>
      </c>
      <c r="AX216" s="32">
        <f>[2]Districts_Boroughs!EB191</f>
        <v>35</v>
      </c>
      <c r="AY216" s="32">
        <f>[2]Districts_Boroughs!EC191</f>
        <v>34</v>
      </c>
    </row>
    <row r="217" spans="2:51" s="36" customFormat="1" x14ac:dyDescent="0.35"/>
    <row r="218" spans="2:51" s="36" customFormat="1" ht="23" x14ac:dyDescent="0.5">
      <c r="C218" s="386" t="s">
        <v>61</v>
      </c>
    </row>
    <row r="219" spans="2:51" s="36" customFormat="1" x14ac:dyDescent="0.35">
      <c r="C219" s="387" t="s">
        <v>56</v>
      </c>
      <c r="D219" s="39">
        <v>44287</v>
      </c>
      <c r="E219" s="39">
        <v>44317</v>
      </c>
      <c r="F219" s="39">
        <v>44348</v>
      </c>
      <c r="G219" s="39">
        <v>44378</v>
      </c>
      <c r="H219" s="39">
        <v>44409</v>
      </c>
      <c r="I219" s="39">
        <v>44440</v>
      </c>
      <c r="J219" s="39">
        <v>44470</v>
      </c>
      <c r="K219" s="39">
        <v>44501</v>
      </c>
      <c r="L219" s="39">
        <v>44531</v>
      </c>
      <c r="M219" s="39">
        <v>44562</v>
      </c>
      <c r="N219" s="39">
        <v>44593</v>
      </c>
      <c r="O219" s="39">
        <v>44621</v>
      </c>
      <c r="P219" s="39">
        <v>44652</v>
      </c>
      <c r="Q219" s="39">
        <v>44682</v>
      </c>
      <c r="R219" s="39">
        <v>44713</v>
      </c>
      <c r="S219" s="39">
        <v>44743</v>
      </c>
      <c r="T219" s="39">
        <v>44774</v>
      </c>
      <c r="U219" s="39">
        <v>44805</v>
      </c>
      <c r="V219" s="39">
        <v>44835</v>
      </c>
      <c r="W219" s="39">
        <v>44866</v>
      </c>
      <c r="X219" s="39">
        <v>44896</v>
      </c>
      <c r="Y219" s="39">
        <v>44927</v>
      </c>
      <c r="Z219" s="39">
        <v>44958</v>
      </c>
      <c r="AA219" s="39">
        <v>44986</v>
      </c>
      <c r="AB219" s="39">
        <v>45017</v>
      </c>
      <c r="AC219" s="39">
        <v>45047</v>
      </c>
      <c r="AD219" s="39">
        <v>45078</v>
      </c>
      <c r="AE219" s="39">
        <v>45108</v>
      </c>
      <c r="AF219" s="39">
        <v>45139</v>
      </c>
      <c r="AG219" s="39">
        <v>45170</v>
      </c>
      <c r="AH219" s="39">
        <v>45200</v>
      </c>
      <c r="AI219" s="39">
        <v>45231</v>
      </c>
      <c r="AJ219" s="39">
        <v>45261</v>
      </c>
      <c r="AK219" s="39">
        <v>45292</v>
      </c>
      <c r="AL219" s="39">
        <v>45323</v>
      </c>
      <c r="AM219" s="39">
        <v>45352</v>
      </c>
      <c r="AN219" s="39">
        <v>45383</v>
      </c>
      <c r="AO219" s="39">
        <v>45413</v>
      </c>
      <c r="AP219" s="39">
        <v>45444</v>
      </c>
      <c r="AQ219" s="39">
        <v>45474</v>
      </c>
      <c r="AR219" s="39">
        <v>45505</v>
      </c>
      <c r="AS219" s="39">
        <v>45536</v>
      </c>
      <c r="AT219" s="39">
        <v>45566</v>
      </c>
      <c r="AU219" s="39">
        <v>45597</v>
      </c>
      <c r="AV219" s="39">
        <v>45627</v>
      </c>
      <c r="AW219" s="39">
        <v>45658</v>
      </c>
      <c r="AX219" s="39">
        <v>45689</v>
      </c>
      <c r="AY219" s="39">
        <v>45717</v>
      </c>
    </row>
    <row r="220" spans="2:51" x14ac:dyDescent="0.35">
      <c r="B220" t="str">
        <f>CONCATENATE($C$218,C220)</f>
        <v>WarwickTotal Recorded Crime</v>
      </c>
      <c r="C220" s="387" t="s">
        <v>33</v>
      </c>
      <c r="D220" s="34">
        <f>[2]Districts_Boroughs!CH202</f>
        <v>630</v>
      </c>
      <c r="E220" s="34">
        <f>[2]Districts_Boroughs!CI202</f>
        <v>773</v>
      </c>
      <c r="F220" s="34">
        <f>[2]Districts_Boroughs!CJ202</f>
        <v>865</v>
      </c>
      <c r="G220" s="34">
        <f>[2]Districts_Boroughs!CK202</f>
        <v>868</v>
      </c>
      <c r="H220" s="34">
        <f>[2]Districts_Boroughs!CL202</f>
        <v>882</v>
      </c>
      <c r="I220" s="34">
        <f>[2]Districts_Boroughs!CM202</f>
        <v>790</v>
      </c>
      <c r="J220" s="34">
        <f>[2]Districts_Boroughs!CN202</f>
        <v>870</v>
      </c>
      <c r="K220" s="34">
        <f>[2]Districts_Boroughs!CO202</f>
        <v>841</v>
      </c>
      <c r="L220" s="34">
        <f>[2]Districts_Boroughs!CP202</f>
        <v>710</v>
      </c>
      <c r="M220" s="34">
        <f>[2]Districts_Boroughs!CQ202</f>
        <v>797</v>
      </c>
      <c r="N220" s="34">
        <f>[2]Districts_Boroughs!CR202</f>
        <v>726</v>
      </c>
      <c r="O220" s="34">
        <f>[2]Districts_Boroughs!CS202</f>
        <v>793</v>
      </c>
      <c r="P220" s="34">
        <f>[2]Districts_Boroughs!CT202</f>
        <v>768</v>
      </c>
      <c r="Q220" s="34">
        <f>[2]Districts_Boroughs!CU202</f>
        <v>861</v>
      </c>
      <c r="R220" s="34">
        <f>[2]Districts_Boroughs!CV202</f>
        <v>866</v>
      </c>
      <c r="S220" s="34">
        <f>[2]Districts_Boroughs!CW202</f>
        <v>917</v>
      </c>
      <c r="T220" s="34">
        <f>[2]Districts_Boroughs!CX202</f>
        <v>915</v>
      </c>
      <c r="U220" s="34">
        <f>[2]Districts_Boroughs!CY202</f>
        <v>867</v>
      </c>
      <c r="V220" s="34">
        <f>[2]Districts_Boroughs!CZ202</f>
        <v>964</v>
      </c>
      <c r="W220" s="34">
        <f>[2]Districts_Boroughs!DA202</f>
        <v>802</v>
      </c>
      <c r="X220" s="34">
        <f>[2]Districts_Boroughs!DB202</f>
        <v>665</v>
      </c>
      <c r="Y220" s="34">
        <f>[2]Districts_Boroughs!DC202</f>
        <v>887</v>
      </c>
      <c r="Z220" s="34">
        <f>[2]Districts_Boroughs!DD202</f>
        <v>830</v>
      </c>
      <c r="AA220" s="34">
        <f>[2]Districts_Boroughs!DE202</f>
        <v>766</v>
      </c>
      <c r="AB220" s="34">
        <f>[2]Districts_Boroughs!DF202</f>
        <v>741</v>
      </c>
      <c r="AC220" s="34">
        <f>[2]Districts_Boroughs!DG202</f>
        <v>802</v>
      </c>
      <c r="AD220" s="34">
        <f>[2]Districts_Boroughs!DH202</f>
        <v>872</v>
      </c>
      <c r="AE220" s="34">
        <f>[2]Districts_Boroughs!DI202</f>
        <v>792</v>
      </c>
      <c r="AF220" s="34">
        <f>[2]Districts_Boroughs!DJ202</f>
        <v>731</v>
      </c>
      <c r="AG220" s="34">
        <f>[2]Districts_Boroughs!DK202</f>
        <v>776</v>
      </c>
      <c r="AH220" s="34">
        <f>[2]Districts_Boroughs!DL202</f>
        <v>755</v>
      </c>
      <c r="AI220" s="34">
        <f>[2]Districts_Boroughs!DM202</f>
        <v>690</v>
      </c>
      <c r="AJ220" s="34">
        <f>[2]Districts_Boroughs!DN202</f>
        <v>736</v>
      </c>
      <c r="AK220" s="34">
        <f>[2]Districts_Boroughs!DO202</f>
        <v>796</v>
      </c>
      <c r="AL220" s="34">
        <f>[2]Districts_Boroughs!DP202</f>
        <v>754</v>
      </c>
      <c r="AM220" s="34">
        <f>[2]Districts_Boroughs!DQ202</f>
        <v>740</v>
      </c>
      <c r="AN220" s="34">
        <f>[2]Districts_Boroughs!DR202</f>
        <v>727</v>
      </c>
      <c r="AO220" s="34">
        <f>[2]Districts_Boroughs!DS202</f>
        <v>804</v>
      </c>
      <c r="AP220" s="34">
        <f>[2]Districts_Boroughs!DT202</f>
        <v>765</v>
      </c>
      <c r="AQ220" s="34">
        <f>[2]Districts_Boroughs!DU202</f>
        <v>916</v>
      </c>
      <c r="AR220" s="34">
        <f>[2]Districts_Boroughs!DV202</f>
        <v>774</v>
      </c>
      <c r="AS220" s="34">
        <f>[2]Districts_Boroughs!DW202</f>
        <v>803</v>
      </c>
      <c r="AT220" s="34">
        <f>[2]Districts_Boroughs!DX202</f>
        <v>854</v>
      </c>
      <c r="AU220" s="34">
        <f>[2]Districts_Boroughs!DY202</f>
        <v>681</v>
      </c>
      <c r="AV220" s="34">
        <f>[2]Districts_Boroughs!DZ202</f>
        <v>671</v>
      </c>
      <c r="AW220" s="34">
        <f>[2]Districts_Boroughs!EA202</f>
        <v>749</v>
      </c>
      <c r="AX220" s="34">
        <f>[2]Districts_Boroughs!EB202</f>
        <v>646</v>
      </c>
      <c r="AY220" s="34">
        <f>[2]Districts_Boroughs!EC202</f>
        <v>820</v>
      </c>
    </row>
    <row r="221" spans="2:51" x14ac:dyDescent="0.35">
      <c r="B221" t="str">
        <f t="shared" ref="B221:B259" si="12">CONCATENATE($C$218,C221)</f>
        <v>Warwick</v>
      </c>
      <c r="C221" s="387"/>
      <c r="D221" s="34">
        <f>[2]Districts_Boroughs!CH203</f>
        <v>0</v>
      </c>
      <c r="E221" s="34">
        <f>[2]Districts_Boroughs!CI203</f>
        <v>0</v>
      </c>
      <c r="F221" s="34">
        <f>[2]Districts_Boroughs!CJ203</f>
        <v>0</v>
      </c>
      <c r="G221" s="34">
        <f>[2]Districts_Boroughs!CK203</f>
        <v>0</v>
      </c>
      <c r="H221" s="34">
        <f>[2]Districts_Boroughs!CL203</f>
        <v>0</v>
      </c>
      <c r="I221" s="34">
        <f>[2]Districts_Boroughs!CM203</f>
        <v>0</v>
      </c>
      <c r="J221" s="34">
        <f>[2]Districts_Boroughs!CN203</f>
        <v>0</v>
      </c>
      <c r="K221" s="34">
        <f>[2]Districts_Boroughs!CO203</f>
        <v>0</v>
      </c>
      <c r="L221" s="34">
        <f>[2]Districts_Boroughs!CP203</f>
        <v>0</v>
      </c>
      <c r="M221" s="34">
        <f>[2]Districts_Boroughs!CQ203</f>
        <v>0</v>
      </c>
      <c r="N221" s="34">
        <f>[2]Districts_Boroughs!CR203</f>
        <v>0</v>
      </c>
      <c r="O221" s="34">
        <f>[2]Districts_Boroughs!CS203</f>
        <v>0</v>
      </c>
      <c r="P221" s="34">
        <f>[2]Districts_Boroughs!CT203</f>
        <v>0</v>
      </c>
      <c r="Q221" s="34">
        <f>[2]Districts_Boroughs!CU203</f>
        <v>0</v>
      </c>
      <c r="R221" s="34">
        <f>[2]Districts_Boroughs!CV203</f>
        <v>0</v>
      </c>
      <c r="S221" s="34">
        <f>[2]Districts_Boroughs!CW203</f>
        <v>0</v>
      </c>
      <c r="T221" s="34">
        <f>[2]Districts_Boroughs!CX203</f>
        <v>0</v>
      </c>
      <c r="U221" s="34">
        <f>[2]Districts_Boroughs!CY203</f>
        <v>0</v>
      </c>
      <c r="V221" s="34">
        <f>[2]Districts_Boroughs!CZ203</f>
        <v>0</v>
      </c>
      <c r="W221" s="34">
        <f>[2]Districts_Boroughs!DA203</f>
        <v>0</v>
      </c>
      <c r="X221" s="34">
        <f>[2]Districts_Boroughs!DB203</f>
        <v>0</v>
      </c>
      <c r="Y221" s="34">
        <f>[2]Districts_Boroughs!DC203</f>
        <v>0</v>
      </c>
      <c r="Z221" s="34">
        <f>[2]Districts_Boroughs!DD203</f>
        <v>0</v>
      </c>
      <c r="AA221" s="34">
        <f>[2]Districts_Boroughs!DE203</f>
        <v>0</v>
      </c>
      <c r="AB221" s="34">
        <f>[2]Districts_Boroughs!DF203</f>
        <v>0</v>
      </c>
      <c r="AC221" s="34">
        <f>[2]Districts_Boroughs!DG203</f>
        <v>0</v>
      </c>
      <c r="AD221" s="34">
        <f>[2]Districts_Boroughs!DH203</f>
        <v>0</v>
      </c>
      <c r="AE221" s="34">
        <f>[2]Districts_Boroughs!DI203</f>
        <v>0</v>
      </c>
      <c r="AF221" s="34">
        <f>[2]Districts_Boroughs!DJ203</f>
        <v>0</v>
      </c>
      <c r="AG221" s="34">
        <f>[2]Districts_Boroughs!DK203</f>
        <v>0</v>
      </c>
      <c r="AH221" s="34">
        <f>[2]Districts_Boroughs!DL203</f>
        <v>0</v>
      </c>
      <c r="AI221" s="34">
        <f>[2]Districts_Boroughs!DM203</f>
        <v>0</v>
      </c>
      <c r="AJ221" s="34">
        <f>[2]Districts_Boroughs!DN203</f>
        <v>0</v>
      </c>
      <c r="AK221" s="34">
        <f>[2]Districts_Boroughs!DO203</f>
        <v>0</v>
      </c>
      <c r="AL221" s="34">
        <f>[2]Districts_Boroughs!DP203</f>
        <v>0</v>
      </c>
      <c r="AM221" s="34">
        <f>[2]Districts_Boroughs!DQ203</f>
        <v>0</v>
      </c>
      <c r="AN221" s="34">
        <f>[2]Districts_Boroughs!DR203</f>
        <v>0</v>
      </c>
      <c r="AO221" s="34">
        <f>[2]Districts_Boroughs!DS203</f>
        <v>0</v>
      </c>
      <c r="AP221" s="34">
        <f>[2]Districts_Boroughs!DT203</f>
        <v>0</v>
      </c>
      <c r="AQ221" s="34">
        <f>[2]Districts_Boroughs!DU203</f>
        <v>0</v>
      </c>
      <c r="AR221" s="34">
        <f>[2]Districts_Boroughs!DV203</f>
        <v>0</v>
      </c>
      <c r="AS221" s="34">
        <f>[2]Districts_Boroughs!DW203</f>
        <v>0</v>
      </c>
      <c r="AT221" s="34">
        <f>[2]Districts_Boroughs!DX203</f>
        <v>0</v>
      </c>
      <c r="AU221" s="34">
        <f>[2]Districts_Boroughs!DY203</f>
        <v>0</v>
      </c>
      <c r="AV221" s="34">
        <f>[2]Districts_Boroughs!DZ203</f>
        <v>0</v>
      </c>
      <c r="AW221" s="34">
        <f>[2]Districts_Boroughs!EA203</f>
        <v>0</v>
      </c>
      <c r="AX221" s="34">
        <f>[2]Districts_Boroughs!EB203</f>
        <v>0</v>
      </c>
      <c r="AY221" s="34">
        <f>[2]Districts_Boroughs!EC203</f>
        <v>0</v>
      </c>
    </row>
    <row r="222" spans="2:51" x14ac:dyDescent="0.35">
      <c r="B222" t="str">
        <f t="shared" ref="B222:B228" si="13">CONCATENATE($C$218,C222)</f>
        <v>WarwickViolence With Injury</v>
      </c>
      <c r="C222" s="387" t="s">
        <v>39</v>
      </c>
      <c r="D222" s="34">
        <f>[2]Districts_Boroughs!CH204</f>
        <v>50</v>
      </c>
      <c r="E222" s="34">
        <f>[2]Districts_Boroughs!CI204</f>
        <v>85</v>
      </c>
      <c r="F222" s="34">
        <f>[2]Districts_Boroughs!CJ204</f>
        <v>103</v>
      </c>
      <c r="G222" s="34">
        <f>[2]Districts_Boroughs!CK204</f>
        <v>105</v>
      </c>
      <c r="H222" s="34">
        <f>[2]Districts_Boroughs!CL204</f>
        <v>110</v>
      </c>
      <c r="I222" s="34">
        <f>[2]Districts_Boroughs!CM204</f>
        <v>91</v>
      </c>
      <c r="J222" s="34">
        <f>[2]Districts_Boroughs!CN204</f>
        <v>87</v>
      </c>
      <c r="K222" s="34">
        <f>[2]Districts_Boroughs!CO204</f>
        <v>86</v>
      </c>
      <c r="L222" s="34">
        <f>[2]Districts_Boroughs!CP204</f>
        <v>91</v>
      </c>
      <c r="M222" s="34">
        <f>[2]Districts_Boroughs!CQ204</f>
        <v>88</v>
      </c>
      <c r="N222" s="34">
        <f>[2]Districts_Boroughs!CR204</f>
        <v>94</v>
      </c>
      <c r="O222" s="34">
        <f>[2]Districts_Boroughs!CS204</f>
        <v>78</v>
      </c>
      <c r="P222" s="34">
        <f>[2]Districts_Boroughs!CT204</f>
        <v>79</v>
      </c>
      <c r="Q222" s="34">
        <f>[2]Districts_Boroughs!CU204</f>
        <v>110</v>
      </c>
      <c r="R222" s="34">
        <f>[2]Districts_Boroughs!CV204</f>
        <v>105</v>
      </c>
      <c r="S222" s="34">
        <f>[2]Districts_Boroughs!CW204</f>
        <v>99</v>
      </c>
      <c r="T222" s="34">
        <f>[2]Districts_Boroughs!CX204</f>
        <v>99</v>
      </c>
      <c r="U222" s="34">
        <f>[2]Districts_Boroughs!CY204</f>
        <v>91</v>
      </c>
      <c r="V222" s="34">
        <f>[2]Districts_Boroughs!CZ204</f>
        <v>95</v>
      </c>
      <c r="W222" s="34">
        <f>[2]Districts_Boroughs!DA204</f>
        <v>79</v>
      </c>
      <c r="X222" s="34">
        <f>[2]Districts_Boroughs!DB204</f>
        <v>96</v>
      </c>
      <c r="Y222" s="34">
        <f>[2]Districts_Boroughs!DC204</f>
        <v>87</v>
      </c>
      <c r="Z222" s="34">
        <f>[2]Districts_Boroughs!DD204</f>
        <v>80</v>
      </c>
      <c r="AA222" s="34">
        <f>[2]Districts_Boroughs!DE204</f>
        <v>90</v>
      </c>
      <c r="AB222" s="34">
        <f>[2]Districts_Boroughs!DF204</f>
        <v>87</v>
      </c>
      <c r="AC222" s="34">
        <f>[2]Districts_Boroughs!DG204</f>
        <v>100</v>
      </c>
      <c r="AD222" s="34">
        <f>[2]Districts_Boroughs!DH204</f>
        <v>99</v>
      </c>
      <c r="AE222" s="34">
        <f>[2]Districts_Boroughs!DI204</f>
        <v>85</v>
      </c>
      <c r="AF222" s="34">
        <f>[2]Districts_Boroughs!DJ204</f>
        <v>66</v>
      </c>
      <c r="AG222" s="34">
        <f>[2]Districts_Boroughs!DK204</f>
        <v>88</v>
      </c>
      <c r="AH222" s="34">
        <f>[2]Districts_Boroughs!DL204</f>
        <v>85</v>
      </c>
      <c r="AI222" s="34">
        <f>[2]Districts_Boroughs!DM204</f>
        <v>71</v>
      </c>
      <c r="AJ222" s="34">
        <f>[2]Districts_Boroughs!DN204</f>
        <v>87</v>
      </c>
      <c r="AK222" s="34">
        <f>[2]Districts_Boroughs!DO204</f>
        <v>82</v>
      </c>
      <c r="AL222" s="34">
        <f>[2]Districts_Boroughs!DP204</f>
        <v>68</v>
      </c>
      <c r="AM222" s="34">
        <f>[2]Districts_Boroughs!DQ204</f>
        <v>69</v>
      </c>
      <c r="AN222" s="34">
        <f>[2]Districts_Boroughs!DR204</f>
        <v>88</v>
      </c>
      <c r="AO222" s="34">
        <f>[2]Districts_Boroughs!DS204</f>
        <v>94</v>
      </c>
      <c r="AP222" s="34">
        <f>[2]Districts_Boroughs!DT204</f>
        <v>93</v>
      </c>
      <c r="AQ222" s="34">
        <f>[2]Districts_Boroughs!DU204</f>
        <v>102</v>
      </c>
      <c r="AR222" s="34">
        <f>[2]Districts_Boroughs!DV204</f>
        <v>89</v>
      </c>
      <c r="AS222" s="34">
        <f>[2]Districts_Boroughs!DW204</f>
        <v>81</v>
      </c>
      <c r="AT222" s="34">
        <f>[2]Districts_Boroughs!DX204</f>
        <v>82</v>
      </c>
      <c r="AU222" s="34">
        <f>[2]Districts_Boroughs!DY204</f>
        <v>71</v>
      </c>
      <c r="AV222" s="34">
        <f>[2]Districts_Boroughs!DZ204</f>
        <v>100</v>
      </c>
      <c r="AW222" s="34">
        <f>[2]Districts_Boroughs!EA204</f>
        <v>81</v>
      </c>
      <c r="AX222" s="34">
        <f>[2]Districts_Boroughs!EB204</f>
        <v>61</v>
      </c>
      <c r="AY222" s="34">
        <f>[2]Districts_Boroughs!EC204</f>
        <v>108</v>
      </c>
    </row>
    <row r="223" spans="2:51" x14ac:dyDescent="0.35">
      <c r="B223" t="str">
        <f t="shared" si="13"/>
        <v>WarwickViolence Without Injury</v>
      </c>
      <c r="C223" s="387" t="s">
        <v>40</v>
      </c>
      <c r="D223" s="34">
        <f>[2]Districts_Boroughs!CH205</f>
        <v>189</v>
      </c>
      <c r="E223" s="34">
        <f>[2]Districts_Boroughs!CI205</f>
        <v>203</v>
      </c>
      <c r="F223" s="34">
        <f>[2]Districts_Boroughs!CJ205</f>
        <v>255</v>
      </c>
      <c r="G223" s="34">
        <f>[2]Districts_Boroughs!CK205</f>
        <v>261</v>
      </c>
      <c r="H223" s="34">
        <f>[2]Districts_Boroughs!CL205</f>
        <v>265</v>
      </c>
      <c r="I223" s="34">
        <f>[2]Districts_Boroughs!CM205</f>
        <v>240</v>
      </c>
      <c r="J223" s="34">
        <f>[2]Districts_Boroughs!CN205</f>
        <v>268</v>
      </c>
      <c r="K223" s="34">
        <f>[2]Districts_Boroughs!CO205</f>
        <v>236</v>
      </c>
      <c r="L223" s="34">
        <f>[2]Districts_Boroughs!CP205</f>
        <v>195</v>
      </c>
      <c r="M223" s="34">
        <f>[2]Districts_Boroughs!CQ205</f>
        <v>227</v>
      </c>
      <c r="N223" s="34">
        <f>[2]Districts_Boroughs!CR205</f>
        <v>201</v>
      </c>
      <c r="O223" s="34">
        <f>[2]Districts_Boroughs!CS205</f>
        <v>228</v>
      </c>
      <c r="P223" s="34">
        <f>[2]Districts_Boroughs!CT205</f>
        <v>248</v>
      </c>
      <c r="Q223" s="34">
        <f>[2]Districts_Boroughs!CU205</f>
        <v>231</v>
      </c>
      <c r="R223" s="34">
        <f>[2]Districts_Boroughs!CV205</f>
        <v>242</v>
      </c>
      <c r="S223" s="34">
        <f>[2]Districts_Boroughs!CW205</f>
        <v>228</v>
      </c>
      <c r="T223" s="34">
        <f>[2]Districts_Boroughs!CX205</f>
        <v>213</v>
      </c>
      <c r="U223" s="34">
        <f>[2]Districts_Boroughs!CY205</f>
        <v>233</v>
      </c>
      <c r="V223" s="34">
        <f>[2]Districts_Boroughs!CZ205</f>
        <v>232</v>
      </c>
      <c r="W223" s="34">
        <f>[2]Districts_Boroughs!DA205</f>
        <v>220</v>
      </c>
      <c r="X223" s="34">
        <f>[2]Districts_Boroughs!DB205</f>
        <v>164</v>
      </c>
      <c r="Y223" s="34">
        <f>[2]Districts_Boroughs!DC205</f>
        <v>216</v>
      </c>
      <c r="Z223" s="34">
        <f>[2]Districts_Boroughs!DD205</f>
        <v>206</v>
      </c>
      <c r="AA223" s="34">
        <f>[2]Districts_Boroughs!DE205</f>
        <v>197</v>
      </c>
      <c r="AB223" s="34">
        <f>[2]Districts_Boroughs!DF205</f>
        <v>178</v>
      </c>
      <c r="AC223" s="34">
        <f>[2]Districts_Boroughs!DG205</f>
        <v>177</v>
      </c>
      <c r="AD223" s="34">
        <f>[2]Districts_Boroughs!DH205</f>
        <v>194</v>
      </c>
      <c r="AE223" s="34">
        <f>[2]Districts_Boroughs!DI205</f>
        <v>200</v>
      </c>
      <c r="AF223" s="34">
        <f>[2]Districts_Boroughs!DJ205</f>
        <v>185</v>
      </c>
      <c r="AG223" s="34">
        <f>[2]Districts_Boroughs!DK205</f>
        <v>182</v>
      </c>
      <c r="AH223" s="34">
        <f>[2]Districts_Boroughs!DL205</f>
        <v>182</v>
      </c>
      <c r="AI223" s="34">
        <f>[2]Districts_Boroughs!DM205</f>
        <v>175</v>
      </c>
      <c r="AJ223" s="34">
        <f>[2]Districts_Boroughs!DN205</f>
        <v>164</v>
      </c>
      <c r="AK223" s="34">
        <f>[2]Districts_Boroughs!DO205</f>
        <v>204</v>
      </c>
      <c r="AL223" s="34">
        <f>[2]Districts_Boroughs!DP205</f>
        <v>179</v>
      </c>
      <c r="AM223" s="34">
        <f>[2]Districts_Boroughs!DQ205</f>
        <v>180</v>
      </c>
      <c r="AN223" s="34">
        <f>[2]Districts_Boroughs!DR205</f>
        <v>160</v>
      </c>
      <c r="AO223" s="34">
        <f>[2]Districts_Boroughs!DS205</f>
        <v>163</v>
      </c>
      <c r="AP223" s="34">
        <f>[2]Districts_Boroughs!DT205</f>
        <v>182</v>
      </c>
      <c r="AQ223" s="34">
        <f>[2]Districts_Boroughs!DU205</f>
        <v>211</v>
      </c>
      <c r="AR223" s="34">
        <f>[2]Districts_Boroughs!DV205</f>
        <v>165</v>
      </c>
      <c r="AS223" s="34">
        <f>[2]Districts_Boroughs!DW205</f>
        <v>177</v>
      </c>
      <c r="AT223" s="34">
        <f>[2]Districts_Boroughs!DX205</f>
        <v>197</v>
      </c>
      <c r="AU223" s="34">
        <f>[2]Districts_Boroughs!DY205</f>
        <v>162</v>
      </c>
      <c r="AV223" s="34">
        <f>[2]Districts_Boroughs!DZ205</f>
        <v>160</v>
      </c>
      <c r="AW223" s="34">
        <f>[2]Districts_Boroughs!EA205</f>
        <v>185</v>
      </c>
      <c r="AX223" s="34">
        <f>[2]Districts_Boroughs!EB205</f>
        <v>173</v>
      </c>
      <c r="AY223" s="34">
        <f>[2]Districts_Boroughs!EC205</f>
        <v>180</v>
      </c>
    </row>
    <row r="224" spans="2:51" x14ac:dyDescent="0.35">
      <c r="B224" t="str">
        <f t="shared" si="13"/>
        <v>WarwickRape</v>
      </c>
      <c r="C224" s="387" t="s">
        <v>5</v>
      </c>
      <c r="D224" s="34">
        <f>[2]Districts_Boroughs!CH206</f>
        <v>13</v>
      </c>
      <c r="E224" s="34">
        <f>[2]Districts_Boroughs!CI206</f>
        <v>8</v>
      </c>
      <c r="F224" s="34">
        <f>[2]Districts_Boroughs!CJ206</f>
        <v>12</v>
      </c>
      <c r="G224" s="34">
        <f>[2]Districts_Boroughs!CK206</f>
        <v>11</v>
      </c>
      <c r="H224" s="34">
        <f>[2]Districts_Boroughs!CL206</f>
        <v>12</v>
      </c>
      <c r="I224" s="34">
        <f>[2]Districts_Boroughs!CM206</f>
        <v>10</v>
      </c>
      <c r="J224" s="34">
        <f>[2]Districts_Boroughs!CN206</f>
        <v>8</v>
      </c>
      <c r="K224" s="34">
        <f>[2]Districts_Boroughs!CO206</f>
        <v>16</v>
      </c>
      <c r="L224" s="34">
        <f>[2]Districts_Boroughs!CP206</f>
        <v>8</v>
      </c>
      <c r="M224" s="34">
        <f>[2]Districts_Boroughs!CQ206</f>
        <v>12</v>
      </c>
      <c r="N224" s="34">
        <f>[2]Districts_Boroughs!CR206</f>
        <v>11</v>
      </c>
      <c r="O224" s="34">
        <f>[2]Districts_Boroughs!CS206</f>
        <v>7</v>
      </c>
      <c r="P224" s="34">
        <f>[2]Districts_Boroughs!CT206</f>
        <v>9</v>
      </c>
      <c r="Q224" s="34">
        <f>[2]Districts_Boroughs!CU206</f>
        <v>9</v>
      </c>
      <c r="R224" s="34">
        <f>[2]Districts_Boroughs!CV206</f>
        <v>7</v>
      </c>
      <c r="S224" s="34">
        <f>[2]Districts_Boroughs!CW206</f>
        <v>14</v>
      </c>
      <c r="T224" s="34">
        <f>[2]Districts_Boroughs!CX206</f>
        <v>19</v>
      </c>
      <c r="U224" s="34">
        <f>[2]Districts_Boroughs!CY206</f>
        <v>11</v>
      </c>
      <c r="V224" s="34">
        <f>[2]Districts_Boroughs!CZ206</f>
        <v>13</v>
      </c>
      <c r="W224" s="34">
        <f>[2]Districts_Boroughs!DA206</f>
        <v>6</v>
      </c>
      <c r="X224" s="34">
        <f>[2]Districts_Boroughs!DB206</f>
        <v>11</v>
      </c>
      <c r="Y224" s="34">
        <f>[2]Districts_Boroughs!DC206</f>
        <v>10</v>
      </c>
      <c r="Z224" s="34">
        <f>[2]Districts_Boroughs!DD206</f>
        <v>14</v>
      </c>
      <c r="AA224" s="34">
        <f>[2]Districts_Boroughs!DE206</f>
        <v>6</v>
      </c>
      <c r="AB224" s="34">
        <f>[2]Districts_Boroughs!DF206</f>
        <v>7</v>
      </c>
      <c r="AC224" s="34">
        <f>[2]Districts_Boroughs!DG206</f>
        <v>12</v>
      </c>
      <c r="AD224" s="34">
        <f>[2]Districts_Boroughs!DH206</f>
        <v>8</v>
      </c>
      <c r="AE224" s="34">
        <f>[2]Districts_Boroughs!DI206</f>
        <v>12</v>
      </c>
      <c r="AF224" s="34">
        <f>[2]Districts_Boroughs!DJ206</f>
        <v>17</v>
      </c>
      <c r="AG224" s="34">
        <f>[2]Districts_Boroughs!DK206</f>
        <v>13</v>
      </c>
      <c r="AH224" s="34">
        <f>[2]Districts_Boroughs!DL206</f>
        <v>15</v>
      </c>
      <c r="AI224" s="34">
        <f>[2]Districts_Boroughs!DM206</f>
        <v>11</v>
      </c>
      <c r="AJ224" s="34">
        <f>[2]Districts_Boroughs!DN206</f>
        <v>8</v>
      </c>
      <c r="AK224" s="34">
        <f>[2]Districts_Boroughs!DO206</f>
        <v>13</v>
      </c>
      <c r="AL224" s="34">
        <f>[2]Districts_Boroughs!DP206</f>
        <v>9</v>
      </c>
      <c r="AM224" s="34">
        <f>[2]Districts_Boroughs!DQ206</f>
        <v>14</v>
      </c>
      <c r="AN224" s="34">
        <f>[2]Districts_Boroughs!DR206</f>
        <v>16</v>
      </c>
      <c r="AO224" s="34">
        <f>[2]Districts_Boroughs!DS206</f>
        <v>8</v>
      </c>
      <c r="AP224" s="34">
        <f>[2]Districts_Boroughs!DT206</f>
        <v>8</v>
      </c>
      <c r="AQ224" s="34">
        <f>[2]Districts_Boroughs!DU206</f>
        <v>13</v>
      </c>
      <c r="AR224" s="34">
        <f>[2]Districts_Boroughs!DV206</f>
        <v>11</v>
      </c>
      <c r="AS224" s="34">
        <f>[2]Districts_Boroughs!DW206</f>
        <v>13</v>
      </c>
      <c r="AT224" s="34">
        <f>[2]Districts_Boroughs!DX206</f>
        <v>18</v>
      </c>
      <c r="AU224" s="34">
        <f>[2]Districts_Boroughs!DY206</f>
        <v>12</v>
      </c>
      <c r="AV224" s="34">
        <f>[2]Districts_Boroughs!DZ206</f>
        <v>17</v>
      </c>
      <c r="AW224" s="34">
        <f>[2]Districts_Boroughs!EA206</f>
        <v>16</v>
      </c>
      <c r="AX224" s="34">
        <f>[2]Districts_Boroughs!EB206</f>
        <v>9</v>
      </c>
      <c r="AY224" s="34">
        <f>[2]Districts_Boroughs!EC206</f>
        <v>6</v>
      </c>
    </row>
    <row r="225" spans="2:51" x14ac:dyDescent="0.35">
      <c r="B225" t="str">
        <f t="shared" si="13"/>
        <v>WarwickOther Sexual Offences</v>
      </c>
      <c r="C225" s="387" t="s">
        <v>35</v>
      </c>
      <c r="D225" s="34">
        <f>[2]Districts_Boroughs!CH207</f>
        <v>13</v>
      </c>
      <c r="E225" s="34">
        <f>[2]Districts_Boroughs!CI207</f>
        <v>27</v>
      </c>
      <c r="F225" s="34">
        <f>[2]Districts_Boroughs!CJ207</f>
        <v>28</v>
      </c>
      <c r="G225" s="34">
        <f>[2]Districts_Boroughs!CK207</f>
        <v>18</v>
      </c>
      <c r="H225" s="34">
        <f>[2]Districts_Boroughs!CL207</f>
        <v>18</v>
      </c>
      <c r="I225" s="34">
        <f>[2]Districts_Boroughs!CM207</f>
        <v>22</v>
      </c>
      <c r="J225" s="34">
        <f>[2]Districts_Boroughs!CN207</f>
        <v>23</v>
      </c>
      <c r="K225" s="34">
        <f>[2]Districts_Boroughs!CO207</f>
        <v>27</v>
      </c>
      <c r="L225" s="34">
        <f>[2]Districts_Boroughs!CP207</f>
        <v>10</v>
      </c>
      <c r="M225" s="34">
        <f>[2]Districts_Boroughs!CQ207</f>
        <v>14</v>
      </c>
      <c r="N225" s="34">
        <f>[2]Districts_Boroughs!CR207</f>
        <v>10</v>
      </c>
      <c r="O225" s="34">
        <f>[2]Districts_Boroughs!CS207</f>
        <v>22</v>
      </c>
      <c r="P225" s="34">
        <f>[2]Districts_Boroughs!CT207</f>
        <v>26</v>
      </c>
      <c r="Q225" s="34">
        <f>[2]Districts_Boroughs!CU207</f>
        <v>18</v>
      </c>
      <c r="R225" s="34">
        <f>[2]Districts_Boroughs!CV207</f>
        <v>30</v>
      </c>
      <c r="S225" s="34">
        <f>[2]Districts_Boroughs!CW207</f>
        <v>31</v>
      </c>
      <c r="T225" s="34">
        <f>[2]Districts_Boroughs!CX207</f>
        <v>21</v>
      </c>
      <c r="U225" s="34">
        <f>[2]Districts_Boroughs!CY207</f>
        <v>17</v>
      </c>
      <c r="V225" s="34">
        <f>[2]Districts_Boroughs!CZ207</f>
        <v>31</v>
      </c>
      <c r="W225" s="34">
        <f>[2]Districts_Boroughs!DA207</f>
        <v>26</v>
      </c>
      <c r="X225" s="34">
        <f>[2]Districts_Boroughs!DB207</f>
        <v>10</v>
      </c>
      <c r="Y225" s="34">
        <f>[2]Districts_Boroughs!DC207</f>
        <v>30</v>
      </c>
      <c r="Z225" s="34">
        <f>[2]Districts_Boroughs!DD207</f>
        <v>26</v>
      </c>
      <c r="AA225" s="34">
        <f>[2]Districts_Boroughs!DE207</f>
        <v>23</v>
      </c>
      <c r="AB225" s="34">
        <f>[2]Districts_Boroughs!DF207</f>
        <v>9</v>
      </c>
      <c r="AC225" s="34">
        <f>[2]Districts_Boroughs!DG207</f>
        <v>10</v>
      </c>
      <c r="AD225" s="34">
        <f>[2]Districts_Boroughs!DH207</f>
        <v>28</v>
      </c>
      <c r="AE225" s="34">
        <f>[2]Districts_Boroughs!DI207</f>
        <v>23</v>
      </c>
      <c r="AF225" s="34">
        <f>[2]Districts_Boroughs!DJ207</f>
        <v>15</v>
      </c>
      <c r="AG225" s="34">
        <f>[2]Districts_Boroughs!DK207</f>
        <v>19</v>
      </c>
      <c r="AH225" s="34">
        <f>[2]Districts_Boroughs!DL207</f>
        <v>26</v>
      </c>
      <c r="AI225" s="34">
        <f>[2]Districts_Boroughs!DM207</f>
        <v>15</v>
      </c>
      <c r="AJ225" s="34">
        <f>[2]Districts_Boroughs!DN207</f>
        <v>36</v>
      </c>
      <c r="AK225" s="34">
        <f>[2]Districts_Boroughs!DO207</f>
        <v>16</v>
      </c>
      <c r="AL225" s="34">
        <f>[2]Districts_Boroughs!DP207</f>
        <v>39</v>
      </c>
      <c r="AM225" s="34">
        <f>[2]Districts_Boroughs!DQ207</f>
        <v>22</v>
      </c>
      <c r="AN225" s="34">
        <f>[2]Districts_Boroughs!DR207</f>
        <v>19</v>
      </c>
      <c r="AO225" s="34">
        <f>[2]Districts_Boroughs!DS207</f>
        <v>39</v>
      </c>
      <c r="AP225" s="34">
        <f>[2]Districts_Boroughs!DT207</f>
        <v>27</v>
      </c>
      <c r="AQ225" s="34">
        <f>[2]Districts_Boroughs!DU207</f>
        <v>24</v>
      </c>
      <c r="AR225" s="34">
        <f>[2]Districts_Boroughs!DV207</f>
        <v>15</v>
      </c>
      <c r="AS225" s="34">
        <f>[2]Districts_Boroughs!DW207</f>
        <v>19</v>
      </c>
      <c r="AT225" s="34">
        <f>[2]Districts_Boroughs!DX207</f>
        <v>22</v>
      </c>
      <c r="AU225" s="34">
        <f>[2]Districts_Boroughs!DY207</f>
        <v>27</v>
      </c>
      <c r="AV225" s="34">
        <f>[2]Districts_Boroughs!DZ207</f>
        <v>15</v>
      </c>
      <c r="AW225" s="34">
        <f>[2]Districts_Boroughs!EA207</f>
        <v>23</v>
      </c>
      <c r="AX225" s="34">
        <f>[2]Districts_Boroughs!EB207</f>
        <v>26</v>
      </c>
      <c r="AY225" s="34">
        <f>[2]Districts_Boroughs!EC207</f>
        <v>27</v>
      </c>
    </row>
    <row r="226" spans="2:51" x14ac:dyDescent="0.35">
      <c r="B226" t="str">
        <f t="shared" si="13"/>
        <v>WarwickBusiness Robbery</v>
      </c>
      <c r="C226" s="387" t="s">
        <v>36</v>
      </c>
      <c r="D226" s="34" t="str">
        <f>[2]Districts_Boroughs!CH208</f>
        <v>0</v>
      </c>
      <c r="E226" s="34" t="str">
        <f>[2]Districts_Boroughs!CI208</f>
        <v>0</v>
      </c>
      <c r="F226" s="34" t="str">
        <f>[2]Districts_Boroughs!CJ208</f>
        <v>0</v>
      </c>
      <c r="G226" s="34" t="str">
        <f>[2]Districts_Boroughs!CK208</f>
        <v>0</v>
      </c>
      <c r="H226" s="34">
        <f>[2]Districts_Boroughs!CL208</f>
        <v>1</v>
      </c>
      <c r="I226" s="34" t="str">
        <f>[2]Districts_Boroughs!CM208</f>
        <v>0</v>
      </c>
      <c r="J226" s="34" t="str">
        <f>[2]Districts_Boroughs!CN208</f>
        <v>0</v>
      </c>
      <c r="K226" s="34">
        <f>[2]Districts_Boroughs!CO208</f>
        <v>1</v>
      </c>
      <c r="L226" s="34" t="str">
        <f>[2]Districts_Boroughs!CP208</f>
        <v>0</v>
      </c>
      <c r="M226" s="34">
        <f>[2]Districts_Boroughs!CQ208</f>
        <v>1</v>
      </c>
      <c r="N226" s="34">
        <f>[2]Districts_Boroughs!CR208</f>
        <v>1</v>
      </c>
      <c r="O226" s="34" t="str">
        <f>[2]Districts_Boroughs!CS208</f>
        <v>0</v>
      </c>
      <c r="P226" s="34">
        <f>[2]Districts_Boroughs!CT208</f>
        <v>1</v>
      </c>
      <c r="Q226" s="34">
        <f>[2]Districts_Boroughs!CU208</f>
        <v>2</v>
      </c>
      <c r="R226" s="34">
        <f>[2]Districts_Boroughs!CV208</f>
        <v>2</v>
      </c>
      <c r="S226" s="34">
        <f>[2]Districts_Boroughs!CW208</f>
        <v>0</v>
      </c>
      <c r="T226" s="34">
        <f>[2]Districts_Boroughs!CX208</f>
        <v>2</v>
      </c>
      <c r="U226" s="34">
        <f>[2]Districts_Boroughs!CY208</f>
        <v>0</v>
      </c>
      <c r="V226" s="34">
        <f>[2]Districts_Boroughs!CZ208</f>
        <v>1</v>
      </c>
      <c r="W226" s="34">
        <f>[2]Districts_Boroughs!DA208</f>
        <v>0</v>
      </c>
      <c r="X226" s="34">
        <f>[2]Districts_Boroughs!DB208</f>
        <v>0</v>
      </c>
      <c r="Y226" s="34">
        <f>[2]Districts_Boroughs!DC208</f>
        <v>1</v>
      </c>
      <c r="Z226" s="34">
        <f>[2]Districts_Boroughs!DD208</f>
        <v>2</v>
      </c>
      <c r="AA226" s="34">
        <f>[2]Districts_Boroughs!DE208</f>
        <v>1</v>
      </c>
      <c r="AB226" s="34">
        <f>[2]Districts_Boroughs!DF208</f>
        <v>0</v>
      </c>
      <c r="AC226" s="34">
        <f>[2]Districts_Boroughs!DG208</f>
        <v>1</v>
      </c>
      <c r="AD226" s="34">
        <f>[2]Districts_Boroughs!DH208</f>
        <v>1</v>
      </c>
      <c r="AE226" s="34">
        <f>[2]Districts_Boroughs!DI208</f>
        <v>1</v>
      </c>
      <c r="AF226" s="34">
        <f>[2]Districts_Boroughs!DJ208</f>
        <v>2</v>
      </c>
      <c r="AG226" s="34">
        <f>[2]Districts_Boroughs!DK208</f>
        <v>2</v>
      </c>
      <c r="AH226" s="34">
        <f>[2]Districts_Boroughs!DL208</f>
        <v>2</v>
      </c>
      <c r="AI226" s="34">
        <f>[2]Districts_Boroughs!DM208</f>
        <v>0</v>
      </c>
      <c r="AJ226" s="34">
        <f>[2]Districts_Boroughs!DN208</f>
        <v>0</v>
      </c>
      <c r="AK226" s="34">
        <f>[2]Districts_Boroughs!DO208</f>
        <v>2</v>
      </c>
      <c r="AL226" s="34">
        <f>[2]Districts_Boroughs!DP208</f>
        <v>0</v>
      </c>
      <c r="AM226" s="34">
        <f>[2]Districts_Boroughs!DQ208</f>
        <v>1</v>
      </c>
      <c r="AN226" s="34">
        <f>[2]Districts_Boroughs!DR208</f>
        <v>1</v>
      </c>
      <c r="AO226" s="34">
        <f>[2]Districts_Boroughs!DS208</f>
        <v>1</v>
      </c>
      <c r="AP226" s="34">
        <f>[2]Districts_Boroughs!DT208</f>
        <v>1</v>
      </c>
      <c r="AQ226" s="34">
        <f>[2]Districts_Boroughs!DU208</f>
        <v>1</v>
      </c>
      <c r="AR226" s="34">
        <f>[2]Districts_Boroughs!DV208</f>
        <v>0</v>
      </c>
      <c r="AS226" s="34">
        <f>[2]Districts_Boroughs!DW208</f>
        <v>2</v>
      </c>
      <c r="AT226" s="34">
        <f>[2]Districts_Boroughs!DX208</f>
        <v>2</v>
      </c>
      <c r="AU226" s="34">
        <f>[2]Districts_Boroughs!DY208</f>
        <v>1</v>
      </c>
      <c r="AV226" s="34">
        <f>[2]Districts_Boroughs!DZ208</f>
        <v>4</v>
      </c>
      <c r="AW226" s="34">
        <f>[2]Districts_Boroughs!EA208</f>
        <v>4</v>
      </c>
      <c r="AX226" s="34">
        <f>[2]Districts_Boroughs!EB208</f>
        <v>3</v>
      </c>
      <c r="AY226" s="34">
        <f>[2]Districts_Boroughs!EC208</f>
        <v>6</v>
      </c>
    </row>
    <row r="227" spans="2:51" x14ac:dyDescent="0.35">
      <c r="B227" t="str">
        <f t="shared" si="13"/>
        <v>WarwickPersonal Robbery</v>
      </c>
      <c r="C227" s="387" t="s">
        <v>37</v>
      </c>
      <c r="D227" s="34">
        <f>[2]Districts_Boroughs!CH209</f>
        <v>6</v>
      </c>
      <c r="E227" s="34">
        <f>[2]Districts_Boroughs!CI209</f>
        <v>3</v>
      </c>
      <c r="F227" s="34">
        <f>[2]Districts_Boroughs!CJ209</f>
        <v>6</v>
      </c>
      <c r="G227" s="34">
        <f>[2]Districts_Boroughs!CK209</f>
        <v>13</v>
      </c>
      <c r="H227" s="34">
        <f>[2]Districts_Boroughs!CL209</f>
        <v>8</v>
      </c>
      <c r="I227" s="34">
        <f>[2]Districts_Boroughs!CM209</f>
        <v>4</v>
      </c>
      <c r="J227" s="34">
        <f>[2]Districts_Boroughs!CN209</f>
        <v>6</v>
      </c>
      <c r="K227" s="34">
        <f>[2]Districts_Boroughs!CO209</f>
        <v>9</v>
      </c>
      <c r="L227" s="34">
        <f>[2]Districts_Boroughs!CP209</f>
        <v>2</v>
      </c>
      <c r="M227" s="34">
        <f>[2]Districts_Boroughs!CQ209</f>
        <v>8</v>
      </c>
      <c r="N227" s="34">
        <f>[2]Districts_Boroughs!CR209</f>
        <v>2</v>
      </c>
      <c r="O227" s="34">
        <f>[2]Districts_Boroughs!CS209</f>
        <v>5</v>
      </c>
      <c r="P227" s="34">
        <f>[2]Districts_Boroughs!CT209</f>
        <v>9</v>
      </c>
      <c r="Q227" s="34">
        <f>[2]Districts_Boroughs!CU209</f>
        <v>7</v>
      </c>
      <c r="R227" s="34">
        <f>[2]Districts_Boroughs!CV209</f>
        <v>8</v>
      </c>
      <c r="S227" s="34">
        <f>[2]Districts_Boroughs!CW209</f>
        <v>9</v>
      </c>
      <c r="T227" s="34">
        <f>[2]Districts_Boroughs!CX209</f>
        <v>9</v>
      </c>
      <c r="U227" s="34">
        <f>[2]Districts_Boroughs!CY209</f>
        <v>5</v>
      </c>
      <c r="V227" s="34">
        <f>[2]Districts_Boroughs!CZ209</f>
        <v>6</v>
      </c>
      <c r="W227" s="34">
        <f>[2]Districts_Boroughs!DA209</f>
        <v>4</v>
      </c>
      <c r="X227" s="34">
        <f>[2]Districts_Boroughs!DB209</f>
        <v>3</v>
      </c>
      <c r="Y227" s="34">
        <f>[2]Districts_Boroughs!DC209</f>
        <v>6</v>
      </c>
      <c r="Z227" s="34">
        <f>[2]Districts_Boroughs!DD209</f>
        <v>11</v>
      </c>
      <c r="AA227" s="34">
        <f>[2]Districts_Boroughs!DE209</f>
        <v>6</v>
      </c>
      <c r="AB227" s="34">
        <f>[2]Districts_Boroughs!DF209</f>
        <v>7</v>
      </c>
      <c r="AC227" s="34">
        <f>[2]Districts_Boroughs!DG209</f>
        <v>10</v>
      </c>
      <c r="AD227" s="34">
        <f>[2]Districts_Boroughs!DH209</f>
        <v>8</v>
      </c>
      <c r="AE227" s="34">
        <f>[2]Districts_Boroughs!DI209</f>
        <v>12</v>
      </c>
      <c r="AF227" s="34">
        <f>[2]Districts_Boroughs!DJ209</f>
        <v>10</v>
      </c>
      <c r="AG227" s="34">
        <f>[2]Districts_Boroughs!DK209</f>
        <v>3</v>
      </c>
      <c r="AH227" s="34">
        <f>[2]Districts_Boroughs!DL209</f>
        <v>6</v>
      </c>
      <c r="AI227" s="34">
        <f>[2]Districts_Boroughs!DM209</f>
        <v>3</v>
      </c>
      <c r="AJ227" s="34">
        <f>[2]Districts_Boroughs!DN209</f>
        <v>6</v>
      </c>
      <c r="AK227" s="34">
        <f>[2]Districts_Boroughs!DO209</f>
        <v>9</v>
      </c>
      <c r="AL227" s="34">
        <f>[2]Districts_Boroughs!DP209</f>
        <v>7</v>
      </c>
      <c r="AM227" s="34">
        <f>[2]Districts_Boroughs!DQ209</f>
        <v>7</v>
      </c>
      <c r="AN227" s="34">
        <f>[2]Districts_Boroughs!DR209</f>
        <v>4</v>
      </c>
      <c r="AO227" s="34">
        <f>[2]Districts_Boroughs!DS209</f>
        <v>12</v>
      </c>
      <c r="AP227" s="34">
        <f>[2]Districts_Boroughs!DT209</f>
        <v>7</v>
      </c>
      <c r="AQ227" s="34">
        <f>[2]Districts_Boroughs!DU209</f>
        <v>4</v>
      </c>
      <c r="AR227" s="34">
        <f>[2]Districts_Boroughs!DV209</f>
        <v>11</v>
      </c>
      <c r="AS227" s="34">
        <f>[2]Districts_Boroughs!DW209</f>
        <v>8</v>
      </c>
      <c r="AT227" s="34">
        <f>[2]Districts_Boroughs!DX209</f>
        <v>4</v>
      </c>
      <c r="AU227" s="34">
        <f>[2]Districts_Boroughs!DY209</f>
        <v>3</v>
      </c>
      <c r="AV227" s="34">
        <f>[2]Districts_Boroughs!DZ209</f>
        <v>6</v>
      </c>
      <c r="AW227" s="34">
        <f>[2]Districts_Boroughs!EA209</f>
        <v>3</v>
      </c>
      <c r="AX227" s="34">
        <f>[2]Districts_Boroughs!EB209</f>
        <v>3</v>
      </c>
      <c r="AY227" s="34">
        <f>[2]Districts_Boroughs!EC209</f>
        <v>3</v>
      </c>
    </row>
    <row r="228" spans="2:51" x14ac:dyDescent="0.35">
      <c r="B228" t="str">
        <f t="shared" si="13"/>
        <v>WarwickBurglary Residential</v>
      </c>
      <c r="C228" s="387" t="s">
        <v>31</v>
      </c>
      <c r="D228" s="34">
        <f>[2]Districts_Boroughs!CH210</f>
        <v>17</v>
      </c>
      <c r="E228" s="34">
        <f>[2]Districts_Boroughs!CI210</f>
        <v>21</v>
      </c>
      <c r="F228" s="34">
        <f>[2]Districts_Boroughs!CJ210</f>
        <v>37</v>
      </c>
      <c r="G228" s="34">
        <f>[2]Districts_Boroughs!CK210</f>
        <v>14</v>
      </c>
      <c r="H228" s="34">
        <f>[2]Districts_Boroughs!CL210</f>
        <v>28</v>
      </c>
      <c r="I228" s="34">
        <f>[2]Districts_Boroughs!CM210</f>
        <v>29</v>
      </c>
      <c r="J228" s="34">
        <f>[2]Districts_Boroughs!CN210</f>
        <v>33</v>
      </c>
      <c r="K228" s="34">
        <f>[2]Districts_Boroughs!CO210</f>
        <v>26</v>
      </c>
      <c r="L228" s="34">
        <f>[2]Districts_Boroughs!CP210</f>
        <v>23</v>
      </c>
      <c r="M228" s="34">
        <f>[2]Districts_Boroughs!CQ210</f>
        <v>29</v>
      </c>
      <c r="N228" s="34">
        <f>[2]Districts_Boroughs!CR210</f>
        <v>32</v>
      </c>
      <c r="O228" s="34">
        <f>[2]Districts_Boroughs!CS210</f>
        <v>25</v>
      </c>
      <c r="P228" s="34">
        <f>[2]Districts_Boroughs!CT210</f>
        <v>35</v>
      </c>
      <c r="Q228" s="34">
        <f>[2]Districts_Boroughs!CU210</f>
        <v>16</v>
      </c>
      <c r="R228" s="34">
        <f>[2]Districts_Boroughs!CV210</f>
        <v>26</v>
      </c>
      <c r="S228" s="34">
        <f>[2]Districts_Boroughs!CW210</f>
        <v>36</v>
      </c>
      <c r="T228" s="34">
        <f>[2]Districts_Boroughs!CX210</f>
        <v>32</v>
      </c>
      <c r="U228" s="34">
        <f>[2]Districts_Boroughs!CY210</f>
        <v>30</v>
      </c>
      <c r="V228" s="34">
        <f>[2]Districts_Boroughs!CZ210</f>
        <v>38</v>
      </c>
      <c r="W228" s="34">
        <f>[2]Districts_Boroughs!DA210</f>
        <v>34</v>
      </c>
      <c r="X228" s="34">
        <f>[2]Districts_Boroughs!DB210</f>
        <v>18</v>
      </c>
      <c r="Y228" s="34">
        <f>[2]Districts_Boroughs!DC210</f>
        <v>26</v>
      </c>
      <c r="Z228" s="34">
        <f>[2]Districts_Boroughs!DD210</f>
        <v>27</v>
      </c>
      <c r="AA228" s="34">
        <f>[2]Districts_Boroughs!DE210</f>
        <v>33</v>
      </c>
      <c r="AB228" s="34">
        <f>[2]Districts_Boroughs!DF210</f>
        <v>31</v>
      </c>
      <c r="AC228" s="34">
        <f>[2]Districts_Boroughs!DG210</f>
        <v>25</v>
      </c>
      <c r="AD228" s="34">
        <f>[2]Districts_Boroughs!DH210</f>
        <v>26</v>
      </c>
      <c r="AE228" s="34">
        <f>[2]Districts_Boroughs!DI210</f>
        <v>21</v>
      </c>
      <c r="AF228" s="34">
        <f>[2]Districts_Boroughs!DJ210</f>
        <v>17</v>
      </c>
      <c r="AG228" s="34">
        <f>[2]Districts_Boroughs!DK210</f>
        <v>29</v>
      </c>
      <c r="AH228" s="34">
        <f>[2]Districts_Boroughs!DL210</f>
        <v>28</v>
      </c>
      <c r="AI228" s="34">
        <f>[2]Districts_Boroughs!DM210</f>
        <v>24</v>
      </c>
      <c r="AJ228" s="34">
        <f>[2]Districts_Boroughs!DN210</f>
        <v>23</v>
      </c>
      <c r="AK228" s="34">
        <f>[2]Districts_Boroughs!DO210</f>
        <v>29</v>
      </c>
      <c r="AL228" s="34">
        <f>[2]Districts_Boroughs!DP210</f>
        <v>26</v>
      </c>
      <c r="AM228" s="34">
        <f>[2]Districts_Boroughs!DQ210</f>
        <v>27</v>
      </c>
      <c r="AN228" s="34">
        <f>[2]Districts_Boroughs!DR210</f>
        <v>21</v>
      </c>
      <c r="AO228" s="34">
        <f>[2]Districts_Boroughs!DS210</f>
        <v>25</v>
      </c>
      <c r="AP228" s="34">
        <f>[2]Districts_Boroughs!DT210</f>
        <v>25</v>
      </c>
      <c r="AQ228" s="34">
        <f>[2]Districts_Boroughs!DU210</f>
        <v>25</v>
      </c>
      <c r="AR228" s="34">
        <f>[2]Districts_Boroughs!DV210</f>
        <v>22</v>
      </c>
      <c r="AS228" s="34">
        <f>[2]Districts_Boroughs!DW210</f>
        <v>19</v>
      </c>
      <c r="AT228" s="34">
        <f>[2]Districts_Boroughs!DX210</f>
        <v>31</v>
      </c>
      <c r="AU228" s="34">
        <f>[2]Districts_Boroughs!DY210</f>
        <v>28</v>
      </c>
      <c r="AV228" s="34">
        <f>[2]Districts_Boroughs!DZ210</f>
        <v>24</v>
      </c>
      <c r="AW228" s="34">
        <f>[2]Districts_Boroughs!EA210</f>
        <v>34</v>
      </c>
      <c r="AX228" s="34">
        <f>[2]Districts_Boroughs!EB210</f>
        <v>18</v>
      </c>
      <c r="AY228" s="34">
        <f>[2]Districts_Boroughs!EC210</f>
        <v>36</v>
      </c>
    </row>
    <row r="229" spans="2:51" x14ac:dyDescent="0.35">
      <c r="B229" t="str">
        <f t="shared" si="12"/>
        <v>WarwickBurglary Business and Community</v>
      </c>
      <c r="C229" s="387" t="s">
        <v>55</v>
      </c>
      <c r="D229" s="34">
        <f>[2]Districts_Boroughs!CH211</f>
        <v>16</v>
      </c>
      <c r="E229" s="34">
        <f>[2]Districts_Boroughs!CI211</f>
        <v>9</v>
      </c>
      <c r="F229" s="34">
        <f>[2]Districts_Boroughs!CJ211</f>
        <v>12</v>
      </c>
      <c r="G229" s="34">
        <f>[2]Districts_Boroughs!CK211</f>
        <v>8</v>
      </c>
      <c r="H229" s="34">
        <f>[2]Districts_Boroughs!CL211</f>
        <v>16</v>
      </c>
      <c r="I229" s="34">
        <f>[2]Districts_Boroughs!CM211</f>
        <v>4</v>
      </c>
      <c r="J229" s="34">
        <f>[2]Districts_Boroughs!CN211</f>
        <v>6</v>
      </c>
      <c r="K229" s="34">
        <f>[2]Districts_Boroughs!CO211</f>
        <v>15</v>
      </c>
      <c r="L229" s="34">
        <f>[2]Districts_Boroughs!CP211</f>
        <v>14</v>
      </c>
      <c r="M229" s="34">
        <f>[2]Districts_Boroughs!CQ211</f>
        <v>10</v>
      </c>
      <c r="N229" s="34">
        <f>[2]Districts_Boroughs!CR211</f>
        <v>8</v>
      </c>
      <c r="O229" s="34">
        <f>[2]Districts_Boroughs!CS211</f>
        <v>5</v>
      </c>
      <c r="P229" s="34">
        <f>[2]Districts_Boroughs!CT211</f>
        <v>9</v>
      </c>
      <c r="Q229" s="34">
        <f>[2]Districts_Boroughs!CU211</f>
        <v>9</v>
      </c>
      <c r="R229" s="34">
        <f>[2]Districts_Boroughs!CV211</f>
        <v>12</v>
      </c>
      <c r="S229" s="34">
        <f>[2]Districts_Boroughs!CW211</f>
        <v>19</v>
      </c>
      <c r="T229" s="34">
        <f>[2]Districts_Boroughs!CX211</f>
        <v>20</v>
      </c>
      <c r="U229" s="34">
        <f>[2]Districts_Boroughs!CY211</f>
        <v>13</v>
      </c>
      <c r="V229" s="34">
        <f>[2]Districts_Boroughs!CZ211</f>
        <v>19</v>
      </c>
      <c r="W229" s="34">
        <f>[2]Districts_Boroughs!DA211</f>
        <v>14</v>
      </c>
      <c r="X229" s="34">
        <f>[2]Districts_Boroughs!DB211</f>
        <v>11</v>
      </c>
      <c r="Y229" s="34">
        <f>[2]Districts_Boroughs!DC211</f>
        <v>14</v>
      </c>
      <c r="Z229" s="34">
        <f>[2]Districts_Boroughs!DD211</f>
        <v>23</v>
      </c>
      <c r="AA229" s="34">
        <f>[2]Districts_Boroughs!DE211</f>
        <v>3</v>
      </c>
      <c r="AB229" s="34">
        <f>[2]Districts_Boroughs!DF211</f>
        <v>12</v>
      </c>
      <c r="AC229" s="34">
        <f>[2]Districts_Boroughs!DG211</f>
        <v>11</v>
      </c>
      <c r="AD229" s="34">
        <f>[2]Districts_Boroughs!DH211</f>
        <v>9</v>
      </c>
      <c r="AE229" s="34">
        <f>[2]Districts_Boroughs!DI211</f>
        <v>12</v>
      </c>
      <c r="AF229" s="34">
        <f>[2]Districts_Boroughs!DJ211</f>
        <v>22</v>
      </c>
      <c r="AG229" s="34">
        <f>[2]Districts_Boroughs!DK211</f>
        <v>11</v>
      </c>
      <c r="AH229" s="34">
        <f>[2]Districts_Boroughs!DL211</f>
        <v>11</v>
      </c>
      <c r="AI229" s="34">
        <f>[2]Districts_Boroughs!DM211</f>
        <v>7</v>
      </c>
      <c r="AJ229" s="34">
        <f>[2]Districts_Boroughs!DN211</f>
        <v>7</v>
      </c>
      <c r="AK229" s="34">
        <f>[2]Districts_Boroughs!DO211</f>
        <v>15</v>
      </c>
      <c r="AL229" s="34">
        <f>[2]Districts_Boroughs!DP211</f>
        <v>16</v>
      </c>
      <c r="AM229" s="34">
        <f>[2]Districts_Boroughs!DQ211</f>
        <v>17</v>
      </c>
      <c r="AN229" s="34">
        <f>[2]Districts_Boroughs!DR211</f>
        <v>8</v>
      </c>
      <c r="AO229" s="34">
        <f>[2]Districts_Boroughs!DS211</f>
        <v>20</v>
      </c>
      <c r="AP229" s="34">
        <f>[2]Districts_Boroughs!DT211</f>
        <v>16</v>
      </c>
      <c r="AQ229" s="34">
        <f>[2]Districts_Boroughs!DU211</f>
        <v>22</v>
      </c>
      <c r="AR229" s="34">
        <f>[2]Districts_Boroughs!DV211</f>
        <v>16</v>
      </c>
      <c r="AS229" s="34">
        <f>[2]Districts_Boroughs!DW211</f>
        <v>18</v>
      </c>
      <c r="AT229" s="34">
        <f>[2]Districts_Boroughs!DX211</f>
        <v>12</v>
      </c>
      <c r="AU229" s="34">
        <f>[2]Districts_Boroughs!DY211</f>
        <v>16</v>
      </c>
      <c r="AV229" s="34">
        <f>[2]Districts_Boroughs!DZ211</f>
        <v>13</v>
      </c>
      <c r="AW229" s="34">
        <f>[2]Districts_Boroughs!EA211</f>
        <v>16</v>
      </c>
      <c r="AX229" s="34">
        <f>[2]Districts_Boroughs!EB211</f>
        <v>7</v>
      </c>
      <c r="AY229" s="34">
        <f>[2]Districts_Boroughs!EC211</f>
        <v>13</v>
      </c>
    </row>
    <row r="230" spans="2:51" x14ac:dyDescent="0.35">
      <c r="B230" t="str">
        <f>CONCATENATE($C$218,C230)</f>
        <v>WarwickVehicle Offences</v>
      </c>
      <c r="C230" s="387" t="s">
        <v>38</v>
      </c>
      <c r="D230" s="34">
        <f>[2]Districts_Boroughs!CH212</f>
        <v>56</v>
      </c>
      <c r="E230" s="34">
        <f>[2]Districts_Boroughs!CI212</f>
        <v>60</v>
      </c>
      <c r="F230" s="34">
        <f>[2]Districts_Boroughs!CJ212</f>
        <v>60</v>
      </c>
      <c r="G230" s="34">
        <f>[2]Districts_Boroughs!CK212</f>
        <v>99</v>
      </c>
      <c r="H230" s="34">
        <f>[2]Districts_Boroughs!CL212</f>
        <v>83</v>
      </c>
      <c r="I230" s="34">
        <f>[2]Districts_Boroughs!CM212</f>
        <v>71</v>
      </c>
      <c r="J230" s="34">
        <f>[2]Districts_Boroughs!CN212</f>
        <v>53</v>
      </c>
      <c r="K230" s="34">
        <f>[2]Districts_Boroughs!CO212</f>
        <v>128</v>
      </c>
      <c r="L230" s="34">
        <f>[2]Districts_Boroughs!CP212</f>
        <v>70</v>
      </c>
      <c r="M230" s="34">
        <f>[2]Districts_Boroughs!CQ212</f>
        <v>76</v>
      </c>
      <c r="N230" s="34">
        <f>[2]Districts_Boroughs!CR212</f>
        <v>61</v>
      </c>
      <c r="O230" s="34">
        <f>[2]Districts_Boroughs!CS212</f>
        <v>112</v>
      </c>
      <c r="P230" s="34">
        <f>[2]Districts_Boroughs!CT212</f>
        <v>82</v>
      </c>
      <c r="Q230" s="34">
        <f>[2]Districts_Boroughs!CU212</f>
        <v>97</v>
      </c>
      <c r="R230" s="34">
        <f>[2]Districts_Boroughs!CV212</f>
        <v>97</v>
      </c>
      <c r="S230" s="34">
        <f>[2]Districts_Boroughs!CW212</f>
        <v>109</v>
      </c>
      <c r="T230" s="34">
        <f>[2]Districts_Boroughs!CX212</f>
        <v>83</v>
      </c>
      <c r="U230" s="34">
        <f>[2]Districts_Boroughs!CY212</f>
        <v>101</v>
      </c>
      <c r="V230" s="34">
        <f>[2]Districts_Boroughs!CZ212</f>
        <v>121</v>
      </c>
      <c r="W230" s="34">
        <f>[2]Districts_Boroughs!DA212</f>
        <v>85</v>
      </c>
      <c r="X230" s="34">
        <f>[2]Districts_Boroughs!DB212</f>
        <v>61</v>
      </c>
      <c r="Y230" s="34">
        <f>[2]Districts_Boroughs!DC212</f>
        <v>130</v>
      </c>
      <c r="Z230" s="34">
        <f>[2]Districts_Boroughs!DD212</f>
        <v>66</v>
      </c>
      <c r="AA230" s="34">
        <f>[2]Districts_Boroughs!DE212</f>
        <v>62</v>
      </c>
      <c r="AB230" s="34">
        <f>[2]Districts_Boroughs!DF212</f>
        <v>91</v>
      </c>
      <c r="AC230" s="34">
        <f>[2]Districts_Boroughs!DG212</f>
        <v>62</v>
      </c>
      <c r="AD230" s="34">
        <f>[2]Districts_Boroughs!DH212</f>
        <v>76</v>
      </c>
      <c r="AE230" s="34">
        <f>[2]Districts_Boroughs!DI212</f>
        <v>106</v>
      </c>
      <c r="AF230" s="34">
        <f>[2]Districts_Boroughs!DJ212</f>
        <v>74</v>
      </c>
      <c r="AG230" s="34">
        <f>[2]Districts_Boroughs!DK212</f>
        <v>60</v>
      </c>
      <c r="AH230" s="34">
        <f>[2]Districts_Boroughs!DL212</f>
        <v>90</v>
      </c>
      <c r="AI230" s="34">
        <f>[2]Districts_Boroughs!DM212</f>
        <v>85</v>
      </c>
      <c r="AJ230" s="34">
        <f>[2]Districts_Boroughs!DN212</f>
        <v>101</v>
      </c>
      <c r="AK230" s="34">
        <f>[2]Districts_Boroughs!DO212</f>
        <v>73</v>
      </c>
      <c r="AL230" s="34">
        <f>[2]Districts_Boroughs!DP212</f>
        <v>52</v>
      </c>
      <c r="AM230" s="34">
        <f>[2]Districts_Boroughs!DQ212</f>
        <v>58</v>
      </c>
      <c r="AN230" s="34">
        <f>[2]Districts_Boroughs!DR212</f>
        <v>89</v>
      </c>
      <c r="AO230" s="34">
        <f>[2]Districts_Boroughs!DS212</f>
        <v>68</v>
      </c>
      <c r="AP230" s="34">
        <f>[2]Districts_Boroughs!DT212</f>
        <v>75</v>
      </c>
      <c r="AQ230" s="34">
        <f>[2]Districts_Boroughs!DU212</f>
        <v>78</v>
      </c>
      <c r="AR230" s="34">
        <f>[2]Districts_Boroughs!DV212</f>
        <v>78</v>
      </c>
      <c r="AS230" s="34">
        <f>[2]Districts_Boroughs!DW212</f>
        <v>94</v>
      </c>
      <c r="AT230" s="34">
        <f>[2]Districts_Boroughs!DX212</f>
        <v>77</v>
      </c>
      <c r="AU230" s="34">
        <f>[2]Districts_Boroughs!DY212</f>
        <v>43</v>
      </c>
      <c r="AV230" s="34">
        <f>[2]Districts_Boroughs!DZ212</f>
        <v>57</v>
      </c>
      <c r="AW230" s="34">
        <f>[2]Districts_Boroughs!EA212</f>
        <v>79</v>
      </c>
      <c r="AX230" s="34">
        <f>[2]Districts_Boroughs!EB212</f>
        <v>48</v>
      </c>
      <c r="AY230" s="34">
        <f>[2]Districts_Boroughs!EC212</f>
        <v>54</v>
      </c>
    </row>
    <row r="231" spans="2:51" x14ac:dyDescent="0.35">
      <c r="B231" t="str">
        <f>CONCATENATE($C$218,C231)</f>
        <v>WarwickShoplifting</v>
      </c>
      <c r="C231" s="387" t="s">
        <v>17</v>
      </c>
      <c r="D231" s="34">
        <f>[2]Districts_Boroughs!CH213</f>
        <v>25</v>
      </c>
      <c r="E231" s="34">
        <f>[2]Districts_Boroughs!CI213</f>
        <v>49</v>
      </c>
      <c r="F231" s="34">
        <f>[2]Districts_Boroughs!CJ213</f>
        <v>44</v>
      </c>
      <c r="G231" s="34">
        <f>[2]Districts_Boroughs!CK213</f>
        <v>63</v>
      </c>
      <c r="H231" s="34">
        <f>[2]Districts_Boroughs!CL213</f>
        <v>71</v>
      </c>
      <c r="I231" s="34">
        <f>[2]Districts_Boroughs!CM213</f>
        <v>63</v>
      </c>
      <c r="J231" s="34">
        <f>[2]Districts_Boroughs!CN213</f>
        <v>61</v>
      </c>
      <c r="K231" s="34">
        <f>[2]Districts_Boroughs!CO213</f>
        <v>39</v>
      </c>
      <c r="L231" s="34">
        <f>[2]Districts_Boroughs!CP213</f>
        <v>29</v>
      </c>
      <c r="M231" s="34">
        <f>[2]Districts_Boroughs!CQ213</f>
        <v>54</v>
      </c>
      <c r="N231" s="34">
        <f>[2]Districts_Boroughs!CR213</f>
        <v>56</v>
      </c>
      <c r="O231" s="34">
        <f>[2]Districts_Boroughs!CS213</f>
        <v>36</v>
      </c>
      <c r="P231" s="34">
        <f>[2]Districts_Boroughs!CT213</f>
        <v>38</v>
      </c>
      <c r="Q231" s="34">
        <f>[2]Districts_Boroughs!CU213</f>
        <v>57</v>
      </c>
      <c r="R231" s="34">
        <f>[2]Districts_Boroughs!CV213</f>
        <v>43</v>
      </c>
      <c r="S231" s="34">
        <f>[2]Districts_Boroughs!CW213</f>
        <v>48</v>
      </c>
      <c r="T231" s="34">
        <f>[2]Districts_Boroughs!CX213</f>
        <v>75</v>
      </c>
      <c r="U231" s="34">
        <f>[2]Districts_Boroughs!CY213</f>
        <v>53</v>
      </c>
      <c r="V231" s="34">
        <f>[2]Districts_Boroughs!CZ213</f>
        <v>85</v>
      </c>
      <c r="W231" s="34">
        <f>[2]Districts_Boroughs!DA213</f>
        <v>60</v>
      </c>
      <c r="X231" s="34">
        <f>[2]Districts_Boroughs!DB213</f>
        <v>57</v>
      </c>
      <c r="Y231" s="34">
        <f>[2]Districts_Boroughs!DC213</f>
        <v>60</v>
      </c>
      <c r="Z231" s="34">
        <f>[2]Districts_Boroughs!DD213</f>
        <v>86</v>
      </c>
      <c r="AA231" s="34">
        <f>[2]Districts_Boroughs!DE213</f>
        <v>83</v>
      </c>
      <c r="AB231" s="34">
        <f>[2]Districts_Boroughs!DF213</f>
        <v>56</v>
      </c>
      <c r="AC231" s="34">
        <f>[2]Districts_Boroughs!DG213</f>
        <v>71</v>
      </c>
      <c r="AD231" s="34">
        <f>[2]Districts_Boroughs!DH213</f>
        <v>58</v>
      </c>
      <c r="AE231" s="34">
        <f>[2]Districts_Boroughs!DI213</f>
        <v>49</v>
      </c>
      <c r="AF231" s="34">
        <f>[2]Districts_Boroughs!DJ213</f>
        <v>49</v>
      </c>
      <c r="AG231" s="34">
        <f>[2]Districts_Boroughs!DK213</f>
        <v>65</v>
      </c>
      <c r="AH231" s="34">
        <f>[2]Districts_Boroughs!DL213</f>
        <v>47</v>
      </c>
      <c r="AI231" s="34">
        <f>[2]Districts_Boroughs!DM213</f>
        <v>64</v>
      </c>
      <c r="AJ231" s="34">
        <f>[2]Districts_Boroughs!DN213</f>
        <v>48</v>
      </c>
      <c r="AK231" s="34">
        <f>[2]Districts_Boroughs!DO213</f>
        <v>95</v>
      </c>
      <c r="AL231" s="34">
        <f>[2]Districts_Boroughs!DP213</f>
        <v>102</v>
      </c>
      <c r="AM231" s="34">
        <f>[2]Districts_Boroughs!DQ213</f>
        <v>110</v>
      </c>
      <c r="AN231" s="34">
        <f>[2]Districts_Boroughs!DR213</f>
        <v>81</v>
      </c>
      <c r="AO231" s="34">
        <f>[2]Districts_Boroughs!DS213</f>
        <v>67</v>
      </c>
      <c r="AP231" s="34">
        <f>[2]Districts_Boroughs!DT213</f>
        <v>66</v>
      </c>
      <c r="AQ231" s="34">
        <f>[2]Districts_Boroughs!DU213</f>
        <v>79</v>
      </c>
      <c r="AR231" s="34">
        <f>[2]Districts_Boroughs!DV213</f>
        <v>77</v>
      </c>
      <c r="AS231" s="34">
        <f>[2]Districts_Boroughs!DW213</f>
        <v>77</v>
      </c>
      <c r="AT231" s="34">
        <f>[2]Districts_Boroughs!DX213</f>
        <v>101</v>
      </c>
      <c r="AU231" s="34">
        <f>[2]Districts_Boroughs!DY213</f>
        <v>75</v>
      </c>
      <c r="AV231" s="34">
        <f>[2]Districts_Boroughs!DZ213</f>
        <v>50</v>
      </c>
      <c r="AW231" s="34">
        <f>[2]Districts_Boroughs!EA213</f>
        <v>68</v>
      </c>
      <c r="AX231" s="34">
        <f>[2]Districts_Boroughs!EB213</f>
        <v>64</v>
      </c>
      <c r="AY231" s="34">
        <f>[2]Districts_Boroughs!EC213</f>
        <v>111</v>
      </c>
    </row>
    <row r="232" spans="2:51" x14ac:dyDescent="0.35">
      <c r="B232" t="str">
        <f t="shared" si="12"/>
        <v>WarwickCriminal Damage &amp; Arson</v>
      </c>
      <c r="C232" s="387" t="s">
        <v>34</v>
      </c>
      <c r="D232" s="34">
        <f>[2]Districts_Boroughs!CH214</f>
        <v>60</v>
      </c>
      <c r="E232" s="34">
        <f>[2]Districts_Boroughs!CI214</f>
        <v>102</v>
      </c>
      <c r="F232" s="34">
        <f>[2]Districts_Boroughs!CJ214</f>
        <v>97</v>
      </c>
      <c r="G232" s="34">
        <f>[2]Districts_Boroughs!CK214</f>
        <v>67</v>
      </c>
      <c r="H232" s="34">
        <f>[2]Districts_Boroughs!CL214</f>
        <v>79</v>
      </c>
      <c r="I232" s="34">
        <f>[2]Districts_Boroughs!CM214</f>
        <v>69</v>
      </c>
      <c r="J232" s="34">
        <f>[2]Districts_Boroughs!CN214</f>
        <v>84</v>
      </c>
      <c r="K232" s="34">
        <f>[2]Districts_Boroughs!CO214</f>
        <v>78</v>
      </c>
      <c r="L232" s="34">
        <f>[2]Districts_Boroughs!CP214</f>
        <v>73</v>
      </c>
      <c r="M232" s="34">
        <f>[2]Districts_Boroughs!CQ214</f>
        <v>73</v>
      </c>
      <c r="N232" s="34">
        <f>[2]Districts_Boroughs!CR214</f>
        <v>55</v>
      </c>
      <c r="O232" s="34">
        <f>[2]Districts_Boroughs!CS214</f>
        <v>64</v>
      </c>
      <c r="P232" s="34">
        <f>[2]Districts_Boroughs!CT214</f>
        <v>58</v>
      </c>
      <c r="Q232" s="34">
        <f>[2]Districts_Boroughs!CU214</f>
        <v>76</v>
      </c>
      <c r="R232" s="34">
        <f>[2]Districts_Boroughs!CV214</f>
        <v>70</v>
      </c>
      <c r="S232" s="34">
        <f>[2]Districts_Boroughs!CW214</f>
        <v>89</v>
      </c>
      <c r="T232" s="34">
        <f>[2]Districts_Boroughs!CX214</f>
        <v>94</v>
      </c>
      <c r="U232" s="34">
        <f>[2]Districts_Boroughs!CY214</f>
        <v>80</v>
      </c>
      <c r="V232" s="34">
        <f>[2]Districts_Boroughs!CZ214</f>
        <v>63</v>
      </c>
      <c r="W232" s="34">
        <f>[2]Districts_Boroughs!DA214</f>
        <v>68</v>
      </c>
      <c r="X232" s="34">
        <f>[2]Districts_Boroughs!DB214</f>
        <v>75</v>
      </c>
      <c r="Y232" s="34">
        <f>[2]Districts_Boroughs!DC214</f>
        <v>76</v>
      </c>
      <c r="Z232" s="34">
        <f>[2]Districts_Boroughs!DD214</f>
        <v>65</v>
      </c>
      <c r="AA232" s="34">
        <f>[2]Districts_Boroughs!DE214</f>
        <v>66</v>
      </c>
      <c r="AB232" s="34">
        <f>[2]Districts_Boroughs!DF214</f>
        <v>65</v>
      </c>
      <c r="AC232" s="34">
        <f>[2]Districts_Boroughs!DG214</f>
        <v>86</v>
      </c>
      <c r="AD232" s="34">
        <f>[2]Districts_Boroughs!DH214</f>
        <v>99</v>
      </c>
      <c r="AE232" s="34">
        <f>[2]Districts_Boroughs!DI214</f>
        <v>65</v>
      </c>
      <c r="AF232" s="34">
        <f>[2]Districts_Boroughs!DJ214</f>
        <v>68</v>
      </c>
      <c r="AG232" s="34">
        <f>[2]Districts_Boroughs!DK214</f>
        <v>72</v>
      </c>
      <c r="AH232" s="34">
        <f>[2]Districts_Boroughs!DL214</f>
        <v>51</v>
      </c>
      <c r="AI232" s="34">
        <f>[2]Districts_Boroughs!DM214</f>
        <v>43</v>
      </c>
      <c r="AJ232" s="34">
        <f>[2]Districts_Boroughs!DN214</f>
        <v>50</v>
      </c>
      <c r="AK232" s="34">
        <f>[2]Districts_Boroughs!DO214</f>
        <v>64</v>
      </c>
      <c r="AL232" s="34">
        <f>[2]Districts_Boroughs!DP214</f>
        <v>60</v>
      </c>
      <c r="AM232" s="34">
        <f>[2]Districts_Boroughs!DQ214</f>
        <v>41</v>
      </c>
      <c r="AN232" s="34">
        <f>[2]Districts_Boroughs!DR214</f>
        <v>63</v>
      </c>
      <c r="AO232" s="34">
        <f>[2]Districts_Boroughs!DS214</f>
        <v>68</v>
      </c>
      <c r="AP232" s="34">
        <f>[2]Districts_Boroughs!DT214</f>
        <v>61</v>
      </c>
      <c r="AQ232" s="34">
        <f>[2]Districts_Boroughs!DU214</f>
        <v>104</v>
      </c>
      <c r="AR232" s="34">
        <f>[2]Districts_Boroughs!DV214</f>
        <v>66</v>
      </c>
      <c r="AS232" s="34">
        <f>[2]Districts_Boroughs!DW214</f>
        <v>77</v>
      </c>
      <c r="AT232" s="34">
        <f>[2]Districts_Boroughs!DX214</f>
        <v>89</v>
      </c>
      <c r="AU232" s="34">
        <f>[2]Districts_Boroughs!DY214</f>
        <v>43</v>
      </c>
      <c r="AV232" s="34">
        <f>[2]Districts_Boroughs!DZ214</f>
        <v>59</v>
      </c>
      <c r="AW232" s="34">
        <f>[2]Districts_Boroughs!EA214</f>
        <v>58</v>
      </c>
      <c r="AX232" s="34">
        <f>[2]Districts_Boroughs!EB214</f>
        <v>49</v>
      </c>
      <c r="AY232" s="34">
        <f>[2]Districts_Boroughs!EC214</f>
        <v>79</v>
      </c>
    </row>
    <row r="233" spans="2:51" x14ac:dyDescent="0.35">
      <c r="B233" t="str">
        <f t="shared" si="12"/>
        <v>WarwickTotal Robbery</v>
      </c>
      <c r="C233" s="387" t="s">
        <v>41</v>
      </c>
      <c r="D233" s="34">
        <f>[2]Districts_Boroughs!CH215</f>
        <v>6</v>
      </c>
      <c r="E233" s="34">
        <f>[2]Districts_Boroughs!CI215</f>
        <v>3</v>
      </c>
      <c r="F233" s="34">
        <f>[2]Districts_Boroughs!CJ215</f>
        <v>6</v>
      </c>
      <c r="G233" s="34">
        <f>[2]Districts_Boroughs!CK215</f>
        <v>13</v>
      </c>
      <c r="H233" s="34">
        <f>[2]Districts_Boroughs!CL215</f>
        <v>9</v>
      </c>
      <c r="I233" s="34">
        <f>[2]Districts_Boroughs!CM215</f>
        <v>4</v>
      </c>
      <c r="J233" s="34">
        <f>[2]Districts_Boroughs!CN215</f>
        <v>6</v>
      </c>
      <c r="K233" s="34">
        <f>[2]Districts_Boroughs!CO215</f>
        <v>10</v>
      </c>
      <c r="L233" s="34">
        <f>[2]Districts_Boroughs!CP215</f>
        <v>2</v>
      </c>
      <c r="M233" s="34">
        <f>[2]Districts_Boroughs!CQ215</f>
        <v>9</v>
      </c>
      <c r="N233" s="34">
        <f>[2]Districts_Boroughs!CR215</f>
        <v>3</v>
      </c>
      <c r="O233" s="34">
        <f>[2]Districts_Boroughs!CS215</f>
        <v>5</v>
      </c>
      <c r="P233" s="34">
        <f>[2]Districts_Boroughs!CT215</f>
        <v>10</v>
      </c>
      <c r="Q233" s="34">
        <f>[2]Districts_Boroughs!CU215</f>
        <v>9</v>
      </c>
      <c r="R233" s="34">
        <f>[2]Districts_Boroughs!CV215</f>
        <v>10</v>
      </c>
      <c r="S233" s="34">
        <f>[2]Districts_Boroughs!CW215</f>
        <v>9</v>
      </c>
      <c r="T233" s="34">
        <f>[2]Districts_Boroughs!CX215</f>
        <v>11</v>
      </c>
      <c r="U233" s="34">
        <f>[2]Districts_Boroughs!CY215</f>
        <v>5</v>
      </c>
      <c r="V233" s="34">
        <f>[2]Districts_Boroughs!CZ215</f>
        <v>7</v>
      </c>
      <c r="W233" s="34">
        <f>[2]Districts_Boroughs!DA215</f>
        <v>4</v>
      </c>
      <c r="X233" s="34">
        <f>[2]Districts_Boroughs!DB215</f>
        <v>3</v>
      </c>
      <c r="Y233" s="34">
        <f>[2]Districts_Boroughs!DC215</f>
        <v>7</v>
      </c>
      <c r="Z233" s="34">
        <f>[2]Districts_Boroughs!DD215</f>
        <v>13</v>
      </c>
      <c r="AA233" s="34">
        <f>[2]Districts_Boroughs!DE215</f>
        <v>7</v>
      </c>
      <c r="AB233" s="34">
        <f>[2]Districts_Boroughs!DF215</f>
        <v>7</v>
      </c>
      <c r="AC233" s="34">
        <f>[2]Districts_Boroughs!DG215</f>
        <v>11</v>
      </c>
      <c r="AD233" s="34">
        <f>[2]Districts_Boroughs!DH215</f>
        <v>9</v>
      </c>
      <c r="AE233" s="34">
        <f>[2]Districts_Boroughs!DI215</f>
        <v>13</v>
      </c>
      <c r="AF233" s="34">
        <f>[2]Districts_Boroughs!DJ215</f>
        <v>12</v>
      </c>
      <c r="AG233" s="34">
        <f>[2]Districts_Boroughs!DK215</f>
        <v>5</v>
      </c>
      <c r="AH233" s="34">
        <f>[2]Districts_Boroughs!DL215</f>
        <v>8</v>
      </c>
      <c r="AI233" s="34">
        <f>[2]Districts_Boroughs!DM215</f>
        <v>3</v>
      </c>
      <c r="AJ233" s="34">
        <f>[2]Districts_Boroughs!DN215</f>
        <v>6</v>
      </c>
      <c r="AK233" s="34">
        <f>[2]Districts_Boroughs!DO215</f>
        <v>11</v>
      </c>
      <c r="AL233" s="34">
        <f>[2]Districts_Boroughs!DP215</f>
        <v>7</v>
      </c>
      <c r="AM233" s="34">
        <f>[2]Districts_Boroughs!DQ215</f>
        <v>8</v>
      </c>
      <c r="AN233" s="34">
        <f>[2]Districts_Boroughs!DR215</f>
        <v>5</v>
      </c>
      <c r="AO233" s="34">
        <f>[2]Districts_Boroughs!DS215</f>
        <v>13</v>
      </c>
      <c r="AP233" s="34">
        <f>[2]Districts_Boroughs!DT215</f>
        <v>8</v>
      </c>
      <c r="AQ233" s="34">
        <f>[2]Districts_Boroughs!DU215</f>
        <v>5</v>
      </c>
      <c r="AR233" s="34">
        <f>[2]Districts_Boroughs!DV215</f>
        <v>11</v>
      </c>
      <c r="AS233" s="34">
        <f>[2]Districts_Boroughs!DW215</f>
        <v>10</v>
      </c>
      <c r="AT233" s="34">
        <f>[2]Districts_Boroughs!DX215</f>
        <v>6</v>
      </c>
      <c r="AU233" s="34">
        <f>[2]Districts_Boroughs!DY215</f>
        <v>4</v>
      </c>
      <c r="AV233" s="34">
        <f>[2]Districts_Boroughs!DZ215</f>
        <v>10</v>
      </c>
      <c r="AW233" s="34">
        <f>[2]Districts_Boroughs!EA215</f>
        <v>7</v>
      </c>
      <c r="AX233" s="34">
        <f>[2]Districts_Boroughs!EB215</f>
        <v>6</v>
      </c>
      <c r="AY233" s="34">
        <f>[2]Districts_Boroughs!EC215</f>
        <v>9</v>
      </c>
    </row>
    <row r="234" spans="2:51" x14ac:dyDescent="0.35">
      <c r="B234" t="str">
        <f t="shared" si="12"/>
        <v>WarwickTotal VAP &amp; Sexual Offences</v>
      </c>
      <c r="C234" s="387" t="s">
        <v>42</v>
      </c>
      <c r="D234" s="34">
        <f>[2]Districts_Boroughs!CH216</f>
        <v>265</v>
      </c>
      <c r="E234" s="34">
        <f>[2]Districts_Boroughs!CI216</f>
        <v>323</v>
      </c>
      <c r="F234" s="34">
        <f>[2]Districts_Boroughs!CJ216</f>
        <v>398</v>
      </c>
      <c r="G234" s="34">
        <f>[2]Districts_Boroughs!CK216</f>
        <v>395</v>
      </c>
      <c r="H234" s="34">
        <f>[2]Districts_Boroughs!CL216</f>
        <v>406</v>
      </c>
      <c r="I234" s="34">
        <f>[2]Districts_Boroughs!CM216</f>
        <v>363</v>
      </c>
      <c r="J234" s="34">
        <f>[2]Districts_Boroughs!CN216</f>
        <v>386</v>
      </c>
      <c r="K234" s="34">
        <f>[2]Districts_Boroughs!CO216</f>
        <v>365</v>
      </c>
      <c r="L234" s="34">
        <f>[2]Districts_Boroughs!CP216</f>
        <v>304</v>
      </c>
      <c r="M234" s="34">
        <f>[2]Districts_Boroughs!CQ216</f>
        <v>341</v>
      </c>
      <c r="N234" s="34">
        <f>[2]Districts_Boroughs!CR216</f>
        <v>316</v>
      </c>
      <c r="O234" s="34">
        <f>[2]Districts_Boroughs!CS216</f>
        <v>335</v>
      </c>
      <c r="P234" s="34">
        <f>[2]Districts_Boroughs!CT216</f>
        <v>362</v>
      </c>
      <c r="Q234" s="34">
        <f>[2]Districts_Boroughs!CU216</f>
        <v>368</v>
      </c>
      <c r="R234" s="34">
        <f>[2]Districts_Boroughs!CV216</f>
        <v>384</v>
      </c>
      <c r="S234" s="34">
        <f>[2]Districts_Boroughs!CW216</f>
        <v>372</v>
      </c>
      <c r="T234" s="34">
        <f>[2]Districts_Boroughs!CX216</f>
        <v>352</v>
      </c>
      <c r="U234" s="34">
        <f>[2]Districts_Boroughs!CY216</f>
        <v>352</v>
      </c>
      <c r="V234" s="34">
        <f>[2]Districts_Boroughs!CZ216</f>
        <v>371</v>
      </c>
      <c r="W234" s="34">
        <f>[2]Districts_Boroughs!DA216</f>
        <v>331</v>
      </c>
      <c r="X234" s="34">
        <f>[2]Districts_Boroughs!DB216</f>
        <v>281</v>
      </c>
      <c r="Y234" s="34">
        <f>[2]Districts_Boroughs!DC216</f>
        <v>343</v>
      </c>
      <c r="Z234" s="34">
        <f>[2]Districts_Boroughs!DD216</f>
        <v>326</v>
      </c>
      <c r="AA234" s="34">
        <f>[2]Districts_Boroughs!DE216</f>
        <v>316</v>
      </c>
      <c r="AB234" s="34">
        <f>[2]Districts_Boroughs!DF216</f>
        <v>281</v>
      </c>
      <c r="AC234" s="34">
        <f>[2]Districts_Boroughs!DG216</f>
        <v>299</v>
      </c>
      <c r="AD234" s="34">
        <f>[2]Districts_Boroughs!DH216</f>
        <v>329</v>
      </c>
      <c r="AE234" s="34">
        <f>[2]Districts_Boroughs!DI216</f>
        <v>320</v>
      </c>
      <c r="AF234" s="34">
        <f>[2]Districts_Boroughs!DJ216</f>
        <v>283</v>
      </c>
      <c r="AG234" s="34">
        <f>[2]Districts_Boroughs!DK216</f>
        <v>302</v>
      </c>
      <c r="AH234" s="34">
        <f>[2]Districts_Boroughs!DL216</f>
        <v>308</v>
      </c>
      <c r="AI234" s="34">
        <f>[2]Districts_Boroughs!DM216</f>
        <v>272</v>
      </c>
      <c r="AJ234" s="34">
        <f>[2]Districts_Boroughs!DN216</f>
        <v>295</v>
      </c>
      <c r="AK234" s="34">
        <f>[2]Districts_Boroughs!DO216</f>
        <v>315</v>
      </c>
      <c r="AL234" s="34">
        <f>[2]Districts_Boroughs!DP216</f>
        <v>295</v>
      </c>
      <c r="AM234" s="34">
        <f>[2]Districts_Boroughs!DQ216</f>
        <v>285</v>
      </c>
      <c r="AN234" s="34">
        <f>[2]Districts_Boroughs!DR216</f>
        <v>283</v>
      </c>
      <c r="AO234" s="34">
        <f>[2]Districts_Boroughs!DS216</f>
        <v>304</v>
      </c>
      <c r="AP234" s="34">
        <f>[2]Districts_Boroughs!DT216</f>
        <v>310</v>
      </c>
      <c r="AQ234" s="34">
        <f>[2]Districts_Boroughs!DU216</f>
        <v>350</v>
      </c>
      <c r="AR234" s="34">
        <f>[2]Districts_Boroughs!DV216</f>
        <v>280</v>
      </c>
      <c r="AS234" s="34">
        <f>[2]Districts_Boroughs!DW216</f>
        <v>290</v>
      </c>
      <c r="AT234" s="34">
        <f>[2]Districts_Boroughs!DX216</f>
        <v>319</v>
      </c>
      <c r="AU234" s="34">
        <f>[2]Districts_Boroughs!DY216</f>
        <v>272</v>
      </c>
      <c r="AV234" s="34">
        <f>[2]Districts_Boroughs!DZ216</f>
        <v>292</v>
      </c>
      <c r="AW234" s="34">
        <f>[2]Districts_Boroughs!EA216</f>
        <v>305</v>
      </c>
      <c r="AX234" s="34">
        <f>[2]Districts_Boroughs!EB216</f>
        <v>269</v>
      </c>
      <c r="AY234" s="34">
        <f>[2]Districts_Boroughs!EC216</f>
        <v>321</v>
      </c>
    </row>
    <row r="235" spans="2:51" x14ac:dyDescent="0.35">
      <c r="B235" t="str">
        <f t="shared" si="12"/>
        <v>Warwick</v>
      </c>
      <c r="C235" s="387"/>
      <c r="D235" s="34">
        <f>[2]Districts_Boroughs!CH217</f>
        <v>0</v>
      </c>
      <c r="E235" s="34">
        <f>[2]Districts_Boroughs!CI217</f>
        <v>0</v>
      </c>
      <c r="F235" s="34">
        <f>[2]Districts_Boroughs!CJ217</f>
        <v>0</v>
      </c>
      <c r="G235" s="34">
        <f>[2]Districts_Boroughs!CK217</f>
        <v>0</v>
      </c>
      <c r="H235" s="34">
        <f>[2]Districts_Boroughs!CL217</f>
        <v>0</v>
      </c>
      <c r="I235" s="34">
        <f>[2]Districts_Boroughs!CM217</f>
        <v>0</v>
      </c>
      <c r="J235" s="34">
        <f>[2]Districts_Boroughs!CN217</f>
        <v>0</v>
      </c>
      <c r="K235" s="34">
        <f>[2]Districts_Boroughs!CO217</f>
        <v>0</v>
      </c>
      <c r="L235" s="34">
        <f>[2]Districts_Boroughs!CP217</f>
        <v>0</v>
      </c>
      <c r="M235" s="34">
        <f>[2]Districts_Boroughs!CQ217</f>
        <v>0</v>
      </c>
      <c r="N235" s="34">
        <f>[2]Districts_Boroughs!CR217</f>
        <v>0</v>
      </c>
      <c r="O235" s="34">
        <f>[2]Districts_Boroughs!CS217</f>
        <v>0</v>
      </c>
      <c r="P235" s="34">
        <f>[2]Districts_Boroughs!CT217</f>
        <v>0</v>
      </c>
      <c r="Q235" s="34">
        <f>[2]Districts_Boroughs!CU217</f>
        <v>0</v>
      </c>
      <c r="R235" s="34">
        <f>[2]Districts_Boroughs!CV217</f>
        <v>0</v>
      </c>
      <c r="S235" s="34">
        <f>[2]Districts_Boroughs!CW217</f>
        <v>0</v>
      </c>
      <c r="T235" s="34">
        <f>[2]Districts_Boroughs!CX217</f>
        <v>0</v>
      </c>
      <c r="U235" s="34">
        <f>[2]Districts_Boroughs!CY217</f>
        <v>0</v>
      </c>
      <c r="V235" s="34">
        <f>[2]Districts_Boroughs!CZ217</f>
        <v>0</v>
      </c>
      <c r="W235" s="34">
        <f>[2]Districts_Boroughs!DA217</f>
        <v>0</v>
      </c>
      <c r="X235" s="34">
        <f>[2]Districts_Boroughs!DB217</f>
        <v>0</v>
      </c>
      <c r="Y235" s="34">
        <f>[2]Districts_Boroughs!DC217</f>
        <v>0</v>
      </c>
      <c r="Z235" s="34">
        <f>[2]Districts_Boroughs!DD217</f>
        <v>0</v>
      </c>
      <c r="AA235" s="34">
        <f>[2]Districts_Boroughs!DE217</f>
        <v>0</v>
      </c>
      <c r="AB235" s="34">
        <f>[2]Districts_Boroughs!DF217</f>
        <v>0</v>
      </c>
      <c r="AC235" s="34">
        <f>[2]Districts_Boroughs!DG217</f>
        <v>0</v>
      </c>
      <c r="AD235" s="34">
        <f>[2]Districts_Boroughs!DH217</f>
        <v>0</v>
      </c>
      <c r="AE235" s="34">
        <f>[2]Districts_Boroughs!DI217</f>
        <v>0</v>
      </c>
      <c r="AF235" s="34">
        <f>[2]Districts_Boroughs!DJ217</f>
        <v>0</v>
      </c>
      <c r="AG235" s="34">
        <f>[2]Districts_Boroughs!DK217</f>
        <v>0</v>
      </c>
      <c r="AH235" s="34">
        <f>[2]Districts_Boroughs!DL217</f>
        <v>0</v>
      </c>
      <c r="AI235" s="34">
        <f>[2]Districts_Boroughs!DM217</f>
        <v>0</v>
      </c>
      <c r="AJ235" s="34">
        <f>[2]Districts_Boroughs!DN217</f>
        <v>0</v>
      </c>
      <c r="AK235" s="34">
        <f>[2]Districts_Boroughs!DO217</f>
        <v>0</v>
      </c>
      <c r="AL235" s="34">
        <f>[2]Districts_Boroughs!DP217</f>
        <v>0</v>
      </c>
      <c r="AM235" s="34">
        <f>[2]Districts_Boroughs!DQ217</f>
        <v>0</v>
      </c>
      <c r="AN235" s="34">
        <f>[2]Districts_Boroughs!DR217</f>
        <v>0</v>
      </c>
      <c r="AO235" s="34">
        <f>[2]Districts_Boroughs!DS217</f>
        <v>0</v>
      </c>
      <c r="AP235" s="34">
        <f>[2]Districts_Boroughs!DT217</f>
        <v>0</v>
      </c>
      <c r="AQ235" s="34">
        <f>[2]Districts_Boroughs!DU217</f>
        <v>0</v>
      </c>
      <c r="AR235" s="34">
        <f>[2]Districts_Boroughs!DV217</f>
        <v>0</v>
      </c>
      <c r="AS235" s="34">
        <f>[2]Districts_Boroughs!DW217</f>
        <v>0</v>
      </c>
      <c r="AT235" s="34">
        <f>[2]Districts_Boroughs!DX217</f>
        <v>0</v>
      </c>
      <c r="AU235" s="34">
        <f>[2]Districts_Boroughs!DY217</f>
        <v>0</v>
      </c>
      <c r="AV235" s="34">
        <f>[2]Districts_Boroughs!DZ217</f>
        <v>0</v>
      </c>
      <c r="AW235" s="34">
        <f>[2]Districts_Boroughs!EA217</f>
        <v>0</v>
      </c>
      <c r="AX235" s="34">
        <f>[2]Districts_Boroughs!EB217</f>
        <v>0</v>
      </c>
      <c r="AY235" s="34">
        <f>[2]Districts_Boroughs!EC217</f>
        <v>0</v>
      </c>
    </row>
    <row r="236" spans="2:51" x14ac:dyDescent="0.35">
      <c r="B236" t="str">
        <f t="shared" si="12"/>
        <v>WarwickVAP With Injury - Alcohol Related</v>
      </c>
      <c r="C236" s="387" t="s">
        <v>43</v>
      </c>
      <c r="D236" s="34">
        <f>[2]Districts_Boroughs!CH218</f>
        <v>5</v>
      </c>
      <c r="E236" s="34">
        <f>[2]Districts_Boroughs!CI218</f>
        <v>10</v>
      </c>
      <c r="F236" s="34">
        <f>[2]Districts_Boroughs!CJ218</f>
        <v>18</v>
      </c>
      <c r="G236" s="34">
        <f>[2]Districts_Boroughs!CK218</f>
        <v>15</v>
      </c>
      <c r="H236" s="34">
        <f>[2]Districts_Boroughs!CL218</f>
        <v>12</v>
      </c>
      <c r="I236" s="34">
        <f>[2]Districts_Boroughs!CM218</f>
        <v>11</v>
      </c>
      <c r="J236" s="34">
        <f>[2]Districts_Boroughs!CN218</f>
        <v>11</v>
      </c>
      <c r="K236" s="34">
        <f>[2]Districts_Boroughs!CO218</f>
        <v>3</v>
      </c>
      <c r="L236" s="34">
        <f>[2]Districts_Boroughs!CP218</f>
        <v>17</v>
      </c>
      <c r="M236" s="34">
        <f>[2]Districts_Boroughs!CQ218</f>
        <v>18</v>
      </c>
      <c r="N236" s="34">
        <f>[2]Districts_Boroughs!CR218</f>
        <v>10</v>
      </c>
      <c r="O236" s="34">
        <f>[2]Districts_Boroughs!CS218</f>
        <v>7</v>
      </c>
      <c r="P236" s="34">
        <f>[2]Districts_Boroughs!CT218</f>
        <v>13</v>
      </c>
      <c r="Q236" s="34">
        <f>[2]Districts_Boroughs!CU218</f>
        <v>16</v>
      </c>
      <c r="R236" s="34">
        <f>[2]Districts_Boroughs!CV218</f>
        <v>9</v>
      </c>
      <c r="S236" s="34">
        <f>[2]Districts_Boroughs!CW218</f>
        <v>10</v>
      </c>
      <c r="T236" s="34">
        <f>[2]Districts_Boroughs!CX218</f>
        <v>7</v>
      </c>
      <c r="U236" s="34">
        <f>[2]Districts_Boroughs!CY218</f>
        <v>9</v>
      </c>
      <c r="V236" s="34">
        <f>[2]Districts_Boroughs!CZ218</f>
        <v>10</v>
      </c>
      <c r="W236" s="34">
        <f>[2]Districts_Boroughs!DA218</f>
        <v>8</v>
      </c>
      <c r="X236" s="34">
        <f>[2]Districts_Boroughs!DB218</f>
        <v>12</v>
      </c>
      <c r="Y236" s="34">
        <f>[2]Districts_Boroughs!DC218</f>
        <v>10</v>
      </c>
      <c r="Z236" s="34">
        <f>[2]Districts_Boroughs!DD218</f>
        <v>11</v>
      </c>
      <c r="AA236" s="34">
        <f>[2]Districts_Boroughs!DE218</f>
        <v>15</v>
      </c>
      <c r="AB236" s="34">
        <f>[2]Districts_Boroughs!DF218</f>
        <v>10</v>
      </c>
      <c r="AC236" s="34">
        <f>[2]Districts_Boroughs!DG218</f>
        <v>13</v>
      </c>
      <c r="AD236" s="34">
        <f>[2]Districts_Boroughs!DH218</f>
        <v>15</v>
      </c>
      <c r="AE236" s="34">
        <f>[2]Districts_Boroughs!DI218</f>
        <v>8</v>
      </c>
      <c r="AF236" s="34">
        <f>[2]Districts_Boroughs!DJ218</f>
        <v>4</v>
      </c>
      <c r="AG236" s="34">
        <f>[2]Districts_Boroughs!DK218</f>
        <v>6</v>
      </c>
      <c r="AH236" s="34">
        <f>[2]Districts_Boroughs!DL218</f>
        <v>9</v>
      </c>
      <c r="AI236" s="34">
        <f>[2]Districts_Boroughs!DM218</f>
        <v>10</v>
      </c>
      <c r="AJ236" s="34">
        <f>[2]Districts_Boroughs!DN218</f>
        <v>18</v>
      </c>
      <c r="AK236" s="34">
        <f>[2]Districts_Boroughs!DO218</f>
        <v>8</v>
      </c>
      <c r="AL236" s="34">
        <f>[2]Districts_Boroughs!DP218</f>
        <v>3</v>
      </c>
      <c r="AM236" s="34">
        <f>[2]Districts_Boroughs!DQ218</f>
        <v>9</v>
      </c>
      <c r="AN236" s="34">
        <f>[2]Districts_Boroughs!DR218</f>
        <v>6</v>
      </c>
      <c r="AO236" s="34">
        <f>[2]Districts_Boroughs!DS218</f>
        <v>11</v>
      </c>
      <c r="AP236" s="34">
        <f>[2]Districts_Boroughs!DT218</f>
        <v>12</v>
      </c>
      <c r="AQ236" s="34">
        <f>[2]Districts_Boroughs!DU218</f>
        <v>4</v>
      </c>
      <c r="AR236" s="34">
        <f>[2]Districts_Boroughs!DV218</f>
        <v>2</v>
      </c>
      <c r="AS236" s="34">
        <f>[2]Districts_Boroughs!DW218</f>
        <v>4</v>
      </c>
      <c r="AT236" s="34">
        <f>[2]Districts_Boroughs!DX218</f>
        <v>12</v>
      </c>
      <c r="AU236" s="34">
        <f>[2]Districts_Boroughs!DY218</f>
        <v>2</v>
      </c>
      <c r="AV236" s="34">
        <f>[2]Districts_Boroughs!DZ218</f>
        <v>7</v>
      </c>
      <c r="AW236" s="34">
        <f>[2]Districts_Boroughs!EA218</f>
        <v>5</v>
      </c>
      <c r="AX236" s="34">
        <f>[2]Districts_Boroughs!EB218</f>
        <v>5</v>
      </c>
      <c r="AY236" s="34">
        <f>[2]Districts_Boroughs!EC218</f>
        <v>4</v>
      </c>
    </row>
    <row r="237" spans="2:51" s="64" customFormat="1" x14ac:dyDescent="0.35">
      <c r="B237" s="64" t="str">
        <f t="shared" si="12"/>
        <v>WarwickVAP Without Injury - Alcohol Related</v>
      </c>
      <c r="C237" s="387" t="s">
        <v>198</v>
      </c>
      <c r="D237" s="34">
        <f>[2]Districts_Boroughs!CH219</f>
        <v>7</v>
      </c>
      <c r="E237" s="34">
        <f>[2]Districts_Boroughs!CI219</f>
        <v>14</v>
      </c>
      <c r="F237" s="34">
        <f>[2]Districts_Boroughs!CJ219</f>
        <v>16</v>
      </c>
      <c r="G237" s="34">
        <f>[2]Districts_Boroughs!CK219</f>
        <v>17</v>
      </c>
      <c r="H237" s="34">
        <f>[2]Districts_Boroughs!CL219</f>
        <v>12</v>
      </c>
      <c r="I237" s="34">
        <f>[2]Districts_Boroughs!CM219</f>
        <v>8</v>
      </c>
      <c r="J237" s="34">
        <f>[2]Districts_Boroughs!CN219</f>
        <v>19</v>
      </c>
      <c r="K237" s="34">
        <f>[2]Districts_Boroughs!CO219</f>
        <v>17</v>
      </c>
      <c r="L237" s="34">
        <f>[2]Districts_Boroughs!CP219</f>
        <v>17</v>
      </c>
      <c r="M237" s="34">
        <f>[2]Districts_Boroughs!CQ219</f>
        <v>18</v>
      </c>
      <c r="N237" s="34">
        <f>[2]Districts_Boroughs!CR219</f>
        <v>7</v>
      </c>
      <c r="O237" s="34">
        <f>[2]Districts_Boroughs!CS219</f>
        <v>10</v>
      </c>
      <c r="P237" s="34">
        <f>[2]Districts_Boroughs!CT219</f>
        <v>13</v>
      </c>
      <c r="Q237" s="34">
        <f>[2]Districts_Boroughs!CU219</f>
        <v>17</v>
      </c>
      <c r="R237" s="34">
        <f>[2]Districts_Boroughs!CV219</f>
        <v>17</v>
      </c>
      <c r="S237" s="34">
        <f>[2]Districts_Boroughs!CW219</f>
        <v>14</v>
      </c>
      <c r="T237" s="34">
        <f>[2]Districts_Boroughs!CX219</f>
        <v>10</v>
      </c>
      <c r="U237" s="34">
        <f>[2]Districts_Boroughs!CY219</f>
        <v>13</v>
      </c>
      <c r="V237" s="34">
        <f>[2]Districts_Boroughs!CZ219</f>
        <v>10</v>
      </c>
      <c r="W237" s="34">
        <f>[2]Districts_Boroughs!DA219</f>
        <v>9</v>
      </c>
      <c r="X237" s="34">
        <f>[2]Districts_Boroughs!DB219</f>
        <v>9</v>
      </c>
      <c r="Y237" s="34">
        <f>[2]Districts_Boroughs!DC219</f>
        <v>16</v>
      </c>
      <c r="Z237" s="34">
        <f>[2]Districts_Boroughs!DD219</f>
        <v>8</v>
      </c>
      <c r="AA237" s="34">
        <f>[2]Districts_Boroughs!DE219</f>
        <v>15</v>
      </c>
      <c r="AB237" s="34">
        <f>[2]Districts_Boroughs!DF219</f>
        <v>19</v>
      </c>
      <c r="AC237" s="34">
        <f>[2]Districts_Boroughs!DG219</f>
        <v>16</v>
      </c>
      <c r="AD237" s="34">
        <f>[2]Districts_Boroughs!DH219</f>
        <v>13</v>
      </c>
      <c r="AE237" s="34">
        <f>[2]Districts_Boroughs!DI219</f>
        <v>8</v>
      </c>
      <c r="AF237" s="34">
        <f>[2]Districts_Boroughs!DJ219</f>
        <v>5</v>
      </c>
      <c r="AG237" s="34">
        <f>[2]Districts_Boroughs!DK219</f>
        <v>7</v>
      </c>
      <c r="AH237" s="34">
        <f>[2]Districts_Boroughs!DL219</f>
        <v>9</v>
      </c>
      <c r="AI237" s="34">
        <f>[2]Districts_Boroughs!DM219</f>
        <v>14</v>
      </c>
      <c r="AJ237" s="34">
        <f>[2]Districts_Boroughs!DN219</f>
        <v>14</v>
      </c>
      <c r="AK237" s="34">
        <f>[2]Districts_Boroughs!DO219</f>
        <v>8</v>
      </c>
      <c r="AL237" s="34">
        <f>[2]Districts_Boroughs!DP219</f>
        <v>8</v>
      </c>
      <c r="AM237" s="34">
        <f>[2]Districts_Boroughs!DQ219</f>
        <v>12</v>
      </c>
      <c r="AN237" s="34">
        <f>[2]Districts_Boroughs!DR219</f>
        <v>10</v>
      </c>
      <c r="AO237" s="34">
        <f>[2]Districts_Boroughs!DS219</f>
        <v>13</v>
      </c>
      <c r="AP237" s="34">
        <f>[2]Districts_Boroughs!DT219</f>
        <v>8</v>
      </c>
      <c r="AQ237" s="34">
        <f>[2]Districts_Boroughs!DU219</f>
        <v>11</v>
      </c>
      <c r="AR237" s="34">
        <f>[2]Districts_Boroughs!DV219</f>
        <v>6</v>
      </c>
      <c r="AS237" s="34">
        <f>[2]Districts_Boroughs!DW219</f>
        <v>8</v>
      </c>
      <c r="AT237" s="34">
        <f>[2]Districts_Boroughs!DX219</f>
        <v>6</v>
      </c>
      <c r="AU237" s="34">
        <f>[2]Districts_Boroughs!DY219</f>
        <v>6</v>
      </c>
      <c r="AV237" s="34">
        <f>[2]Districts_Boroughs!DZ219</f>
        <v>9</v>
      </c>
      <c r="AW237" s="34">
        <f>[2]Districts_Boroughs!EA219</f>
        <v>10</v>
      </c>
      <c r="AX237" s="34">
        <f>[2]Districts_Boroughs!EB219</f>
        <v>6</v>
      </c>
      <c r="AY237" s="34">
        <f>[2]Districts_Boroughs!EC219</f>
        <v>7</v>
      </c>
    </row>
    <row r="238" spans="2:51" x14ac:dyDescent="0.35">
      <c r="B238" s="64" t="str">
        <f t="shared" si="12"/>
        <v>WarwickVAP With Injury - Drug Related</v>
      </c>
      <c r="C238" s="387" t="s">
        <v>44</v>
      </c>
      <c r="D238" s="34">
        <f>[2]Districts_Boroughs!CH220</f>
        <v>0</v>
      </c>
      <c r="E238" s="34">
        <f>[2]Districts_Boroughs!CI220</f>
        <v>0</v>
      </c>
      <c r="F238" s="34">
        <f>[2]Districts_Boroughs!CJ220</f>
        <v>0</v>
      </c>
      <c r="G238" s="34">
        <f>[2]Districts_Boroughs!CK220</f>
        <v>0</v>
      </c>
      <c r="H238" s="34">
        <f>[2]Districts_Boroughs!CL220</f>
        <v>0</v>
      </c>
      <c r="I238" s="34">
        <f>[2]Districts_Boroughs!CM220</f>
        <v>0</v>
      </c>
      <c r="J238" s="34">
        <f>[2]Districts_Boroughs!CN220</f>
        <v>1</v>
      </c>
      <c r="K238" s="34">
        <f>[2]Districts_Boroughs!CO220</f>
        <v>2</v>
      </c>
      <c r="L238" s="34">
        <f>[2]Districts_Boroughs!CP220</f>
        <v>1</v>
      </c>
      <c r="M238" s="34">
        <f>[2]Districts_Boroughs!CQ220</f>
        <v>0</v>
      </c>
      <c r="N238" s="34">
        <f>[2]Districts_Boroughs!CR220</f>
        <v>1</v>
      </c>
      <c r="O238" s="34">
        <f>[2]Districts_Boroughs!CS220</f>
        <v>0</v>
      </c>
      <c r="P238" s="34">
        <f>[2]Districts_Boroughs!CT220</f>
        <v>2</v>
      </c>
      <c r="Q238" s="34">
        <f>[2]Districts_Boroughs!CU220</f>
        <v>3</v>
      </c>
      <c r="R238" s="34">
        <f>[2]Districts_Boroughs!CV220</f>
        <v>0</v>
      </c>
      <c r="S238" s="34">
        <f>[2]Districts_Boroughs!CW220</f>
        <v>0</v>
      </c>
      <c r="T238" s="34">
        <f>[2]Districts_Boroughs!CX220</f>
        <v>1</v>
      </c>
      <c r="U238" s="34">
        <f>[2]Districts_Boroughs!CY220</f>
        <v>0</v>
      </c>
      <c r="V238" s="34">
        <f>[2]Districts_Boroughs!CZ220</f>
        <v>0</v>
      </c>
      <c r="W238" s="34">
        <f>[2]Districts_Boroughs!DA220</f>
        <v>2</v>
      </c>
      <c r="X238" s="34">
        <f>[2]Districts_Boroughs!DB220</f>
        <v>1</v>
      </c>
      <c r="Y238" s="34">
        <f>[2]Districts_Boroughs!DC220</f>
        <v>0</v>
      </c>
      <c r="Z238" s="34">
        <f>[2]Districts_Boroughs!DD220</f>
        <v>0</v>
      </c>
      <c r="AA238" s="34">
        <f>[2]Districts_Boroughs!DE220</f>
        <v>1</v>
      </c>
      <c r="AB238" s="34">
        <f>[2]Districts_Boroughs!DF220</f>
        <v>0</v>
      </c>
      <c r="AC238" s="34">
        <f>[2]Districts_Boroughs!DG220</f>
        <v>3</v>
      </c>
      <c r="AD238" s="34">
        <f>[2]Districts_Boroughs!DH220</f>
        <v>1</v>
      </c>
      <c r="AE238" s="34">
        <f>[2]Districts_Boroughs!DI220</f>
        <v>1</v>
      </c>
      <c r="AF238" s="34">
        <f>[2]Districts_Boroughs!DJ220</f>
        <v>0</v>
      </c>
      <c r="AG238" s="34">
        <f>[2]Districts_Boroughs!DK220</f>
        <v>0</v>
      </c>
      <c r="AH238" s="34">
        <f>[2]Districts_Boroughs!DL220</f>
        <v>0</v>
      </c>
      <c r="AI238" s="34">
        <f>[2]Districts_Boroughs!DM220</f>
        <v>0</v>
      </c>
      <c r="AJ238" s="34">
        <f>[2]Districts_Boroughs!DN220</f>
        <v>1</v>
      </c>
      <c r="AK238" s="34">
        <f>[2]Districts_Boroughs!DO220</f>
        <v>0</v>
      </c>
      <c r="AL238" s="34">
        <f>[2]Districts_Boroughs!DP220</f>
        <v>0</v>
      </c>
      <c r="AM238" s="34">
        <f>[2]Districts_Boroughs!DQ220</f>
        <v>1</v>
      </c>
      <c r="AN238" s="34">
        <f>[2]Districts_Boroughs!DR220</f>
        <v>1</v>
      </c>
      <c r="AO238" s="34">
        <f>[2]Districts_Boroughs!DS220</f>
        <v>1</v>
      </c>
      <c r="AP238" s="34">
        <f>[2]Districts_Boroughs!DT220</f>
        <v>2</v>
      </c>
      <c r="AQ238" s="34">
        <f>[2]Districts_Boroughs!DU220</f>
        <v>3</v>
      </c>
      <c r="AR238" s="34">
        <f>[2]Districts_Boroughs!DV220</f>
        <v>0</v>
      </c>
      <c r="AS238" s="34">
        <f>[2]Districts_Boroughs!DW220</f>
        <v>0</v>
      </c>
      <c r="AT238" s="34">
        <f>[2]Districts_Boroughs!DX220</f>
        <v>1</v>
      </c>
      <c r="AU238" s="34">
        <f>[2]Districts_Boroughs!DY220</f>
        <v>0</v>
      </c>
      <c r="AV238" s="34">
        <f>[2]Districts_Boroughs!DZ220</f>
        <v>1</v>
      </c>
      <c r="AW238" s="34">
        <f>[2]Districts_Boroughs!EA220</f>
        <v>0</v>
      </c>
      <c r="AX238" s="34">
        <f>[2]Districts_Boroughs!EB220</f>
        <v>0</v>
      </c>
      <c r="AY238" s="34">
        <f>[2]Districts_Boroughs!EC220</f>
        <v>0</v>
      </c>
    </row>
    <row r="239" spans="2:51" s="64" customFormat="1" x14ac:dyDescent="0.35">
      <c r="B239" s="64" t="str">
        <f t="shared" si="12"/>
        <v>WarwickVAP Without Injury - Drug Related</v>
      </c>
      <c r="C239" s="387" t="s">
        <v>199</v>
      </c>
      <c r="D239" s="34">
        <f>[2]Districts_Boroughs!CH221</f>
        <v>0</v>
      </c>
      <c r="E239" s="34">
        <f>[2]Districts_Boroughs!CI221</f>
        <v>0</v>
      </c>
      <c r="F239" s="34">
        <f>[2]Districts_Boroughs!CJ221</f>
        <v>2</v>
      </c>
      <c r="G239" s="34">
        <f>[2]Districts_Boroughs!CK221</f>
        <v>1</v>
      </c>
      <c r="H239" s="34">
        <f>[2]Districts_Boroughs!CL221</f>
        <v>1</v>
      </c>
      <c r="I239" s="34">
        <f>[2]Districts_Boroughs!CM221</f>
        <v>0</v>
      </c>
      <c r="J239" s="34">
        <f>[2]Districts_Boroughs!CN221</f>
        <v>1</v>
      </c>
      <c r="K239" s="34">
        <f>[2]Districts_Boroughs!CO221</f>
        <v>0</v>
      </c>
      <c r="L239" s="34">
        <f>[2]Districts_Boroughs!CP221</f>
        <v>1</v>
      </c>
      <c r="M239" s="34">
        <f>[2]Districts_Boroughs!CQ221</f>
        <v>0</v>
      </c>
      <c r="N239" s="34">
        <f>[2]Districts_Boroughs!CR221</f>
        <v>0</v>
      </c>
      <c r="O239" s="34">
        <f>[2]Districts_Boroughs!CS221</f>
        <v>1</v>
      </c>
      <c r="P239" s="34">
        <f>[2]Districts_Boroughs!CT221</f>
        <v>0</v>
      </c>
      <c r="Q239" s="34">
        <f>[2]Districts_Boroughs!CU221</f>
        <v>0</v>
      </c>
      <c r="R239" s="34">
        <f>[2]Districts_Boroughs!CV221</f>
        <v>3</v>
      </c>
      <c r="S239" s="34">
        <f>[2]Districts_Boroughs!CW221</f>
        <v>0</v>
      </c>
      <c r="T239" s="34">
        <f>[2]Districts_Boroughs!CX221</f>
        <v>0</v>
      </c>
      <c r="U239" s="34">
        <f>[2]Districts_Boroughs!CY221</f>
        <v>3</v>
      </c>
      <c r="V239" s="34">
        <f>[2]Districts_Boroughs!CZ221</f>
        <v>0</v>
      </c>
      <c r="W239" s="34">
        <f>[2]Districts_Boroughs!DA221</f>
        <v>1</v>
      </c>
      <c r="X239" s="34">
        <f>[2]Districts_Boroughs!DB221</f>
        <v>0</v>
      </c>
      <c r="Y239" s="34">
        <f>[2]Districts_Boroughs!DC221</f>
        <v>5</v>
      </c>
      <c r="Z239" s="34">
        <f>[2]Districts_Boroughs!DD221</f>
        <v>0</v>
      </c>
      <c r="AA239" s="34">
        <f>[2]Districts_Boroughs!DE221</f>
        <v>1</v>
      </c>
      <c r="AB239" s="34">
        <f>[2]Districts_Boroughs!DF221</f>
        <v>0</v>
      </c>
      <c r="AC239" s="34">
        <f>[2]Districts_Boroughs!DG221</f>
        <v>0</v>
      </c>
      <c r="AD239" s="34">
        <f>[2]Districts_Boroughs!DH221</f>
        <v>1</v>
      </c>
      <c r="AE239" s="34">
        <f>[2]Districts_Boroughs!DI221</f>
        <v>0</v>
      </c>
      <c r="AF239" s="34">
        <f>[2]Districts_Boroughs!DJ221</f>
        <v>1</v>
      </c>
      <c r="AG239" s="34">
        <f>[2]Districts_Boroughs!DK221</f>
        <v>0</v>
      </c>
      <c r="AH239" s="34">
        <f>[2]Districts_Boroughs!DL221</f>
        <v>3</v>
      </c>
      <c r="AI239" s="34">
        <f>[2]Districts_Boroughs!DM221</f>
        <v>1</v>
      </c>
      <c r="AJ239" s="34">
        <f>[2]Districts_Boroughs!DN221</f>
        <v>2</v>
      </c>
      <c r="AK239" s="34">
        <f>[2]Districts_Boroughs!DO221</f>
        <v>1</v>
      </c>
      <c r="AL239" s="34">
        <f>[2]Districts_Boroughs!DP221</f>
        <v>0</v>
      </c>
      <c r="AM239" s="34">
        <f>[2]Districts_Boroughs!DQ221</f>
        <v>0</v>
      </c>
      <c r="AN239" s="34">
        <f>[2]Districts_Boroughs!DR221</f>
        <v>0</v>
      </c>
      <c r="AO239" s="34">
        <f>[2]Districts_Boroughs!DS221</f>
        <v>0</v>
      </c>
      <c r="AP239" s="34">
        <f>[2]Districts_Boroughs!DT221</f>
        <v>1</v>
      </c>
      <c r="AQ239" s="34">
        <f>[2]Districts_Boroughs!DU221</f>
        <v>2</v>
      </c>
      <c r="AR239" s="34">
        <f>[2]Districts_Boroughs!DV221</f>
        <v>0</v>
      </c>
      <c r="AS239" s="34">
        <f>[2]Districts_Boroughs!DW221</f>
        <v>1</v>
      </c>
      <c r="AT239" s="34">
        <f>[2]Districts_Boroughs!DX221</f>
        <v>0</v>
      </c>
      <c r="AU239" s="34">
        <f>[2]Districts_Boroughs!DY221</f>
        <v>2</v>
      </c>
      <c r="AV239" s="34">
        <f>[2]Districts_Boroughs!DZ221</f>
        <v>2</v>
      </c>
      <c r="AW239" s="34">
        <f>[2]Districts_Boroughs!EA221</f>
        <v>0</v>
      </c>
      <c r="AX239" s="34">
        <f>[2]Districts_Boroughs!EB221</f>
        <v>2</v>
      </c>
      <c r="AY239" s="34">
        <f>[2]Districts_Boroughs!EC221</f>
        <v>0</v>
      </c>
    </row>
    <row r="240" spans="2:51" x14ac:dyDescent="0.35">
      <c r="B240" s="64" t="str">
        <f t="shared" si="12"/>
        <v>WarwickVAP With Injury- Domestic Abuse Related</v>
      </c>
      <c r="C240" s="387" t="s">
        <v>45</v>
      </c>
      <c r="D240" s="34">
        <f>[2]Districts_Boroughs!CH222</f>
        <v>20</v>
      </c>
      <c r="E240" s="34">
        <f>[2]Districts_Boroughs!CI222</f>
        <v>25</v>
      </c>
      <c r="F240" s="34">
        <f>[2]Districts_Boroughs!CJ222</f>
        <v>30</v>
      </c>
      <c r="G240" s="34">
        <f>[2]Districts_Boroughs!CK222</f>
        <v>36</v>
      </c>
      <c r="H240" s="34">
        <f>[2]Districts_Boroughs!CL222</f>
        <v>27</v>
      </c>
      <c r="I240" s="34">
        <f>[2]Districts_Boroughs!CM222</f>
        <v>21</v>
      </c>
      <c r="J240" s="34">
        <f>[2]Districts_Boroughs!CN222</f>
        <v>26</v>
      </c>
      <c r="K240" s="34">
        <f>[2]Districts_Boroughs!CO222</f>
        <v>26</v>
      </c>
      <c r="L240" s="34">
        <f>[2]Districts_Boroughs!CP222</f>
        <v>22</v>
      </c>
      <c r="M240" s="34">
        <f>[2]Districts_Boroughs!CQ222</f>
        <v>27</v>
      </c>
      <c r="N240" s="34">
        <f>[2]Districts_Boroughs!CR222</f>
        <v>30</v>
      </c>
      <c r="O240" s="34">
        <f>[2]Districts_Boroughs!CS222</f>
        <v>22</v>
      </c>
      <c r="P240" s="34">
        <f>[2]Districts_Boroughs!CT222</f>
        <v>28</v>
      </c>
      <c r="Q240" s="34">
        <f>[2]Districts_Boroughs!CU222</f>
        <v>33</v>
      </c>
      <c r="R240" s="34">
        <f>[2]Districts_Boroughs!CV222</f>
        <v>25</v>
      </c>
      <c r="S240" s="34">
        <f>[2]Districts_Boroughs!CW222</f>
        <v>21</v>
      </c>
      <c r="T240" s="34">
        <f>[2]Districts_Boroughs!CX222</f>
        <v>33</v>
      </c>
      <c r="U240" s="34">
        <f>[2]Districts_Boroughs!CY222</f>
        <v>27</v>
      </c>
      <c r="V240" s="34">
        <f>[2]Districts_Boroughs!CZ222</f>
        <v>23</v>
      </c>
      <c r="W240" s="34">
        <f>[2]Districts_Boroughs!DA222</f>
        <v>21</v>
      </c>
      <c r="X240" s="34">
        <f>[2]Districts_Boroughs!DB222</f>
        <v>32</v>
      </c>
      <c r="Y240" s="34">
        <f>[2]Districts_Boroughs!DC222</f>
        <v>34</v>
      </c>
      <c r="Z240" s="34">
        <f>[2]Districts_Boroughs!DD222</f>
        <v>24</v>
      </c>
      <c r="AA240" s="34">
        <f>[2]Districts_Boroughs!DE222</f>
        <v>26</v>
      </c>
      <c r="AB240" s="34">
        <f>[2]Districts_Boroughs!DF222</f>
        <v>38</v>
      </c>
      <c r="AC240" s="34">
        <f>[2]Districts_Boroughs!DG222</f>
        <v>29</v>
      </c>
      <c r="AD240" s="34">
        <f>[2]Districts_Boroughs!DH222</f>
        <v>33</v>
      </c>
      <c r="AE240" s="34">
        <f>[2]Districts_Boroughs!DI222</f>
        <v>23</v>
      </c>
      <c r="AF240" s="34">
        <f>[2]Districts_Boroughs!DJ222</f>
        <v>27</v>
      </c>
      <c r="AG240" s="34">
        <f>[2]Districts_Boroughs!DK222</f>
        <v>22</v>
      </c>
      <c r="AH240" s="34">
        <f>[2]Districts_Boroughs!DL222</f>
        <v>18</v>
      </c>
      <c r="AI240" s="34">
        <f>[2]Districts_Boroughs!DM222</f>
        <v>22</v>
      </c>
      <c r="AJ240" s="34">
        <f>[2]Districts_Boroughs!DN222</f>
        <v>20</v>
      </c>
      <c r="AK240" s="34">
        <f>[2]Districts_Boroughs!DO222</f>
        <v>19</v>
      </c>
      <c r="AL240" s="34">
        <f>[2]Districts_Boroughs!DP222</f>
        <v>21</v>
      </c>
      <c r="AM240" s="34">
        <f>[2]Districts_Boroughs!DQ222</f>
        <v>23</v>
      </c>
      <c r="AN240" s="34">
        <f>[2]Districts_Boroughs!DR222</f>
        <v>27</v>
      </c>
      <c r="AO240" s="34">
        <f>[2]Districts_Boroughs!DS222</f>
        <v>34</v>
      </c>
      <c r="AP240" s="34">
        <f>[2]Districts_Boroughs!DT222</f>
        <v>27</v>
      </c>
      <c r="AQ240" s="34">
        <f>[2]Districts_Boroughs!DU222</f>
        <v>30</v>
      </c>
      <c r="AR240" s="34">
        <f>[2]Districts_Boroughs!DV222</f>
        <v>39</v>
      </c>
      <c r="AS240" s="34">
        <f>[2]Districts_Boroughs!DW222</f>
        <v>14</v>
      </c>
      <c r="AT240" s="34">
        <f>[2]Districts_Boroughs!DX222</f>
        <v>21</v>
      </c>
      <c r="AU240" s="34">
        <f>[2]Districts_Boroughs!DY222</f>
        <v>23</v>
      </c>
      <c r="AV240" s="34">
        <f>[2]Districts_Boroughs!DZ222</f>
        <v>27</v>
      </c>
      <c r="AW240" s="34">
        <f>[2]Districts_Boroughs!EA222</f>
        <v>27</v>
      </c>
      <c r="AX240" s="34">
        <f>[2]Districts_Boroughs!EB222</f>
        <v>21</v>
      </c>
      <c r="AY240" s="34">
        <f>[2]Districts_Boroughs!EC222</f>
        <v>22</v>
      </c>
    </row>
    <row r="241" spans="2:51" s="64" customFormat="1" x14ac:dyDescent="0.35">
      <c r="B241" s="64" t="str">
        <f t="shared" si="12"/>
        <v>WarwickVAP Without Injury- Domestic Abuse Related</v>
      </c>
      <c r="C241" s="387" t="s">
        <v>191</v>
      </c>
      <c r="D241" s="34">
        <f>[2]Districts_Boroughs!CH223</f>
        <v>73</v>
      </c>
      <c r="E241" s="34">
        <f>[2]Districts_Boroughs!CI223</f>
        <v>84</v>
      </c>
      <c r="F241" s="34">
        <f>[2]Districts_Boroughs!CJ223</f>
        <v>113</v>
      </c>
      <c r="G241" s="34">
        <f>[2]Districts_Boroughs!CK223</f>
        <v>86</v>
      </c>
      <c r="H241" s="34">
        <f>[2]Districts_Boroughs!CL223</f>
        <v>101</v>
      </c>
      <c r="I241" s="34">
        <f>[2]Districts_Boroughs!CM223</f>
        <v>78</v>
      </c>
      <c r="J241" s="34">
        <f>[2]Districts_Boroughs!CN223</f>
        <v>88</v>
      </c>
      <c r="K241" s="34">
        <f>[2]Districts_Boroughs!CO223</f>
        <v>77</v>
      </c>
      <c r="L241" s="34">
        <f>[2]Districts_Boroughs!CP223</f>
        <v>63</v>
      </c>
      <c r="M241" s="34">
        <f>[2]Districts_Boroughs!CQ223</f>
        <v>84</v>
      </c>
      <c r="N241" s="34">
        <f>[2]Districts_Boroughs!CR223</f>
        <v>70</v>
      </c>
      <c r="O241" s="34">
        <f>[2]Districts_Boroughs!CS223</f>
        <v>91</v>
      </c>
      <c r="P241" s="34">
        <f>[2]Districts_Boroughs!CT223</f>
        <v>103</v>
      </c>
      <c r="Q241" s="34">
        <f>[2]Districts_Boroughs!CU223</f>
        <v>98</v>
      </c>
      <c r="R241" s="34">
        <f>[2]Districts_Boroughs!CV223</f>
        <v>89</v>
      </c>
      <c r="S241" s="34">
        <f>[2]Districts_Boroughs!CW223</f>
        <v>77</v>
      </c>
      <c r="T241" s="34">
        <f>[2]Districts_Boroughs!CX223</f>
        <v>66</v>
      </c>
      <c r="U241" s="34">
        <f>[2]Districts_Boroughs!CY223</f>
        <v>80</v>
      </c>
      <c r="V241" s="34">
        <f>[2]Districts_Boroughs!CZ223</f>
        <v>73</v>
      </c>
      <c r="W241" s="34">
        <f>[2]Districts_Boroughs!DA223</f>
        <v>75</v>
      </c>
      <c r="X241" s="34">
        <f>[2]Districts_Boroughs!DB223</f>
        <v>65</v>
      </c>
      <c r="Y241" s="34">
        <f>[2]Districts_Boroughs!DC223</f>
        <v>77</v>
      </c>
      <c r="Z241" s="34">
        <f>[2]Districts_Boroughs!DD223</f>
        <v>65</v>
      </c>
      <c r="AA241" s="34">
        <f>[2]Districts_Boroughs!DE223</f>
        <v>67</v>
      </c>
      <c r="AB241" s="34">
        <f>[2]Districts_Boroughs!DF223</f>
        <v>57</v>
      </c>
      <c r="AC241" s="34">
        <f>[2]Districts_Boroughs!DG223</f>
        <v>69</v>
      </c>
      <c r="AD241" s="34">
        <f>[2]Districts_Boroughs!DH223</f>
        <v>60</v>
      </c>
      <c r="AE241" s="34">
        <f>[2]Districts_Boroughs!DI223</f>
        <v>80</v>
      </c>
      <c r="AF241" s="34">
        <f>[2]Districts_Boroughs!DJ223</f>
        <v>59</v>
      </c>
      <c r="AG241" s="34">
        <f>[2]Districts_Boroughs!DK223</f>
        <v>64</v>
      </c>
      <c r="AH241" s="34">
        <f>[2]Districts_Boroughs!DL223</f>
        <v>65</v>
      </c>
      <c r="AI241" s="34">
        <f>[2]Districts_Boroughs!DM223</f>
        <v>59</v>
      </c>
      <c r="AJ241" s="34">
        <f>[2]Districts_Boroughs!DN223</f>
        <v>51</v>
      </c>
      <c r="AK241" s="34">
        <f>[2]Districts_Boroughs!DO223</f>
        <v>66</v>
      </c>
      <c r="AL241" s="34">
        <f>[2]Districts_Boroughs!DP223</f>
        <v>53</v>
      </c>
      <c r="AM241" s="34">
        <f>[2]Districts_Boroughs!DQ223</f>
        <v>75</v>
      </c>
      <c r="AN241" s="34">
        <f>[2]Districts_Boroughs!DR223</f>
        <v>59</v>
      </c>
      <c r="AO241" s="34">
        <f>[2]Districts_Boroughs!DS223</f>
        <v>58</v>
      </c>
      <c r="AP241" s="34">
        <f>[2]Districts_Boroughs!DT223</f>
        <v>68</v>
      </c>
      <c r="AQ241" s="34">
        <f>[2]Districts_Boroughs!DU223</f>
        <v>67</v>
      </c>
      <c r="AR241" s="34">
        <f>[2]Districts_Boroughs!DV223</f>
        <v>67</v>
      </c>
      <c r="AS241" s="34">
        <f>[2]Districts_Boroughs!DW223</f>
        <v>57</v>
      </c>
      <c r="AT241" s="34">
        <f>[2]Districts_Boroughs!DX223</f>
        <v>62</v>
      </c>
      <c r="AU241" s="34">
        <f>[2]Districts_Boroughs!DY223</f>
        <v>51</v>
      </c>
      <c r="AV241" s="34">
        <f>[2]Districts_Boroughs!DZ223</f>
        <v>59</v>
      </c>
      <c r="AW241" s="34">
        <f>[2]Districts_Boroughs!EA223</f>
        <v>72</v>
      </c>
      <c r="AX241" s="34">
        <f>[2]Districts_Boroughs!EB223</f>
        <v>64</v>
      </c>
      <c r="AY241" s="34">
        <f>[2]Districts_Boroughs!EC223</f>
        <v>61</v>
      </c>
    </row>
    <row r="242" spans="2:51" x14ac:dyDescent="0.35">
      <c r="B242" t="str">
        <f t="shared" si="12"/>
        <v>Warwick</v>
      </c>
      <c r="C242" s="387"/>
      <c r="D242" s="34">
        <f>[2]Districts_Boroughs!CH224</f>
        <v>0</v>
      </c>
      <c r="E242" s="34">
        <f>[2]Districts_Boroughs!CI224</f>
        <v>0</v>
      </c>
      <c r="F242" s="34">
        <f>[2]Districts_Boroughs!CJ224</f>
        <v>0</v>
      </c>
      <c r="G242" s="34">
        <f>[2]Districts_Boroughs!CK224</f>
        <v>0</v>
      </c>
      <c r="H242" s="34">
        <f>[2]Districts_Boroughs!CL224</f>
        <v>0</v>
      </c>
      <c r="I242" s="34">
        <f>[2]Districts_Boroughs!CM224</f>
        <v>0</v>
      </c>
      <c r="J242" s="34">
        <f>[2]Districts_Boroughs!CN224</f>
        <v>0</v>
      </c>
      <c r="K242" s="34">
        <f>[2]Districts_Boroughs!CO224</f>
        <v>0</v>
      </c>
      <c r="L242" s="34">
        <f>[2]Districts_Boroughs!CP224</f>
        <v>0</v>
      </c>
      <c r="M242" s="34">
        <f>[2]Districts_Boroughs!CQ224</f>
        <v>0</v>
      </c>
      <c r="N242" s="34">
        <f>[2]Districts_Boroughs!CR224</f>
        <v>0</v>
      </c>
      <c r="O242" s="34">
        <f>[2]Districts_Boroughs!CS224</f>
        <v>0</v>
      </c>
      <c r="P242" s="34">
        <f>[2]Districts_Boroughs!CT224</f>
        <v>0</v>
      </c>
      <c r="Q242" s="34">
        <f>[2]Districts_Boroughs!CU224</f>
        <v>0</v>
      </c>
      <c r="R242" s="34">
        <f>[2]Districts_Boroughs!CV224</f>
        <v>0</v>
      </c>
      <c r="S242" s="34">
        <f>[2]Districts_Boroughs!CW224</f>
        <v>0</v>
      </c>
      <c r="T242" s="34">
        <f>[2]Districts_Boroughs!CX224</f>
        <v>0</v>
      </c>
      <c r="U242" s="34">
        <f>[2]Districts_Boroughs!CY224</f>
        <v>0</v>
      </c>
      <c r="V242" s="34">
        <f>[2]Districts_Boroughs!CZ224</f>
        <v>0</v>
      </c>
      <c r="W242" s="34">
        <f>[2]Districts_Boroughs!DA224</f>
        <v>0</v>
      </c>
      <c r="X242" s="34">
        <f>[2]Districts_Boroughs!DB224</f>
        <v>0</v>
      </c>
      <c r="Y242" s="34">
        <f>[2]Districts_Boroughs!DC224</f>
        <v>0</v>
      </c>
      <c r="Z242" s="34">
        <f>[2]Districts_Boroughs!DD224</f>
        <v>0</v>
      </c>
      <c r="AA242" s="34">
        <f>[2]Districts_Boroughs!DE224</f>
        <v>0</v>
      </c>
      <c r="AB242" s="34">
        <f>[2]Districts_Boroughs!DF224</f>
        <v>0</v>
      </c>
      <c r="AC242" s="34">
        <f>[2]Districts_Boroughs!DG224</f>
        <v>0</v>
      </c>
      <c r="AD242" s="34">
        <f>[2]Districts_Boroughs!DH224</f>
        <v>0</v>
      </c>
      <c r="AE242" s="34">
        <f>[2]Districts_Boroughs!DI224</f>
        <v>0</v>
      </c>
      <c r="AF242" s="34">
        <f>[2]Districts_Boroughs!DJ224</f>
        <v>0</v>
      </c>
      <c r="AG242" s="34">
        <f>[2]Districts_Boroughs!DK224</f>
        <v>0</v>
      </c>
      <c r="AH242" s="34">
        <f>[2]Districts_Boroughs!DL224</f>
        <v>0</v>
      </c>
      <c r="AI242" s="34">
        <f>[2]Districts_Boroughs!DM224</f>
        <v>0</v>
      </c>
      <c r="AJ242" s="34">
        <f>[2]Districts_Boroughs!DN224</f>
        <v>0</v>
      </c>
      <c r="AK242" s="34">
        <f>[2]Districts_Boroughs!DO224</f>
        <v>0</v>
      </c>
      <c r="AL242" s="34">
        <f>[2]Districts_Boroughs!DP224</f>
        <v>0</v>
      </c>
      <c r="AM242" s="34">
        <f>[2]Districts_Boroughs!DQ224</f>
        <v>0</v>
      </c>
      <c r="AN242" s="34">
        <f>[2]Districts_Boroughs!DR224</f>
        <v>0</v>
      </c>
      <c r="AO242" s="34">
        <f>[2]Districts_Boroughs!DS224</f>
        <v>0</v>
      </c>
      <c r="AP242" s="34">
        <f>[2]Districts_Boroughs!DT224</f>
        <v>0</v>
      </c>
      <c r="AQ242" s="34">
        <f>[2]Districts_Boroughs!DU224</f>
        <v>0</v>
      </c>
      <c r="AR242" s="34">
        <f>[2]Districts_Boroughs!DV224</f>
        <v>0</v>
      </c>
      <c r="AS242" s="34">
        <f>[2]Districts_Boroughs!DW224</f>
        <v>0</v>
      </c>
      <c r="AT242" s="34">
        <f>[2]Districts_Boroughs!DX224</f>
        <v>0</v>
      </c>
      <c r="AU242" s="34">
        <f>[2]Districts_Boroughs!DY224</f>
        <v>0</v>
      </c>
      <c r="AV242" s="34">
        <f>[2]Districts_Boroughs!DZ224</f>
        <v>0</v>
      </c>
      <c r="AW242" s="34">
        <f>[2]Districts_Boroughs!EA224</f>
        <v>0</v>
      </c>
      <c r="AX242" s="34">
        <f>[2]Districts_Boroughs!EB224</f>
        <v>0</v>
      </c>
      <c r="AY242" s="34">
        <f>[2]Districts_Boroughs!EC224</f>
        <v>0</v>
      </c>
    </row>
    <row r="243" spans="2:51" x14ac:dyDescent="0.35">
      <c r="B243" t="str">
        <f t="shared" si="12"/>
        <v>WarwickSection 18</v>
      </c>
      <c r="C243" s="387" t="s">
        <v>53</v>
      </c>
      <c r="D243" s="34">
        <f>[2]Districts_Boroughs!CH225</f>
        <v>2</v>
      </c>
      <c r="E243" s="34">
        <f>[2]Districts_Boroughs!CI225</f>
        <v>5</v>
      </c>
      <c r="F243" s="34">
        <f>[2]Districts_Boroughs!CJ225</f>
        <v>11</v>
      </c>
      <c r="G243" s="34">
        <f>[2]Districts_Boroughs!CK225</f>
        <v>8</v>
      </c>
      <c r="H243" s="34">
        <f>[2]Districts_Boroughs!CL225</f>
        <v>7</v>
      </c>
      <c r="I243" s="34">
        <f>[2]Districts_Boroughs!CM225</f>
        <v>3</v>
      </c>
      <c r="J243" s="34">
        <f>[2]Districts_Boroughs!CN225</f>
        <v>7</v>
      </c>
      <c r="K243" s="34">
        <f>[2]Districts_Boroughs!CO225</f>
        <v>6</v>
      </c>
      <c r="L243" s="34">
        <f>[2]Districts_Boroughs!CP225</f>
        <v>3</v>
      </c>
      <c r="M243" s="34">
        <f>[2]Districts_Boroughs!CQ225</f>
        <v>7</v>
      </c>
      <c r="N243" s="34">
        <f>[2]Districts_Boroughs!CR225</f>
        <v>11</v>
      </c>
      <c r="O243" s="34">
        <f>[2]Districts_Boroughs!CS225</f>
        <v>8</v>
      </c>
      <c r="P243" s="34">
        <f>[2]Districts_Boroughs!CT225</f>
        <v>4</v>
      </c>
      <c r="Q243" s="34">
        <f>[2]Districts_Boroughs!CU225</f>
        <v>7</v>
      </c>
      <c r="R243" s="34">
        <f>[2]Districts_Boroughs!CV225</f>
        <v>5</v>
      </c>
      <c r="S243" s="34">
        <f>[2]Districts_Boroughs!CW225</f>
        <v>6</v>
      </c>
      <c r="T243" s="34">
        <f>[2]Districts_Boroughs!CX225</f>
        <v>7</v>
      </c>
      <c r="U243" s="34">
        <f>[2]Districts_Boroughs!CY225</f>
        <v>5</v>
      </c>
      <c r="V243" s="34">
        <f>[2]Districts_Boroughs!CZ225</f>
        <v>5</v>
      </c>
      <c r="W243" s="34">
        <f>[2]Districts_Boroughs!DA225</f>
        <v>6</v>
      </c>
      <c r="X243" s="34">
        <f>[2]Districts_Boroughs!DB225</f>
        <v>5</v>
      </c>
      <c r="Y243" s="34">
        <f>[2]Districts_Boroughs!DC225</f>
        <v>8</v>
      </c>
      <c r="Z243" s="34">
        <f>[2]Districts_Boroughs!DD225</f>
        <v>5</v>
      </c>
      <c r="AA243" s="34">
        <f>[2]Districts_Boroughs!DE225</f>
        <v>4</v>
      </c>
      <c r="AB243" s="34">
        <f>[2]Districts_Boroughs!DF225</f>
        <v>4</v>
      </c>
      <c r="AC243" s="34">
        <f>[2]Districts_Boroughs!DG225</f>
        <v>7</v>
      </c>
      <c r="AD243" s="34">
        <f>[2]Districts_Boroughs!DH225</f>
        <v>5</v>
      </c>
      <c r="AE243" s="34">
        <f>[2]Districts_Boroughs!DI225</f>
        <v>8</v>
      </c>
      <c r="AF243" s="34">
        <f>[2]Districts_Boroughs!DJ225</f>
        <v>3</v>
      </c>
      <c r="AG243" s="34">
        <f>[2]Districts_Boroughs!DK225</f>
        <v>9</v>
      </c>
      <c r="AH243" s="34">
        <f>[2]Districts_Boroughs!DL225</f>
        <v>3</v>
      </c>
      <c r="AI243" s="34">
        <f>[2]Districts_Boroughs!DM225</f>
        <v>6</v>
      </c>
      <c r="AJ243" s="34">
        <f>[2]Districts_Boroughs!DN225</f>
        <v>4</v>
      </c>
      <c r="AK243" s="34">
        <f>[2]Districts_Boroughs!DO225</f>
        <v>3</v>
      </c>
      <c r="AL243" s="34">
        <f>[2]Districts_Boroughs!DP225</f>
        <v>9</v>
      </c>
      <c r="AM243" s="34">
        <f>[2]Districts_Boroughs!DQ225</f>
        <v>4</v>
      </c>
      <c r="AN243" s="34">
        <f>[2]Districts_Boroughs!DR225</f>
        <v>4</v>
      </c>
      <c r="AO243" s="34">
        <f>[2]Districts_Boroughs!DS225</f>
        <v>10</v>
      </c>
      <c r="AP243" s="34">
        <f>[2]Districts_Boroughs!DT225</f>
        <v>5</v>
      </c>
      <c r="AQ243" s="34">
        <f>[2]Districts_Boroughs!DU225</f>
        <v>7</v>
      </c>
      <c r="AR243" s="34">
        <f>[2]Districts_Boroughs!DV225</f>
        <v>11</v>
      </c>
      <c r="AS243" s="34">
        <f>[2]Districts_Boroughs!DW225</f>
        <v>7</v>
      </c>
      <c r="AT243" s="34">
        <f>[2]Districts_Boroughs!DX225</f>
        <v>6</v>
      </c>
      <c r="AU243" s="34">
        <f>[2]Districts_Boroughs!DY225</f>
        <v>7</v>
      </c>
      <c r="AV243" s="34">
        <f>[2]Districts_Boroughs!DZ225</f>
        <v>10</v>
      </c>
      <c r="AW243" s="34">
        <f>[2]Districts_Boroughs!EA225</f>
        <v>3</v>
      </c>
      <c r="AX243" s="34">
        <f>[2]Districts_Boroughs!EB225</f>
        <v>2</v>
      </c>
      <c r="AY243" s="34">
        <f>[2]Districts_Boroughs!EC225</f>
        <v>8</v>
      </c>
    </row>
    <row r="244" spans="2:51" x14ac:dyDescent="0.35">
      <c r="B244" t="str">
        <f t="shared" si="12"/>
        <v>WarwickSection 20</v>
      </c>
      <c r="C244" s="387" t="s">
        <v>54</v>
      </c>
      <c r="D244" s="34">
        <f>[2]Districts_Boroughs!CH226</f>
        <v>6</v>
      </c>
      <c r="E244" s="34">
        <f>[2]Districts_Boroughs!CI226</f>
        <v>3</v>
      </c>
      <c r="F244" s="34">
        <f>[2]Districts_Boroughs!CJ226</f>
        <v>5</v>
      </c>
      <c r="G244" s="34">
        <f>[2]Districts_Boroughs!CK226</f>
        <v>5</v>
      </c>
      <c r="H244" s="34">
        <f>[2]Districts_Boroughs!CL226</f>
        <v>2</v>
      </c>
      <c r="I244" s="34">
        <f>[2]Districts_Boroughs!CM226</f>
        <v>0</v>
      </c>
      <c r="J244" s="34">
        <f>[2]Districts_Boroughs!CN226</f>
        <v>2</v>
      </c>
      <c r="K244" s="34">
        <f>[2]Districts_Boroughs!CO226</f>
        <v>3</v>
      </c>
      <c r="L244" s="34">
        <f>[2]Districts_Boroughs!CP226</f>
        <v>3</v>
      </c>
      <c r="M244" s="34">
        <f>[2]Districts_Boroughs!CQ226</f>
        <v>3</v>
      </c>
      <c r="N244" s="34">
        <f>[2]Districts_Boroughs!CR226</f>
        <v>4</v>
      </c>
      <c r="O244" s="34">
        <f>[2]Districts_Boroughs!CS226</f>
        <v>3</v>
      </c>
      <c r="P244" s="34">
        <f>[2]Districts_Boroughs!CT226</f>
        <v>3</v>
      </c>
      <c r="Q244" s="34">
        <f>[2]Districts_Boroughs!CU226</f>
        <v>8</v>
      </c>
      <c r="R244" s="34">
        <f>[2]Districts_Boroughs!CV226</f>
        <v>9</v>
      </c>
      <c r="S244" s="34">
        <f>[2]Districts_Boroughs!CW226</f>
        <v>1</v>
      </c>
      <c r="T244" s="34">
        <f>[2]Districts_Boroughs!CX226</f>
        <v>2</v>
      </c>
      <c r="U244" s="34">
        <f>[2]Districts_Boroughs!CY226</f>
        <v>3</v>
      </c>
      <c r="V244" s="34">
        <f>[2]Districts_Boroughs!CZ226</f>
        <v>2</v>
      </c>
      <c r="W244" s="34">
        <f>[2]Districts_Boroughs!DA226</f>
        <v>1</v>
      </c>
      <c r="X244" s="34">
        <f>[2]Districts_Boroughs!DB226</f>
        <v>2</v>
      </c>
      <c r="Y244" s="34">
        <f>[2]Districts_Boroughs!DC226</f>
        <v>2</v>
      </c>
      <c r="Z244" s="34">
        <f>[2]Districts_Boroughs!DD226</f>
        <v>5</v>
      </c>
      <c r="AA244" s="34">
        <f>[2]Districts_Boroughs!DE226</f>
        <v>6</v>
      </c>
      <c r="AB244" s="34">
        <f>[2]Districts_Boroughs!DF226</f>
        <v>3</v>
      </c>
      <c r="AC244" s="34">
        <f>[2]Districts_Boroughs!DG226</f>
        <v>1</v>
      </c>
      <c r="AD244" s="34">
        <f>[2]Districts_Boroughs!DH226</f>
        <v>5</v>
      </c>
      <c r="AE244" s="34">
        <f>[2]Districts_Boroughs!DI226</f>
        <v>3</v>
      </c>
      <c r="AF244" s="34">
        <f>[2]Districts_Boroughs!DJ226</f>
        <v>5</v>
      </c>
      <c r="AG244" s="34">
        <f>[2]Districts_Boroughs!DK226</f>
        <v>4</v>
      </c>
      <c r="AH244" s="34">
        <f>[2]Districts_Boroughs!DL226</f>
        <v>2</v>
      </c>
      <c r="AI244" s="34">
        <f>[2]Districts_Boroughs!DM226</f>
        <v>3</v>
      </c>
      <c r="AJ244" s="34">
        <f>[2]Districts_Boroughs!DN226</f>
        <v>6</v>
      </c>
      <c r="AK244" s="34">
        <f>[2]Districts_Boroughs!DO226</f>
        <v>4</v>
      </c>
      <c r="AL244" s="34">
        <f>[2]Districts_Boroughs!DP226</f>
        <v>2</v>
      </c>
      <c r="AM244" s="34">
        <f>[2]Districts_Boroughs!DQ226</f>
        <v>2</v>
      </c>
      <c r="AN244" s="34">
        <f>[2]Districts_Boroughs!DR226</f>
        <v>3</v>
      </c>
      <c r="AO244" s="34">
        <f>[2]Districts_Boroughs!DS226</f>
        <v>1</v>
      </c>
      <c r="AP244" s="34">
        <f>[2]Districts_Boroughs!DT226</f>
        <v>4</v>
      </c>
      <c r="AQ244" s="34">
        <f>[2]Districts_Boroughs!DU226</f>
        <v>4</v>
      </c>
      <c r="AR244" s="34">
        <f>[2]Districts_Boroughs!DV226</f>
        <v>4</v>
      </c>
      <c r="AS244" s="34">
        <f>[2]Districts_Boroughs!DW226</f>
        <v>5</v>
      </c>
      <c r="AT244" s="34">
        <f>[2]Districts_Boroughs!DX226</f>
        <v>5</v>
      </c>
      <c r="AU244" s="34">
        <f>[2]Districts_Boroughs!DY226</f>
        <v>6</v>
      </c>
      <c r="AV244" s="34">
        <f>[2]Districts_Boroughs!DZ226</f>
        <v>2</v>
      </c>
      <c r="AW244" s="34">
        <f>[2]Districts_Boroughs!EA226</f>
        <v>4</v>
      </c>
      <c r="AX244" s="34">
        <f>[2]Districts_Boroughs!EB226</f>
        <v>5</v>
      </c>
      <c r="AY244" s="34">
        <f>[2]Districts_Boroughs!EC226</f>
        <v>6</v>
      </c>
    </row>
    <row r="245" spans="2:51" x14ac:dyDescent="0.35">
      <c r="B245" t="str">
        <f t="shared" si="12"/>
        <v>Warwick</v>
      </c>
      <c r="C245" s="387"/>
      <c r="D245" s="34">
        <f>[2]Districts_Boroughs!CH227</f>
        <v>0</v>
      </c>
      <c r="E245" s="34">
        <f>[2]Districts_Boroughs!CI227</f>
        <v>0</v>
      </c>
      <c r="F245" s="34">
        <f>[2]Districts_Boroughs!CJ227</f>
        <v>0</v>
      </c>
      <c r="G245" s="34">
        <f>[2]Districts_Boroughs!CK227</f>
        <v>0</v>
      </c>
      <c r="H245" s="34">
        <f>[2]Districts_Boroughs!CL227</f>
        <v>0</v>
      </c>
      <c r="I245" s="34">
        <f>[2]Districts_Boroughs!CM227</f>
        <v>0</v>
      </c>
      <c r="J245" s="34">
        <f>[2]Districts_Boroughs!CN227</f>
        <v>0</v>
      </c>
      <c r="K245" s="34">
        <f>[2]Districts_Boroughs!CO227</f>
        <v>0</v>
      </c>
      <c r="L245" s="34">
        <f>[2]Districts_Boroughs!CP227</f>
        <v>0</v>
      </c>
      <c r="M245" s="34">
        <f>[2]Districts_Boroughs!CQ227</f>
        <v>0</v>
      </c>
      <c r="N245" s="34">
        <f>[2]Districts_Boroughs!CR227</f>
        <v>0</v>
      </c>
      <c r="O245" s="34">
        <f>[2]Districts_Boroughs!CS227</f>
        <v>0</v>
      </c>
      <c r="P245" s="34">
        <f>[2]Districts_Boroughs!CT227</f>
        <v>0</v>
      </c>
      <c r="Q245" s="34">
        <f>[2]Districts_Boroughs!CU227</f>
        <v>0</v>
      </c>
      <c r="R245" s="34">
        <f>[2]Districts_Boroughs!CV227</f>
        <v>0</v>
      </c>
      <c r="S245" s="34">
        <f>[2]Districts_Boroughs!CW227</f>
        <v>0</v>
      </c>
      <c r="T245" s="34">
        <f>[2]Districts_Boroughs!CX227</f>
        <v>0</v>
      </c>
      <c r="U245" s="34">
        <f>[2]Districts_Boroughs!CY227</f>
        <v>0</v>
      </c>
      <c r="V245" s="34">
        <f>[2]Districts_Boroughs!CZ227</f>
        <v>0</v>
      </c>
      <c r="W245" s="34">
        <f>[2]Districts_Boroughs!DA227</f>
        <v>0</v>
      </c>
      <c r="X245" s="34">
        <f>[2]Districts_Boroughs!DB227</f>
        <v>0</v>
      </c>
      <c r="Y245" s="34">
        <f>[2]Districts_Boroughs!DC227</f>
        <v>0</v>
      </c>
      <c r="Z245" s="34">
        <f>[2]Districts_Boroughs!DD227</f>
        <v>0</v>
      </c>
      <c r="AA245" s="34">
        <f>[2]Districts_Boroughs!DE227</f>
        <v>0</v>
      </c>
      <c r="AB245" s="34">
        <f>[2]Districts_Boroughs!DF227</f>
        <v>0</v>
      </c>
      <c r="AC245" s="34">
        <f>[2]Districts_Boroughs!DG227</f>
        <v>0</v>
      </c>
      <c r="AD245" s="34">
        <f>[2]Districts_Boroughs!DH227</f>
        <v>0</v>
      </c>
      <c r="AE245" s="34">
        <f>[2]Districts_Boroughs!DI227</f>
        <v>0</v>
      </c>
      <c r="AF245" s="34">
        <f>[2]Districts_Boroughs!DJ227</f>
        <v>0</v>
      </c>
      <c r="AG245" s="34">
        <f>[2]Districts_Boroughs!DK227</f>
        <v>0</v>
      </c>
      <c r="AH245" s="34">
        <f>[2]Districts_Boroughs!DL227</f>
        <v>0</v>
      </c>
      <c r="AI245" s="34">
        <f>[2]Districts_Boroughs!DM227</f>
        <v>0</v>
      </c>
      <c r="AJ245" s="34">
        <f>[2]Districts_Boroughs!DN227</f>
        <v>0</v>
      </c>
      <c r="AK245" s="34">
        <f>[2]Districts_Boroughs!DO227</f>
        <v>0</v>
      </c>
      <c r="AL245" s="34">
        <f>[2]Districts_Boroughs!DP227</f>
        <v>0</v>
      </c>
      <c r="AM245" s="34">
        <f>[2]Districts_Boroughs!DQ227</f>
        <v>0</v>
      </c>
      <c r="AN245" s="34">
        <f>[2]Districts_Boroughs!DR227</f>
        <v>0</v>
      </c>
      <c r="AO245" s="34">
        <f>[2]Districts_Boroughs!DS227</f>
        <v>0</v>
      </c>
      <c r="AP245" s="34">
        <f>[2]Districts_Boroughs!DT227</f>
        <v>0</v>
      </c>
      <c r="AQ245" s="34">
        <f>[2]Districts_Boroughs!DU227</f>
        <v>0</v>
      </c>
      <c r="AR245" s="34">
        <f>[2]Districts_Boroughs!DV227</f>
        <v>0</v>
      </c>
      <c r="AS245" s="34">
        <f>[2]Districts_Boroughs!DW227</f>
        <v>0</v>
      </c>
      <c r="AT245" s="34">
        <f>[2]Districts_Boroughs!DX227</f>
        <v>0</v>
      </c>
      <c r="AU245" s="34">
        <f>[2]Districts_Boroughs!DY227</f>
        <v>0</v>
      </c>
      <c r="AV245" s="34">
        <f>[2]Districts_Boroughs!DZ227</f>
        <v>0</v>
      </c>
      <c r="AW245" s="34">
        <f>[2]Districts_Boroughs!EA227</f>
        <v>0</v>
      </c>
      <c r="AX245" s="34">
        <f>[2]Districts_Boroughs!EB227</f>
        <v>0</v>
      </c>
      <c r="AY245" s="34">
        <f>[2]Districts_Boroughs!EC227</f>
        <v>0</v>
      </c>
    </row>
    <row r="246" spans="2:51" x14ac:dyDescent="0.35">
      <c r="B246" t="str">
        <f t="shared" si="12"/>
        <v>WarwickAggravated Vehicle Taking</v>
      </c>
      <c r="C246" s="387" t="s">
        <v>46</v>
      </c>
      <c r="D246" s="34">
        <f>[2]Districts_Boroughs!CH228</f>
        <v>0</v>
      </c>
      <c r="E246" s="34">
        <f>[2]Districts_Boroughs!CI228</f>
        <v>2</v>
      </c>
      <c r="F246" s="34">
        <f>[2]Districts_Boroughs!CJ228</f>
        <v>1</v>
      </c>
      <c r="G246" s="34">
        <f>[2]Districts_Boroughs!CK228</f>
        <v>1</v>
      </c>
      <c r="H246" s="34">
        <f>[2]Districts_Boroughs!CL228</f>
        <v>0</v>
      </c>
      <c r="I246" s="34">
        <f>[2]Districts_Boroughs!CM228</f>
        <v>0</v>
      </c>
      <c r="J246" s="34">
        <f>[2]Districts_Boroughs!CN228</f>
        <v>1</v>
      </c>
      <c r="K246" s="34">
        <f>[2]Districts_Boroughs!CO228</f>
        <v>1</v>
      </c>
      <c r="L246" s="34">
        <f>[2]Districts_Boroughs!CP228</f>
        <v>2</v>
      </c>
      <c r="M246" s="34">
        <f>[2]Districts_Boroughs!CQ228</f>
        <v>0</v>
      </c>
      <c r="N246" s="34">
        <f>[2]Districts_Boroughs!CR228</f>
        <v>0</v>
      </c>
      <c r="O246" s="34">
        <f>[2]Districts_Boroughs!CS228</f>
        <v>1</v>
      </c>
      <c r="P246" s="34">
        <f>[2]Districts_Boroughs!CT228</f>
        <v>1</v>
      </c>
      <c r="Q246" s="34">
        <f>[2]Districts_Boroughs!CU228</f>
        <v>1</v>
      </c>
      <c r="R246" s="34">
        <f>[2]Districts_Boroughs!CV228</f>
        <v>1</v>
      </c>
      <c r="S246" s="34">
        <f>[2]Districts_Boroughs!CW228</f>
        <v>1</v>
      </c>
      <c r="T246" s="34">
        <f>[2]Districts_Boroughs!CX228</f>
        <v>0</v>
      </c>
      <c r="U246" s="34">
        <f>[2]Districts_Boroughs!CY228</f>
        <v>1</v>
      </c>
      <c r="V246" s="34">
        <f>[2]Districts_Boroughs!CZ228</f>
        <v>1</v>
      </c>
      <c r="W246" s="34">
        <f>[2]Districts_Boroughs!DA228</f>
        <v>0</v>
      </c>
      <c r="X246" s="34">
        <f>[2]Districts_Boroughs!DB228</f>
        <v>0</v>
      </c>
      <c r="Y246" s="34">
        <f>[2]Districts_Boroughs!DC228</f>
        <v>1</v>
      </c>
      <c r="Z246" s="34">
        <f>[2]Districts_Boroughs!DD228</f>
        <v>0</v>
      </c>
      <c r="AA246" s="34">
        <f>[2]Districts_Boroughs!DE228</f>
        <v>0</v>
      </c>
      <c r="AB246" s="34">
        <f>[2]Districts_Boroughs!DF228</f>
        <v>1</v>
      </c>
      <c r="AC246" s="34">
        <f>[2]Districts_Boroughs!DG228</f>
        <v>1</v>
      </c>
      <c r="AD246" s="34">
        <f>[2]Districts_Boroughs!DH228</f>
        <v>1</v>
      </c>
      <c r="AE246" s="34">
        <f>[2]Districts_Boroughs!DI228</f>
        <v>0</v>
      </c>
      <c r="AF246" s="34">
        <f>[2]Districts_Boroughs!DJ228</f>
        <v>2</v>
      </c>
      <c r="AG246" s="34">
        <f>[2]Districts_Boroughs!DK228</f>
        <v>1</v>
      </c>
      <c r="AH246" s="34">
        <f>[2]Districts_Boroughs!DL228</f>
        <v>2</v>
      </c>
      <c r="AI246" s="34">
        <f>[2]Districts_Boroughs!DM228</f>
        <v>0</v>
      </c>
      <c r="AJ246" s="34">
        <f>[2]Districts_Boroughs!DN228</f>
        <v>3</v>
      </c>
      <c r="AK246" s="34">
        <f>[2]Districts_Boroughs!DO228</f>
        <v>3</v>
      </c>
      <c r="AL246" s="34">
        <f>[2]Districts_Boroughs!DP228</f>
        <v>0</v>
      </c>
      <c r="AM246" s="34">
        <f>[2]Districts_Boroughs!DQ228</f>
        <v>1</v>
      </c>
      <c r="AN246" s="34">
        <f>[2]Districts_Boroughs!DR228</f>
        <v>0</v>
      </c>
      <c r="AO246" s="34">
        <f>[2]Districts_Boroughs!DS228</f>
        <v>0</v>
      </c>
      <c r="AP246" s="34">
        <f>[2]Districts_Boroughs!DT228</f>
        <v>0</v>
      </c>
      <c r="AQ246" s="34">
        <f>[2]Districts_Boroughs!DU228</f>
        <v>1</v>
      </c>
      <c r="AR246" s="34">
        <f>[2]Districts_Boroughs!DV228</f>
        <v>1</v>
      </c>
      <c r="AS246" s="34">
        <f>[2]Districts_Boroughs!DW228</f>
        <v>0</v>
      </c>
      <c r="AT246" s="34">
        <f>[2]Districts_Boroughs!DX228</f>
        <v>0</v>
      </c>
      <c r="AU246" s="34">
        <f>[2]Districts_Boroughs!DY228</f>
        <v>0</v>
      </c>
      <c r="AV246" s="34">
        <f>[2]Districts_Boroughs!DZ228</f>
        <v>0</v>
      </c>
      <c r="AW246" s="34">
        <f>[2]Districts_Boroughs!EA228</f>
        <v>0</v>
      </c>
      <c r="AX246" s="34">
        <f>[2]Districts_Boroughs!EB228</f>
        <v>1</v>
      </c>
      <c r="AY246" s="34">
        <f>[2]Districts_Boroughs!EC228</f>
        <v>1</v>
      </c>
    </row>
    <row r="247" spans="2:51" x14ac:dyDescent="0.35">
      <c r="B247" t="str">
        <f t="shared" si="12"/>
        <v>WarwickInterfering with a Motor Vehicle</v>
      </c>
      <c r="C247" s="387" t="s">
        <v>47</v>
      </c>
      <c r="D247" s="34">
        <f>[2]Districts_Boroughs!CH229</f>
        <v>10</v>
      </c>
      <c r="E247" s="34">
        <f>[2]Districts_Boroughs!CI229</f>
        <v>12</v>
      </c>
      <c r="F247" s="34">
        <f>[2]Districts_Boroughs!CJ229</f>
        <v>14</v>
      </c>
      <c r="G247" s="34">
        <f>[2]Districts_Boroughs!CK229</f>
        <v>19</v>
      </c>
      <c r="H247" s="34">
        <f>[2]Districts_Boroughs!CL229</f>
        <v>21</v>
      </c>
      <c r="I247" s="34">
        <f>[2]Districts_Boroughs!CM229</f>
        <v>15</v>
      </c>
      <c r="J247" s="34">
        <f>[2]Districts_Boroughs!CN229</f>
        <v>13</v>
      </c>
      <c r="K247" s="34">
        <f>[2]Districts_Boroughs!CO229</f>
        <v>42</v>
      </c>
      <c r="L247" s="34">
        <f>[2]Districts_Boroughs!CP229</f>
        <v>15</v>
      </c>
      <c r="M247" s="34">
        <f>[2]Districts_Boroughs!CQ229</f>
        <v>15</v>
      </c>
      <c r="N247" s="34">
        <f>[2]Districts_Boroughs!CR229</f>
        <v>11</v>
      </c>
      <c r="O247" s="34">
        <f>[2]Districts_Boroughs!CS229</f>
        <v>22</v>
      </c>
      <c r="P247" s="34">
        <f>[2]Districts_Boroughs!CT229</f>
        <v>16</v>
      </c>
      <c r="Q247" s="34">
        <f>[2]Districts_Boroughs!CU229</f>
        <v>24</v>
      </c>
      <c r="R247" s="34">
        <f>[2]Districts_Boroughs!CV229</f>
        <v>27</v>
      </c>
      <c r="S247" s="34">
        <f>[2]Districts_Boroughs!CW229</f>
        <v>21</v>
      </c>
      <c r="T247" s="34">
        <f>[2]Districts_Boroughs!CX229</f>
        <v>16</v>
      </c>
      <c r="U247" s="34">
        <f>[2]Districts_Boroughs!CY229</f>
        <v>16</v>
      </c>
      <c r="V247" s="34">
        <f>[2]Districts_Boroughs!CZ229</f>
        <v>37</v>
      </c>
      <c r="W247" s="34">
        <f>[2]Districts_Boroughs!DA229</f>
        <v>15</v>
      </c>
      <c r="X247" s="34">
        <f>[2]Districts_Boroughs!DB229</f>
        <v>10</v>
      </c>
      <c r="Y247" s="34">
        <f>[2]Districts_Boroughs!DC229</f>
        <v>57</v>
      </c>
      <c r="Z247" s="34">
        <f>[2]Districts_Boroughs!DD229</f>
        <v>8</v>
      </c>
      <c r="AA247" s="34">
        <f>[2]Districts_Boroughs!DE229</f>
        <v>11</v>
      </c>
      <c r="AB247" s="34">
        <f>[2]Districts_Boroughs!DF229</f>
        <v>6</v>
      </c>
      <c r="AC247" s="34">
        <f>[2]Districts_Boroughs!DG229</f>
        <v>14</v>
      </c>
      <c r="AD247" s="34">
        <f>[2]Districts_Boroughs!DH229</f>
        <v>10</v>
      </c>
      <c r="AE247" s="34">
        <f>[2]Districts_Boroughs!DI229</f>
        <v>16</v>
      </c>
      <c r="AF247" s="34">
        <f>[2]Districts_Boroughs!DJ229</f>
        <v>5</v>
      </c>
      <c r="AG247" s="34">
        <f>[2]Districts_Boroughs!DK229</f>
        <v>8</v>
      </c>
      <c r="AH247" s="34">
        <f>[2]Districts_Boroughs!DL229</f>
        <v>19</v>
      </c>
      <c r="AI247" s="34">
        <f>[2]Districts_Boroughs!DM229</f>
        <v>13</v>
      </c>
      <c r="AJ247" s="34">
        <f>[2]Districts_Boroughs!DN229</f>
        <v>23</v>
      </c>
      <c r="AK247" s="34">
        <f>[2]Districts_Boroughs!DO229</f>
        <v>14</v>
      </c>
      <c r="AL247" s="34">
        <f>[2]Districts_Boroughs!DP229</f>
        <v>8</v>
      </c>
      <c r="AM247" s="34">
        <f>[2]Districts_Boroughs!DQ229</f>
        <v>13</v>
      </c>
      <c r="AN247" s="34">
        <f>[2]Districts_Boroughs!DR229</f>
        <v>23</v>
      </c>
      <c r="AO247" s="34">
        <f>[2]Districts_Boroughs!DS229</f>
        <v>16</v>
      </c>
      <c r="AP247" s="34">
        <f>[2]Districts_Boroughs!DT229</f>
        <v>23</v>
      </c>
      <c r="AQ247" s="34">
        <f>[2]Districts_Boroughs!DU229</f>
        <v>20</v>
      </c>
      <c r="AR247" s="34">
        <f>[2]Districts_Boroughs!DV229</f>
        <v>17</v>
      </c>
      <c r="AS247" s="34">
        <f>[2]Districts_Boroughs!DW229</f>
        <v>29</v>
      </c>
      <c r="AT247" s="34">
        <f>[2]Districts_Boroughs!DX229</f>
        <v>21</v>
      </c>
      <c r="AU247" s="34">
        <f>[2]Districts_Boroughs!DY229</f>
        <v>11</v>
      </c>
      <c r="AV247" s="34">
        <f>[2]Districts_Boroughs!DZ229</f>
        <v>12</v>
      </c>
      <c r="AW247" s="34">
        <f>[2]Districts_Boroughs!EA229</f>
        <v>17</v>
      </c>
      <c r="AX247" s="34">
        <f>[2]Districts_Boroughs!EB229</f>
        <v>7</v>
      </c>
      <c r="AY247" s="34">
        <f>[2]Districts_Boroughs!EC229</f>
        <v>11</v>
      </c>
    </row>
    <row r="248" spans="2:51" x14ac:dyDescent="0.35">
      <c r="B248" t="str">
        <f t="shared" si="12"/>
        <v>WarwickTheft From A Vehicle</v>
      </c>
      <c r="C248" s="387" t="s">
        <v>48</v>
      </c>
      <c r="D248" s="34">
        <f>[2]Districts_Boroughs!CH230</f>
        <v>35</v>
      </c>
      <c r="E248" s="34">
        <f>[2]Districts_Boroughs!CI230</f>
        <v>34</v>
      </c>
      <c r="F248" s="34">
        <f>[2]Districts_Boroughs!CJ230</f>
        <v>35</v>
      </c>
      <c r="G248" s="34">
        <f>[2]Districts_Boroughs!CK230</f>
        <v>67</v>
      </c>
      <c r="H248" s="34">
        <f>[2]Districts_Boroughs!CL230</f>
        <v>48</v>
      </c>
      <c r="I248" s="34">
        <f>[2]Districts_Boroughs!CM230</f>
        <v>41</v>
      </c>
      <c r="J248" s="34">
        <f>[2]Districts_Boroughs!CN230</f>
        <v>31</v>
      </c>
      <c r="K248" s="34">
        <f>[2]Districts_Boroughs!CO230</f>
        <v>66</v>
      </c>
      <c r="L248" s="34">
        <f>[2]Districts_Boroughs!CP230</f>
        <v>40</v>
      </c>
      <c r="M248" s="34">
        <f>[2]Districts_Boroughs!CQ230</f>
        <v>47</v>
      </c>
      <c r="N248" s="34">
        <f>[2]Districts_Boroughs!CR230</f>
        <v>39</v>
      </c>
      <c r="O248" s="34">
        <f>[2]Districts_Boroughs!CS230</f>
        <v>75</v>
      </c>
      <c r="P248" s="34">
        <f>[2]Districts_Boroughs!CT230</f>
        <v>55</v>
      </c>
      <c r="Q248" s="34">
        <f>[2]Districts_Boroughs!CU230</f>
        <v>62</v>
      </c>
      <c r="R248" s="34">
        <f>[2]Districts_Boroughs!CV230</f>
        <v>55</v>
      </c>
      <c r="S248" s="34">
        <f>[2]Districts_Boroughs!CW230</f>
        <v>62</v>
      </c>
      <c r="T248" s="34">
        <f>[2]Districts_Boroughs!CX230</f>
        <v>48</v>
      </c>
      <c r="U248" s="34">
        <f>[2]Districts_Boroughs!CY230</f>
        <v>69</v>
      </c>
      <c r="V248" s="34">
        <f>[2]Districts_Boroughs!CZ230</f>
        <v>68</v>
      </c>
      <c r="W248" s="34">
        <f>[2]Districts_Boroughs!DA230</f>
        <v>60</v>
      </c>
      <c r="X248" s="34">
        <f>[2]Districts_Boroughs!DB230</f>
        <v>43</v>
      </c>
      <c r="Y248" s="34">
        <f>[2]Districts_Boroughs!DC230</f>
        <v>59</v>
      </c>
      <c r="Z248" s="34">
        <f>[2]Districts_Boroughs!DD230</f>
        <v>37</v>
      </c>
      <c r="AA248" s="34">
        <f>[2]Districts_Boroughs!DE230</f>
        <v>25</v>
      </c>
      <c r="AB248" s="34">
        <f>[2]Districts_Boroughs!DF230</f>
        <v>58</v>
      </c>
      <c r="AC248" s="34">
        <f>[2]Districts_Boroughs!DG230</f>
        <v>34</v>
      </c>
      <c r="AD248" s="34">
        <f>[2]Districts_Boroughs!DH230</f>
        <v>55</v>
      </c>
      <c r="AE248" s="34">
        <f>[2]Districts_Boroughs!DI230</f>
        <v>73</v>
      </c>
      <c r="AF248" s="34">
        <f>[2]Districts_Boroughs!DJ230</f>
        <v>49</v>
      </c>
      <c r="AG248" s="34">
        <f>[2]Districts_Boroughs!DK230</f>
        <v>33</v>
      </c>
      <c r="AH248" s="34">
        <f>[2]Districts_Boroughs!DL230</f>
        <v>51</v>
      </c>
      <c r="AI248" s="34">
        <f>[2]Districts_Boroughs!DM230</f>
        <v>59</v>
      </c>
      <c r="AJ248" s="34">
        <f>[2]Districts_Boroughs!DN230</f>
        <v>65</v>
      </c>
      <c r="AK248" s="34">
        <f>[2]Districts_Boroughs!DO230</f>
        <v>41</v>
      </c>
      <c r="AL248" s="34">
        <f>[2]Districts_Boroughs!DP230</f>
        <v>29</v>
      </c>
      <c r="AM248" s="34">
        <f>[2]Districts_Boroughs!DQ230</f>
        <v>22</v>
      </c>
      <c r="AN248" s="34">
        <f>[2]Districts_Boroughs!DR230</f>
        <v>48</v>
      </c>
      <c r="AO248" s="34">
        <f>[2]Districts_Boroughs!DS230</f>
        <v>40</v>
      </c>
      <c r="AP248" s="34">
        <f>[2]Districts_Boroughs!DT230</f>
        <v>33</v>
      </c>
      <c r="AQ248" s="34">
        <f>[2]Districts_Boroughs!DU230</f>
        <v>46</v>
      </c>
      <c r="AR248" s="34">
        <f>[2]Districts_Boroughs!DV230</f>
        <v>44</v>
      </c>
      <c r="AS248" s="34">
        <f>[2]Districts_Boroughs!DW230</f>
        <v>49</v>
      </c>
      <c r="AT248" s="34">
        <f>[2]Districts_Boroughs!DX230</f>
        <v>40</v>
      </c>
      <c r="AU248" s="34">
        <f>[2]Districts_Boroughs!DY230</f>
        <v>19</v>
      </c>
      <c r="AV248" s="34">
        <f>[2]Districts_Boroughs!DZ230</f>
        <v>25</v>
      </c>
      <c r="AW248" s="34">
        <f>[2]Districts_Boroughs!EA230</f>
        <v>43</v>
      </c>
      <c r="AX248" s="34">
        <f>[2]Districts_Boroughs!EB230</f>
        <v>26</v>
      </c>
      <c r="AY248" s="34">
        <f>[2]Districts_Boroughs!EC230</f>
        <v>27</v>
      </c>
    </row>
    <row r="249" spans="2:51" x14ac:dyDescent="0.35">
      <c r="B249" t="str">
        <f t="shared" si="12"/>
        <v>WarwickTheft Or Unauthorised Taking Of A Motor Vehicle</v>
      </c>
      <c r="C249" s="387" t="s">
        <v>49</v>
      </c>
      <c r="D249" s="34">
        <f>[2]Districts_Boroughs!CH231</f>
        <v>11</v>
      </c>
      <c r="E249" s="34">
        <f>[2]Districts_Boroughs!CI231</f>
        <v>12</v>
      </c>
      <c r="F249" s="34">
        <f>[2]Districts_Boroughs!CJ231</f>
        <v>10</v>
      </c>
      <c r="G249" s="34">
        <f>[2]Districts_Boroughs!CK231</f>
        <v>12</v>
      </c>
      <c r="H249" s="34">
        <f>[2]Districts_Boroughs!CL231</f>
        <v>14</v>
      </c>
      <c r="I249" s="34">
        <f>[2]Districts_Boroughs!CM231</f>
        <v>15</v>
      </c>
      <c r="J249" s="34">
        <f>[2]Districts_Boroughs!CN231</f>
        <v>8</v>
      </c>
      <c r="K249" s="34">
        <f>[2]Districts_Boroughs!CO231</f>
        <v>19</v>
      </c>
      <c r="L249" s="34">
        <f>[2]Districts_Boroughs!CP231</f>
        <v>13</v>
      </c>
      <c r="M249" s="34">
        <f>[2]Districts_Boroughs!CQ231</f>
        <v>14</v>
      </c>
      <c r="N249" s="34">
        <f>[2]Districts_Boroughs!CR231</f>
        <v>11</v>
      </c>
      <c r="O249" s="34">
        <f>[2]Districts_Boroughs!CS231</f>
        <v>14</v>
      </c>
      <c r="P249" s="34">
        <f>[2]Districts_Boroughs!CT231</f>
        <v>10</v>
      </c>
      <c r="Q249" s="34">
        <f>[2]Districts_Boroughs!CU231</f>
        <v>10</v>
      </c>
      <c r="R249" s="34">
        <f>[2]Districts_Boroughs!CV231</f>
        <v>14</v>
      </c>
      <c r="S249" s="34">
        <f>[2]Districts_Boroughs!CW231</f>
        <v>25</v>
      </c>
      <c r="T249" s="34">
        <f>[2]Districts_Boroughs!CX231</f>
        <v>19</v>
      </c>
      <c r="U249" s="34">
        <f>[2]Districts_Boroughs!CY231</f>
        <v>15</v>
      </c>
      <c r="V249" s="34">
        <f>[2]Districts_Boroughs!CZ231</f>
        <v>15</v>
      </c>
      <c r="W249" s="34">
        <f>[2]Districts_Boroughs!DA231</f>
        <v>10</v>
      </c>
      <c r="X249" s="34">
        <f>[2]Districts_Boroughs!DB231</f>
        <v>8</v>
      </c>
      <c r="Y249" s="34">
        <f>[2]Districts_Boroughs!DC231</f>
        <v>13</v>
      </c>
      <c r="Z249" s="34">
        <f>[2]Districts_Boroughs!DD231</f>
        <v>21</v>
      </c>
      <c r="AA249" s="34">
        <f>[2]Districts_Boroughs!DE231</f>
        <v>26</v>
      </c>
      <c r="AB249" s="34">
        <f>[2]Districts_Boroughs!DF231</f>
        <v>26</v>
      </c>
      <c r="AC249" s="34">
        <f>[2]Districts_Boroughs!DG231</f>
        <v>13</v>
      </c>
      <c r="AD249" s="34">
        <f>[2]Districts_Boroughs!DH231</f>
        <v>10</v>
      </c>
      <c r="AE249" s="34">
        <f>[2]Districts_Boroughs!DI231</f>
        <v>17</v>
      </c>
      <c r="AF249" s="34">
        <f>[2]Districts_Boroughs!DJ231</f>
        <v>18</v>
      </c>
      <c r="AG249" s="34">
        <f>[2]Districts_Boroughs!DK231</f>
        <v>18</v>
      </c>
      <c r="AH249" s="34">
        <f>[2]Districts_Boroughs!DL231</f>
        <v>18</v>
      </c>
      <c r="AI249" s="34">
        <f>[2]Districts_Boroughs!DM231</f>
        <v>13</v>
      </c>
      <c r="AJ249" s="34">
        <f>[2]Districts_Boroughs!DN231</f>
        <v>10</v>
      </c>
      <c r="AK249" s="34">
        <f>[2]Districts_Boroughs!DO231</f>
        <v>15</v>
      </c>
      <c r="AL249" s="34">
        <f>[2]Districts_Boroughs!DP231</f>
        <v>15</v>
      </c>
      <c r="AM249" s="34">
        <f>[2]Districts_Boroughs!DQ231</f>
        <v>22</v>
      </c>
      <c r="AN249" s="34">
        <f>[2]Districts_Boroughs!DR231</f>
        <v>18</v>
      </c>
      <c r="AO249" s="34">
        <f>[2]Districts_Boroughs!DS231</f>
        <v>12</v>
      </c>
      <c r="AP249" s="34">
        <f>[2]Districts_Boroughs!DT231</f>
        <v>19</v>
      </c>
      <c r="AQ249" s="34">
        <f>[2]Districts_Boroughs!DU231</f>
        <v>11</v>
      </c>
      <c r="AR249" s="34">
        <f>[2]Districts_Boroughs!DV231</f>
        <v>16</v>
      </c>
      <c r="AS249" s="34">
        <f>[2]Districts_Boroughs!DW231</f>
        <v>16</v>
      </c>
      <c r="AT249" s="34">
        <f>[2]Districts_Boroughs!DX231</f>
        <v>16</v>
      </c>
      <c r="AU249" s="34">
        <f>[2]Districts_Boroughs!DY231</f>
        <v>13</v>
      </c>
      <c r="AV249" s="34">
        <f>[2]Districts_Boroughs!DZ231</f>
        <v>20</v>
      </c>
      <c r="AW249" s="34">
        <f>[2]Districts_Boroughs!EA231</f>
        <v>19</v>
      </c>
      <c r="AX249" s="34">
        <f>[2]Districts_Boroughs!EB231</f>
        <v>14</v>
      </c>
      <c r="AY249" s="34">
        <f>[2]Districts_Boroughs!EC231</f>
        <v>15</v>
      </c>
    </row>
    <row r="250" spans="2:51" x14ac:dyDescent="0.35">
      <c r="B250" t="str">
        <f t="shared" si="12"/>
        <v>WarwickTotal Vehicle Crime</v>
      </c>
      <c r="C250" s="387" t="s">
        <v>50</v>
      </c>
      <c r="D250" s="34">
        <f>[2]Districts_Boroughs!CH232</f>
        <v>56</v>
      </c>
      <c r="E250" s="34">
        <f>[2]Districts_Boroughs!CI232</f>
        <v>60</v>
      </c>
      <c r="F250" s="34">
        <f>[2]Districts_Boroughs!CJ232</f>
        <v>60</v>
      </c>
      <c r="G250" s="34">
        <f>[2]Districts_Boroughs!CK232</f>
        <v>99</v>
      </c>
      <c r="H250" s="34">
        <f>[2]Districts_Boroughs!CL232</f>
        <v>83</v>
      </c>
      <c r="I250" s="34">
        <f>[2]Districts_Boroughs!CM232</f>
        <v>71</v>
      </c>
      <c r="J250" s="34">
        <f>[2]Districts_Boroughs!CN232</f>
        <v>53</v>
      </c>
      <c r="K250" s="34">
        <f>[2]Districts_Boroughs!CO232</f>
        <v>128</v>
      </c>
      <c r="L250" s="34">
        <f>[2]Districts_Boroughs!CP232</f>
        <v>70</v>
      </c>
      <c r="M250" s="34">
        <f>[2]Districts_Boroughs!CQ232</f>
        <v>76</v>
      </c>
      <c r="N250" s="34">
        <f>[2]Districts_Boroughs!CR232</f>
        <v>61</v>
      </c>
      <c r="O250" s="34">
        <f>[2]Districts_Boroughs!CS232</f>
        <v>112</v>
      </c>
      <c r="P250" s="34">
        <f>[2]Districts_Boroughs!CT232</f>
        <v>82</v>
      </c>
      <c r="Q250" s="34">
        <f>[2]Districts_Boroughs!CU232</f>
        <v>97</v>
      </c>
      <c r="R250" s="34">
        <f>[2]Districts_Boroughs!CV232</f>
        <v>97</v>
      </c>
      <c r="S250" s="34">
        <f>[2]Districts_Boroughs!CW232</f>
        <v>109</v>
      </c>
      <c r="T250" s="34">
        <f>[2]Districts_Boroughs!CX232</f>
        <v>83</v>
      </c>
      <c r="U250" s="34">
        <f>[2]Districts_Boroughs!CY232</f>
        <v>101</v>
      </c>
      <c r="V250" s="34">
        <f>[2]Districts_Boroughs!CZ232</f>
        <v>121</v>
      </c>
      <c r="W250" s="34">
        <f>[2]Districts_Boroughs!DA232</f>
        <v>85</v>
      </c>
      <c r="X250" s="34">
        <f>[2]Districts_Boroughs!DB232</f>
        <v>61</v>
      </c>
      <c r="Y250" s="34">
        <f>[2]Districts_Boroughs!DC232</f>
        <v>130</v>
      </c>
      <c r="Z250" s="34">
        <f>[2]Districts_Boroughs!DD232</f>
        <v>66</v>
      </c>
      <c r="AA250" s="34">
        <f>[2]Districts_Boroughs!DE232</f>
        <v>62</v>
      </c>
      <c r="AB250" s="34">
        <f>[2]Districts_Boroughs!DF232</f>
        <v>91</v>
      </c>
      <c r="AC250" s="34">
        <f>[2]Districts_Boroughs!DG232</f>
        <v>62</v>
      </c>
      <c r="AD250" s="34">
        <f>[2]Districts_Boroughs!DH232</f>
        <v>76</v>
      </c>
      <c r="AE250" s="34">
        <f>[2]Districts_Boroughs!DI232</f>
        <v>106</v>
      </c>
      <c r="AF250" s="34">
        <f>[2]Districts_Boroughs!DJ232</f>
        <v>74</v>
      </c>
      <c r="AG250" s="34">
        <f>[2]Districts_Boroughs!DK232</f>
        <v>60</v>
      </c>
      <c r="AH250" s="34">
        <f>[2]Districts_Boroughs!DL232</f>
        <v>90</v>
      </c>
      <c r="AI250" s="34">
        <f>[2]Districts_Boroughs!DM232</f>
        <v>85</v>
      </c>
      <c r="AJ250" s="34">
        <f>[2]Districts_Boroughs!DN232</f>
        <v>101</v>
      </c>
      <c r="AK250" s="34">
        <f>[2]Districts_Boroughs!DO232</f>
        <v>73</v>
      </c>
      <c r="AL250" s="34">
        <f>[2]Districts_Boroughs!DP232</f>
        <v>52</v>
      </c>
      <c r="AM250" s="34">
        <f>[2]Districts_Boroughs!DQ232</f>
        <v>58</v>
      </c>
      <c r="AN250" s="34">
        <f>[2]Districts_Boroughs!DR232</f>
        <v>89</v>
      </c>
      <c r="AO250" s="34">
        <f>[2]Districts_Boroughs!DS232</f>
        <v>68</v>
      </c>
      <c r="AP250" s="34">
        <f>[2]Districts_Boroughs!DT232</f>
        <v>75</v>
      </c>
      <c r="AQ250" s="34">
        <f>[2]Districts_Boroughs!DU232</f>
        <v>78</v>
      </c>
      <c r="AR250" s="34">
        <f>[2]Districts_Boroughs!DV232</f>
        <v>78</v>
      </c>
      <c r="AS250" s="34">
        <f>[2]Districts_Boroughs!DW232</f>
        <v>94</v>
      </c>
      <c r="AT250" s="34">
        <f>[2]Districts_Boroughs!DX232</f>
        <v>77</v>
      </c>
      <c r="AU250" s="34">
        <f>[2]Districts_Boroughs!DY232</f>
        <v>43</v>
      </c>
      <c r="AV250" s="34">
        <f>[2]Districts_Boroughs!DZ232</f>
        <v>57</v>
      </c>
      <c r="AW250" s="34">
        <f>[2]Districts_Boroughs!EA232</f>
        <v>79</v>
      </c>
      <c r="AX250" s="34">
        <f>[2]Districts_Boroughs!EB232</f>
        <v>48</v>
      </c>
      <c r="AY250" s="34">
        <f>[2]Districts_Boroughs!EC232</f>
        <v>54</v>
      </c>
    </row>
    <row r="251" spans="2:51" x14ac:dyDescent="0.35">
      <c r="B251" t="str">
        <f t="shared" si="12"/>
        <v>Warwick</v>
      </c>
      <c r="C251" s="387"/>
      <c r="D251" s="34">
        <f>[2]Districts_Boroughs!CH233</f>
        <v>0</v>
      </c>
      <c r="E251" s="34">
        <f>[2]Districts_Boroughs!CI233</f>
        <v>0</v>
      </c>
      <c r="F251" s="34">
        <f>[2]Districts_Boroughs!CJ233</f>
        <v>0</v>
      </c>
      <c r="G251" s="34">
        <f>[2]Districts_Boroughs!CK233</f>
        <v>0</v>
      </c>
      <c r="H251" s="34">
        <f>[2]Districts_Boroughs!CL233</f>
        <v>0</v>
      </c>
      <c r="I251" s="34">
        <f>[2]Districts_Boroughs!CM233</f>
        <v>0</v>
      </c>
      <c r="J251" s="34">
        <f>[2]Districts_Boroughs!CN233</f>
        <v>0</v>
      </c>
      <c r="K251" s="34">
        <f>[2]Districts_Boroughs!CO233</f>
        <v>0</v>
      </c>
      <c r="L251" s="34">
        <f>[2]Districts_Boroughs!CP233</f>
        <v>0</v>
      </c>
      <c r="M251" s="34">
        <f>[2]Districts_Boroughs!CQ233</f>
        <v>0</v>
      </c>
      <c r="N251" s="34">
        <f>[2]Districts_Boroughs!CR233</f>
        <v>0</v>
      </c>
      <c r="O251" s="34">
        <f>[2]Districts_Boroughs!CS233</f>
        <v>0</v>
      </c>
      <c r="P251" s="34">
        <f>[2]Districts_Boroughs!CT233</f>
        <v>0</v>
      </c>
      <c r="Q251" s="34">
        <f>[2]Districts_Boroughs!CU233</f>
        <v>0</v>
      </c>
      <c r="R251" s="34">
        <f>[2]Districts_Boroughs!CV233</f>
        <v>0</v>
      </c>
      <c r="S251" s="34">
        <f>[2]Districts_Boroughs!CW233</f>
        <v>0</v>
      </c>
      <c r="T251" s="34">
        <f>[2]Districts_Boroughs!CX233</f>
        <v>0</v>
      </c>
      <c r="U251" s="34">
        <f>[2]Districts_Boroughs!CY233</f>
        <v>0</v>
      </c>
      <c r="V251" s="34">
        <f>[2]Districts_Boroughs!CZ233</f>
        <v>0</v>
      </c>
      <c r="W251" s="34">
        <f>[2]Districts_Boroughs!DA233</f>
        <v>0</v>
      </c>
      <c r="X251" s="34">
        <f>[2]Districts_Boroughs!DB233</f>
        <v>0</v>
      </c>
      <c r="Y251" s="34">
        <f>[2]Districts_Boroughs!DC233</f>
        <v>0</v>
      </c>
      <c r="Z251" s="34">
        <f>[2]Districts_Boroughs!DD233</f>
        <v>0</v>
      </c>
      <c r="AA251" s="34">
        <f>[2]Districts_Boroughs!DE233</f>
        <v>0</v>
      </c>
      <c r="AB251" s="34">
        <f>[2]Districts_Boroughs!DF233</f>
        <v>0</v>
      </c>
      <c r="AC251" s="34">
        <f>[2]Districts_Boroughs!DG233</f>
        <v>0</v>
      </c>
      <c r="AD251" s="34">
        <f>[2]Districts_Boroughs!DH233</f>
        <v>0</v>
      </c>
      <c r="AE251" s="34">
        <f>[2]Districts_Boroughs!DI233</f>
        <v>0</v>
      </c>
      <c r="AF251" s="34">
        <f>[2]Districts_Boroughs!DJ233</f>
        <v>0</v>
      </c>
      <c r="AG251" s="34">
        <f>[2]Districts_Boroughs!DK233</f>
        <v>0</v>
      </c>
      <c r="AH251" s="34">
        <f>[2]Districts_Boroughs!DL233</f>
        <v>0</v>
      </c>
      <c r="AI251" s="34">
        <f>[2]Districts_Boroughs!DM233</f>
        <v>0</v>
      </c>
      <c r="AJ251" s="34">
        <f>[2]Districts_Boroughs!DN233</f>
        <v>0</v>
      </c>
      <c r="AK251" s="34">
        <f>[2]Districts_Boroughs!DO233</f>
        <v>0</v>
      </c>
      <c r="AL251" s="34">
        <f>[2]Districts_Boroughs!DP233</f>
        <v>0</v>
      </c>
      <c r="AM251" s="34">
        <f>[2]Districts_Boroughs!DQ233</f>
        <v>0</v>
      </c>
      <c r="AN251" s="34">
        <f>[2]Districts_Boroughs!DR233</f>
        <v>0</v>
      </c>
      <c r="AO251" s="34">
        <f>[2]Districts_Boroughs!DS233</f>
        <v>0</v>
      </c>
      <c r="AP251" s="34">
        <f>[2]Districts_Boroughs!DT233</f>
        <v>0</v>
      </c>
      <c r="AQ251" s="34">
        <f>[2]Districts_Boroughs!DU233</f>
        <v>0</v>
      </c>
      <c r="AR251" s="34">
        <f>[2]Districts_Boroughs!DV233</f>
        <v>0</v>
      </c>
      <c r="AS251" s="34">
        <f>[2]Districts_Boroughs!DW233</f>
        <v>0</v>
      </c>
      <c r="AT251" s="34">
        <f>[2]Districts_Boroughs!DX233</f>
        <v>0</v>
      </c>
      <c r="AU251" s="34">
        <f>[2]Districts_Boroughs!DY233</f>
        <v>0</v>
      </c>
      <c r="AV251" s="34">
        <f>[2]Districts_Boroughs!DZ233</f>
        <v>0</v>
      </c>
      <c r="AW251" s="34">
        <f>[2]Districts_Boroughs!EA233</f>
        <v>0</v>
      </c>
      <c r="AX251" s="34">
        <f>[2]Districts_Boroughs!EB233</f>
        <v>0</v>
      </c>
      <c r="AY251" s="34">
        <f>[2]Districts_Boroughs!EC233</f>
        <v>0</v>
      </c>
    </row>
    <row r="252" spans="2:51" x14ac:dyDescent="0.35">
      <c r="B252" t="str">
        <f t="shared" si="12"/>
        <v>WarwickHate Offences &amp; Crimed Incidents</v>
      </c>
      <c r="C252" s="387" t="s">
        <v>51</v>
      </c>
      <c r="D252" s="34">
        <f>[2]Districts_Boroughs!CH234</f>
        <v>25</v>
      </c>
      <c r="E252" s="34">
        <f>[2]Districts_Boroughs!CI234</f>
        <v>22</v>
      </c>
      <c r="F252" s="34">
        <f>[2]Districts_Boroughs!CJ234</f>
        <v>28</v>
      </c>
      <c r="G252" s="34">
        <f>[2]Districts_Boroughs!CK234</f>
        <v>25</v>
      </c>
      <c r="H252" s="34">
        <f>[2]Districts_Boroughs!CL234</f>
        <v>32</v>
      </c>
      <c r="I252" s="34">
        <f>[2]Districts_Boroughs!CM234</f>
        <v>34</v>
      </c>
      <c r="J252" s="34">
        <f>[2]Districts_Boroughs!CN234</f>
        <v>27</v>
      </c>
      <c r="K252" s="34">
        <f>[2]Districts_Boroughs!CO234</f>
        <v>24</v>
      </c>
      <c r="L252" s="34">
        <f>[2]Districts_Boroughs!CP234</f>
        <v>23</v>
      </c>
      <c r="M252" s="34">
        <f>[2]Districts_Boroughs!CQ234</f>
        <v>21</v>
      </c>
      <c r="N252" s="34">
        <f>[2]Districts_Boroughs!CR234</f>
        <v>19</v>
      </c>
      <c r="O252" s="34">
        <f>[2]Districts_Boroughs!CS234</f>
        <v>21</v>
      </c>
      <c r="P252" s="34">
        <f>[2]Districts_Boroughs!CT234</f>
        <v>27</v>
      </c>
      <c r="Q252" s="34">
        <f>[2]Districts_Boroughs!CU234</f>
        <v>37</v>
      </c>
      <c r="R252" s="34">
        <f>[2]Districts_Boroughs!CV234</f>
        <v>35</v>
      </c>
      <c r="S252" s="34">
        <f>[2]Districts_Boroughs!CW234</f>
        <v>28</v>
      </c>
      <c r="T252" s="34">
        <f>[2]Districts_Boroughs!CX234</f>
        <v>27</v>
      </c>
      <c r="U252" s="34">
        <f>[2]Districts_Boroughs!CY234</f>
        <v>24</v>
      </c>
      <c r="V252" s="34">
        <f>[2]Districts_Boroughs!CZ234</f>
        <v>25</v>
      </c>
      <c r="W252" s="34">
        <f>[2]Districts_Boroughs!DA234</f>
        <v>23</v>
      </c>
      <c r="X252" s="34">
        <f>[2]Districts_Boroughs!DB234</f>
        <v>17</v>
      </c>
      <c r="Y252" s="34">
        <f>[2]Districts_Boroughs!DC234</f>
        <v>22</v>
      </c>
      <c r="Z252" s="34">
        <f>[2]Districts_Boroughs!DD234</f>
        <v>23</v>
      </c>
      <c r="AA252" s="34">
        <f>[2]Districts_Boroughs!DE234</f>
        <v>24</v>
      </c>
      <c r="AB252" s="34">
        <f>[2]Districts_Boroughs!DF234</f>
        <v>24</v>
      </c>
      <c r="AC252" s="34">
        <f>[2]Districts_Boroughs!DG234</f>
        <v>23</v>
      </c>
      <c r="AD252" s="34">
        <f>[2]Districts_Boroughs!DH234</f>
        <v>28</v>
      </c>
      <c r="AE252" s="34">
        <f>[2]Districts_Boroughs!DI234</f>
        <v>24</v>
      </c>
      <c r="AF252" s="34">
        <f>[2]Districts_Boroughs!DJ234</f>
        <v>20</v>
      </c>
      <c r="AG252" s="34">
        <f>[2]Districts_Boroughs!DK234</f>
        <v>29</v>
      </c>
      <c r="AH252" s="34">
        <f>[2]Districts_Boroughs!DL234</f>
        <v>7</v>
      </c>
      <c r="AI252" s="34">
        <f>[2]Districts_Boroughs!DM234</f>
        <v>22</v>
      </c>
      <c r="AJ252" s="34">
        <f>[2]Districts_Boroughs!DN234</f>
        <v>21</v>
      </c>
      <c r="AK252" s="34">
        <f>[2]Districts_Boroughs!DO234</f>
        <v>15</v>
      </c>
      <c r="AL252" s="34">
        <f>[2]Districts_Boroughs!DP234</f>
        <v>25</v>
      </c>
      <c r="AM252" s="34">
        <f>[2]Districts_Boroughs!DQ234</f>
        <v>15</v>
      </c>
      <c r="AN252" s="34">
        <f>[2]Districts_Boroughs!DR234</f>
        <v>18</v>
      </c>
      <c r="AO252" s="34">
        <f>[2]Districts_Boroughs!DS234</f>
        <v>20</v>
      </c>
      <c r="AP252" s="34">
        <f>[2]Districts_Boroughs!DT234</f>
        <v>14</v>
      </c>
      <c r="AQ252" s="34">
        <f>[2]Districts_Boroughs!DU234</f>
        <v>33</v>
      </c>
      <c r="AR252" s="34">
        <f>[2]Districts_Boroughs!DV234</f>
        <v>39</v>
      </c>
      <c r="AS252" s="34">
        <f>[2]Districts_Boroughs!DW234</f>
        <v>17</v>
      </c>
      <c r="AT252" s="34">
        <f>[2]Districts_Boroughs!DX234</f>
        <v>14</v>
      </c>
      <c r="AU252" s="34">
        <f>[2]Districts_Boroughs!DY234</f>
        <v>16</v>
      </c>
      <c r="AV252" s="34">
        <f>[2]Districts_Boroughs!DZ234</f>
        <v>24</v>
      </c>
      <c r="AW252" s="34">
        <f>[2]Districts_Boroughs!EA234</f>
        <v>18</v>
      </c>
      <c r="AX252" s="34">
        <f>[2]Districts_Boroughs!EB234</f>
        <v>21</v>
      </c>
      <c r="AY252" s="34">
        <f>[2]Districts_Boroughs!EC234</f>
        <v>15</v>
      </c>
    </row>
    <row r="253" spans="2:51" s="64" customFormat="1" x14ac:dyDescent="0.35">
      <c r="B253" s="64" t="str">
        <f t="shared" si="12"/>
        <v>WarwickDA Offences &amp; Crimed Incidents</v>
      </c>
      <c r="C253" s="387" t="s">
        <v>200</v>
      </c>
      <c r="D253" s="34">
        <f>[2]Districts_Boroughs!CH235</f>
        <v>175</v>
      </c>
      <c r="E253" s="34">
        <f>[2]Districts_Boroughs!CI235</f>
        <v>231</v>
      </c>
      <c r="F253" s="34">
        <f>[2]Districts_Boroughs!CJ235</f>
        <v>278</v>
      </c>
      <c r="G253" s="34">
        <f>[2]Districts_Boroughs!CK235</f>
        <v>241</v>
      </c>
      <c r="H253" s="34">
        <f>[2]Districts_Boroughs!CL235</f>
        <v>277</v>
      </c>
      <c r="I253" s="34">
        <f>[2]Districts_Boroughs!CM235</f>
        <v>230</v>
      </c>
      <c r="J253" s="34">
        <f>[2]Districts_Boroughs!CN235</f>
        <v>233</v>
      </c>
      <c r="K253" s="34">
        <f>[2]Districts_Boroughs!CO235</f>
        <v>188</v>
      </c>
      <c r="L253" s="34">
        <f>[2]Districts_Boroughs!CP235</f>
        <v>186</v>
      </c>
      <c r="M253" s="34">
        <f>[2]Districts_Boroughs!CQ235</f>
        <v>203</v>
      </c>
      <c r="N253" s="34">
        <f>[2]Districts_Boroughs!CR235</f>
        <v>193</v>
      </c>
      <c r="O253" s="34">
        <f>[2]Districts_Boroughs!CS235</f>
        <v>222</v>
      </c>
      <c r="P253" s="34">
        <f>[2]Districts_Boroughs!CT235</f>
        <v>252</v>
      </c>
      <c r="Q253" s="34">
        <f>[2]Districts_Boroughs!CU235</f>
        <v>239</v>
      </c>
      <c r="R253" s="34">
        <f>[2]Districts_Boroughs!CV235</f>
        <v>230</v>
      </c>
      <c r="S253" s="34">
        <f>[2]Districts_Boroughs!CW235</f>
        <v>230</v>
      </c>
      <c r="T253" s="34">
        <f>[2]Districts_Boroughs!CX235</f>
        <v>220</v>
      </c>
      <c r="U253" s="34">
        <f>[2]Districts_Boroughs!CY235</f>
        <v>208</v>
      </c>
      <c r="V253" s="34">
        <f>[2]Districts_Boroughs!CZ235</f>
        <v>205</v>
      </c>
      <c r="W253" s="34">
        <f>[2]Districts_Boroughs!DA235</f>
        <v>171</v>
      </c>
      <c r="X253" s="34">
        <f>[2]Districts_Boroughs!DB235</f>
        <v>192</v>
      </c>
      <c r="Y253" s="34">
        <f>[2]Districts_Boroughs!DC235</f>
        <v>206</v>
      </c>
      <c r="Z253" s="34">
        <f>[2]Districts_Boroughs!DD235</f>
        <v>176</v>
      </c>
      <c r="AA253" s="34">
        <f>[2]Districts_Boroughs!DE235</f>
        <v>176</v>
      </c>
      <c r="AB253" s="34">
        <f>[2]Districts_Boroughs!DF235</f>
        <v>199</v>
      </c>
      <c r="AC253" s="34">
        <f>[2]Districts_Boroughs!DG235</f>
        <v>185</v>
      </c>
      <c r="AD253" s="34">
        <f>[2]Districts_Boroughs!DH235</f>
        <v>192</v>
      </c>
      <c r="AE253" s="34">
        <f>[2]Districts_Boroughs!DI235</f>
        <v>184</v>
      </c>
      <c r="AF253" s="34">
        <f>[2]Districts_Boroughs!DJ235</f>
        <v>179</v>
      </c>
      <c r="AG253" s="34">
        <f>[2]Districts_Boroughs!DK235</f>
        <v>148</v>
      </c>
      <c r="AH253" s="34">
        <f>[2]Districts_Boroughs!DL235</f>
        <v>168</v>
      </c>
      <c r="AI253" s="34">
        <f>[2]Districts_Boroughs!DM235</f>
        <v>159</v>
      </c>
      <c r="AJ253" s="34">
        <f>[2]Districts_Boroughs!DN235</f>
        <v>168</v>
      </c>
      <c r="AK253" s="34">
        <f>[2]Districts_Boroughs!DO235</f>
        <v>154</v>
      </c>
      <c r="AL253" s="34">
        <f>[2]Districts_Boroughs!DP235</f>
        <v>167</v>
      </c>
      <c r="AM253" s="34">
        <f>[2]Districts_Boroughs!DQ235</f>
        <v>183</v>
      </c>
      <c r="AN253" s="34">
        <f>[2]Districts_Boroughs!DR235</f>
        <v>177</v>
      </c>
      <c r="AO253" s="34">
        <f>[2]Districts_Boroughs!DS235</f>
        <v>170</v>
      </c>
      <c r="AP253" s="34">
        <f>[2]Districts_Boroughs!DT235</f>
        <v>175</v>
      </c>
      <c r="AQ253" s="34">
        <f>[2]Districts_Boroughs!DU235</f>
        <v>202</v>
      </c>
      <c r="AR253" s="34">
        <f>[2]Districts_Boroughs!DV235</f>
        <v>203</v>
      </c>
      <c r="AS253" s="34">
        <f>[2]Districts_Boroughs!DW235</f>
        <v>166</v>
      </c>
      <c r="AT253" s="34">
        <f>[2]Districts_Boroughs!DX235</f>
        <v>200</v>
      </c>
      <c r="AU253" s="34">
        <f>[2]Districts_Boroughs!DY235</f>
        <v>153</v>
      </c>
      <c r="AV253" s="34">
        <f>[2]Districts_Boroughs!DZ235</f>
        <v>177</v>
      </c>
      <c r="AW253" s="34">
        <f>[2]Districts_Boroughs!EA235</f>
        <v>195</v>
      </c>
      <c r="AX253" s="34">
        <f>[2]Districts_Boroughs!EB235</f>
        <v>174</v>
      </c>
      <c r="AY253" s="34">
        <f>[2]Districts_Boroughs!EC235</f>
        <v>192</v>
      </c>
    </row>
    <row r="254" spans="2:51" s="64" customFormat="1" x14ac:dyDescent="0.35">
      <c r="B254" s="64" t="str">
        <f t="shared" si="12"/>
        <v>WarwickVulnerable adult offences and crimed incidents</v>
      </c>
      <c r="C254" s="387" t="s">
        <v>201</v>
      </c>
      <c r="D254" s="34">
        <f>[2]Districts_Boroughs!CH236</f>
        <v>146</v>
      </c>
      <c r="E254" s="34">
        <f>[2]Districts_Boroughs!CI236</f>
        <v>142</v>
      </c>
      <c r="F254" s="34">
        <f>[2]Districts_Boroughs!CJ236</f>
        <v>128</v>
      </c>
      <c r="G254" s="34">
        <f>[2]Districts_Boroughs!CK236</f>
        <v>154</v>
      </c>
      <c r="H254" s="34">
        <f>[2]Districts_Boroughs!CL236</f>
        <v>110</v>
      </c>
      <c r="I254" s="34">
        <f>[2]Districts_Boroughs!CM236</f>
        <v>128</v>
      </c>
      <c r="J254" s="34">
        <f>[2]Districts_Boroughs!CN236</f>
        <v>144</v>
      </c>
      <c r="K254" s="34">
        <f>[2]Districts_Boroughs!CO236</f>
        <v>133</v>
      </c>
      <c r="L254" s="34">
        <f>[2]Districts_Boroughs!CP236</f>
        <v>125</v>
      </c>
      <c r="M254" s="34">
        <f>[2]Districts_Boroughs!CQ236</f>
        <v>100</v>
      </c>
      <c r="N254" s="34">
        <f>[2]Districts_Boroughs!CR236</f>
        <v>100</v>
      </c>
      <c r="O254" s="34">
        <f>[2]Districts_Boroughs!CS236</f>
        <v>139</v>
      </c>
      <c r="P254" s="34">
        <f>[2]Districts_Boroughs!CT236</f>
        <v>132</v>
      </c>
      <c r="Q254" s="34">
        <f>[2]Districts_Boroughs!CU236</f>
        <v>140</v>
      </c>
      <c r="R254" s="34">
        <f>[2]Districts_Boroughs!CV236</f>
        <v>173</v>
      </c>
      <c r="S254" s="34">
        <f>[2]Districts_Boroughs!CW236</f>
        <v>140</v>
      </c>
      <c r="T254" s="34">
        <f>[2]Districts_Boroughs!CX236</f>
        <v>174</v>
      </c>
      <c r="U254" s="34">
        <f>[2]Districts_Boroughs!CY236</f>
        <v>159</v>
      </c>
      <c r="V254" s="34">
        <f>[2]Districts_Boroughs!CZ236</f>
        <v>140</v>
      </c>
      <c r="W254" s="34">
        <f>[2]Districts_Boroughs!DA236</f>
        <v>134</v>
      </c>
      <c r="X254" s="34">
        <f>[2]Districts_Boroughs!DB236</f>
        <v>136</v>
      </c>
      <c r="Y254" s="34">
        <f>[2]Districts_Boroughs!DC236</f>
        <v>136</v>
      </c>
      <c r="Z254" s="34">
        <f>[2]Districts_Boroughs!DD236</f>
        <v>128</v>
      </c>
      <c r="AA254" s="34">
        <f>[2]Districts_Boroughs!DE236</f>
        <v>135</v>
      </c>
      <c r="AB254" s="34">
        <f>[2]Districts_Boroughs!DF236</f>
        <v>141</v>
      </c>
      <c r="AC254" s="34">
        <f>[2]Districts_Boroughs!DG236</f>
        <v>121</v>
      </c>
      <c r="AD254" s="34">
        <f>[2]Districts_Boroughs!DH236</f>
        <v>141</v>
      </c>
      <c r="AE254" s="34">
        <f>[2]Districts_Boroughs!DI236</f>
        <v>136</v>
      </c>
      <c r="AF254" s="34">
        <f>[2]Districts_Boroughs!DJ236</f>
        <v>116</v>
      </c>
      <c r="AG254" s="34">
        <f>[2]Districts_Boroughs!DK236</f>
        <v>110</v>
      </c>
      <c r="AH254" s="34">
        <f>[2]Districts_Boroughs!DL236</f>
        <v>106</v>
      </c>
      <c r="AI254" s="34">
        <f>[2]Districts_Boroughs!DM236</f>
        <v>111</v>
      </c>
      <c r="AJ254" s="34">
        <f>[2]Districts_Boroughs!DN236</f>
        <v>139</v>
      </c>
      <c r="AK254" s="34">
        <f>[2]Districts_Boroughs!DO236</f>
        <v>86</v>
      </c>
      <c r="AL254" s="34">
        <f>[2]Districts_Boroughs!DP236</f>
        <v>103</v>
      </c>
      <c r="AM254" s="34">
        <f>[2]Districts_Boroughs!DQ236</f>
        <v>85</v>
      </c>
      <c r="AN254" s="34">
        <f>[2]Districts_Boroughs!DR236</f>
        <v>100</v>
      </c>
      <c r="AO254" s="34">
        <f>[2]Districts_Boroughs!DS236</f>
        <v>106</v>
      </c>
      <c r="AP254" s="34">
        <f>[2]Districts_Boroughs!DT236</f>
        <v>117</v>
      </c>
      <c r="AQ254" s="34">
        <f>[2]Districts_Boroughs!DU236</f>
        <v>126</v>
      </c>
      <c r="AR254" s="34">
        <f>[2]Districts_Boroughs!DV236</f>
        <v>111</v>
      </c>
      <c r="AS254" s="34">
        <f>[2]Districts_Boroughs!DW236</f>
        <v>101</v>
      </c>
      <c r="AT254" s="34">
        <f>[2]Districts_Boroughs!DX236</f>
        <v>124</v>
      </c>
      <c r="AU254" s="34">
        <f>[2]Districts_Boroughs!DY236</f>
        <v>127</v>
      </c>
      <c r="AV254" s="34">
        <f>[2]Districts_Boroughs!DZ236</f>
        <v>124</v>
      </c>
      <c r="AW254" s="34">
        <f>[2]Districts_Boroughs!EA236</f>
        <v>119</v>
      </c>
      <c r="AX254" s="34">
        <f>[2]Districts_Boroughs!EB236</f>
        <v>131</v>
      </c>
      <c r="AY254" s="34">
        <f>[2]Districts_Boroughs!EC236</f>
        <v>145</v>
      </c>
    </row>
    <row r="255" spans="2:51" s="64" customFormat="1" x14ac:dyDescent="0.35">
      <c r="B255" s="64" t="str">
        <f t="shared" si="12"/>
        <v>WarwickCSE offences and crimed incidents</v>
      </c>
      <c r="C255" s="387" t="s">
        <v>202</v>
      </c>
      <c r="D255" s="34">
        <f>[2]Districts_Boroughs!CH237</f>
        <v>1</v>
      </c>
      <c r="E255" s="34">
        <f>[2]Districts_Boroughs!CI237</f>
        <v>2</v>
      </c>
      <c r="F255" s="34">
        <f>[2]Districts_Boroughs!CJ237</f>
        <v>1</v>
      </c>
      <c r="G255" s="34">
        <f>[2]Districts_Boroughs!CK237</f>
        <v>0</v>
      </c>
      <c r="H255" s="34">
        <f>[2]Districts_Boroughs!CL237</f>
        <v>0</v>
      </c>
      <c r="I255" s="34">
        <f>[2]Districts_Boroughs!CM237</f>
        <v>2</v>
      </c>
      <c r="J255" s="34">
        <f>[2]Districts_Boroughs!CN237</f>
        <v>1</v>
      </c>
      <c r="K255" s="34">
        <f>[2]Districts_Boroughs!CO237</f>
        <v>2</v>
      </c>
      <c r="L255" s="34">
        <f>[2]Districts_Boroughs!CP237</f>
        <v>1</v>
      </c>
      <c r="M255" s="34">
        <f>[2]Districts_Boroughs!CQ237</f>
        <v>4</v>
      </c>
      <c r="N255" s="34">
        <f>[2]Districts_Boroughs!CR237</f>
        <v>0</v>
      </c>
      <c r="O255" s="34">
        <f>[2]Districts_Boroughs!CS237</f>
        <v>0</v>
      </c>
      <c r="P255" s="34">
        <f>[2]Districts_Boroughs!CT237</f>
        <v>3</v>
      </c>
      <c r="Q255" s="34">
        <f>[2]Districts_Boroughs!CU237</f>
        <v>3</v>
      </c>
      <c r="R255" s="34">
        <f>[2]Districts_Boroughs!CV237</f>
        <v>4</v>
      </c>
      <c r="S255" s="34">
        <f>[2]Districts_Boroughs!CW237</f>
        <v>6</v>
      </c>
      <c r="T255" s="34">
        <f>[2]Districts_Boroughs!CX237</f>
        <v>4</v>
      </c>
      <c r="U255" s="34">
        <f>[2]Districts_Boroughs!CY237</f>
        <v>9</v>
      </c>
      <c r="V255" s="34">
        <f>[2]Districts_Boroughs!CZ237</f>
        <v>1</v>
      </c>
      <c r="W255" s="34">
        <f>[2]Districts_Boroughs!DA237</f>
        <v>10</v>
      </c>
      <c r="X255" s="34">
        <f>[2]Districts_Boroughs!DB237</f>
        <v>5</v>
      </c>
      <c r="Y255" s="34">
        <f>[2]Districts_Boroughs!DC237</f>
        <v>10</v>
      </c>
      <c r="Z255" s="34">
        <f>[2]Districts_Boroughs!DD237</f>
        <v>6</v>
      </c>
      <c r="AA255" s="34">
        <f>[2]Districts_Boroughs!DE237</f>
        <v>2</v>
      </c>
      <c r="AB255" s="34">
        <f>[2]Districts_Boroughs!DF237</f>
        <v>1</v>
      </c>
      <c r="AC255" s="34">
        <f>[2]Districts_Boroughs!DG237</f>
        <v>0</v>
      </c>
      <c r="AD255" s="34">
        <f>[2]Districts_Boroughs!DH237</f>
        <v>2</v>
      </c>
      <c r="AE255" s="34">
        <f>[2]Districts_Boroughs!DI237</f>
        <v>1</v>
      </c>
      <c r="AF255" s="34">
        <f>[2]Districts_Boroughs!DJ237</f>
        <v>2</v>
      </c>
      <c r="AG255" s="34">
        <f>[2]Districts_Boroughs!DK237</f>
        <v>1</v>
      </c>
      <c r="AH255" s="34">
        <f>[2]Districts_Boroughs!DL237</f>
        <v>5</v>
      </c>
      <c r="AI255" s="34">
        <f>[2]Districts_Boroughs!DM237</f>
        <v>3</v>
      </c>
      <c r="AJ255" s="34">
        <f>[2]Districts_Boroughs!DN237</f>
        <v>4</v>
      </c>
      <c r="AK255" s="34">
        <f>[2]Districts_Boroughs!DO237</f>
        <v>10</v>
      </c>
      <c r="AL255" s="34">
        <f>[2]Districts_Boroughs!DP237</f>
        <v>4</v>
      </c>
      <c r="AM255" s="34">
        <f>[2]Districts_Boroughs!DQ237</f>
        <v>2</v>
      </c>
      <c r="AN255" s="34">
        <f>[2]Districts_Boroughs!DR237</f>
        <v>8</v>
      </c>
      <c r="AO255" s="34">
        <f>[2]Districts_Boroughs!DS237</f>
        <v>4</v>
      </c>
      <c r="AP255" s="34">
        <f>[2]Districts_Boroughs!DT237</f>
        <v>1</v>
      </c>
      <c r="AQ255" s="34">
        <f>[2]Districts_Boroughs!DU237</f>
        <v>6</v>
      </c>
      <c r="AR255" s="34">
        <f>[2]Districts_Boroughs!DV237</f>
        <v>3</v>
      </c>
      <c r="AS255" s="34">
        <f>[2]Districts_Boroughs!DW237</f>
        <v>2</v>
      </c>
      <c r="AT255" s="34">
        <f>[2]Districts_Boroughs!DX237</f>
        <v>3</v>
      </c>
      <c r="AU255" s="34">
        <f>[2]Districts_Boroughs!DY237</f>
        <v>4</v>
      </c>
      <c r="AV255" s="34">
        <f>[2]Districts_Boroughs!DZ237</f>
        <v>3</v>
      </c>
      <c r="AW255" s="34">
        <f>[2]Districts_Boroughs!EA237</f>
        <v>1</v>
      </c>
      <c r="AX255" s="34">
        <f>[2]Districts_Boroughs!EB237</f>
        <v>7</v>
      </c>
      <c r="AY255" s="34">
        <f>[2]Districts_Boroughs!EC237</f>
        <v>3</v>
      </c>
    </row>
    <row r="256" spans="2:51" x14ac:dyDescent="0.35">
      <c r="B256" t="str">
        <f t="shared" si="12"/>
        <v>Warwick</v>
      </c>
      <c r="C256" s="387"/>
      <c r="D256" s="34">
        <f>[2]Districts_Boroughs!CH238</f>
        <v>0</v>
      </c>
      <c r="E256" s="34">
        <f>[2]Districts_Boroughs!CI238</f>
        <v>0</v>
      </c>
      <c r="F256" s="34">
        <f>[2]Districts_Boroughs!CJ238</f>
        <v>0</v>
      </c>
      <c r="G256" s="34">
        <f>[2]Districts_Boroughs!CK238</f>
        <v>0</v>
      </c>
      <c r="H256" s="34">
        <f>[2]Districts_Boroughs!CL238</f>
        <v>0</v>
      </c>
      <c r="I256" s="34">
        <f>[2]Districts_Boroughs!CM238</f>
        <v>0</v>
      </c>
      <c r="J256" s="34">
        <f>[2]Districts_Boroughs!CN238</f>
        <v>0</v>
      </c>
      <c r="K256" s="34">
        <f>[2]Districts_Boroughs!CO238</f>
        <v>0</v>
      </c>
      <c r="L256" s="34">
        <f>[2]Districts_Boroughs!CP238</f>
        <v>0</v>
      </c>
      <c r="M256" s="34">
        <f>[2]Districts_Boroughs!CQ238</f>
        <v>0</v>
      </c>
      <c r="N256" s="34">
        <f>[2]Districts_Boroughs!CR238</f>
        <v>0</v>
      </c>
      <c r="O256" s="34">
        <f>[2]Districts_Boroughs!CS238</f>
        <v>0</v>
      </c>
      <c r="P256" s="34">
        <f>[2]Districts_Boroughs!CT238</f>
        <v>0</v>
      </c>
      <c r="Q256" s="34">
        <f>[2]Districts_Boroughs!CU238</f>
        <v>0</v>
      </c>
      <c r="R256" s="34">
        <f>[2]Districts_Boroughs!CV238</f>
        <v>0</v>
      </c>
      <c r="S256" s="34">
        <f>[2]Districts_Boroughs!CW238</f>
        <v>0</v>
      </c>
      <c r="T256" s="34">
        <f>[2]Districts_Boroughs!CX238</f>
        <v>0</v>
      </c>
      <c r="U256" s="34">
        <f>[2]Districts_Boroughs!CY238</f>
        <v>0</v>
      </c>
      <c r="V256" s="34">
        <f>[2]Districts_Boroughs!CZ238</f>
        <v>0</v>
      </c>
      <c r="W256" s="34">
        <f>[2]Districts_Boroughs!DA238</f>
        <v>0</v>
      </c>
      <c r="X256" s="34">
        <f>[2]Districts_Boroughs!DB238</f>
        <v>0</v>
      </c>
      <c r="Y256" s="34">
        <f>[2]Districts_Boroughs!DC238</f>
        <v>0</v>
      </c>
      <c r="Z256" s="34">
        <f>[2]Districts_Boroughs!DD238</f>
        <v>0</v>
      </c>
      <c r="AA256" s="34">
        <f>[2]Districts_Boroughs!DE238</f>
        <v>0</v>
      </c>
      <c r="AB256" s="34">
        <f>[2]Districts_Boroughs!DF238</f>
        <v>0</v>
      </c>
      <c r="AC256" s="34">
        <f>[2]Districts_Boroughs!DG238</f>
        <v>0</v>
      </c>
      <c r="AD256" s="34">
        <f>[2]Districts_Boroughs!DH238</f>
        <v>0</v>
      </c>
      <c r="AE256" s="34">
        <f>[2]Districts_Boroughs!DI238</f>
        <v>0</v>
      </c>
      <c r="AF256" s="34">
        <f>[2]Districts_Boroughs!DJ238</f>
        <v>0</v>
      </c>
      <c r="AG256" s="34">
        <f>[2]Districts_Boroughs!DK238</f>
        <v>0</v>
      </c>
      <c r="AH256" s="34">
        <f>[2]Districts_Boroughs!DL238</f>
        <v>0</v>
      </c>
      <c r="AI256" s="34">
        <f>[2]Districts_Boroughs!DM238</f>
        <v>0</v>
      </c>
      <c r="AJ256" s="34">
        <f>[2]Districts_Boroughs!DN238</f>
        <v>0</v>
      </c>
      <c r="AK256" s="34">
        <f>[2]Districts_Boroughs!DO238</f>
        <v>0</v>
      </c>
      <c r="AL256" s="34">
        <f>[2]Districts_Boroughs!DP238</f>
        <v>0</v>
      </c>
      <c r="AM256" s="34">
        <f>[2]Districts_Boroughs!DQ238</f>
        <v>0</v>
      </c>
      <c r="AN256" s="34">
        <f>[2]Districts_Boroughs!DR238</f>
        <v>0</v>
      </c>
      <c r="AO256" s="34">
        <f>[2]Districts_Boroughs!DS238</f>
        <v>0</v>
      </c>
      <c r="AP256" s="34">
        <f>[2]Districts_Boroughs!DT238</f>
        <v>0</v>
      </c>
      <c r="AQ256" s="34">
        <f>[2]Districts_Boroughs!DU238</f>
        <v>0</v>
      </c>
      <c r="AR256" s="34">
        <f>[2]Districts_Boroughs!DV238</f>
        <v>0</v>
      </c>
      <c r="AS256" s="34">
        <f>[2]Districts_Boroughs!DW238</f>
        <v>0</v>
      </c>
      <c r="AT256" s="34">
        <f>[2]Districts_Boroughs!DX238</f>
        <v>0</v>
      </c>
      <c r="AU256" s="34">
        <f>[2]Districts_Boroughs!DY238</f>
        <v>0</v>
      </c>
      <c r="AV256" s="34">
        <f>[2]Districts_Boroughs!DZ238</f>
        <v>0</v>
      </c>
      <c r="AW256" s="34">
        <f>[2]Districts_Boroughs!EA238</f>
        <v>0</v>
      </c>
      <c r="AX256" s="34">
        <f>[2]Districts_Boroughs!EB238</f>
        <v>0</v>
      </c>
      <c r="AY256" s="34">
        <f>[2]Districts_Boroughs!EC238</f>
        <v>0</v>
      </c>
    </row>
    <row r="257" spans="2:51" x14ac:dyDescent="0.35">
      <c r="B257" t="str">
        <f t="shared" si="12"/>
        <v>WarwickBusiness Crime</v>
      </c>
      <c r="C257" s="387" t="s">
        <v>52</v>
      </c>
      <c r="D257" s="34">
        <f>[2]Districts_Boroughs!CH239</f>
        <v>67</v>
      </c>
      <c r="E257" s="34">
        <f>[2]Districts_Boroughs!CI239</f>
        <v>100</v>
      </c>
      <c r="F257" s="34">
        <f>[2]Districts_Boroughs!CJ239</f>
        <v>117</v>
      </c>
      <c r="G257" s="34">
        <f>[2]Districts_Boroughs!CK239</f>
        <v>120</v>
      </c>
      <c r="H257" s="34">
        <f>[2]Districts_Boroughs!CL239</f>
        <v>118</v>
      </c>
      <c r="I257" s="34">
        <f>[2]Districts_Boroughs!CM239</f>
        <v>95</v>
      </c>
      <c r="J257" s="34">
        <f>[2]Districts_Boroughs!CN239</f>
        <v>93</v>
      </c>
      <c r="K257" s="34">
        <f>[2]Districts_Boroughs!CO239</f>
        <v>90</v>
      </c>
      <c r="L257" s="34">
        <f>[2]Districts_Boroughs!CP239</f>
        <v>70</v>
      </c>
      <c r="M257" s="34">
        <f>[2]Districts_Boroughs!CQ239</f>
        <v>121</v>
      </c>
      <c r="N257" s="34">
        <f>[2]Districts_Boroughs!CR239</f>
        <v>113</v>
      </c>
      <c r="O257" s="34">
        <f>[2]Districts_Boroughs!CS239</f>
        <v>98</v>
      </c>
      <c r="P257" s="34">
        <f>[2]Districts_Boroughs!CT239</f>
        <v>79</v>
      </c>
      <c r="Q257" s="34">
        <f>[2]Districts_Boroughs!CU239</f>
        <v>114</v>
      </c>
      <c r="R257" s="34">
        <f>[2]Districts_Boroughs!CV239</f>
        <v>100</v>
      </c>
      <c r="S257" s="34">
        <f>[2]Districts_Boroughs!CW239</f>
        <v>110</v>
      </c>
      <c r="T257" s="34">
        <f>[2]Districts_Boroughs!CX239</f>
        <v>135</v>
      </c>
      <c r="U257" s="34">
        <f>[2]Districts_Boroughs!CY239</f>
        <v>115</v>
      </c>
      <c r="V257" s="34">
        <f>[2]Districts_Boroughs!CZ239</f>
        <v>162</v>
      </c>
      <c r="W257" s="34">
        <f>[2]Districts_Boroughs!DA239</f>
        <v>121</v>
      </c>
      <c r="X257" s="34">
        <f>[2]Districts_Boroughs!DB239</f>
        <v>108</v>
      </c>
      <c r="Y257" s="34">
        <f>[2]Districts_Boroughs!DC239</f>
        <v>118</v>
      </c>
      <c r="Z257" s="34">
        <f>[2]Districts_Boroughs!DD239</f>
        <v>152</v>
      </c>
      <c r="AA257" s="34">
        <f>[2]Districts_Boroughs!DE239</f>
        <v>134</v>
      </c>
      <c r="AB257" s="34">
        <f>[2]Districts_Boroughs!DF239</f>
        <v>115</v>
      </c>
      <c r="AC257" s="34">
        <f>[2]Districts_Boroughs!DG239</f>
        <v>147</v>
      </c>
      <c r="AD257" s="34">
        <f>[2]Districts_Boroughs!DH239</f>
        <v>122</v>
      </c>
      <c r="AE257" s="34">
        <f>[2]Districts_Boroughs!DI239</f>
        <v>116</v>
      </c>
      <c r="AF257" s="34">
        <f>[2]Districts_Boroughs!DJ239</f>
        <v>109</v>
      </c>
      <c r="AG257" s="34">
        <f>[2]Districts_Boroughs!DK239</f>
        <v>130</v>
      </c>
      <c r="AH257" s="34">
        <f>[2]Districts_Boroughs!DL239</f>
        <v>102</v>
      </c>
      <c r="AI257" s="34">
        <f>[2]Districts_Boroughs!DM239</f>
        <v>116</v>
      </c>
      <c r="AJ257" s="34">
        <f>[2]Districts_Boroughs!DN239</f>
        <v>102</v>
      </c>
      <c r="AK257" s="34">
        <f>[2]Districts_Boroughs!DO239</f>
        <v>159</v>
      </c>
      <c r="AL257" s="34">
        <f>[2]Districts_Boroughs!DP239</f>
        <v>164</v>
      </c>
      <c r="AM257" s="34">
        <f>[2]Districts_Boroughs!DQ239</f>
        <v>168</v>
      </c>
      <c r="AN257" s="34">
        <f>[2]Districts_Boroughs!DR239</f>
        <v>150</v>
      </c>
      <c r="AO257" s="34">
        <f>[2]Districts_Boroughs!DS239</f>
        <v>148</v>
      </c>
      <c r="AP257" s="34">
        <f>[2]Districts_Boroughs!DT239</f>
        <v>137</v>
      </c>
      <c r="AQ257" s="34">
        <f>[2]Districts_Boroughs!DU239</f>
        <v>175</v>
      </c>
      <c r="AR257" s="34">
        <f>[2]Districts_Boroughs!DV239</f>
        <v>146</v>
      </c>
      <c r="AS257" s="34">
        <f>[2]Districts_Boroughs!DW239</f>
        <v>156</v>
      </c>
      <c r="AT257" s="34">
        <f>[2]Districts_Boroughs!DX239</f>
        <v>180</v>
      </c>
      <c r="AU257" s="34">
        <f>[2]Districts_Boroughs!DY239</f>
        <v>124</v>
      </c>
      <c r="AV257" s="34">
        <f>[2]Districts_Boroughs!DZ239</f>
        <v>99</v>
      </c>
      <c r="AW257" s="34">
        <f>[2]Districts_Boroughs!EA239</f>
        <v>105</v>
      </c>
      <c r="AX257" s="34">
        <f>[2]Districts_Boroughs!EB239</f>
        <v>96</v>
      </c>
      <c r="AY257" s="34">
        <f>[2]Districts_Boroughs!EC239</f>
        <v>154</v>
      </c>
    </row>
    <row r="258" spans="2:51" x14ac:dyDescent="0.35">
      <c r="B258" t="str">
        <f t="shared" si="12"/>
        <v>Warwick</v>
      </c>
      <c r="C258" s="382"/>
      <c r="D258" s="34">
        <f>[2]Districts_Boroughs!CH240</f>
        <v>0</v>
      </c>
      <c r="E258" s="34">
        <f>[2]Districts_Boroughs!CI240</f>
        <v>0</v>
      </c>
      <c r="F258" s="34">
        <f>[2]Districts_Boroughs!CJ240</f>
        <v>0</v>
      </c>
      <c r="G258" s="34">
        <f>[2]Districts_Boroughs!CK240</f>
        <v>0</v>
      </c>
      <c r="H258" s="34">
        <f>[2]Districts_Boroughs!CL240</f>
        <v>0</v>
      </c>
      <c r="I258" s="34">
        <f>[2]Districts_Boroughs!CM240</f>
        <v>0</v>
      </c>
      <c r="J258" s="34">
        <f>[2]Districts_Boroughs!CN240</f>
        <v>0</v>
      </c>
      <c r="K258" s="34">
        <f>[2]Districts_Boroughs!CO240</f>
        <v>0</v>
      </c>
      <c r="L258" s="34">
        <f>[2]Districts_Boroughs!CP240</f>
        <v>0</v>
      </c>
      <c r="M258" s="34">
        <f>[2]Districts_Boroughs!CQ240</f>
        <v>0</v>
      </c>
      <c r="N258" s="34">
        <f>[2]Districts_Boroughs!CR240</f>
        <v>0</v>
      </c>
      <c r="O258" s="34">
        <f>[2]Districts_Boroughs!CS240</f>
        <v>0</v>
      </c>
      <c r="P258" s="34">
        <f>[2]Districts_Boroughs!CT240</f>
        <v>0</v>
      </c>
      <c r="Q258" s="34">
        <f>[2]Districts_Boroughs!CU240</f>
        <v>0</v>
      </c>
      <c r="R258" s="34">
        <f>[2]Districts_Boroughs!CV240</f>
        <v>0</v>
      </c>
      <c r="S258" s="34">
        <f>[2]Districts_Boroughs!CW240</f>
        <v>0</v>
      </c>
      <c r="T258" s="34">
        <f>[2]Districts_Boroughs!CX240</f>
        <v>0</v>
      </c>
      <c r="U258" s="34">
        <f>[2]Districts_Boroughs!CY240</f>
        <v>0</v>
      </c>
      <c r="V258" s="34">
        <f>[2]Districts_Boroughs!CZ240</f>
        <v>0</v>
      </c>
      <c r="W258" s="34">
        <f>[2]Districts_Boroughs!DA240</f>
        <v>0</v>
      </c>
      <c r="X258" s="34">
        <f>[2]Districts_Boroughs!DB240</f>
        <v>0</v>
      </c>
      <c r="Y258" s="34">
        <f>[2]Districts_Boroughs!DC240</f>
        <v>0</v>
      </c>
      <c r="Z258" s="34">
        <f>[2]Districts_Boroughs!DD240</f>
        <v>0</v>
      </c>
      <c r="AA258" s="34">
        <f>[2]Districts_Boroughs!DE240</f>
        <v>0</v>
      </c>
      <c r="AB258" s="34">
        <f>[2]Districts_Boroughs!DF240</f>
        <v>0</v>
      </c>
      <c r="AC258" s="34">
        <f>[2]Districts_Boroughs!DG240</f>
        <v>0</v>
      </c>
      <c r="AD258" s="34">
        <f>[2]Districts_Boroughs!DH240</f>
        <v>0</v>
      </c>
      <c r="AE258" s="34">
        <f>[2]Districts_Boroughs!DI240</f>
        <v>0</v>
      </c>
      <c r="AF258" s="34">
        <f>[2]Districts_Boroughs!DJ240</f>
        <v>0</v>
      </c>
      <c r="AG258" s="34">
        <f>[2]Districts_Boroughs!DK240</f>
        <v>0</v>
      </c>
      <c r="AH258" s="34">
        <f>[2]Districts_Boroughs!DL240</f>
        <v>0</v>
      </c>
      <c r="AI258" s="34">
        <f>[2]Districts_Boroughs!DM240</f>
        <v>0</v>
      </c>
      <c r="AJ258" s="34">
        <f>[2]Districts_Boroughs!DN240</f>
        <v>0</v>
      </c>
      <c r="AK258" s="34">
        <f>[2]Districts_Boroughs!DO240</f>
        <v>0</v>
      </c>
      <c r="AL258" s="34">
        <f>[2]Districts_Boroughs!DP240</f>
        <v>0</v>
      </c>
      <c r="AM258" s="34">
        <f>[2]Districts_Boroughs!DQ240</f>
        <v>0</v>
      </c>
      <c r="AN258" s="34">
        <f>[2]Districts_Boroughs!DR240</f>
        <v>0</v>
      </c>
      <c r="AO258" s="34">
        <f>[2]Districts_Boroughs!DS240</f>
        <v>0</v>
      </c>
      <c r="AP258" s="34">
        <f>[2]Districts_Boroughs!DT240</f>
        <v>0</v>
      </c>
      <c r="AQ258" s="34">
        <f>[2]Districts_Boroughs!DU240</f>
        <v>0</v>
      </c>
      <c r="AR258" s="34">
        <f>[2]Districts_Boroughs!DV240</f>
        <v>0</v>
      </c>
      <c r="AS258" s="34">
        <f>[2]Districts_Boroughs!DW240</f>
        <v>0</v>
      </c>
      <c r="AT258" s="34">
        <f>[2]Districts_Boroughs!DX240</f>
        <v>0</v>
      </c>
      <c r="AU258" s="34">
        <f>[2]Districts_Boroughs!DY240</f>
        <v>0</v>
      </c>
      <c r="AV258" s="34">
        <f>[2]Districts_Boroughs!DZ240</f>
        <v>0</v>
      </c>
      <c r="AW258" s="34">
        <f>[2]Districts_Boroughs!EA240</f>
        <v>0</v>
      </c>
      <c r="AX258" s="34">
        <f>[2]Districts_Boroughs!EB240</f>
        <v>0</v>
      </c>
      <c r="AY258" s="34">
        <f>[2]Districts_Boroughs!EC240</f>
        <v>0</v>
      </c>
    </row>
    <row r="259" spans="2:51" x14ac:dyDescent="0.35">
      <c r="B259" t="str">
        <f t="shared" si="12"/>
        <v>WarwickResidential dwelling</v>
      </c>
      <c r="C259" s="387" t="s">
        <v>81</v>
      </c>
      <c r="D259" s="34">
        <f>[2]Districts_Boroughs!CH241</f>
        <v>13</v>
      </c>
      <c r="E259" s="34">
        <f>[2]Districts_Boroughs!CI241</f>
        <v>18</v>
      </c>
      <c r="F259" s="34">
        <f>[2]Districts_Boroughs!CJ241</f>
        <v>28</v>
      </c>
      <c r="G259" s="34">
        <f>[2]Districts_Boroughs!CK241</f>
        <v>11</v>
      </c>
      <c r="H259" s="34">
        <f>[2]Districts_Boroughs!CL241</f>
        <v>22</v>
      </c>
      <c r="I259" s="34">
        <f>[2]Districts_Boroughs!CM241</f>
        <v>25</v>
      </c>
      <c r="J259" s="34">
        <f>[2]Districts_Boroughs!CN241</f>
        <v>32</v>
      </c>
      <c r="K259" s="34">
        <f>[2]Districts_Boroughs!CO241</f>
        <v>23</v>
      </c>
      <c r="L259" s="34">
        <f>[2]Districts_Boroughs!CP241</f>
        <v>18</v>
      </c>
      <c r="M259" s="34">
        <f>[2]Districts_Boroughs!CQ241</f>
        <v>22</v>
      </c>
      <c r="N259" s="34">
        <f>[2]Districts_Boroughs!CR241</f>
        <v>19</v>
      </c>
      <c r="O259" s="34">
        <f>[2]Districts_Boroughs!CS241</f>
        <v>20</v>
      </c>
      <c r="P259" s="34">
        <f>[2]Districts_Boroughs!CT241</f>
        <v>28</v>
      </c>
      <c r="Q259" s="34">
        <f>[2]Districts_Boroughs!CU241</f>
        <v>14</v>
      </c>
      <c r="R259" s="34">
        <f>[2]Districts_Boroughs!CV241</f>
        <v>18</v>
      </c>
      <c r="S259" s="34">
        <f>[2]Districts_Boroughs!CW241</f>
        <v>33</v>
      </c>
      <c r="T259" s="34">
        <f>[2]Districts_Boroughs!CX241</f>
        <v>26</v>
      </c>
      <c r="U259" s="34">
        <f>[2]Districts_Boroughs!CY241</f>
        <v>24</v>
      </c>
      <c r="V259" s="34">
        <f>[2]Districts_Boroughs!CZ241</f>
        <v>31</v>
      </c>
      <c r="W259" s="34">
        <f>[2]Districts_Boroughs!DA241</f>
        <v>26</v>
      </c>
      <c r="X259" s="34">
        <f>[2]Districts_Boroughs!DB241</f>
        <v>17</v>
      </c>
      <c r="Y259" s="34">
        <f>[2]Districts_Boroughs!DC241</f>
        <v>21</v>
      </c>
      <c r="Z259" s="34">
        <f>[2]Districts_Boroughs!DD241</f>
        <v>25</v>
      </c>
      <c r="AA259" s="34">
        <f>[2]Districts_Boroughs!DE241</f>
        <v>21</v>
      </c>
      <c r="AB259" s="34">
        <f>[2]Districts_Boroughs!DF241</f>
        <v>27</v>
      </c>
      <c r="AC259" s="34">
        <f>[2]Districts_Boroughs!DG241</f>
        <v>23</v>
      </c>
      <c r="AD259" s="34">
        <f>[2]Districts_Boroughs!DH241</f>
        <v>22</v>
      </c>
      <c r="AE259" s="34">
        <f>[2]Districts_Boroughs!DI241</f>
        <v>14</v>
      </c>
      <c r="AF259" s="34">
        <f>[2]Districts_Boroughs!DJ241</f>
        <v>15</v>
      </c>
      <c r="AG259" s="34">
        <f>[2]Districts_Boroughs!DK241</f>
        <v>21</v>
      </c>
      <c r="AH259" s="34">
        <f>[2]Districts_Boroughs!DL241</f>
        <v>21</v>
      </c>
      <c r="AI259" s="34">
        <f>[2]Districts_Boroughs!DM241</f>
        <v>19</v>
      </c>
      <c r="AJ259" s="34">
        <f>[2]Districts_Boroughs!DN241</f>
        <v>20</v>
      </c>
      <c r="AK259" s="34">
        <f>[2]Districts_Boroughs!DO241</f>
        <v>25</v>
      </c>
      <c r="AL259" s="34">
        <f>[2]Districts_Boroughs!DP241</f>
        <v>21</v>
      </c>
      <c r="AM259" s="34">
        <f>[2]Districts_Boroughs!DQ241</f>
        <v>20</v>
      </c>
      <c r="AN259" s="34">
        <f>[2]Districts_Boroughs!DR241</f>
        <v>15</v>
      </c>
      <c r="AO259" s="34">
        <f>[2]Districts_Boroughs!DS241</f>
        <v>20</v>
      </c>
      <c r="AP259" s="34">
        <f>[2]Districts_Boroughs!DT241</f>
        <v>19</v>
      </c>
      <c r="AQ259" s="34">
        <f>[2]Districts_Boroughs!DU241</f>
        <v>21</v>
      </c>
      <c r="AR259" s="34">
        <f>[2]Districts_Boroughs!DV241</f>
        <v>17</v>
      </c>
      <c r="AS259" s="34">
        <f>[2]Districts_Boroughs!DW241</f>
        <v>14</v>
      </c>
      <c r="AT259" s="34">
        <f>[2]Districts_Boroughs!DX241</f>
        <v>24</v>
      </c>
      <c r="AU259" s="34">
        <f>[2]Districts_Boroughs!DY241</f>
        <v>23</v>
      </c>
      <c r="AV259" s="34">
        <f>[2]Districts_Boroughs!DZ241</f>
        <v>16</v>
      </c>
      <c r="AW259" s="34">
        <f>[2]Districts_Boroughs!EA241</f>
        <v>18</v>
      </c>
      <c r="AX259" s="34">
        <f>[2]Districts_Boroughs!EB241</f>
        <v>17</v>
      </c>
      <c r="AY259" s="34">
        <f>[2]Districts_Boroughs!EC241</f>
        <v>24</v>
      </c>
    </row>
    <row r="260" spans="2:51" s="36" customFormat="1" x14ac:dyDescent="0.35"/>
    <row r="261" spans="2:51" s="36" customFormat="1" ht="23" x14ac:dyDescent="0.5">
      <c r="C261" s="355" t="s">
        <v>62</v>
      </c>
    </row>
    <row r="262" spans="2:51" s="36" customFormat="1" x14ac:dyDescent="0.35">
      <c r="C262" s="350" t="s">
        <v>56</v>
      </c>
      <c r="D262" s="39">
        <v>44287</v>
      </c>
      <c r="E262" s="39">
        <v>44317</v>
      </c>
      <c r="F262" s="39">
        <v>44348</v>
      </c>
      <c r="G262" s="39">
        <v>44378</v>
      </c>
      <c r="H262" s="39">
        <v>44409</v>
      </c>
      <c r="I262" s="39">
        <v>44440</v>
      </c>
      <c r="J262" s="39">
        <v>44470</v>
      </c>
      <c r="K262" s="39">
        <v>44501</v>
      </c>
      <c r="L262" s="39">
        <v>44531</v>
      </c>
      <c r="M262" s="39">
        <v>44562</v>
      </c>
      <c r="N262" s="39">
        <v>44593</v>
      </c>
      <c r="O262" s="39">
        <v>44621</v>
      </c>
      <c r="P262" s="39">
        <v>44652</v>
      </c>
      <c r="Q262" s="39">
        <v>44682</v>
      </c>
      <c r="R262" s="39">
        <v>44713</v>
      </c>
      <c r="S262" s="39">
        <v>44743</v>
      </c>
      <c r="T262" s="39">
        <v>44774</v>
      </c>
      <c r="U262" s="39">
        <v>44805</v>
      </c>
      <c r="V262" s="39">
        <v>44835</v>
      </c>
      <c r="W262" s="39">
        <v>44866</v>
      </c>
      <c r="X262" s="39">
        <v>44896</v>
      </c>
      <c r="Y262" s="39">
        <v>44927</v>
      </c>
      <c r="Z262" s="39">
        <v>44958</v>
      </c>
      <c r="AA262" s="39">
        <v>44986</v>
      </c>
      <c r="AB262" s="39">
        <v>45017</v>
      </c>
      <c r="AC262" s="39">
        <v>45047</v>
      </c>
      <c r="AD262" s="39">
        <v>45078</v>
      </c>
      <c r="AE262" s="39">
        <v>45108</v>
      </c>
      <c r="AF262" s="39">
        <v>45139</v>
      </c>
      <c r="AG262" s="39">
        <v>45170</v>
      </c>
      <c r="AH262" s="39">
        <v>45200</v>
      </c>
      <c r="AI262" s="39">
        <v>45231</v>
      </c>
      <c r="AJ262" s="39">
        <v>45261</v>
      </c>
      <c r="AK262" s="39">
        <v>45292</v>
      </c>
      <c r="AL262" s="39">
        <v>45323</v>
      </c>
      <c r="AM262" s="39">
        <v>45352</v>
      </c>
      <c r="AN262" s="39">
        <v>45383</v>
      </c>
      <c r="AO262" s="39">
        <v>45413</v>
      </c>
      <c r="AP262" s="39">
        <v>45444</v>
      </c>
      <c r="AQ262" s="39">
        <v>45474</v>
      </c>
      <c r="AR262" s="39">
        <v>45505</v>
      </c>
      <c r="AS262" s="39">
        <v>45536</v>
      </c>
      <c r="AT262" s="39">
        <v>45566</v>
      </c>
      <c r="AU262" s="39">
        <v>45597</v>
      </c>
      <c r="AV262" s="39">
        <v>45627</v>
      </c>
      <c r="AW262" s="39">
        <v>45658</v>
      </c>
      <c r="AX262" s="39">
        <v>45689</v>
      </c>
      <c r="AY262" s="39">
        <v>45717</v>
      </c>
    </row>
    <row r="263" spans="2:51" x14ac:dyDescent="0.35">
      <c r="B263" t="str">
        <f>CONCATENATE($C$261,C263)</f>
        <v>South WarwickshireTotal Recorded Crime</v>
      </c>
      <c r="C263" s="350" t="s">
        <v>33</v>
      </c>
      <c r="D263" s="34">
        <f>[2]Districts_Boroughs!CH252</f>
        <v>1217</v>
      </c>
      <c r="E263" s="34">
        <f>[2]Districts_Boroughs!CI252</f>
        <v>1335</v>
      </c>
      <c r="F263" s="34">
        <f>[2]Districts_Boroughs!CJ252</f>
        <v>1481</v>
      </c>
      <c r="G263" s="34">
        <f>[2]Districts_Boroughs!CK252</f>
        <v>1520</v>
      </c>
      <c r="H263" s="34">
        <f>[2]Districts_Boroughs!CL252</f>
        <v>1510</v>
      </c>
      <c r="I263" s="34">
        <f>[2]Districts_Boroughs!CM252</f>
        <v>1383</v>
      </c>
      <c r="J263" s="34">
        <f>[2]Districts_Boroughs!CN252</f>
        <v>1528</v>
      </c>
      <c r="K263" s="34">
        <f>[2]Districts_Boroughs!CO252</f>
        <v>1479</v>
      </c>
      <c r="L263" s="34">
        <f>[2]Districts_Boroughs!CP252</f>
        <v>1294</v>
      </c>
      <c r="M263" s="34">
        <f>[2]Districts_Boroughs!CQ252</f>
        <v>1396</v>
      </c>
      <c r="N263" s="34">
        <f>[2]Districts_Boroughs!CR252</f>
        <v>1250</v>
      </c>
      <c r="O263" s="34">
        <f>[2]Districts_Boroughs!CS252</f>
        <v>1452</v>
      </c>
      <c r="P263" s="34">
        <f>[2]Districts_Boroughs!CT252</f>
        <v>1350</v>
      </c>
      <c r="Q263" s="34">
        <f>[2]Districts_Boroughs!CU252</f>
        <v>1522</v>
      </c>
      <c r="R263" s="34">
        <f>[2]Districts_Boroughs!CV252</f>
        <v>1477</v>
      </c>
      <c r="S263" s="34">
        <f>[2]Districts_Boroughs!CW252</f>
        <v>1668</v>
      </c>
      <c r="T263" s="34">
        <f>[2]Districts_Boroughs!CX252</f>
        <v>1617</v>
      </c>
      <c r="U263" s="34">
        <f>[2]Districts_Boroughs!CY252</f>
        <v>1546</v>
      </c>
      <c r="V263" s="34">
        <f>[2]Districts_Boroughs!CZ252</f>
        <v>1663</v>
      </c>
      <c r="W263" s="34">
        <f>[2]Districts_Boroughs!DA252</f>
        <v>1473</v>
      </c>
      <c r="X263" s="34">
        <f>[2]Districts_Boroughs!DB252</f>
        <v>1253</v>
      </c>
      <c r="Y263" s="34">
        <f>[2]Districts_Boroughs!DC252</f>
        <v>1522</v>
      </c>
      <c r="Z263" s="34">
        <f>[2]Districts_Boroughs!DD252</f>
        <v>1476</v>
      </c>
      <c r="AA263" s="34">
        <f>[2]Districts_Boroughs!DE252</f>
        <v>1472</v>
      </c>
      <c r="AB263" s="34">
        <f>[2]Districts_Boroughs!DF252</f>
        <v>1433</v>
      </c>
      <c r="AC263" s="34">
        <f>[2]Districts_Boroughs!DG252</f>
        <v>1460</v>
      </c>
      <c r="AD263" s="34">
        <f>[2]Districts_Boroughs!DH252</f>
        <v>1598</v>
      </c>
      <c r="AE263" s="34">
        <f>[2]Districts_Boroughs!DI252</f>
        <v>1473</v>
      </c>
      <c r="AF263" s="34">
        <f>[2]Districts_Boroughs!DJ252</f>
        <v>1375</v>
      </c>
      <c r="AG263" s="34">
        <f>[2]Districts_Boroughs!DK252</f>
        <v>1422</v>
      </c>
      <c r="AH263" s="34">
        <f>[2]Districts_Boroughs!DL252</f>
        <v>1422</v>
      </c>
      <c r="AI263" s="34">
        <f>[2]Districts_Boroughs!DM252</f>
        <v>1345</v>
      </c>
      <c r="AJ263" s="34">
        <f>[2]Districts_Boroughs!DN252</f>
        <v>1349</v>
      </c>
      <c r="AK263" s="34">
        <f>[2]Districts_Boroughs!DO252</f>
        <v>1419</v>
      </c>
      <c r="AL263" s="34">
        <f>[2]Districts_Boroughs!DP252</f>
        <v>1349</v>
      </c>
      <c r="AM263" s="34">
        <f>[2]Districts_Boroughs!DQ252</f>
        <v>1339</v>
      </c>
      <c r="AN263" s="34">
        <f>[2]Districts_Boroughs!DR252</f>
        <v>1379</v>
      </c>
      <c r="AO263" s="34">
        <f>[2]Districts_Boroughs!DS252</f>
        <v>1570</v>
      </c>
      <c r="AP263" s="34">
        <f>[2]Districts_Boroughs!DT252</f>
        <v>1435</v>
      </c>
      <c r="AQ263" s="34">
        <f>[2]Districts_Boroughs!DU252</f>
        <v>1631</v>
      </c>
      <c r="AR263" s="34">
        <f>[2]Districts_Boroughs!DV252</f>
        <v>1412</v>
      </c>
      <c r="AS263" s="34">
        <f>[2]Districts_Boroughs!DW252</f>
        <v>1436</v>
      </c>
      <c r="AT263" s="34">
        <f>[2]Districts_Boroughs!DX252</f>
        <v>1557</v>
      </c>
      <c r="AU263" s="34">
        <f>[2]Districts_Boroughs!DY252</f>
        <v>1304</v>
      </c>
      <c r="AV263" s="34">
        <f>[2]Districts_Boroughs!DZ252</f>
        <v>1253</v>
      </c>
      <c r="AW263" s="34">
        <f>[2]Districts_Boroughs!EA252</f>
        <v>1319</v>
      </c>
      <c r="AX263" s="34">
        <f>[2]Districts_Boroughs!EB252</f>
        <v>1220</v>
      </c>
      <c r="AY263" s="34">
        <f>[2]Districts_Boroughs!EC252</f>
        <v>1446</v>
      </c>
    </row>
    <row r="264" spans="2:51" x14ac:dyDescent="0.35">
      <c r="B264" t="str">
        <f t="shared" ref="B264:B302" si="14">CONCATENATE($C$261,C264)</f>
        <v>South Warwickshire</v>
      </c>
      <c r="C264" s="350"/>
      <c r="D264" s="34">
        <f>[2]Districts_Boroughs!CH253</f>
        <v>0</v>
      </c>
      <c r="E264" s="34">
        <f>[2]Districts_Boroughs!CI253</f>
        <v>0</v>
      </c>
      <c r="F264" s="34">
        <f>[2]Districts_Boroughs!CJ253</f>
        <v>0</v>
      </c>
      <c r="G264" s="34">
        <f>[2]Districts_Boroughs!CK253</f>
        <v>0</v>
      </c>
      <c r="H264" s="34">
        <f>[2]Districts_Boroughs!CL253</f>
        <v>0</v>
      </c>
      <c r="I264" s="34">
        <f>[2]Districts_Boroughs!CM253</f>
        <v>0</v>
      </c>
      <c r="J264" s="34">
        <f>[2]Districts_Boroughs!CN253</f>
        <v>0</v>
      </c>
      <c r="K264" s="34">
        <f>[2]Districts_Boroughs!CO253</f>
        <v>0</v>
      </c>
      <c r="L264" s="34">
        <f>[2]Districts_Boroughs!CP253</f>
        <v>0</v>
      </c>
      <c r="M264" s="34">
        <f>[2]Districts_Boroughs!CQ253</f>
        <v>0</v>
      </c>
      <c r="N264" s="34">
        <f>[2]Districts_Boroughs!CR253</f>
        <v>0</v>
      </c>
      <c r="O264" s="34">
        <f>[2]Districts_Boroughs!CS253</f>
        <v>0</v>
      </c>
      <c r="P264" s="34">
        <f>[2]Districts_Boroughs!CT253</f>
        <v>0</v>
      </c>
      <c r="Q264" s="34">
        <f>[2]Districts_Boroughs!CU253</f>
        <v>0</v>
      </c>
      <c r="R264" s="34">
        <f>[2]Districts_Boroughs!CV253</f>
        <v>0</v>
      </c>
      <c r="S264" s="34">
        <f>[2]Districts_Boroughs!CW253</f>
        <v>0</v>
      </c>
      <c r="T264" s="34">
        <f>[2]Districts_Boroughs!CX253</f>
        <v>0</v>
      </c>
      <c r="U264" s="34">
        <f>[2]Districts_Boroughs!CY253</f>
        <v>0</v>
      </c>
      <c r="V264" s="34">
        <f>[2]Districts_Boroughs!CZ253</f>
        <v>0</v>
      </c>
      <c r="W264" s="34">
        <f>[2]Districts_Boroughs!DA253</f>
        <v>0</v>
      </c>
      <c r="X264" s="34">
        <f>[2]Districts_Boroughs!DB253</f>
        <v>0</v>
      </c>
      <c r="Y264" s="34">
        <f>[2]Districts_Boroughs!DC253</f>
        <v>0</v>
      </c>
      <c r="Z264" s="34">
        <f>[2]Districts_Boroughs!DD253</f>
        <v>0</v>
      </c>
      <c r="AA264" s="34">
        <f>[2]Districts_Boroughs!DE253</f>
        <v>0</v>
      </c>
      <c r="AB264" s="34">
        <f>[2]Districts_Boroughs!DF253</f>
        <v>0</v>
      </c>
      <c r="AC264" s="34">
        <f>[2]Districts_Boroughs!DG253</f>
        <v>0</v>
      </c>
      <c r="AD264" s="34">
        <f>[2]Districts_Boroughs!DH253</f>
        <v>0</v>
      </c>
      <c r="AE264" s="34">
        <f>[2]Districts_Boroughs!DI253</f>
        <v>0</v>
      </c>
      <c r="AF264" s="34">
        <f>[2]Districts_Boroughs!DJ253</f>
        <v>0</v>
      </c>
      <c r="AG264" s="34">
        <f>[2]Districts_Boroughs!DK253</f>
        <v>0</v>
      </c>
      <c r="AH264" s="34">
        <f>[2]Districts_Boroughs!DL253</f>
        <v>0</v>
      </c>
      <c r="AI264" s="34">
        <f>[2]Districts_Boroughs!DM253</f>
        <v>0</v>
      </c>
      <c r="AJ264" s="34">
        <f>[2]Districts_Boroughs!DN253</f>
        <v>0</v>
      </c>
      <c r="AK264" s="34">
        <f>[2]Districts_Boroughs!DO253</f>
        <v>0</v>
      </c>
      <c r="AL264" s="34">
        <f>[2]Districts_Boroughs!DP253</f>
        <v>0</v>
      </c>
      <c r="AM264" s="34">
        <f>[2]Districts_Boroughs!DQ253</f>
        <v>0</v>
      </c>
      <c r="AN264" s="34">
        <f>[2]Districts_Boroughs!DR253</f>
        <v>0</v>
      </c>
      <c r="AO264" s="34">
        <f>[2]Districts_Boroughs!DS253</f>
        <v>0</v>
      </c>
      <c r="AP264" s="34">
        <f>[2]Districts_Boroughs!DT253</f>
        <v>0</v>
      </c>
      <c r="AQ264" s="34">
        <f>[2]Districts_Boroughs!DU253</f>
        <v>0</v>
      </c>
      <c r="AR264" s="34">
        <f>[2]Districts_Boroughs!DV253</f>
        <v>0</v>
      </c>
      <c r="AS264" s="34">
        <f>[2]Districts_Boroughs!DW253</f>
        <v>0</v>
      </c>
      <c r="AT264" s="34">
        <f>[2]Districts_Boroughs!DX253</f>
        <v>0</v>
      </c>
      <c r="AU264" s="34">
        <f>[2]Districts_Boroughs!DY253</f>
        <v>0</v>
      </c>
      <c r="AV264" s="34">
        <f>[2]Districts_Boroughs!DZ253</f>
        <v>0</v>
      </c>
      <c r="AW264" s="34">
        <f>[2]Districts_Boroughs!EA253</f>
        <v>0</v>
      </c>
      <c r="AX264" s="34">
        <f>[2]Districts_Boroughs!EB253</f>
        <v>0</v>
      </c>
      <c r="AY264" s="34">
        <f>[2]Districts_Boroughs!EC253</f>
        <v>0</v>
      </c>
    </row>
    <row r="265" spans="2:51" x14ac:dyDescent="0.35">
      <c r="B265" t="str">
        <f t="shared" ref="B265:B271" si="15">CONCATENATE($C$261,C265)</f>
        <v>South WarwickshireViolence With Injury</v>
      </c>
      <c r="C265" s="350" t="s">
        <v>39</v>
      </c>
      <c r="D265" s="34">
        <f>[2]Districts_Boroughs!CH254</f>
        <v>106</v>
      </c>
      <c r="E265" s="34">
        <f>[2]Districts_Boroughs!CI254</f>
        <v>128</v>
      </c>
      <c r="F265" s="34">
        <f>[2]Districts_Boroughs!CJ254</f>
        <v>170</v>
      </c>
      <c r="G265" s="34">
        <f>[2]Districts_Boroughs!CK254</f>
        <v>168</v>
      </c>
      <c r="H265" s="34">
        <f>[2]Districts_Boroughs!CL254</f>
        <v>180</v>
      </c>
      <c r="I265" s="34">
        <f>[2]Districts_Boroughs!CM254</f>
        <v>153</v>
      </c>
      <c r="J265" s="34">
        <f>[2]Districts_Boroughs!CN254</f>
        <v>148</v>
      </c>
      <c r="K265" s="34">
        <f>[2]Districts_Boroughs!CO254</f>
        <v>137</v>
      </c>
      <c r="L265" s="34">
        <f>[2]Districts_Boroughs!CP254</f>
        <v>151</v>
      </c>
      <c r="M265" s="34">
        <f>[2]Districts_Boroughs!CQ254</f>
        <v>146</v>
      </c>
      <c r="N265" s="34">
        <f>[2]Districts_Boroughs!CR254</f>
        <v>138</v>
      </c>
      <c r="O265" s="34">
        <f>[2]Districts_Boroughs!CS254</f>
        <v>132</v>
      </c>
      <c r="P265" s="34">
        <f>[2]Districts_Boroughs!CT254</f>
        <v>148</v>
      </c>
      <c r="Q265" s="34">
        <f>[2]Districts_Boroughs!CU254</f>
        <v>174</v>
      </c>
      <c r="R265" s="34">
        <f>[2]Districts_Boroughs!CV254</f>
        <v>169</v>
      </c>
      <c r="S265" s="34">
        <f>[2]Districts_Boroughs!CW254</f>
        <v>168</v>
      </c>
      <c r="T265" s="34">
        <f>[2]Districts_Boroughs!CX254</f>
        <v>193</v>
      </c>
      <c r="U265" s="34">
        <f>[2]Districts_Boroughs!CY254</f>
        <v>157</v>
      </c>
      <c r="V265" s="34">
        <f>[2]Districts_Boroughs!CZ254</f>
        <v>151</v>
      </c>
      <c r="W265" s="34">
        <f>[2]Districts_Boroughs!DA254</f>
        <v>137</v>
      </c>
      <c r="X265" s="34">
        <f>[2]Districts_Boroughs!DB254</f>
        <v>157</v>
      </c>
      <c r="Y265" s="34">
        <f>[2]Districts_Boroughs!DC254</f>
        <v>145</v>
      </c>
      <c r="Z265" s="34">
        <f>[2]Districts_Boroughs!DD254</f>
        <v>148</v>
      </c>
      <c r="AA265" s="34">
        <f>[2]Districts_Boroughs!DE254</f>
        <v>148</v>
      </c>
      <c r="AB265" s="34">
        <f>[2]Districts_Boroughs!DF254</f>
        <v>164</v>
      </c>
      <c r="AC265" s="34">
        <f>[2]Districts_Boroughs!DG254</f>
        <v>174</v>
      </c>
      <c r="AD265" s="34">
        <f>[2]Districts_Boroughs!DH254</f>
        <v>196</v>
      </c>
      <c r="AE265" s="34">
        <f>[2]Districts_Boroughs!DI254</f>
        <v>166</v>
      </c>
      <c r="AF265" s="34">
        <f>[2]Districts_Boroughs!DJ254</f>
        <v>145</v>
      </c>
      <c r="AG265" s="34">
        <f>[2]Districts_Boroughs!DK254</f>
        <v>158</v>
      </c>
      <c r="AH265" s="34">
        <f>[2]Districts_Boroughs!DL254</f>
        <v>157</v>
      </c>
      <c r="AI265" s="34">
        <f>[2]Districts_Boroughs!DM254</f>
        <v>141</v>
      </c>
      <c r="AJ265" s="34">
        <f>[2]Districts_Boroughs!DN254</f>
        <v>156</v>
      </c>
      <c r="AK265" s="34">
        <f>[2]Districts_Boroughs!DO254</f>
        <v>140</v>
      </c>
      <c r="AL265" s="34">
        <f>[2]Districts_Boroughs!DP254</f>
        <v>151</v>
      </c>
      <c r="AM265" s="34">
        <f>[2]Districts_Boroughs!DQ254</f>
        <v>138</v>
      </c>
      <c r="AN265" s="34">
        <f>[2]Districts_Boroughs!DR254</f>
        <v>160</v>
      </c>
      <c r="AO265" s="34">
        <f>[2]Districts_Boroughs!DS254</f>
        <v>175</v>
      </c>
      <c r="AP265" s="34">
        <f>[2]Districts_Boroughs!DT254</f>
        <v>169</v>
      </c>
      <c r="AQ265" s="34">
        <f>[2]Districts_Boroughs!DU254</f>
        <v>197</v>
      </c>
      <c r="AR265" s="34">
        <f>[2]Districts_Boroughs!DV254</f>
        <v>160</v>
      </c>
      <c r="AS265" s="34">
        <f>[2]Districts_Boroughs!DW254</f>
        <v>146</v>
      </c>
      <c r="AT265" s="34">
        <f>[2]Districts_Boroughs!DX254</f>
        <v>165</v>
      </c>
      <c r="AU265" s="34">
        <f>[2]Districts_Boroughs!DY254</f>
        <v>140</v>
      </c>
      <c r="AV265" s="34">
        <f>[2]Districts_Boroughs!DZ254</f>
        <v>165</v>
      </c>
      <c r="AW265" s="34">
        <f>[2]Districts_Boroughs!EA254</f>
        <v>163</v>
      </c>
      <c r="AX265" s="34">
        <f>[2]Districts_Boroughs!EB254</f>
        <v>116</v>
      </c>
      <c r="AY265" s="34">
        <f>[2]Districts_Boroughs!EC254</f>
        <v>163</v>
      </c>
    </row>
    <row r="266" spans="2:51" x14ac:dyDescent="0.35">
      <c r="B266" t="str">
        <f t="shared" si="15"/>
        <v>South WarwickshireViolence Without Injury</v>
      </c>
      <c r="C266" s="350" t="s">
        <v>40</v>
      </c>
      <c r="D266" s="34">
        <f>[2]Districts_Boroughs!CH255</f>
        <v>351</v>
      </c>
      <c r="E266" s="34">
        <f>[2]Districts_Boroughs!CI255</f>
        <v>368</v>
      </c>
      <c r="F266" s="34">
        <f>[2]Districts_Boroughs!CJ255</f>
        <v>415</v>
      </c>
      <c r="G266" s="34">
        <f>[2]Districts_Boroughs!CK255</f>
        <v>466</v>
      </c>
      <c r="H266" s="34">
        <f>[2]Districts_Boroughs!CL255</f>
        <v>437</v>
      </c>
      <c r="I266" s="34">
        <f>[2]Districts_Boroughs!CM255</f>
        <v>393</v>
      </c>
      <c r="J266" s="34">
        <f>[2]Districts_Boroughs!CN255</f>
        <v>438</v>
      </c>
      <c r="K266" s="34">
        <f>[2]Districts_Boroughs!CO255</f>
        <v>378</v>
      </c>
      <c r="L266" s="34">
        <f>[2]Districts_Boroughs!CP255</f>
        <v>357</v>
      </c>
      <c r="M266" s="34">
        <f>[2]Districts_Boroughs!CQ255</f>
        <v>367</v>
      </c>
      <c r="N266" s="34">
        <f>[2]Districts_Boroughs!CR255</f>
        <v>334</v>
      </c>
      <c r="O266" s="34">
        <f>[2]Districts_Boroughs!CS255</f>
        <v>404</v>
      </c>
      <c r="P266" s="34">
        <f>[2]Districts_Boroughs!CT255</f>
        <v>383</v>
      </c>
      <c r="Q266" s="34">
        <f>[2]Districts_Boroughs!CU255</f>
        <v>393</v>
      </c>
      <c r="R266" s="34">
        <f>[2]Districts_Boroughs!CV255</f>
        <v>396</v>
      </c>
      <c r="S266" s="34">
        <f>[2]Districts_Boroughs!CW255</f>
        <v>416</v>
      </c>
      <c r="T266" s="34">
        <f>[2]Districts_Boroughs!CX255</f>
        <v>347</v>
      </c>
      <c r="U266" s="34">
        <f>[2]Districts_Boroughs!CY255</f>
        <v>380</v>
      </c>
      <c r="V266" s="34">
        <f>[2]Districts_Boroughs!CZ255</f>
        <v>405</v>
      </c>
      <c r="W266" s="34">
        <f>[2]Districts_Boroughs!DA255</f>
        <v>372</v>
      </c>
      <c r="X266" s="34">
        <f>[2]Districts_Boroughs!DB255</f>
        <v>309</v>
      </c>
      <c r="Y266" s="34">
        <f>[2]Districts_Boroughs!DC255</f>
        <v>355</v>
      </c>
      <c r="Z266" s="34">
        <f>[2]Districts_Boroughs!DD255</f>
        <v>342</v>
      </c>
      <c r="AA266" s="34">
        <f>[2]Districts_Boroughs!DE255</f>
        <v>384</v>
      </c>
      <c r="AB266" s="34">
        <f>[2]Districts_Boroughs!DF255</f>
        <v>326</v>
      </c>
      <c r="AC266" s="34">
        <f>[2]Districts_Boroughs!DG255</f>
        <v>302</v>
      </c>
      <c r="AD266" s="34">
        <f>[2]Districts_Boroughs!DH255</f>
        <v>367</v>
      </c>
      <c r="AE266" s="34">
        <f>[2]Districts_Boroughs!DI255</f>
        <v>345</v>
      </c>
      <c r="AF266" s="34">
        <f>[2]Districts_Boroughs!DJ255</f>
        <v>333</v>
      </c>
      <c r="AG266" s="34">
        <f>[2]Districts_Boroughs!DK255</f>
        <v>357</v>
      </c>
      <c r="AH266" s="34">
        <f>[2]Districts_Boroughs!DL255</f>
        <v>354</v>
      </c>
      <c r="AI266" s="34">
        <f>[2]Districts_Boroughs!DM255</f>
        <v>334</v>
      </c>
      <c r="AJ266" s="34">
        <f>[2]Districts_Boroughs!DN255</f>
        <v>326</v>
      </c>
      <c r="AK266" s="34">
        <f>[2]Districts_Boroughs!DO255</f>
        <v>361</v>
      </c>
      <c r="AL266" s="34">
        <f>[2]Districts_Boroughs!DP255</f>
        <v>336</v>
      </c>
      <c r="AM266" s="34">
        <f>[2]Districts_Boroughs!DQ255</f>
        <v>323</v>
      </c>
      <c r="AN266" s="34">
        <f>[2]Districts_Boroughs!DR255</f>
        <v>313</v>
      </c>
      <c r="AO266" s="34">
        <f>[2]Districts_Boroughs!DS255</f>
        <v>323</v>
      </c>
      <c r="AP266" s="34">
        <f>[2]Districts_Boroughs!DT255</f>
        <v>345</v>
      </c>
      <c r="AQ266" s="34">
        <f>[2]Districts_Boroughs!DU255</f>
        <v>375</v>
      </c>
      <c r="AR266" s="34">
        <f>[2]Districts_Boroughs!DV255</f>
        <v>312</v>
      </c>
      <c r="AS266" s="34">
        <f>[2]Districts_Boroughs!DW255</f>
        <v>312</v>
      </c>
      <c r="AT266" s="34">
        <f>[2]Districts_Boroughs!DX255</f>
        <v>353</v>
      </c>
      <c r="AU266" s="34">
        <f>[2]Districts_Boroughs!DY255</f>
        <v>314</v>
      </c>
      <c r="AV266" s="34">
        <f>[2]Districts_Boroughs!DZ255</f>
        <v>298</v>
      </c>
      <c r="AW266" s="34">
        <f>[2]Districts_Boroughs!EA255</f>
        <v>312</v>
      </c>
      <c r="AX266" s="34">
        <f>[2]Districts_Boroughs!EB255</f>
        <v>343</v>
      </c>
      <c r="AY266" s="34">
        <f>[2]Districts_Boroughs!EC255</f>
        <v>338</v>
      </c>
    </row>
    <row r="267" spans="2:51" x14ac:dyDescent="0.35">
      <c r="B267" t="str">
        <f t="shared" si="15"/>
        <v>South WarwickshireRape</v>
      </c>
      <c r="C267" s="350" t="s">
        <v>5</v>
      </c>
      <c r="D267" s="34">
        <f>[2]Districts_Boroughs!CH256</f>
        <v>22</v>
      </c>
      <c r="E267" s="34">
        <f>[2]Districts_Boroughs!CI256</f>
        <v>10</v>
      </c>
      <c r="F267" s="34">
        <f>[2]Districts_Boroughs!CJ256</f>
        <v>18</v>
      </c>
      <c r="G267" s="34">
        <f>[2]Districts_Boroughs!CK256</f>
        <v>25</v>
      </c>
      <c r="H267" s="34">
        <f>[2]Districts_Boroughs!CL256</f>
        <v>25</v>
      </c>
      <c r="I267" s="34">
        <f>[2]Districts_Boroughs!CM256</f>
        <v>17</v>
      </c>
      <c r="J267" s="34">
        <f>[2]Districts_Boroughs!CN256</f>
        <v>11</v>
      </c>
      <c r="K267" s="34">
        <f>[2]Districts_Boroughs!CO256</f>
        <v>23</v>
      </c>
      <c r="L267" s="34">
        <f>[2]Districts_Boroughs!CP256</f>
        <v>13</v>
      </c>
      <c r="M267" s="34">
        <f>[2]Districts_Boroughs!CQ256</f>
        <v>21</v>
      </c>
      <c r="N267" s="34">
        <f>[2]Districts_Boroughs!CR256</f>
        <v>18</v>
      </c>
      <c r="O267" s="34">
        <f>[2]Districts_Boroughs!CS256</f>
        <v>17</v>
      </c>
      <c r="P267" s="34">
        <f>[2]Districts_Boroughs!CT256</f>
        <v>15</v>
      </c>
      <c r="Q267" s="34">
        <f>[2]Districts_Boroughs!CU256</f>
        <v>14</v>
      </c>
      <c r="R267" s="34">
        <f>[2]Districts_Boroughs!CV256</f>
        <v>14</v>
      </c>
      <c r="S267" s="34">
        <f>[2]Districts_Boroughs!CW256</f>
        <v>15</v>
      </c>
      <c r="T267" s="34">
        <f>[2]Districts_Boroughs!CX256</f>
        <v>23</v>
      </c>
      <c r="U267" s="34">
        <f>[2]Districts_Boroughs!CY256</f>
        <v>16</v>
      </c>
      <c r="V267" s="34">
        <f>[2]Districts_Boroughs!CZ256</f>
        <v>21</v>
      </c>
      <c r="W267" s="34">
        <f>[2]Districts_Boroughs!DA256</f>
        <v>15</v>
      </c>
      <c r="X267" s="34">
        <f>[2]Districts_Boroughs!DB256</f>
        <v>29</v>
      </c>
      <c r="Y267" s="34">
        <f>[2]Districts_Boroughs!DC256</f>
        <v>16</v>
      </c>
      <c r="Z267" s="34">
        <f>[2]Districts_Boroughs!DD256</f>
        <v>22</v>
      </c>
      <c r="AA267" s="34">
        <f>[2]Districts_Boroughs!DE256</f>
        <v>23</v>
      </c>
      <c r="AB267" s="34">
        <f>[2]Districts_Boroughs!DF256</f>
        <v>11</v>
      </c>
      <c r="AC267" s="34">
        <f>[2]Districts_Boroughs!DG256</f>
        <v>16</v>
      </c>
      <c r="AD267" s="34">
        <f>[2]Districts_Boroughs!DH256</f>
        <v>16</v>
      </c>
      <c r="AE267" s="34">
        <f>[2]Districts_Boroughs!DI256</f>
        <v>18</v>
      </c>
      <c r="AF267" s="34">
        <f>[2]Districts_Boroughs!DJ256</f>
        <v>29</v>
      </c>
      <c r="AG267" s="34">
        <f>[2]Districts_Boroughs!DK256</f>
        <v>26</v>
      </c>
      <c r="AH267" s="34">
        <f>[2]Districts_Boroughs!DL256</f>
        <v>23</v>
      </c>
      <c r="AI267" s="34">
        <f>[2]Districts_Boroughs!DM256</f>
        <v>23</v>
      </c>
      <c r="AJ267" s="34">
        <f>[2]Districts_Boroughs!DN256</f>
        <v>15</v>
      </c>
      <c r="AK267" s="34">
        <f>[2]Districts_Boroughs!DO256</f>
        <v>21</v>
      </c>
      <c r="AL267" s="34">
        <f>[2]Districts_Boroughs!DP256</f>
        <v>17</v>
      </c>
      <c r="AM267" s="34">
        <f>[2]Districts_Boroughs!DQ256</f>
        <v>22</v>
      </c>
      <c r="AN267" s="34">
        <f>[2]Districts_Boroughs!DR256</f>
        <v>22</v>
      </c>
      <c r="AO267" s="34">
        <f>[2]Districts_Boroughs!DS256</f>
        <v>17</v>
      </c>
      <c r="AP267" s="34">
        <f>[2]Districts_Boroughs!DT256</f>
        <v>16</v>
      </c>
      <c r="AQ267" s="34">
        <f>[2]Districts_Boroughs!DU256</f>
        <v>19</v>
      </c>
      <c r="AR267" s="34">
        <f>[2]Districts_Boroughs!DV256</f>
        <v>19</v>
      </c>
      <c r="AS267" s="34">
        <f>[2]Districts_Boroughs!DW256</f>
        <v>15</v>
      </c>
      <c r="AT267" s="34">
        <f>[2]Districts_Boroughs!DX256</f>
        <v>33</v>
      </c>
      <c r="AU267" s="34">
        <f>[2]Districts_Boroughs!DY256</f>
        <v>21</v>
      </c>
      <c r="AV267" s="34">
        <f>[2]Districts_Boroughs!DZ256</f>
        <v>26</v>
      </c>
      <c r="AW267" s="34">
        <f>[2]Districts_Boroughs!EA256</f>
        <v>27</v>
      </c>
      <c r="AX267" s="34">
        <f>[2]Districts_Boroughs!EB256</f>
        <v>14</v>
      </c>
      <c r="AY267" s="34">
        <f>[2]Districts_Boroughs!EC256</f>
        <v>11</v>
      </c>
    </row>
    <row r="268" spans="2:51" x14ac:dyDescent="0.35">
      <c r="B268" t="str">
        <f t="shared" si="15"/>
        <v>South WarwickshireOther Sexual Offences</v>
      </c>
      <c r="C268" s="350" t="s">
        <v>35</v>
      </c>
      <c r="D268" s="34">
        <f>[2]Districts_Boroughs!CH257</f>
        <v>24</v>
      </c>
      <c r="E268" s="34">
        <f>[2]Districts_Boroughs!CI257</f>
        <v>39</v>
      </c>
      <c r="F268" s="34">
        <f>[2]Districts_Boroughs!CJ257</f>
        <v>39</v>
      </c>
      <c r="G268" s="34">
        <f>[2]Districts_Boroughs!CK257</f>
        <v>31</v>
      </c>
      <c r="H268" s="34">
        <f>[2]Districts_Boroughs!CL257</f>
        <v>30</v>
      </c>
      <c r="I268" s="34">
        <f>[2]Districts_Boroughs!CM257</f>
        <v>32</v>
      </c>
      <c r="J268" s="34">
        <f>[2]Districts_Boroughs!CN257</f>
        <v>32</v>
      </c>
      <c r="K268" s="34">
        <f>[2]Districts_Boroughs!CO257</f>
        <v>41</v>
      </c>
      <c r="L268" s="34">
        <f>[2]Districts_Boroughs!CP257</f>
        <v>18</v>
      </c>
      <c r="M268" s="34">
        <f>[2]Districts_Boroughs!CQ257</f>
        <v>32</v>
      </c>
      <c r="N268" s="34">
        <f>[2]Districts_Boroughs!CR257</f>
        <v>25</v>
      </c>
      <c r="O268" s="34">
        <f>[2]Districts_Boroughs!CS257</f>
        <v>41</v>
      </c>
      <c r="P268" s="34">
        <f>[2]Districts_Boroughs!CT257</f>
        <v>36</v>
      </c>
      <c r="Q268" s="34">
        <f>[2]Districts_Boroughs!CU257</f>
        <v>40</v>
      </c>
      <c r="R268" s="34">
        <f>[2]Districts_Boroughs!CV257</f>
        <v>42</v>
      </c>
      <c r="S268" s="34">
        <f>[2]Districts_Boroughs!CW257</f>
        <v>51</v>
      </c>
      <c r="T268" s="34">
        <f>[2]Districts_Boroughs!CX257</f>
        <v>38</v>
      </c>
      <c r="U268" s="34">
        <f>[2]Districts_Boroughs!CY257</f>
        <v>29</v>
      </c>
      <c r="V268" s="34">
        <f>[2]Districts_Boroughs!CZ257</f>
        <v>46</v>
      </c>
      <c r="W268" s="34">
        <f>[2]Districts_Boroughs!DA257</f>
        <v>41</v>
      </c>
      <c r="X268" s="34">
        <f>[2]Districts_Boroughs!DB257</f>
        <v>28</v>
      </c>
      <c r="Y268" s="34">
        <f>[2]Districts_Boroughs!DC257</f>
        <v>47</v>
      </c>
      <c r="Z268" s="34">
        <f>[2]Districts_Boroughs!DD257</f>
        <v>45</v>
      </c>
      <c r="AA268" s="34">
        <f>[2]Districts_Boroughs!DE257</f>
        <v>43</v>
      </c>
      <c r="AB268" s="34">
        <f>[2]Districts_Boroughs!DF257</f>
        <v>23</v>
      </c>
      <c r="AC268" s="34">
        <f>[2]Districts_Boroughs!DG257</f>
        <v>27</v>
      </c>
      <c r="AD268" s="34">
        <f>[2]Districts_Boroughs!DH257</f>
        <v>43</v>
      </c>
      <c r="AE268" s="34">
        <f>[2]Districts_Boroughs!DI257</f>
        <v>37</v>
      </c>
      <c r="AF268" s="34">
        <f>[2]Districts_Boroughs!DJ257</f>
        <v>33</v>
      </c>
      <c r="AG268" s="34">
        <f>[2]Districts_Boroughs!DK257</f>
        <v>39</v>
      </c>
      <c r="AH268" s="34">
        <f>[2]Districts_Boroughs!DL257</f>
        <v>49</v>
      </c>
      <c r="AI268" s="34">
        <f>[2]Districts_Boroughs!DM257</f>
        <v>34</v>
      </c>
      <c r="AJ268" s="34">
        <f>[2]Districts_Boroughs!DN257</f>
        <v>54</v>
      </c>
      <c r="AK268" s="34">
        <f>[2]Districts_Boroughs!DO257</f>
        <v>31</v>
      </c>
      <c r="AL268" s="34">
        <f>[2]Districts_Boroughs!DP257</f>
        <v>55</v>
      </c>
      <c r="AM268" s="34">
        <f>[2]Districts_Boroughs!DQ257</f>
        <v>41</v>
      </c>
      <c r="AN268" s="34">
        <f>[2]Districts_Boroughs!DR257</f>
        <v>35</v>
      </c>
      <c r="AO268" s="34">
        <f>[2]Districts_Boroughs!DS257</f>
        <v>54</v>
      </c>
      <c r="AP268" s="34">
        <f>[2]Districts_Boroughs!DT257</f>
        <v>49</v>
      </c>
      <c r="AQ268" s="34">
        <f>[2]Districts_Boroughs!DU257</f>
        <v>38</v>
      </c>
      <c r="AR268" s="34">
        <f>[2]Districts_Boroughs!DV257</f>
        <v>34</v>
      </c>
      <c r="AS268" s="34">
        <f>[2]Districts_Boroughs!DW257</f>
        <v>32</v>
      </c>
      <c r="AT268" s="34">
        <f>[2]Districts_Boroughs!DX257</f>
        <v>43</v>
      </c>
      <c r="AU268" s="34">
        <f>[2]Districts_Boroughs!DY257</f>
        <v>44</v>
      </c>
      <c r="AV268" s="34">
        <f>[2]Districts_Boroughs!DZ257</f>
        <v>40</v>
      </c>
      <c r="AW268" s="34">
        <f>[2]Districts_Boroughs!EA257</f>
        <v>44</v>
      </c>
      <c r="AX268" s="34">
        <f>[2]Districts_Boroughs!EB257</f>
        <v>41</v>
      </c>
      <c r="AY268" s="34">
        <f>[2]Districts_Boroughs!EC257</f>
        <v>56</v>
      </c>
    </row>
    <row r="269" spans="2:51" x14ac:dyDescent="0.35">
      <c r="B269" t="str">
        <f t="shared" si="15"/>
        <v>South WarwickshireBusiness Robbery</v>
      </c>
      <c r="C269" s="350" t="s">
        <v>36</v>
      </c>
      <c r="D269" s="34">
        <f>[2]Districts_Boroughs!CH258</f>
        <v>1</v>
      </c>
      <c r="E269" s="34">
        <f>[2]Districts_Boroughs!CI258</f>
        <v>0</v>
      </c>
      <c r="F269" s="34">
        <f>[2]Districts_Boroughs!CJ258</f>
        <v>0</v>
      </c>
      <c r="G269" s="34">
        <f>[2]Districts_Boroughs!CK258</f>
        <v>6</v>
      </c>
      <c r="H269" s="34">
        <f>[2]Districts_Boroughs!CL258</f>
        <v>1</v>
      </c>
      <c r="I269" s="34">
        <f>[2]Districts_Boroughs!CM258</f>
        <v>0</v>
      </c>
      <c r="J269" s="34">
        <f>[2]Districts_Boroughs!CN258</f>
        <v>0</v>
      </c>
      <c r="K269" s="34">
        <f>[2]Districts_Boroughs!CO258</f>
        <v>1</v>
      </c>
      <c r="L269" s="34">
        <f>[2]Districts_Boroughs!CP258</f>
        <v>1</v>
      </c>
      <c r="M269" s="34">
        <f>[2]Districts_Boroughs!CQ258</f>
        <v>1</v>
      </c>
      <c r="N269" s="34">
        <f>[2]Districts_Boroughs!CR258</f>
        <v>1</v>
      </c>
      <c r="O269" s="34">
        <f>[2]Districts_Boroughs!CS258</f>
        <v>1</v>
      </c>
      <c r="P269" s="34">
        <f>[2]Districts_Boroughs!CT258</f>
        <v>1</v>
      </c>
      <c r="Q269" s="34">
        <f>[2]Districts_Boroughs!CU258</f>
        <v>2</v>
      </c>
      <c r="R269" s="34">
        <f>[2]Districts_Boroughs!CV258</f>
        <v>2</v>
      </c>
      <c r="S269" s="34">
        <f>[2]Districts_Boroughs!CW258</f>
        <v>0</v>
      </c>
      <c r="T269" s="34">
        <f>[2]Districts_Boroughs!CX258</f>
        <v>2</v>
      </c>
      <c r="U269" s="34">
        <f>[2]Districts_Boroughs!CY258</f>
        <v>0</v>
      </c>
      <c r="V269" s="34">
        <f>[2]Districts_Boroughs!CZ258</f>
        <v>1</v>
      </c>
      <c r="W269" s="34">
        <f>[2]Districts_Boroughs!DA258</f>
        <v>2</v>
      </c>
      <c r="X269" s="34">
        <f>[2]Districts_Boroughs!DB258</f>
        <v>0</v>
      </c>
      <c r="Y269" s="34">
        <f>[2]Districts_Boroughs!DC258</f>
        <v>1</v>
      </c>
      <c r="Z269" s="34">
        <f>[2]Districts_Boroughs!DD258</f>
        <v>4</v>
      </c>
      <c r="AA269" s="34">
        <f>[2]Districts_Boroughs!DE258</f>
        <v>2</v>
      </c>
      <c r="AB269" s="34">
        <f>[2]Districts_Boroughs!DF258</f>
        <v>1</v>
      </c>
      <c r="AC269" s="34">
        <f>[2]Districts_Boroughs!DG258</f>
        <v>1</v>
      </c>
      <c r="AD269" s="34">
        <f>[2]Districts_Boroughs!DH258</f>
        <v>2</v>
      </c>
      <c r="AE269" s="34">
        <f>[2]Districts_Boroughs!DI258</f>
        <v>1</v>
      </c>
      <c r="AF269" s="34">
        <f>[2]Districts_Boroughs!DJ258</f>
        <v>2</v>
      </c>
      <c r="AG269" s="34">
        <f>[2]Districts_Boroughs!DK258</f>
        <v>2</v>
      </c>
      <c r="AH269" s="34">
        <f>[2]Districts_Boroughs!DL258</f>
        <v>2</v>
      </c>
      <c r="AI269" s="34">
        <f>[2]Districts_Boroughs!DM258</f>
        <v>1</v>
      </c>
      <c r="AJ269" s="34">
        <f>[2]Districts_Boroughs!DN258</f>
        <v>0</v>
      </c>
      <c r="AK269" s="34">
        <f>[2]Districts_Boroughs!DO258</f>
        <v>2</v>
      </c>
      <c r="AL269" s="34">
        <f>[2]Districts_Boroughs!DP258</f>
        <v>0</v>
      </c>
      <c r="AM269" s="34">
        <f>[2]Districts_Boroughs!DQ258</f>
        <v>1</v>
      </c>
      <c r="AN269" s="34">
        <f>[2]Districts_Boroughs!DR258</f>
        <v>2</v>
      </c>
      <c r="AO269" s="34">
        <f>[2]Districts_Boroughs!DS258</f>
        <v>1</v>
      </c>
      <c r="AP269" s="34">
        <f>[2]Districts_Boroughs!DT258</f>
        <v>3</v>
      </c>
      <c r="AQ269" s="34">
        <f>[2]Districts_Boroughs!DU258</f>
        <v>1</v>
      </c>
      <c r="AR269" s="34">
        <f>[2]Districts_Boroughs!DV258</f>
        <v>0</v>
      </c>
      <c r="AS269" s="34">
        <f>[2]Districts_Boroughs!DW258</f>
        <v>3</v>
      </c>
      <c r="AT269" s="34">
        <f>[2]Districts_Boroughs!DX258</f>
        <v>2</v>
      </c>
      <c r="AU269" s="34">
        <f>[2]Districts_Boroughs!DY258</f>
        <v>2</v>
      </c>
      <c r="AV269" s="34">
        <f>[2]Districts_Boroughs!DZ258</f>
        <v>6</v>
      </c>
      <c r="AW269" s="34">
        <f>[2]Districts_Boroughs!EA258</f>
        <v>5</v>
      </c>
      <c r="AX269" s="34">
        <f>[2]Districts_Boroughs!EB258</f>
        <v>5</v>
      </c>
      <c r="AY269" s="34">
        <f>[2]Districts_Boroughs!EC258</f>
        <v>9</v>
      </c>
    </row>
    <row r="270" spans="2:51" x14ac:dyDescent="0.35">
      <c r="B270" t="str">
        <f t="shared" si="15"/>
        <v>South WarwickshirePersonal Robbery</v>
      </c>
      <c r="C270" s="350" t="s">
        <v>37</v>
      </c>
      <c r="D270" s="34">
        <f>[2]Districts_Boroughs!CH259</f>
        <v>6</v>
      </c>
      <c r="E270" s="34">
        <f>[2]Districts_Boroughs!CI259</f>
        <v>4</v>
      </c>
      <c r="F270" s="34">
        <f>[2]Districts_Boroughs!CJ259</f>
        <v>12</v>
      </c>
      <c r="G270" s="34">
        <f>[2]Districts_Boroughs!CK259</f>
        <v>15</v>
      </c>
      <c r="H270" s="34">
        <f>[2]Districts_Boroughs!CL259</f>
        <v>15</v>
      </c>
      <c r="I270" s="34">
        <f>[2]Districts_Boroughs!CM259</f>
        <v>6</v>
      </c>
      <c r="J270" s="34">
        <f>[2]Districts_Boroughs!CN259</f>
        <v>11</v>
      </c>
      <c r="K270" s="34">
        <f>[2]Districts_Boroughs!CO259</f>
        <v>16</v>
      </c>
      <c r="L270" s="34">
        <f>[2]Districts_Boroughs!CP259</f>
        <v>2</v>
      </c>
      <c r="M270" s="34">
        <f>[2]Districts_Boroughs!CQ259</f>
        <v>11</v>
      </c>
      <c r="N270" s="34">
        <f>[2]Districts_Boroughs!CR259</f>
        <v>4</v>
      </c>
      <c r="O270" s="34">
        <f>[2]Districts_Boroughs!CS259</f>
        <v>9</v>
      </c>
      <c r="P270" s="34">
        <f>[2]Districts_Boroughs!CT259</f>
        <v>11</v>
      </c>
      <c r="Q270" s="34">
        <f>[2]Districts_Boroughs!CU259</f>
        <v>12</v>
      </c>
      <c r="R270" s="34">
        <f>[2]Districts_Boroughs!CV259</f>
        <v>9</v>
      </c>
      <c r="S270" s="34">
        <f>[2]Districts_Boroughs!CW259</f>
        <v>13</v>
      </c>
      <c r="T270" s="34">
        <f>[2]Districts_Boroughs!CX259</f>
        <v>11</v>
      </c>
      <c r="U270" s="34">
        <f>[2]Districts_Boroughs!CY259</f>
        <v>8</v>
      </c>
      <c r="V270" s="34">
        <f>[2]Districts_Boroughs!CZ259</f>
        <v>9</v>
      </c>
      <c r="W270" s="34">
        <f>[2]Districts_Boroughs!DA259</f>
        <v>9</v>
      </c>
      <c r="X270" s="34">
        <f>[2]Districts_Boroughs!DB259</f>
        <v>8</v>
      </c>
      <c r="Y270" s="34">
        <f>[2]Districts_Boroughs!DC259</f>
        <v>16</v>
      </c>
      <c r="Z270" s="34">
        <f>[2]Districts_Boroughs!DD259</f>
        <v>13</v>
      </c>
      <c r="AA270" s="34">
        <f>[2]Districts_Boroughs!DE259</f>
        <v>10</v>
      </c>
      <c r="AB270" s="34">
        <f>[2]Districts_Boroughs!DF259</f>
        <v>11</v>
      </c>
      <c r="AC270" s="34">
        <f>[2]Districts_Boroughs!DG259</f>
        <v>17</v>
      </c>
      <c r="AD270" s="34">
        <f>[2]Districts_Boroughs!DH259</f>
        <v>12</v>
      </c>
      <c r="AE270" s="34">
        <f>[2]Districts_Boroughs!DI259</f>
        <v>17</v>
      </c>
      <c r="AF270" s="34">
        <f>[2]Districts_Boroughs!DJ259</f>
        <v>14</v>
      </c>
      <c r="AG270" s="34">
        <f>[2]Districts_Boroughs!DK259</f>
        <v>8</v>
      </c>
      <c r="AH270" s="34">
        <f>[2]Districts_Boroughs!DL259</f>
        <v>9</v>
      </c>
      <c r="AI270" s="34">
        <f>[2]Districts_Boroughs!DM259</f>
        <v>4</v>
      </c>
      <c r="AJ270" s="34">
        <f>[2]Districts_Boroughs!DN259</f>
        <v>9</v>
      </c>
      <c r="AK270" s="34">
        <f>[2]Districts_Boroughs!DO259</f>
        <v>12</v>
      </c>
      <c r="AL270" s="34">
        <f>[2]Districts_Boroughs!DP259</f>
        <v>10</v>
      </c>
      <c r="AM270" s="34">
        <f>[2]Districts_Boroughs!DQ259</f>
        <v>12</v>
      </c>
      <c r="AN270" s="34">
        <f>[2]Districts_Boroughs!DR259</f>
        <v>4</v>
      </c>
      <c r="AO270" s="34">
        <f>[2]Districts_Boroughs!DS259</f>
        <v>15</v>
      </c>
      <c r="AP270" s="34">
        <f>[2]Districts_Boroughs!DT259</f>
        <v>15</v>
      </c>
      <c r="AQ270" s="34">
        <f>[2]Districts_Boroughs!DU259</f>
        <v>11</v>
      </c>
      <c r="AR270" s="34">
        <f>[2]Districts_Boroughs!DV259</f>
        <v>20</v>
      </c>
      <c r="AS270" s="34">
        <f>[2]Districts_Boroughs!DW259</f>
        <v>12</v>
      </c>
      <c r="AT270" s="34">
        <f>[2]Districts_Boroughs!DX259</f>
        <v>9</v>
      </c>
      <c r="AU270" s="34">
        <f>[2]Districts_Boroughs!DY259</f>
        <v>6</v>
      </c>
      <c r="AV270" s="34">
        <f>[2]Districts_Boroughs!DZ259</f>
        <v>8</v>
      </c>
      <c r="AW270" s="34">
        <f>[2]Districts_Boroughs!EA259</f>
        <v>4</v>
      </c>
      <c r="AX270" s="34">
        <f>[2]Districts_Boroughs!EB259</f>
        <v>10</v>
      </c>
      <c r="AY270" s="34">
        <f>[2]Districts_Boroughs!EC259</f>
        <v>7</v>
      </c>
    </row>
    <row r="271" spans="2:51" x14ac:dyDescent="0.35">
      <c r="B271" t="str">
        <f t="shared" si="15"/>
        <v>South WarwickshireBurglary Residential</v>
      </c>
      <c r="C271" s="350" t="s">
        <v>31</v>
      </c>
      <c r="D271" s="34">
        <f>[2]Districts_Boroughs!CH260</f>
        <v>37</v>
      </c>
      <c r="E271" s="34">
        <f>[2]Districts_Boroughs!CI260</f>
        <v>46</v>
      </c>
      <c r="F271" s="34">
        <f>[2]Districts_Boroughs!CJ260</f>
        <v>63</v>
      </c>
      <c r="G271" s="34">
        <f>[2]Districts_Boroughs!CK260</f>
        <v>43</v>
      </c>
      <c r="H271" s="34">
        <f>[2]Districts_Boroughs!CL260</f>
        <v>55</v>
      </c>
      <c r="I271" s="34">
        <f>[2]Districts_Boroughs!CM260</f>
        <v>61</v>
      </c>
      <c r="J271" s="34">
        <f>[2]Districts_Boroughs!CN260</f>
        <v>77</v>
      </c>
      <c r="K271" s="34">
        <f>[2]Districts_Boroughs!CO260</f>
        <v>75</v>
      </c>
      <c r="L271" s="34">
        <f>[2]Districts_Boroughs!CP260</f>
        <v>61</v>
      </c>
      <c r="M271" s="34">
        <f>[2]Districts_Boroughs!CQ260</f>
        <v>65</v>
      </c>
      <c r="N271" s="34">
        <f>[2]Districts_Boroughs!CR260</f>
        <v>65</v>
      </c>
      <c r="O271" s="34">
        <f>[2]Districts_Boroughs!CS260</f>
        <v>70</v>
      </c>
      <c r="P271" s="34">
        <f>[2]Districts_Boroughs!CT260</f>
        <v>78</v>
      </c>
      <c r="Q271" s="34">
        <f>[2]Districts_Boroughs!CU260</f>
        <v>43</v>
      </c>
      <c r="R271" s="34">
        <f>[2]Districts_Boroughs!CV260</f>
        <v>60</v>
      </c>
      <c r="S271" s="34">
        <f>[2]Districts_Boroughs!CW260</f>
        <v>64</v>
      </c>
      <c r="T271" s="34">
        <f>[2]Districts_Boroughs!CX260</f>
        <v>58</v>
      </c>
      <c r="U271" s="34">
        <f>[2]Districts_Boroughs!CY260</f>
        <v>73</v>
      </c>
      <c r="V271" s="34">
        <f>[2]Districts_Boroughs!CZ260</f>
        <v>79</v>
      </c>
      <c r="W271" s="34">
        <f>[2]Districts_Boroughs!DA260</f>
        <v>82</v>
      </c>
      <c r="X271" s="34">
        <f>[2]Districts_Boroughs!DB260</f>
        <v>47</v>
      </c>
      <c r="Y271" s="34">
        <f>[2]Districts_Boroughs!DC260</f>
        <v>67</v>
      </c>
      <c r="Z271" s="34">
        <f>[2]Districts_Boroughs!DD260</f>
        <v>52</v>
      </c>
      <c r="AA271" s="34">
        <f>[2]Districts_Boroughs!DE260</f>
        <v>66</v>
      </c>
      <c r="AB271" s="34">
        <f>[2]Districts_Boroughs!DF260</f>
        <v>75</v>
      </c>
      <c r="AC271" s="34">
        <f>[2]Districts_Boroughs!DG260</f>
        <v>48</v>
      </c>
      <c r="AD271" s="34">
        <f>[2]Districts_Boroughs!DH260</f>
        <v>64</v>
      </c>
      <c r="AE271" s="34">
        <f>[2]Districts_Boroughs!DI260</f>
        <v>56</v>
      </c>
      <c r="AF271" s="34">
        <f>[2]Districts_Boroughs!DJ260</f>
        <v>37</v>
      </c>
      <c r="AG271" s="34">
        <f>[2]Districts_Boroughs!DK260</f>
        <v>55</v>
      </c>
      <c r="AH271" s="34">
        <f>[2]Districts_Boroughs!DL260</f>
        <v>66</v>
      </c>
      <c r="AI271" s="34">
        <f>[2]Districts_Boroughs!DM260</f>
        <v>65</v>
      </c>
      <c r="AJ271" s="34">
        <f>[2]Districts_Boroughs!DN260</f>
        <v>66</v>
      </c>
      <c r="AK271" s="34">
        <f>[2]Districts_Boroughs!DO260</f>
        <v>63</v>
      </c>
      <c r="AL271" s="34">
        <f>[2]Districts_Boroughs!DP260</f>
        <v>55</v>
      </c>
      <c r="AM271" s="34">
        <f>[2]Districts_Boroughs!DQ260</f>
        <v>48</v>
      </c>
      <c r="AN271" s="34">
        <f>[2]Districts_Boroughs!DR260</f>
        <v>56</v>
      </c>
      <c r="AO271" s="34">
        <f>[2]Districts_Boroughs!DS260</f>
        <v>74</v>
      </c>
      <c r="AP271" s="34">
        <f>[2]Districts_Boroughs!DT260</f>
        <v>60</v>
      </c>
      <c r="AQ271" s="34">
        <f>[2]Districts_Boroughs!DU260</f>
        <v>73</v>
      </c>
      <c r="AR271" s="34">
        <f>[2]Districts_Boroughs!DV260</f>
        <v>45</v>
      </c>
      <c r="AS271" s="34">
        <f>[2]Districts_Boroughs!DW260</f>
        <v>63</v>
      </c>
      <c r="AT271" s="34">
        <f>[2]Districts_Boroughs!DX260</f>
        <v>63</v>
      </c>
      <c r="AU271" s="34">
        <f>[2]Districts_Boroughs!DY260</f>
        <v>59</v>
      </c>
      <c r="AV271" s="34">
        <f>[2]Districts_Boroughs!DZ260</f>
        <v>59</v>
      </c>
      <c r="AW271" s="34">
        <f>[2]Districts_Boroughs!EA260</f>
        <v>80</v>
      </c>
      <c r="AX271" s="34">
        <f>[2]Districts_Boroughs!EB260</f>
        <v>59</v>
      </c>
      <c r="AY271" s="34">
        <f>[2]Districts_Boroughs!EC260</f>
        <v>86</v>
      </c>
    </row>
    <row r="272" spans="2:51" x14ac:dyDescent="0.35">
      <c r="B272" t="str">
        <f t="shared" si="14"/>
        <v>South WarwickshireBurglary Business and Community</v>
      </c>
      <c r="C272" s="350" t="s">
        <v>55</v>
      </c>
      <c r="D272" s="34">
        <f>[2]Districts_Boroughs!CH261</f>
        <v>35</v>
      </c>
      <c r="E272" s="34">
        <f>[2]Districts_Boroughs!CI261</f>
        <v>23</v>
      </c>
      <c r="F272" s="34">
        <f>[2]Districts_Boroughs!CJ261</f>
        <v>23</v>
      </c>
      <c r="G272" s="34">
        <f>[2]Districts_Boroughs!CK261</f>
        <v>20</v>
      </c>
      <c r="H272" s="34">
        <f>[2]Districts_Boroughs!CL261</f>
        <v>25</v>
      </c>
      <c r="I272" s="34">
        <f>[2]Districts_Boroughs!CM261</f>
        <v>16</v>
      </c>
      <c r="J272" s="34">
        <f>[2]Districts_Boroughs!CN261</f>
        <v>18</v>
      </c>
      <c r="K272" s="34">
        <f>[2]Districts_Boroughs!CO261</f>
        <v>35</v>
      </c>
      <c r="L272" s="34">
        <f>[2]Districts_Boroughs!CP261</f>
        <v>32</v>
      </c>
      <c r="M272" s="34">
        <f>[2]Districts_Boroughs!CQ261</f>
        <v>31</v>
      </c>
      <c r="N272" s="34">
        <f>[2]Districts_Boroughs!CR261</f>
        <v>31</v>
      </c>
      <c r="O272" s="34">
        <f>[2]Districts_Boroughs!CS261</f>
        <v>18</v>
      </c>
      <c r="P272" s="34">
        <f>[2]Districts_Boroughs!CT261</f>
        <v>36</v>
      </c>
      <c r="Q272" s="34">
        <f>[2]Districts_Boroughs!CU261</f>
        <v>25</v>
      </c>
      <c r="R272" s="34">
        <f>[2]Districts_Boroughs!CV261</f>
        <v>22</v>
      </c>
      <c r="S272" s="34">
        <f>[2]Districts_Boroughs!CW261</f>
        <v>33</v>
      </c>
      <c r="T272" s="34">
        <f>[2]Districts_Boroughs!CX261</f>
        <v>50</v>
      </c>
      <c r="U272" s="34">
        <f>[2]Districts_Boroughs!CY261</f>
        <v>21</v>
      </c>
      <c r="V272" s="34">
        <f>[2]Districts_Boroughs!CZ261</f>
        <v>34</v>
      </c>
      <c r="W272" s="34">
        <f>[2]Districts_Boroughs!DA261</f>
        <v>31</v>
      </c>
      <c r="X272" s="34">
        <f>[2]Districts_Boroughs!DB261</f>
        <v>26</v>
      </c>
      <c r="Y272" s="34">
        <f>[2]Districts_Boroughs!DC261</f>
        <v>30</v>
      </c>
      <c r="Z272" s="34">
        <f>[2]Districts_Boroughs!DD261</f>
        <v>38</v>
      </c>
      <c r="AA272" s="34">
        <f>[2]Districts_Boroughs!DE261</f>
        <v>19</v>
      </c>
      <c r="AB272" s="34">
        <f>[2]Districts_Boroughs!DF261</f>
        <v>31</v>
      </c>
      <c r="AC272" s="34">
        <f>[2]Districts_Boroughs!DG261</f>
        <v>28</v>
      </c>
      <c r="AD272" s="34">
        <f>[2]Districts_Boroughs!DH261</f>
        <v>22</v>
      </c>
      <c r="AE272" s="34">
        <f>[2]Districts_Boroughs!DI261</f>
        <v>25</v>
      </c>
      <c r="AF272" s="34">
        <f>[2]Districts_Boroughs!DJ261</f>
        <v>39</v>
      </c>
      <c r="AG272" s="34">
        <f>[2]Districts_Boroughs!DK261</f>
        <v>37</v>
      </c>
      <c r="AH272" s="34">
        <f>[2]Districts_Boroughs!DL261</f>
        <v>31</v>
      </c>
      <c r="AI272" s="34">
        <f>[2]Districts_Boroughs!DM261</f>
        <v>23</v>
      </c>
      <c r="AJ272" s="34">
        <f>[2]Districts_Boroughs!DN261</f>
        <v>16</v>
      </c>
      <c r="AK272" s="34">
        <f>[2]Districts_Boroughs!DO261</f>
        <v>30</v>
      </c>
      <c r="AL272" s="34">
        <f>[2]Districts_Boroughs!DP261</f>
        <v>23</v>
      </c>
      <c r="AM272" s="34">
        <f>[2]Districts_Boroughs!DQ261</f>
        <v>27</v>
      </c>
      <c r="AN272" s="34">
        <f>[2]Districts_Boroughs!DR261</f>
        <v>19</v>
      </c>
      <c r="AO272" s="34">
        <f>[2]Districts_Boroughs!DS261</f>
        <v>45</v>
      </c>
      <c r="AP272" s="34">
        <f>[2]Districts_Boroughs!DT261</f>
        <v>32</v>
      </c>
      <c r="AQ272" s="34">
        <f>[2]Districts_Boroughs!DU261</f>
        <v>43</v>
      </c>
      <c r="AR272" s="34">
        <f>[2]Districts_Boroughs!DV261</f>
        <v>32</v>
      </c>
      <c r="AS272" s="34">
        <f>[2]Districts_Boroughs!DW261</f>
        <v>29</v>
      </c>
      <c r="AT272" s="34">
        <f>[2]Districts_Boroughs!DX261</f>
        <v>28</v>
      </c>
      <c r="AU272" s="34">
        <f>[2]Districts_Boroughs!DY261</f>
        <v>30</v>
      </c>
      <c r="AV272" s="34">
        <f>[2]Districts_Boroughs!DZ261</f>
        <v>27</v>
      </c>
      <c r="AW272" s="34">
        <f>[2]Districts_Boroughs!EA261</f>
        <v>29</v>
      </c>
      <c r="AX272" s="34">
        <f>[2]Districts_Boroughs!EB261</f>
        <v>15</v>
      </c>
      <c r="AY272" s="34">
        <f>[2]Districts_Boroughs!EC261</f>
        <v>30</v>
      </c>
    </row>
    <row r="273" spans="2:51" x14ac:dyDescent="0.35">
      <c r="B273" t="str">
        <f>CONCATENATE($C$261,C273)</f>
        <v>South WarwickshireVehicle Offences</v>
      </c>
      <c r="C273" s="350" t="s">
        <v>38</v>
      </c>
      <c r="D273" s="34">
        <f>[2]Districts_Boroughs!CH262</f>
        <v>98</v>
      </c>
      <c r="E273" s="34">
        <f>[2]Districts_Boroughs!CI262</f>
        <v>111</v>
      </c>
      <c r="F273" s="34">
        <f>[2]Districts_Boroughs!CJ262</f>
        <v>103</v>
      </c>
      <c r="G273" s="34">
        <f>[2]Districts_Boroughs!CK262</f>
        <v>162</v>
      </c>
      <c r="H273" s="34">
        <f>[2]Districts_Boroughs!CL262</f>
        <v>160</v>
      </c>
      <c r="I273" s="34">
        <f>[2]Districts_Boroughs!CM262</f>
        <v>132</v>
      </c>
      <c r="J273" s="34">
        <f>[2]Districts_Boroughs!CN262</f>
        <v>124</v>
      </c>
      <c r="K273" s="34">
        <f>[2]Districts_Boroughs!CO262</f>
        <v>199</v>
      </c>
      <c r="L273" s="34">
        <f>[2]Districts_Boroughs!CP262</f>
        <v>121</v>
      </c>
      <c r="M273" s="34">
        <f>[2]Districts_Boroughs!CQ262</f>
        <v>150</v>
      </c>
      <c r="N273" s="34">
        <f>[2]Districts_Boroughs!CR262</f>
        <v>117</v>
      </c>
      <c r="O273" s="34">
        <f>[2]Districts_Boroughs!CS262</f>
        <v>200</v>
      </c>
      <c r="P273" s="34">
        <f>[2]Districts_Boroughs!CT262</f>
        <v>154</v>
      </c>
      <c r="Q273" s="34">
        <f>[2]Districts_Boroughs!CU262</f>
        <v>173</v>
      </c>
      <c r="R273" s="34">
        <f>[2]Districts_Boroughs!CV262</f>
        <v>164</v>
      </c>
      <c r="S273" s="34">
        <f>[2]Districts_Boroughs!CW262</f>
        <v>202</v>
      </c>
      <c r="T273" s="34">
        <f>[2]Districts_Boroughs!CX262</f>
        <v>196</v>
      </c>
      <c r="U273" s="34">
        <f>[2]Districts_Boroughs!CY262</f>
        <v>226</v>
      </c>
      <c r="V273" s="34">
        <f>[2]Districts_Boroughs!CZ262</f>
        <v>206</v>
      </c>
      <c r="W273" s="34">
        <f>[2]Districts_Boroughs!DA262</f>
        <v>181</v>
      </c>
      <c r="X273" s="34">
        <f>[2]Districts_Boroughs!DB262</f>
        <v>125</v>
      </c>
      <c r="Y273" s="34">
        <f>[2]Districts_Boroughs!DC262</f>
        <v>238</v>
      </c>
      <c r="Z273" s="34">
        <f>[2]Districts_Boroughs!DD262</f>
        <v>177</v>
      </c>
      <c r="AA273" s="34">
        <f>[2]Districts_Boroughs!DE262</f>
        <v>154</v>
      </c>
      <c r="AB273" s="34">
        <f>[2]Districts_Boroughs!DF262</f>
        <v>195</v>
      </c>
      <c r="AC273" s="34">
        <f>[2]Districts_Boroughs!DG262</f>
        <v>170</v>
      </c>
      <c r="AD273" s="34">
        <f>[2]Districts_Boroughs!DH262</f>
        <v>155</v>
      </c>
      <c r="AE273" s="34">
        <f>[2]Districts_Boroughs!DI262</f>
        <v>189</v>
      </c>
      <c r="AF273" s="34">
        <f>[2]Districts_Boroughs!DJ262</f>
        <v>140</v>
      </c>
      <c r="AG273" s="34">
        <f>[2]Districts_Boroughs!DK262</f>
        <v>121</v>
      </c>
      <c r="AH273" s="34">
        <f>[2]Districts_Boroughs!DL262</f>
        <v>174</v>
      </c>
      <c r="AI273" s="34">
        <f>[2]Districts_Boroughs!DM262</f>
        <v>163</v>
      </c>
      <c r="AJ273" s="34">
        <f>[2]Districts_Boroughs!DN262</f>
        <v>157</v>
      </c>
      <c r="AK273" s="34">
        <f>[2]Districts_Boroughs!DO262</f>
        <v>145</v>
      </c>
      <c r="AL273" s="34">
        <f>[2]Districts_Boroughs!DP262</f>
        <v>103</v>
      </c>
      <c r="AM273" s="34">
        <f>[2]Districts_Boroughs!DQ262</f>
        <v>118</v>
      </c>
      <c r="AN273" s="34">
        <f>[2]Districts_Boroughs!DR262</f>
        <v>144</v>
      </c>
      <c r="AO273" s="34">
        <f>[2]Districts_Boroughs!DS262</f>
        <v>180</v>
      </c>
      <c r="AP273" s="34">
        <f>[2]Districts_Boroughs!DT262</f>
        <v>151</v>
      </c>
      <c r="AQ273" s="34">
        <f>[2]Districts_Boroughs!DU262</f>
        <v>150</v>
      </c>
      <c r="AR273" s="34">
        <f>[2]Districts_Boroughs!DV262</f>
        <v>127</v>
      </c>
      <c r="AS273" s="34">
        <f>[2]Districts_Boroughs!DW262</f>
        <v>131</v>
      </c>
      <c r="AT273" s="34">
        <f>[2]Districts_Boroughs!DX262</f>
        <v>165</v>
      </c>
      <c r="AU273" s="34">
        <f>[2]Districts_Boroughs!DY262</f>
        <v>130</v>
      </c>
      <c r="AV273" s="34">
        <f>[2]Districts_Boroughs!DZ262</f>
        <v>122</v>
      </c>
      <c r="AW273" s="34">
        <f>[2]Districts_Boroughs!EA262</f>
        <v>151</v>
      </c>
      <c r="AX273" s="34">
        <f>[2]Districts_Boroughs!EB262</f>
        <v>88</v>
      </c>
      <c r="AY273" s="34">
        <f>[2]Districts_Boroughs!EC262</f>
        <v>119</v>
      </c>
    </row>
    <row r="274" spans="2:51" x14ac:dyDescent="0.35">
      <c r="B274" t="str">
        <f>CONCATENATE($C$261,C274)</f>
        <v>South WarwickshireShoplifting</v>
      </c>
      <c r="C274" s="350" t="s">
        <v>17</v>
      </c>
      <c r="D274" s="34">
        <f>[2]Districts_Boroughs!CH263</f>
        <v>55</v>
      </c>
      <c r="E274" s="34">
        <f>[2]Districts_Boroughs!CI263</f>
        <v>84</v>
      </c>
      <c r="F274" s="34">
        <f>[2]Districts_Boroughs!CJ263</f>
        <v>80</v>
      </c>
      <c r="G274" s="34">
        <f>[2]Districts_Boroughs!CK263</f>
        <v>100</v>
      </c>
      <c r="H274" s="34">
        <f>[2]Districts_Boroughs!CL263</f>
        <v>106</v>
      </c>
      <c r="I274" s="34">
        <f>[2]Districts_Boroughs!CM263</f>
        <v>105</v>
      </c>
      <c r="J274" s="34">
        <f>[2]Districts_Boroughs!CN263</f>
        <v>106</v>
      </c>
      <c r="K274" s="34">
        <f>[2]Districts_Boroughs!CO263</f>
        <v>87</v>
      </c>
      <c r="L274" s="34">
        <f>[2]Districts_Boroughs!CP263</f>
        <v>68</v>
      </c>
      <c r="M274" s="34">
        <f>[2]Districts_Boroughs!CQ263</f>
        <v>93</v>
      </c>
      <c r="N274" s="34">
        <f>[2]Districts_Boroughs!CR263</f>
        <v>86</v>
      </c>
      <c r="O274" s="34">
        <f>[2]Districts_Boroughs!CS263</f>
        <v>82</v>
      </c>
      <c r="P274" s="34">
        <f>[2]Districts_Boroughs!CT263</f>
        <v>73</v>
      </c>
      <c r="Q274" s="34">
        <f>[2]Districts_Boroughs!CU263</f>
        <v>104</v>
      </c>
      <c r="R274" s="34">
        <f>[2]Districts_Boroughs!CV263</f>
        <v>69</v>
      </c>
      <c r="S274" s="34">
        <f>[2]Districts_Boroughs!CW263</f>
        <v>75</v>
      </c>
      <c r="T274" s="34">
        <f>[2]Districts_Boroughs!CX263</f>
        <v>116</v>
      </c>
      <c r="U274" s="34">
        <f>[2]Districts_Boroughs!CY263</f>
        <v>83</v>
      </c>
      <c r="V274" s="34">
        <f>[2]Districts_Boroughs!CZ263</f>
        <v>124</v>
      </c>
      <c r="W274" s="34">
        <f>[2]Districts_Boroughs!DA263</f>
        <v>98</v>
      </c>
      <c r="X274" s="34">
        <f>[2]Districts_Boroughs!DB263</f>
        <v>90</v>
      </c>
      <c r="Y274" s="34">
        <f>[2]Districts_Boroughs!DC263</f>
        <v>92</v>
      </c>
      <c r="Z274" s="34">
        <f>[2]Districts_Boroughs!DD263</f>
        <v>146</v>
      </c>
      <c r="AA274" s="34">
        <f>[2]Districts_Boroughs!DE263</f>
        <v>128</v>
      </c>
      <c r="AB274" s="34">
        <f>[2]Districts_Boroughs!DF263</f>
        <v>99</v>
      </c>
      <c r="AC274" s="34">
        <f>[2]Districts_Boroughs!DG263</f>
        <v>117</v>
      </c>
      <c r="AD274" s="34">
        <f>[2]Districts_Boroughs!DH263</f>
        <v>96</v>
      </c>
      <c r="AE274" s="34">
        <f>[2]Districts_Boroughs!DI263</f>
        <v>94</v>
      </c>
      <c r="AF274" s="34">
        <f>[2]Districts_Boroughs!DJ263</f>
        <v>79</v>
      </c>
      <c r="AG274" s="34">
        <f>[2]Districts_Boroughs!DK263</f>
        <v>102</v>
      </c>
      <c r="AH274" s="34">
        <f>[2]Districts_Boroughs!DL263</f>
        <v>93</v>
      </c>
      <c r="AI274" s="34">
        <f>[2]Districts_Boroughs!DM263</f>
        <v>109</v>
      </c>
      <c r="AJ274" s="34">
        <f>[2]Districts_Boroughs!DN263</f>
        <v>101</v>
      </c>
      <c r="AK274" s="34">
        <f>[2]Districts_Boroughs!DO263</f>
        <v>147</v>
      </c>
      <c r="AL274" s="34">
        <f>[2]Districts_Boroughs!DP263</f>
        <v>145</v>
      </c>
      <c r="AM274" s="34">
        <f>[2]Districts_Boroughs!DQ263</f>
        <v>169</v>
      </c>
      <c r="AN274" s="34">
        <f>[2]Districts_Boroughs!DR263</f>
        <v>150</v>
      </c>
      <c r="AO274" s="34">
        <f>[2]Districts_Boroughs!DS263</f>
        <v>143</v>
      </c>
      <c r="AP274" s="34">
        <f>[2]Districts_Boroughs!DT263</f>
        <v>115</v>
      </c>
      <c r="AQ274" s="34">
        <f>[2]Districts_Boroughs!DU263</f>
        <v>131</v>
      </c>
      <c r="AR274" s="34">
        <f>[2]Districts_Boroughs!DV263</f>
        <v>153</v>
      </c>
      <c r="AS274" s="34">
        <f>[2]Districts_Boroughs!DW263</f>
        <v>152</v>
      </c>
      <c r="AT274" s="34">
        <f>[2]Districts_Boroughs!DX263</f>
        <v>182</v>
      </c>
      <c r="AU274" s="34">
        <f>[2]Districts_Boroughs!DY263</f>
        <v>118</v>
      </c>
      <c r="AV274" s="34">
        <f>[2]Districts_Boroughs!DZ263</f>
        <v>88</v>
      </c>
      <c r="AW274" s="34">
        <f>[2]Districts_Boroughs!EA263</f>
        <v>97</v>
      </c>
      <c r="AX274" s="34">
        <f>[2]Districts_Boroughs!EB263</f>
        <v>100</v>
      </c>
      <c r="AY274" s="34">
        <f>[2]Districts_Boroughs!EC263</f>
        <v>152</v>
      </c>
    </row>
    <row r="275" spans="2:51" x14ac:dyDescent="0.35">
      <c r="B275" t="str">
        <f t="shared" si="14"/>
        <v>South WarwickshireCriminal Damage &amp; Arson</v>
      </c>
      <c r="C275" s="350" t="s">
        <v>34</v>
      </c>
      <c r="D275" s="34">
        <f>[2]Districts_Boroughs!CH264</f>
        <v>136</v>
      </c>
      <c r="E275" s="34">
        <f>[2]Districts_Boroughs!CI264</f>
        <v>170</v>
      </c>
      <c r="F275" s="34">
        <f>[2]Districts_Boroughs!CJ264</f>
        <v>151</v>
      </c>
      <c r="G275" s="34">
        <f>[2]Districts_Boroughs!CK264</f>
        <v>125</v>
      </c>
      <c r="H275" s="34">
        <f>[2]Districts_Boroughs!CL264</f>
        <v>132</v>
      </c>
      <c r="I275" s="34">
        <f>[2]Districts_Boroughs!CM264</f>
        <v>121</v>
      </c>
      <c r="J275" s="34">
        <f>[2]Districts_Boroughs!CN264</f>
        <v>153</v>
      </c>
      <c r="K275" s="34">
        <f>[2]Districts_Boroughs!CO264</f>
        <v>127</v>
      </c>
      <c r="L275" s="34">
        <f>[2]Districts_Boroughs!CP264</f>
        <v>121</v>
      </c>
      <c r="M275" s="34">
        <f>[2]Districts_Boroughs!CQ264</f>
        <v>124</v>
      </c>
      <c r="N275" s="34">
        <f>[2]Districts_Boroughs!CR264</f>
        <v>95</v>
      </c>
      <c r="O275" s="34">
        <f>[2]Districts_Boroughs!CS264</f>
        <v>106</v>
      </c>
      <c r="P275" s="34">
        <f>[2]Districts_Boroughs!CT264</f>
        <v>99</v>
      </c>
      <c r="Q275" s="34">
        <f>[2]Districts_Boroughs!CU264</f>
        <v>137</v>
      </c>
      <c r="R275" s="34">
        <f>[2]Districts_Boroughs!CV264</f>
        <v>130</v>
      </c>
      <c r="S275" s="34">
        <f>[2]Districts_Boroughs!CW264</f>
        <v>173</v>
      </c>
      <c r="T275" s="34">
        <f>[2]Districts_Boroughs!CX264</f>
        <v>170</v>
      </c>
      <c r="U275" s="34">
        <f>[2]Districts_Boroughs!CY264</f>
        <v>130</v>
      </c>
      <c r="V275" s="34">
        <f>[2]Districts_Boroughs!CZ264</f>
        <v>138</v>
      </c>
      <c r="W275" s="34">
        <f>[2]Districts_Boroughs!DA264</f>
        <v>119</v>
      </c>
      <c r="X275" s="34">
        <f>[2]Districts_Boroughs!DB264</f>
        <v>130</v>
      </c>
      <c r="Y275" s="34">
        <f>[2]Districts_Boroughs!DC264</f>
        <v>124</v>
      </c>
      <c r="Z275" s="34">
        <f>[2]Districts_Boroughs!DD264</f>
        <v>115</v>
      </c>
      <c r="AA275" s="34">
        <f>[2]Districts_Boroughs!DE264</f>
        <v>117</v>
      </c>
      <c r="AB275" s="34">
        <f>[2]Districts_Boroughs!DF264</f>
        <v>123</v>
      </c>
      <c r="AC275" s="34">
        <f>[2]Districts_Boroughs!DG264</f>
        <v>130</v>
      </c>
      <c r="AD275" s="34">
        <f>[2]Districts_Boroughs!DH264</f>
        <v>161</v>
      </c>
      <c r="AE275" s="34">
        <f>[2]Districts_Boroughs!DI264</f>
        <v>135</v>
      </c>
      <c r="AF275" s="34">
        <f>[2]Districts_Boroughs!DJ264</f>
        <v>129</v>
      </c>
      <c r="AG275" s="34">
        <f>[2]Districts_Boroughs!DK264</f>
        <v>130</v>
      </c>
      <c r="AH275" s="34">
        <f>[2]Districts_Boroughs!DL264</f>
        <v>101</v>
      </c>
      <c r="AI275" s="34">
        <f>[2]Districts_Boroughs!DM264</f>
        <v>87</v>
      </c>
      <c r="AJ275" s="34">
        <f>[2]Districts_Boroughs!DN264</f>
        <v>100</v>
      </c>
      <c r="AK275" s="34">
        <f>[2]Districts_Boroughs!DO264</f>
        <v>111</v>
      </c>
      <c r="AL275" s="34">
        <f>[2]Districts_Boroughs!DP264</f>
        <v>99</v>
      </c>
      <c r="AM275" s="34">
        <f>[2]Districts_Boroughs!DQ264</f>
        <v>87</v>
      </c>
      <c r="AN275" s="34">
        <f>[2]Districts_Boroughs!DR264</f>
        <v>128</v>
      </c>
      <c r="AO275" s="34">
        <f>[2]Districts_Boroughs!DS264</f>
        <v>132</v>
      </c>
      <c r="AP275" s="34">
        <f>[2]Districts_Boroughs!DT264</f>
        <v>114</v>
      </c>
      <c r="AQ275" s="34">
        <f>[2]Districts_Boroughs!DU264</f>
        <v>166</v>
      </c>
      <c r="AR275" s="34">
        <f>[2]Districts_Boroughs!DV264</f>
        <v>127</v>
      </c>
      <c r="AS275" s="34">
        <f>[2]Districts_Boroughs!DW264</f>
        <v>145</v>
      </c>
      <c r="AT275" s="34">
        <f>[2]Districts_Boroughs!DX264</f>
        <v>134</v>
      </c>
      <c r="AU275" s="34">
        <f>[2]Districts_Boroughs!DY264</f>
        <v>95</v>
      </c>
      <c r="AV275" s="34">
        <f>[2]Districts_Boroughs!DZ264</f>
        <v>122</v>
      </c>
      <c r="AW275" s="34">
        <f>[2]Districts_Boroughs!EA264</f>
        <v>107</v>
      </c>
      <c r="AX275" s="34">
        <f>[2]Districts_Boroughs!EB264</f>
        <v>101</v>
      </c>
      <c r="AY275" s="34">
        <f>[2]Districts_Boroughs!EC264</f>
        <v>118</v>
      </c>
    </row>
    <row r="276" spans="2:51" x14ac:dyDescent="0.35">
      <c r="B276" t="str">
        <f t="shared" si="14"/>
        <v>South WarwickshireTotal Robbery</v>
      </c>
      <c r="C276" s="350" t="s">
        <v>41</v>
      </c>
      <c r="D276" s="34">
        <f>[2]Districts_Boroughs!CH265</f>
        <v>7</v>
      </c>
      <c r="E276" s="34">
        <f>[2]Districts_Boroughs!CI265</f>
        <v>4</v>
      </c>
      <c r="F276" s="34">
        <f>[2]Districts_Boroughs!CJ265</f>
        <v>12</v>
      </c>
      <c r="G276" s="34">
        <f>[2]Districts_Boroughs!CK265</f>
        <v>21</v>
      </c>
      <c r="H276" s="34">
        <f>[2]Districts_Boroughs!CL265</f>
        <v>16</v>
      </c>
      <c r="I276" s="34">
        <f>[2]Districts_Boroughs!CM265</f>
        <v>6</v>
      </c>
      <c r="J276" s="34">
        <f>[2]Districts_Boroughs!CN265</f>
        <v>11</v>
      </c>
      <c r="K276" s="34">
        <f>[2]Districts_Boroughs!CO265</f>
        <v>17</v>
      </c>
      <c r="L276" s="34">
        <f>[2]Districts_Boroughs!CP265</f>
        <v>3</v>
      </c>
      <c r="M276" s="34">
        <f>[2]Districts_Boroughs!CQ265</f>
        <v>12</v>
      </c>
      <c r="N276" s="34">
        <f>[2]Districts_Boroughs!CR265</f>
        <v>5</v>
      </c>
      <c r="O276" s="34">
        <f>[2]Districts_Boroughs!CS265</f>
        <v>10</v>
      </c>
      <c r="P276" s="34">
        <f>[2]Districts_Boroughs!CT265</f>
        <v>12</v>
      </c>
      <c r="Q276" s="34">
        <f>[2]Districts_Boroughs!CU265</f>
        <v>14</v>
      </c>
      <c r="R276" s="34">
        <f>[2]Districts_Boroughs!CV265</f>
        <v>11</v>
      </c>
      <c r="S276" s="34">
        <f>[2]Districts_Boroughs!CW265</f>
        <v>13</v>
      </c>
      <c r="T276" s="34">
        <f>[2]Districts_Boroughs!CX265</f>
        <v>13</v>
      </c>
      <c r="U276" s="34">
        <f>[2]Districts_Boroughs!CY265</f>
        <v>8</v>
      </c>
      <c r="V276" s="34">
        <f>[2]Districts_Boroughs!CZ265</f>
        <v>10</v>
      </c>
      <c r="W276" s="34">
        <f>[2]Districts_Boroughs!DA265</f>
        <v>11</v>
      </c>
      <c r="X276" s="34">
        <f>[2]Districts_Boroughs!DB265</f>
        <v>8</v>
      </c>
      <c r="Y276" s="34">
        <f>[2]Districts_Boroughs!DC265</f>
        <v>17</v>
      </c>
      <c r="Z276" s="34">
        <f>[2]Districts_Boroughs!DD265</f>
        <v>17</v>
      </c>
      <c r="AA276" s="34">
        <f>[2]Districts_Boroughs!DE265</f>
        <v>12</v>
      </c>
      <c r="AB276" s="34">
        <f>[2]Districts_Boroughs!DF265</f>
        <v>12</v>
      </c>
      <c r="AC276" s="34">
        <f>[2]Districts_Boroughs!DG265</f>
        <v>18</v>
      </c>
      <c r="AD276" s="34">
        <f>[2]Districts_Boroughs!DH265</f>
        <v>14</v>
      </c>
      <c r="AE276" s="34">
        <f>[2]Districts_Boroughs!DI265</f>
        <v>18</v>
      </c>
      <c r="AF276" s="34">
        <f>[2]Districts_Boroughs!DJ265</f>
        <v>16</v>
      </c>
      <c r="AG276" s="34">
        <f>[2]Districts_Boroughs!DK265</f>
        <v>10</v>
      </c>
      <c r="AH276" s="34">
        <f>[2]Districts_Boroughs!DL265</f>
        <v>11</v>
      </c>
      <c r="AI276" s="34">
        <f>[2]Districts_Boroughs!DM265</f>
        <v>5</v>
      </c>
      <c r="AJ276" s="34">
        <f>[2]Districts_Boroughs!DN265</f>
        <v>9</v>
      </c>
      <c r="AK276" s="34">
        <f>[2]Districts_Boroughs!DO265</f>
        <v>14</v>
      </c>
      <c r="AL276" s="34">
        <f>[2]Districts_Boroughs!DP265</f>
        <v>10</v>
      </c>
      <c r="AM276" s="34">
        <f>[2]Districts_Boroughs!DQ265</f>
        <v>13</v>
      </c>
      <c r="AN276" s="34">
        <f>[2]Districts_Boroughs!DR265</f>
        <v>6</v>
      </c>
      <c r="AO276" s="34">
        <f>[2]Districts_Boroughs!DS265</f>
        <v>16</v>
      </c>
      <c r="AP276" s="34">
        <f>[2]Districts_Boroughs!DT265</f>
        <v>18</v>
      </c>
      <c r="AQ276" s="34">
        <f>[2]Districts_Boroughs!DU265</f>
        <v>12</v>
      </c>
      <c r="AR276" s="34">
        <f>[2]Districts_Boroughs!DV265</f>
        <v>20</v>
      </c>
      <c r="AS276" s="34">
        <f>[2]Districts_Boroughs!DW265</f>
        <v>15</v>
      </c>
      <c r="AT276" s="34">
        <f>[2]Districts_Boroughs!DX265</f>
        <v>11</v>
      </c>
      <c r="AU276" s="34">
        <f>[2]Districts_Boroughs!DY265</f>
        <v>8</v>
      </c>
      <c r="AV276" s="34">
        <f>[2]Districts_Boroughs!DZ265</f>
        <v>14</v>
      </c>
      <c r="AW276" s="34">
        <f>[2]Districts_Boroughs!EA265</f>
        <v>9</v>
      </c>
      <c r="AX276" s="34">
        <f>[2]Districts_Boroughs!EB265</f>
        <v>15</v>
      </c>
      <c r="AY276" s="34">
        <f>[2]Districts_Boroughs!EC265</f>
        <v>16</v>
      </c>
    </row>
    <row r="277" spans="2:51" x14ac:dyDescent="0.35">
      <c r="B277" t="str">
        <f t="shared" si="14"/>
        <v>South WarwickshireTotal VAP &amp; Sexual Offences</v>
      </c>
      <c r="C277" s="350" t="s">
        <v>42</v>
      </c>
      <c r="D277" s="34">
        <f>[2]Districts_Boroughs!CH266</f>
        <v>503</v>
      </c>
      <c r="E277" s="34">
        <f>[2]Districts_Boroughs!CI266</f>
        <v>545</v>
      </c>
      <c r="F277" s="34">
        <f>[2]Districts_Boroughs!CJ266</f>
        <v>642</v>
      </c>
      <c r="G277" s="34">
        <f>[2]Districts_Boroughs!CK266</f>
        <v>690</v>
      </c>
      <c r="H277" s="34">
        <f>[2]Districts_Boroughs!CL266</f>
        <v>673</v>
      </c>
      <c r="I277" s="34">
        <f>[2]Districts_Boroughs!CM266</f>
        <v>595</v>
      </c>
      <c r="J277" s="34">
        <f>[2]Districts_Boroughs!CN266</f>
        <v>629</v>
      </c>
      <c r="K277" s="34">
        <f>[2]Districts_Boroughs!CO266</f>
        <v>579</v>
      </c>
      <c r="L277" s="34">
        <f>[2]Districts_Boroughs!CP266</f>
        <v>539</v>
      </c>
      <c r="M277" s="34">
        <f>[2]Districts_Boroughs!CQ266</f>
        <v>566</v>
      </c>
      <c r="N277" s="34">
        <f>[2]Districts_Boroughs!CR266</f>
        <v>515</v>
      </c>
      <c r="O277" s="34">
        <f>[2]Districts_Boroughs!CS266</f>
        <v>594</v>
      </c>
      <c r="P277" s="34">
        <f>[2]Districts_Boroughs!CT266</f>
        <v>582</v>
      </c>
      <c r="Q277" s="34">
        <f>[2]Districts_Boroughs!CU266</f>
        <v>621</v>
      </c>
      <c r="R277" s="34">
        <f>[2]Districts_Boroughs!CV266</f>
        <v>621</v>
      </c>
      <c r="S277" s="34">
        <f>[2]Districts_Boroughs!CW266</f>
        <v>650</v>
      </c>
      <c r="T277" s="34">
        <f>[2]Districts_Boroughs!CX266</f>
        <v>601</v>
      </c>
      <c r="U277" s="34">
        <f>[2]Districts_Boroughs!CY266</f>
        <v>582</v>
      </c>
      <c r="V277" s="34">
        <f>[2]Districts_Boroughs!CZ266</f>
        <v>623</v>
      </c>
      <c r="W277" s="34">
        <f>[2]Districts_Boroughs!DA266</f>
        <v>565</v>
      </c>
      <c r="X277" s="34">
        <f>[2]Districts_Boroughs!DB266</f>
        <v>523</v>
      </c>
      <c r="Y277" s="34">
        <f>[2]Districts_Boroughs!DC266</f>
        <v>563</v>
      </c>
      <c r="Z277" s="34">
        <f>[2]Districts_Boroughs!DD266</f>
        <v>557</v>
      </c>
      <c r="AA277" s="34">
        <f>[2]Districts_Boroughs!DE266</f>
        <v>598</v>
      </c>
      <c r="AB277" s="34">
        <f>[2]Districts_Boroughs!DF266</f>
        <v>524</v>
      </c>
      <c r="AC277" s="34">
        <f>[2]Districts_Boroughs!DG266</f>
        <v>519</v>
      </c>
      <c r="AD277" s="34">
        <f>[2]Districts_Boroughs!DH266</f>
        <v>622</v>
      </c>
      <c r="AE277" s="34">
        <f>[2]Districts_Boroughs!DI266</f>
        <v>566</v>
      </c>
      <c r="AF277" s="34">
        <f>[2]Districts_Boroughs!DJ266</f>
        <v>540</v>
      </c>
      <c r="AG277" s="34">
        <f>[2]Districts_Boroughs!DK266</f>
        <v>580</v>
      </c>
      <c r="AH277" s="34">
        <f>[2]Districts_Boroughs!DL266</f>
        <v>583</v>
      </c>
      <c r="AI277" s="34">
        <f>[2]Districts_Boroughs!DM266</f>
        <v>532</v>
      </c>
      <c r="AJ277" s="34">
        <f>[2]Districts_Boroughs!DN266</f>
        <v>551</v>
      </c>
      <c r="AK277" s="34">
        <f>[2]Districts_Boroughs!DO266</f>
        <v>553</v>
      </c>
      <c r="AL277" s="34">
        <f>[2]Districts_Boroughs!DP266</f>
        <v>559</v>
      </c>
      <c r="AM277" s="34">
        <f>[2]Districts_Boroughs!DQ266</f>
        <v>524</v>
      </c>
      <c r="AN277" s="34">
        <f>[2]Districts_Boroughs!DR266</f>
        <v>530</v>
      </c>
      <c r="AO277" s="34">
        <f>[2]Districts_Boroughs!DS266</f>
        <v>569</v>
      </c>
      <c r="AP277" s="34">
        <f>[2]Districts_Boroughs!DT266</f>
        <v>579</v>
      </c>
      <c r="AQ277" s="34">
        <f>[2]Districts_Boroughs!DU266</f>
        <v>629</v>
      </c>
      <c r="AR277" s="34">
        <f>[2]Districts_Boroughs!DV266</f>
        <v>525</v>
      </c>
      <c r="AS277" s="34">
        <f>[2]Districts_Boroughs!DW266</f>
        <v>505</v>
      </c>
      <c r="AT277" s="34">
        <f>[2]Districts_Boroughs!DX266</f>
        <v>594</v>
      </c>
      <c r="AU277" s="34">
        <f>[2]Districts_Boroughs!DY266</f>
        <v>519</v>
      </c>
      <c r="AV277" s="34">
        <f>[2]Districts_Boroughs!DZ266</f>
        <v>529</v>
      </c>
      <c r="AW277" s="34">
        <f>[2]Districts_Boroughs!EA266</f>
        <v>546</v>
      </c>
      <c r="AX277" s="34">
        <f>[2]Districts_Boroughs!EB266</f>
        <v>514</v>
      </c>
      <c r="AY277" s="34">
        <f>[2]Districts_Boroughs!EC266</f>
        <v>568</v>
      </c>
    </row>
    <row r="278" spans="2:51" x14ac:dyDescent="0.35">
      <c r="B278" t="str">
        <f t="shared" si="14"/>
        <v>South Warwickshire</v>
      </c>
      <c r="C278" s="350"/>
      <c r="D278" s="34">
        <f>[2]Districts_Boroughs!CH267</f>
        <v>0</v>
      </c>
      <c r="E278" s="34">
        <f>[2]Districts_Boroughs!CI267</f>
        <v>0</v>
      </c>
      <c r="F278" s="34">
        <f>[2]Districts_Boroughs!CJ267</f>
        <v>0</v>
      </c>
      <c r="G278" s="34">
        <f>[2]Districts_Boroughs!CK267</f>
        <v>0</v>
      </c>
      <c r="H278" s="34">
        <f>[2]Districts_Boroughs!CL267</f>
        <v>0</v>
      </c>
      <c r="I278" s="34">
        <f>[2]Districts_Boroughs!CM267</f>
        <v>0</v>
      </c>
      <c r="J278" s="34">
        <f>[2]Districts_Boroughs!CN267</f>
        <v>0</v>
      </c>
      <c r="K278" s="34">
        <f>[2]Districts_Boroughs!CO267</f>
        <v>0</v>
      </c>
      <c r="L278" s="34">
        <f>[2]Districts_Boroughs!CP267</f>
        <v>0</v>
      </c>
      <c r="M278" s="34">
        <f>[2]Districts_Boroughs!CQ267</f>
        <v>0</v>
      </c>
      <c r="N278" s="34">
        <f>[2]Districts_Boroughs!CR267</f>
        <v>0</v>
      </c>
      <c r="O278" s="34">
        <f>[2]Districts_Boroughs!CS267</f>
        <v>0</v>
      </c>
      <c r="P278" s="34">
        <f>[2]Districts_Boroughs!CT267</f>
        <v>0</v>
      </c>
      <c r="Q278" s="34">
        <f>[2]Districts_Boroughs!CU267</f>
        <v>0</v>
      </c>
      <c r="R278" s="34">
        <f>[2]Districts_Boroughs!CV267</f>
        <v>0</v>
      </c>
      <c r="S278" s="34">
        <f>[2]Districts_Boroughs!CW267</f>
        <v>0</v>
      </c>
      <c r="T278" s="34">
        <f>[2]Districts_Boroughs!CX267</f>
        <v>0</v>
      </c>
      <c r="U278" s="34">
        <f>[2]Districts_Boroughs!CY267</f>
        <v>0</v>
      </c>
      <c r="V278" s="34">
        <f>[2]Districts_Boroughs!CZ267</f>
        <v>0</v>
      </c>
      <c r="W278" s="34">
        <f>[2]Districts_Boroughs!DA267</f>
        <v>0</v>
      </c>
      <c r="X278" s="34">
        <f>[2]Districts_Boroughs!DB267</f>
        <v>0</v>
      </c>
      <c r="Y278" s="34">
        <f>[2]Districts_Boroughs!DC267</f>
        <v>0</v>
      </c>
      <c r="Z278" s="34">
        <f>[2]Districts_Boroughs!DD267</f>
        <v>0</v>
      </c>
      <c r="AA278" s="34">
        <f>[2]Districts_Boroughs!DE267</f>
        <v>0</v>
      </c>
      <c r="AB278" s="34">
        <f>[2]Districts_Boroughs!DF267</f>
        <v>0</v>
      </c>
      <c r="AC278" s="34">
        <f>[2]Districts_Boroughs!DG267</f>
        <v>0</v>
      </c>
      <c r="AD278" s="34">
        <f>[2]Districts_Boroughs!DH267</f>
        <v>0</v>
      </c>
      <c r="AE278" s="34">
        <f>[2]Districts_Boroughs!DI267</f>
        <v>0</v>
      </c>
      <c r="AF278" s="34">
        <f>[2]Districts_Boroughs!DJ267</f>
        <v>0</v>
      </c>
      <c r="AG278" s="34">
        <f>[2]Districts_Boroughs!DK267</f>
        <v>0</v>
      </c>
      <c r="AH278" s="34">
        <f>[2]Districts_Boroughs!DL267</f>
        <v>0</v>
      </c>
      <c r="AI278" s="34">
        <f>[2]Districts_Boroughs!DM267</f>
        <v>0</v>
      </c>
      <c r="AJ278" s="34">
        <f>[2]Districts_Boroughs!DN267</f>
        <v>0</v>
      </c>
      <c r="AK278" s="34">
        <f>[2]Districts_Boroughs!DO267</f>
        <v>0</v>
      </c>
      <c r="AL278" s="34">
        <f>[2]Districts_Boroughs!DP267</f>
        <v>0</v>
      </c>
      <c r="AM278" s="34">
        <f>[2]Districts_Boroughs!DQ267</f>
        <v>0</v>
      </c>
      <c r="AN278" s="34">
        <f>[2]Districts_Boroughs!DR267</f>
        <v>0</v>
      </c>
      <c r="AO278" s="34">
        <f>[2]Districts_Boroughs!DS267</f>
        <v>0</v>
      </c>
      <c r="AP278" s="34">
        <f>[2]Districts_Boroughs!DT267</f>
        <v>0</v>
      </c>
      <c r="AQ278" s="34">
        <f>[2]Districts_Boroughs!DU267</f>
        <v>0</v>
      </c>
      <c r="AR278" s="34">
        <f>[2]Districts_Boroughs!DV267</f>
        <v>0</v>
      </c>
      <c r="AS278" s="34">
        <f>[2]Districts_Boroughs!DW267</f>
        <v>0</v>
      </c>
      <c r="AT278" s="34">
        <f>[2]Districts_Boroughs!DX267</f>
        <v>0</v>
      </c>
      <c r="AU278" s="34">
        <f>[2]Districts_Boroughs!DY267</f>
        <v>0</v>
      </c>
      <c r="AV278" s="34">
        <f>[2]Districts_Boroughs!DZ267</f>
        <v>0</v>
      </c>
      <c r="AW278" s="34">
        <f>[2]Districts_Boroughs!EA267</f>
        <v>0</v>
      </c>
      <c r="AX278" s="34">
        <f>[2]Districts_Boroughs!EB267</f>
        <v>0</v>
      </c>
      <c r="AY278" s="34">
        <f>[2]Districts_Boroughs!EC267</f>
        <v>0</v>
      </c>
    </row>
    <row r="279" spans="2:51" x14ac:dyDescent="0.35">
      <c r="B279" t="str">
        <f t="shared" si="14"/>
        <v>South WarwickshireVAP With Injury - Alcohol Related</v>
      </c>
      <c r="C279" s="350" t="s">
        <v>43</v>
      </c>
      <c r="D279" s="34">
        <f>[2]Districts_Boroughs!CH268</f>
        <v>12</v>
      </c>
      <c r="E279" s="34">
        <f>[2]Districts_Boroughs!CI268</f>
        <v>12</v>
      </c>
      <c r="F279" s="34">
        <f>[2]Districts_Boroughs!CJ268</f>
        <v>27</v>
      </c>
      <c r="G279" s="34">
        <f>[2]Districts_Boroughs!CK268</f>
        <v>22</v>
      </c>
      <c r="H279" s="34">
        <f>[2]Districts_Boroughs!CL268</f>
        <v>19</v>
      </c>
      <c r="I279" s="34">
        <f>[2]Districts_Boroughs!CM268</f>
        <v>17</v>
      </c>
      <c r="J279" s="34">
        <f>[2]Districts_Boroughs!CN268</f>
        <v>18</v>
      </c>
      <c r="K279" s="34">
        <f>[2]Districts_Boroughs!CO268</f>
        <v>8</v>
      </c>
      <c r="L279" s="34">
        <f>[2]Districts_Boroughs!CP268</f>
        <v>22</v>
      </c>
      <c r="M279" s="34">
        <f>[2]Districts_Boroughs!CQ268</f>
        <v>26</v>
      </c>
      <c r="N279" s="34">
        <f>[2]Districts_Boroughs!CR268</f>
        <v>13</v>
      </c>
      <c r="O279" s="34">
        <f>[2]Districts_Boroughs!CS268</f>
        <v>9</v>
      </c>
      <c r="P279" s="34">
        <f>[2]Districts_Boroughs!CT268</f>
        <v>21</v>
      </c>
      <c r="Q279" s="34">
        <f>[2]Districts_Boroughs!CU268</f>
        <v>22</v>
      </c>
      <c r="R279" s="34">
        <f>[2]Districts_Boroughs!CV268</f>
        <v>15</v>
      </c>
      <c r="S279" s="34">
        <f>[2]Districts_Boroughs!CW268</f>
        <v>19</v>
      </c>
      <c r="T279" s="34">
        <f>[2]Districts_Boroughs!CX268</f>
        <v>20</v>
      </c>
      <c r="U279" s="34">
        <f>[2]Districts_Boroughs!CY268</f>
        <v>13</v>
      </c>
      <c r="V279" s="34">
        <f>[2]Districts_Boroughs!CZ268</f>
        <v>16</v>
      </c>
      <c r="W279" s="34">
        <f>[2]Districts_Boroughs!DA268</f>
        <v>12</v>
      </c>
      <c r="X279" s="34">
        <f>[2]Districts_Boroughs!DB268</f>
        <v>18</v>
      </c>
      <c r="Y279" s="34">
        <f>[2]Districts_Boroughs!DC268</f>
        <v>13</v>
      </c>
      <c r="Z279" s="34">
        <f>[2]Districts_Boroughs!DD268</f>
        <v>18</v>
      </c>
      <c r="AA279" s="34">
        <f>[2]Districts_Boroughs!DE268</f>
        <v>16</v>
      </c>
      <c r="AB279" s="34">
        <f>[2]Districts_Boroughs!DF268</f>
        <v>14</v>
      </c>
      <c r="AC279" s="34">
        <f>[2]Districts_Boroughs!DG268</f>
        <v>23</v>
      </c>
      <c r="AD279" s="34">
        <f>[2]Districts_Boroughs!DH268</f>
        <v>22</v>
      </c>
      <c r="AE279" s="34">
        <f>[2]Districts_Boroughs!DI268</f>
        <v>13</v>
      </c>
      <c r="AF279" s="34">
        <f>[2]Districts_Boroughs!DJ268</f>
        <v>10</v>
      </c>
      <c r="AG279" s="34">
        <f>[2]Districts_Boroughs!DK268</f>
        <v>12</v>
      </c>
      <c r="AH279" s="34">
        <f>[2]Districts_Boroughs!DL268</f>
        <v>11</v>
      </c>
      <c r="AI279" s="34">
        <f>[2]Districts_Boroughs!DM268</f>
        <v>20</v>
      </c>
      <c r="AJ279" s="34">
        <f>[2]Districts_Boroughs!DN268</f>
        <v>25</v>
      </c>
      <c r="AK279" s="34">
        <f>[2]Districts_Boroughs!DO268</f>
        <v>10</v>
      </c>
      <c r="AL279" s="34">
        <f>[2]Districts_Boroughs!DP268</f>
        <v>13</v>
      </c>
      <c r="AM279" s="34">
        <f>[2]Districts_Boroughs!DQ268</f>
        <v>19</v>
      </c>
      <c r="AN279" s="34">
        <f>[2]Districts_Boroughs!DR268</f>
        <v>14</v>
      </c>
      <c r="AO279" s="34">
        <f>[2]Districts_Boroughs!DS268</f>
        <v>23</v>
      </c>
      <c r="AP279" s="34">
        <f>[2]Districts_Boroughs!DT268</f>
        <v>19</v>
      </c>
      <c r="AQ279" s="34">
        <f>[2]Districts_Boroughs!DU268</f>
        <v>12</v>
      </c>
      <c r="AR279" s="34">
        <f>[2]Districts_Boroughs!DV268</f>
        <v>6</v>
      </c>
      <c r="AS279" s="34">
        <f>[2]Districts_Boroughs!DW268</f>
        <v>10</v>
      </c>
      <c r="AT279" s="34">
        <f>[2]Districts_Boroughs!DX268</f>
        <v>21</v>
      </c>
      <c r="AU279" s="34">
        <f>[2]Districts_Boroughs!DY268</f>
        <v>10</v>
      </c>
      <c r="AV279" s="34">
        <f>[2]Districts_Boroughs!DZ268</f>
        <v>12</v>
      </c>
      <c r="AW279" s="34">
        <f>[2]Districts_Boroughs!EA268</f>
        <v>9</v>
      </c>
      <c r="AX279" s="34">
        <f>[2]Districts_Boroughs!EB268</f>
        <v>13</v>
      </c>
      <c r="AY279" s="34">
        <f>[2]Districts_Boroughs!EC268</f>
        <v>7</v>
      </c>
    </row>
    <row r="280" spans="2:51" s="64" customFormat="1" x14ac:dyDescent="0.35">
      <c r="B280" s="64" t="str">
        <f t="shared" si="14"/>
        <v>South WarwickshireVAP Without Injury - Alcohol Related</v>
      </c>
      <c r="C280" s="350" t="s">
        <v>198</v>
      </c>
      <c r="D280" s="34">
        <f>[2]Districts_Boroughs!CH269</f>
        <v>15</v>
      </c>
      <c r="E280" s="34">
        <f>[2]Districts_Boroughs!CI269</f>
        <v>25</v>
      </c>
      <c r="F280" s="34">
        <f>[2]Districts_Boroughs!CJ269</f>
        <v>29</v>
      </c>
      <c r="G280" s="34">
        <f>[2]Districts_Boroughs!CK269</f>
        <v>34</v>
      </c>
      <c r="H280" s="34">
        <f>[2]Districts_Boroughs!CL269</f>
        <v>27</v>
      </c>
      <c r="I280" s="34">
        <f>[2]Districts_Boroughs!CM269</f>
        <v>15</v>
      </c>
      <c r="J280" s="34">
        <f>[2]Districts_Boroughs!CN269</f>
        <v>25</v>
      </c>
      <c r="K280" s="34">
        <f>[2]Districts_Boroughs!CO269</f>
        <v>28</v>
      </c>
      <c r="L280" s="34">
        <f>[2]Districts_Boroughs!CP269</f>
        <v>26</v>
      </c>
      <c r="M280" s="34">
        <f>[2]Districts_Boroughs!CQ269</f>
        <v>26</v>
      </c>
      <c r="N280" s="34">
        <f>[2]Districts_Boroughs!CR269</f>
        <v>17</v>
      </c>
      <c r="O280" s="34">
        <f>[2]Districts_Boroughs!CS269</f>
        <v>22</v>
      </c>
      <c r="P280" s="34">
        <f>[2]Districts_Boroughs!CT269</f>
        <v>24</v>
      </c>
      <c r="Q280" s="34">
        <f>[2]Districts_Boroughs!CU269</f>
        <v>27</v>
      </c>
      <c r="R280" s="34">
        <f>[2]Districts_Boroughs!CV269</f>
        <v>23</v>
      </c>
      <c r="S280" s="34">
        <f>[2]Districts_Boroughs!CW269</f>
        <v>29</v>
      </c>
      <c r="T280" s="34">
        <f>[2]Districts_Boroughs!CX269</f>
        <v>16</v>
      </c>
      <c r="U280" s="34">
        <f>[2]Districts_Boroughs!CY269</f>
        <v>18</v>
      </c>
      <c r="V280" s="34">
        <f>[2]Districts_Boroughs!CZ269</f>
        <v>18</v>
      </c>
      <c r="W280" s="34">
        <f>[2]Districts_Boroughs!DA269</f>
        <v>19</v>
      </c>
      <c r="X280" s="34">
        <f>[2]Districts_Boroughs!DB269</f>
        <v>23</v>
      </c>
      <c r="Y280" s="34">
        <f>[2]Districts_Boroughs!DC269</f>
        <v>25</v>
      </c>
      <c r="Z280" s="34">
        <f>[2]Districts_Boroughs!DD269</f>
        <v>16</v>
      </c>
      <c r="AA280" s="34">
        <f>[2]Districts_Boroughs!DE269</f>
        <v>26</v>
      </c>
      <c r="AB280" s="34">
        <f>[2]Districts_Boroughs!DF269</f>
        <v>26</v>
      </c>
      <c r="AC280" s="34">
        <f>[2]Districts_Boroughs!DG269</f>
        <v>24</v>
      </c>
      <c r="AD280" s="34">
        <f>[2]Districts_Boroughs!DH269</f>
        <v>20</v>
      </c>
      <c r="AE280" s="34">
        <f>[2]Districts_Boroughs!DI269</f>
        <v>14</v>
      </c>
      <c r="AF280" s="34">
        <f>[2]Districts_Boroughs!DJ269</f>
        <v>21</v>
      </c>
      <c r="AG280" s="34">
        <f>[2]Districts_Boroughs!DK269</f>
        <v>26</v>
      </c>
      <c r="AH280" s="34">
        <f>[2]Districts_Boroughs!DL269</f>
        <v>19</v>
      </c>
      <c r="AI280" s="34">
        <f>[2]Districts_Boroughs!DM269</f>
        <v>22</v>
      </c>
      <c r="AJ280" s="34">
        <f>[2]Districts_Boroughs!DN269</f>
        <v>22</v>
      </c>
      <c r="AK280" s="34">
        <f>[2]Districts_Boroughs!DO269</f>
        <v>21</v>
      </c>
      <c r="AL280" s="34">
        <f>[2]Districts_Boroughs!DP269</f>
        <v>12</v>
      </c>
      <c r="AM280" s="34">
        <f>[2]Districts_Boroughs!DQ269</f>
        <v>19</v>
      </c>
      <c r="AN280" s="34">
        <f>[2]Districts_Boroughs!DR269</f>
        <v>16</v>
      </c>
      <c r="AO280" s="34">
        <f>[2]Districts_Boroughs!DS269</f>
        <v>18</v>
      </c>
      <c r="AP280" s="34">
        <f>[2]Districts_Boroughs!DT269</f>
        <v>19</v>
      </c>
      <c r="AQ280" s="34">
        <f>[2]Districts_Boroughs!DU269</f>
        <v>20</v>
      </c>
      <c r="AR280" s="34">
        <f>[2]Districts_Boroughs!DV269</f>
        <v>9</v>
      </c>
      <c r="AS280" s="34">
        <f>[2]Districts_Boroughs!DW269</f>
        <v>13</v>
      </c>
      <c r="AT280" s="34">
        <f>[2]Districts_Boroughs!DX269</f>
        <v>15</v>
      </c>
      <c r="AU280" s="34">
        <f>[2]Districts_Boroughs!DY269</f>
        <v>12</v>
      </c>
      <c r="AV280" s="34">
        <f>[2]Districts_Boroughs!DZ269</f>
        <v>17</v>
      </c>
      <c r="AW280" s="34">
        <f>[2]Districts_Boroughs!EA269</f>
        <v>18</v>
      </c>
      <c r="AX280" s="34">
        <f>[2]Districts_Boroughs!EB269</f>
        <v>15</v>
      </c>
      <c r="AY280" s="34">
        <f>[2]Districts_Boroughs!EC269</f>
        <v>13</v>
      </c>
    </row>
    <row r="281" spans="2:51" x14ac:dyDescent="0.35">
      <c r="B281" s="64" t="str">
        <f t="shared" si="14"/>
        <v>South WarwickshireVAP With Injury - Drug Related</v>
      </c>
      <c r="C281" s="350" t="s">
        <v>44</v>
      </c>
      <c r="D281" s="34">
        <f>[2]Districts_Boroughs!CH270</f>
        <v>0</v>
      </c>
      <c r="E281" s="34">
        <f>[2]Districts_Boroughs!CI270</f>
        <v>0</v>
      </c>
      <c r="F281" s="34">
        <f>[2]Districts_Boroughs!CJ270</f>
        <v>1</v>
      </c>
      <c r="G281" s="34">
        <f>[2]Districts_Boroughs!CK270</f>
        <v>0</v>
      </c>
      <c r="H281" s="34">
        <f>[2]Districts_Boroughs!CL270</f>
        <v>0</v>
      </c>
      <c r="I281" s="34">
        <f>[2]Districts_Boroughs!CM270</f>
        <v>0</v>
      </c>
      <c r="J281" s="34">
        <f>[2]Districts_Boroughs!CN270</f>
        <v>1</v>
      </c>
      <c r="K281" s="34">
        <f>[2]Districts_Boroughs!CO270</f>
        <v>2</v>
      </c>
      <c r="L281" s="34">
        <f>[2]Districts_Boroughs!CP270</f>
        <v>1</v>
      </c>
      <c r="M281" s="34">
        <f>[2]Districts_Boroughs!CQ270</f>
        <v>0</v>
      </c>
      <c r="N281" s="34">
        <f>[2]Districts_Boroughs!CR270</f>
        <v>1</v>
      </c>
      <c r="O281" s="34">
        <f>[2]Districts_Boroughs!CS270</f>
        <v>0</v>
      </c>
      <c r="P281" s="34">
        <f>[2]Districts_Boroughs!CT270</f>
        <v>2</v>
      </c>
      <c r="Q281" s="34">
        <f>[2]Districts_Boroughs!CU270</f>
        <v>4</v>
      </c>
      <c r="R281" s="34">
        <f>[2]Districts_Boroughs!CV270</f>
        <v>1</v>
      </c>
      <c r="S281" s="34">
        <f>[2]Districts_Boroughs!CW270</f>
        <v>0</v>
      </c>
      <c r="T281" s="34">
        <f>[2]Districts_Boroughs!CX270</f>
        <v>1</v>
      </c>
      <c r="U281" s="34">
        <f>[2]Districts_Boroughs!CY270</f>
        <v>0</v>
      </c>
      <c r="V281" s="34">
        <f>[2]Districts_Boroughs!CZ270</f>
        <v>0</v>
      </c>
      <c r="W281" s="34">
        <f>[2]Districts_Boroughs!DA270</f>
        <v>2</v>
      </c>
      <c r="X281" s="34">
        <f>[2]Districts_Boroughs!DB270</f>
        <v>3</v>
      </c>
      <c r="Y281" s="34">
        <f>[2]Districts_Boroughs!DC270</f>
        <v>0</v>
      </c>
      <c r="Z281" s="34">
        <f>[2]Districts_Boroughs!DD270</f>
        <v>1</v>
      </c>
      <c r="AA281" s="34">
        <f>[2]Districts_Boroughs!DE270</f>
        <v>2</v>
      </c>
      <c r="AB281" s="34">
        <f>[2]Districts_Boroughs!DF270</f>
        <v>1</v>
      </c>
      <c r="AC281" s="34">
        <f>[2]Districts_Boroughs!DG270</f>
        <v>3</v>
      </c>
      <c r="AD281" s="34">
        <f>[2]Districts_Boroughs!DH270</f>
        <v>1</v>
      </c>
      <c r="AE281" s="34">
        <f>[2]Districts_Boroughs!DI270</f>
        <v>2</v>
      </c>
      <c r="AF281" s="34">
        <f>[2]Districts_Boroughs!DJ270</f>
        <v>0</v>
      </c>
      <c r="AG281" s="34">
        <f>[2]Districts_Boroughs!DK270</f>
        <v>0</v>
      </c>
      <c r="AH281" s="34">
        <f>[2]Districts_Boroughs!DL270</f>
        <v>0</v>
      </c>
      <c r="AI281" s="34">
        <f>[2]Districts_Boroughs!DM270</f>
        <v>0</v>
      </c>
      <c r="AJ281" s="34">
        <f>[2]Districts_Boroughs!DN270</f>
        <v>1</v>
      </c>
      <c r="AK281" s="34">
        <f>[2]Districts_Boroughs!DO270</f>
        <v>0</v>
      </c>
      <c r="AL281" s="34">
        <f>[2]Districts_Boroughs!DP270</f>
        <v>0</v>
      </c>
      <c r="AM281" s="34">
        <f>[2]Districts_Boroughs!DQ270</f>
        <v>1</v>
      </c>
      <c r="AN281" s="34">
        <f>[2]Districts_Boroughs!DR270</f>
        <v>2</v>
      </c>
      <c r="AO281" s="34">
        <f>[2]Districts_Boroughs!DS270</f>
        <v>1</v>
      </c>
      <c r="AP281" s="34">
        <f>[2]Districts_Boroughs!DT270</f>
        <v>3</v>
      </c>
      <c r="AQ281" s="34">
        <f>[2]Districts_Boroughs!DU270</f>
        <v>4</v>
      </c>
      <c r="AR281" s="34">
        <f>[2]Districts_Boroughs!DV270</f>
        <v>0</v>
      </c>
      <c r="AS281" s="34">
        <f>[2]Districts_Boroughs!DW270</f>
        <v>0</v>
      </c>
      <c r="AT281" s="34">
        <f>[2]Districts_Boroughs!DX270</f>
        <v>1</v>
      </c>
      <c r="AU281" s="34">
        <f>[2]Districts_Boroughs!DY270</f>
        <v>1</v>
      </c>
      <c r="AV281" s="34">
        <f>[2]Districts_Boroughs!DZ270</f>
        <v>2</v>
      </c>
      <c r="AW281" s="34">
        <f>[2]Districts_Boroughs!EA270</f>
        <v>0</v>
      </c>
      <c r="AX281" s="34">
        <f>[2]Districts_Boroughs!EB270</f>
        <v>0</v>
      </c>
      <c r="AY281" s="34">
        <f>[2]Districts_Boroughs!EC270</f>
        <v>0</v>
      </c>
    </row>
    <row r="282" spans="2:51" s="64" customFormat="1" x14ac:dyDescent="0.35">
      <c r="B282" s="64" t="str">
        <f t="shared" si="14"/>
        <v>South WarwickshireVAP Without Injury - Drug Related</v>
      </c>
      <c r="C282" s="350" t="s">
        <v>199</v>
      </c>
      <c r="D282" s="34">
        <f>[2]Districts_Boroughs!CH271</f>
        <v>1</v>
      </c>
      <c r="E282" s="34">
        <f>[2]Districts_Boroughs!CI271</f>
        <v>0</v>
      </c>
      <c r="F282" s="34">
        <f>[2]Districts_Boroughs!CJ271</f>
        <v>2</v>
      </c>
      <c r="G282" s="34">
        <f>[2]Districts_Boroughs!CK271</f>
        <v>2</v>
      </c>
      <c r="H282" s="34">
        <f>[2]Districts_Boroughs!CL271</f>
        <v>1</v>
      </c>
      <c r="I282" s="34">
        <f>[2]Districts_Boroughs!CM271</f>
        <v>0</v>
      </c>
      <c r="J282" s="34">
        <f>[2]Districts_Boroughs!CN271</f>
        <v>1</v>
      </c>
      <c r="K282" s="34">
        <f>[2]Districts_Boroughs!CO271</f>
        <v>0</v>
      </c>
      <c r="L282" s="34">
        <f>[2]Districts_Boroughs!CP271</f>
        <v>1</v>
      </c>
      <c r="M282" s="34">
        <f>[2]Districts_Boroughs!CQ271</f>
        <v>0</v>
      </c>
      <c r="N282" s="34">
        <f>[2]Districts_Boroughs!CR271</f>
        <v>0</v>
      </c>
      <c r="O282" s="34">
        <f>[2]Districts_Boroughs!CS271</f>
        <v>1</v>
      </c>
      <c r="P282" s="34">
        <f>[2]Districts_Boroughs!CT271</f>
        <v>0</v>
      </c>
      <c r="Q282" s="34">
        <f>[2]Districts_Boroughs!CU271</f>
        <v>2</v>
      </c>
      <c r="R282" s="34">
        <f>[2]Districts_Boroughs!CV271</f>
        <v>4</v>
      </c>
      <c r="S282" s="34">
        <f>[2]Districts_Boroughs!CW271</f>
        <v>0</v>
      </c>
      <c r="T282" s="34">
        <f>[2]Districts_Boroughs!CX271</f>
        <v>0</v>
      </c>
      <c r="U282" s="34">
        <f>[2]Districts_Boroughs!CY271</f>
        <v>3</v>
      </c>
      <c r="V282" s="34">
        <f>[2]Districts_Boroughs!CZ271</f>
        <v>0</v>
      </c>
      <c r="W282" s="34">
        <f>[2]Districts_Boroughs!DA271</f>
        <v>1</v>
      </c>
      <c r="X282" s="34">
        <f>[2]Districts_Boroughs!DB271</f>
        <v>0</v>
      </c>
      <c r="Y282" s="34">
        <f>[2]Districts_Boroughs!DC271</f>
        <v>5</v>
      </c>
      <c r="Z282" s="34">
        <f>[2]Districts_Boroughs!DD271</f>
        <v>0</v>
      </c>
      <c r="AA282" s="34">
        <f>[2]Districts_Boroughs!DE271</f>
        <v>2</v>
      </c>
      <c r="AB282" s="34">
        <f>[2]Districts_Boroughs!DF271</f>
        <v>0</v>
      </c>
      <c r="AC282" s="34">
        <f>[2]Districts_Boroughs!DG271</f>
        <v>0</v>
      </c>
      <c r="AD282" s="34">
        <f>[2]Districts_Boroughs!DH271</f>
        <v>2</v>
      </c>
      <c r="AE282" s="34">
        <f>[2]Districts_Boroughs!DI271</f>
        <v>3</v>
      </c>
      <c r="AF282" s="34">
        <f>[2]Districts_Boroughs!DJ271</f>
        <v>2</v>
      </c>
      <c r="AG282" s="34">
        <f>[2]Districts_Boroughs!DK271</f>
        <v>5</v>
      </c>
      <c r="AH282" s="34">
        <f>[2]Districts_Boroughs!DL271</f>
        <v>3</v>
      </c>
      <c r="AI282" s="34">
        <f>[2]Districts_Boroughs!DM271</f>
        <v>1</v>
      </c>
      <c r="AJ282" s="34">
        <f>[2]Districts_Boroughs!DN271</f>
        <v>2</v>
      </c>
      <c r="AK282" s="34">
        <f>[2]Districts_Boroughs!DO271</f>
        <v>2</v>
      </c>
      <c r="AL282" s="34">
        <f>[2]Districts_Boroughs!DP271</f>
        <v>0</v>
      </c>
      <c r="AM282" s="34">
        <f>[2]Districts_Boroughs!DQ271</f>
        <v>0</v>
      </c>
      <c r="AN282" s="34">
        <f>[2]Districts_Boroughs!DR271</f>
        <v>0</v>
      </c>
      <c r="AO282" s="34">
        <f>[2]Districts_Boroughs!DS271</f>
        <v>0</v>
      </c>
      <c r="AP282" s="34">
        <f>[2]Districts_Boroughs!DT271</f>
        <v>1</v>
      </c>
      <c r="AQ282" s="34">
        <f>[2]Districts_Boroughs!DU271</f>
        <v>2</v>
      </c>
      <c r="AR282" s="34">
        <f>[2]Districts_Boroughs!DV271</f>
        <v>0</v>
      </c>
      <c r="AS282" s="34">
        <f>[2]Districts_Boroughs!DW271</f>
        <v>1</v>
      </c>
      <c r="AT282" s="34">
        <f>[2]Districts_Boroughs!DX271</f>
        <v>0</v>
      </c>
      <c r="AU282" s="34">
        <f>[2]Districts_Boroughs!DY271</f>
        <v>2</v>
      </c>
      <c r="AV282" s="34">
        <f>[2]Districts_Boroughs!DZ271</f>
        <v>2</v>
      </c>
      <c r="AW282" s="34">
        <f>[2]Districts_Boroughs!EA271</f>
        <v>0</v>
      </c>
      <c r="AX282" s="34">
        <f>[2]Districts_Boroughs!EB271</f>
        <v>2</v>
      </c>
      <c r="AY282" s="34">
        <f>[2]Districts_Boroughs!EC271</f>
        <v>1</v>
      </c>
    </row>
    <row r="283" spans="2:51" x14ac:dyDescent="0.35">
      <c r="B283" s="64" t="str">
        <f t="shared" si="14"/>
        <v>South WarwickshireVAP With Injury- Domestic Abuse Related</v>
      </c>
      <c r="C283" s="350" t="s">
        <v>45</v>
      </c>
      <c r="D283" s="34">
        <f>[2]Districts_Boroughs!CH272</f>
        <v>40</v>
      </c>
      <c r="E283" s="34">
        <f>[2]Districts_Boroughs!CI272</f>
        <v>38</v>
      </c>
      <c r="F283" s="34">
        <f>[2]Districts_Boroughs!CJ272</f>
        <v>52</v>
      </c>
      <c r="G283" s="34">
        <f>[2]Districts_Boroughs!CK272</f>
        <v>59</v>
      </c>
      <c r="H283" s="34">
        <f>[2]Districts_Boroughs!CL272</f>
        <v>45</v>
      </c>
      <c r="I283" s="34">
        <f>[2]Districts_Boroughs!CM272</f>
        <v>41</v>
      </c>
      <c r="J283" s="34">
        <f>[2]Districts_Boroughs!CN272</f>
        <v>43</v>
      </c>
      <c r="K283" s="34">
        <f>[2]Districts_Boroughs!CO272</f>
        <v>44</v>
      </c>
      <c r="L283" s="34">
        <f>[2]Districts_Boroughs!CP272</f>
        <v>46</v>
      </c>
      <c r="M283" s="34">
        <f>[2]Districts_Boroughs!CQ272</f>
        <v>48</v>
      </c>
      <c r="N283" s="34">
        <f>[2]Districts_Boroughs!CR272</f>
        <v>41</v>
      </c>
      <c r="O283" s="34">
        <f>[2]Districts_Boroughs!CS272</f>
        <v>38</v>
      </c>
      <c r="P283" s="34">
        <f>[2]Districts_Boroughs!CT272</f>
        <v>61</v>
      </c>
      <c r="Q283" s="34">
        <f>[2]Districts_Boroughs!CU272</f>
        <v>60</v>
      </c>
      <c r="R283" s="34">
        <f>[2]Districts_Boroughs!CV272</f>
        <v>46</v>
      </c>
      <c r="S283" s="34">
        <f>[2]Districts_Boroughs!CW272</f>
        <v>52</v>
      </c>
      <c r="T283" s="34">
        <f>[2]Districts_Boroughs!CX272</f>
        <v>59</v>
      </c>
      <c r="U283" s="34">
        <f>[2]Districts_Boroughs!CY272</f>
        <v>48</v>
      </c>
      <c r="V283" s="34">
        <f>[2]Districts_Boroughs!CZ272</f>
        <v>49</v>
      </c>
      <c r="W283" s="34">
        <f>[2]Districts_Boroughs!DA272</f>
        <v>44</v>
      </c>
      <c r="X283" s="34">
        <f>[2]Districts_Boroughs!DB272</f>
        <v>63</v>
      </c>
      <c r="Y283" s="34">
        <f>[2]Districts_Boroughs!DC272</f>
        <v>52</v>
      </c>
      <c r="Z283" s="34">
        <f>[2]Districts_Boroughs!DD272</f>
        <v>52</v>
      </c>
      <c r="AA283" s="34">
        <f>[2]Districts_Boroughs!DE272</f>
        <v>53</v>
      </c>
      <c r="AB283" s="34">
        <f>[2]Districts_Boroughs!DF272</f>
        <v>68</v>
      </c>
      <c r="AC283" s="34">
        <f>[2]Districts_Boroughs!DG272</f>
        <v>45</v>
      </c>
      <c r="AD283" s="34">
        <f>[2]Districts_Boroughs!DH272</f>
        <v>71</v>
      </c>
      <c r="AE283" s="34">
        <f>[2]Districts_Boroughs!DI272</f>
        <v>48</v>
      </c>
      <c r="AF283" s="34">
        <f>[2]Districts_Boroughs!DJ272</f>
        <v>59</v>
      </c>
      <c r="AG283" s="34">
        <f>[2]Districts_Boroughs!DK272</f>
        <v>45</v>
      </c>
      <c r="AH283" s="34">
        <f>[2]Districts_Boroughs!DL272</f>
        <v>31</v>
      </c>
      <c r="AI283" s="34">
        <f>[2]Districts_Boroughs!DM272</f>
        <v>42</v>
      </c>
      <c r="AJ283" s="34">
        <f>[2]Districts_Boroughs!DN272</f>
        <v>41</v>
      </c>
      <c r="AK283" s="34">
        <f>[2]Districts_Boroughs!DO272</f>
        <v>45</v>
      </c>
      <c r="AL283" s="34">
        <f>[2]Districts_Boroughs!DP272</f>
        <v>47</v>
      </c>
      <c r="AM283" s="34">
        <f>[2]Districts_Boroughs!DQ272</f>
        <v>40</v>
      </c>
      <c r="AN283" s="34">
        <f>[2]Districts_Boroughs!DR272</f>
        <v>56</v>
      </c>
      <c r="AO283" s="34">
        <f>[2]Districts_Boroughs!DS272</f>
        <v>63</v>
      </c>
      <c r="AP283" s="34">
        <f>[2]Districts_Boroughs!DT272</f>
        <v>55</v>
      </c>
      <c r="AQ283" s="34">
        <f>[2]Districts_Boroughs!DU272</f>
        <v>56</v>
      </c>
      <c r="AR283" s="34">
        <f>[2]Districts_Boroughs!DV272</f>
        <v>71</v>
      </c>
      <c r="AS283" s="34">
        <f>[2]Districts_Boroughs!DW272</f>
        <v>39</v>
      </c>
      <c r="AT283" s="34">
        <f>[2]Districts_Boroughs!DX272</f>
        <v>48</v>
      </c>
      <c r="AU283" s="34">
        <f>[2]Districts_Boroughs!DY272</f>
        <v>44</v>
      </c>
      <c r="AV283" s="34">
        <f>[2]Districts_Boroughs!DZ272</f>
        <v>50</v>
      </c>
      <c r="AW283" s="34">
        <f>[2]Districts_Boroughs!EA272</f>
        <v>56</v>
      </c>
      <c r="AX283" s="34">
        <f>[2]Districts_Boroughs!EB272</f>
        <v>45</v>
      </c>
      <c r="AY283" s="34">
        <f>[2]Districts_Boroughs!EC272</f>
        <v>42</v>
      </c>
    </row>
    <row r="284" spans="2:51" s="64" customFormat="1" x14ac:dyDescent="0.35">
      <c r="B284" s="64" t="str">
        <f t="shared" si="14"/>
        <v>South WarwickshireVAP Without Injury- Domestic Abuse Related</v>
      </c>
      <c r="C284" s="350" t="s">
        <v>191</v>
      </c>
      <c r="D284" s="34">
        <f>[2]Districts_Boroughs!CH273</f>
        <v>141</v>
      </c>
      <c r="E284" s="34">
        <f>[2]Districts_Boroughs!CI273</f>
        <v>165</v>
      </c>
      <c r="F284" s="34">
        <f>[2]Districts_Boroughs!CJ273</f>
        <v>184</v>
      </c>
      <c r="G284" s="34">
        <f>[2]Districts_Boroughs!CK273</f>
        <v>152</v>
      </c>
      <c r="H284" s="34">
        <f>[2]Districts_Boroughs!CL273</f>
        <v>172</v>
      </c>
      <c r="I284" s="34">
        <f>[2]Districts_Boroughs!CM273</f>
        <v>138</v>
      </c>
      <c r="J284" s="34">
        <f>[2]Districts_Boroughs!CN273</f>
        <v>148</v>
      </c>
      <c r="K284" s="34">
        <f>[2]Districts_Boroughs!CO273</f>
        <v>126</v>
      </c>
      <c r="L284" s="34">
        <f>[2]Districts_Boroughs!CP273</f>
        <v>124</v>
      </c>
      <c r="M284" s="34">
        <f>[2]Districts_Boroughs!CQ273</f>
        <v>144</v>
      </c>
      <c r="N284" s="34">
        <f>[2]Districts_Boroughs!CR273</f>
        <v>128</v>
      </c>
      <c r="O284" s="34">
        <f>[2]Districts_Boroughs!CS273</f>
        <v>166</v>
      </c>
      <c r="P284" s="34">
        <f>[2]Districts_Boroughs!CT273</f>
        <v>161</v>
      </c>
      <c r="Q284" s="34">
        <f>[2]Districts_Boroughs!CU273</f>
        <v>165</v>
      </c>
      <c r="R284" s="34">
        <f>[2]Districts_Boroughs!CV273</f>
        <v>143</v>
      </c>
      <c r="S284" s="34">
        <f>[2]Districts_Boroughs!CW273</f>
        <v>158</v>
      </c>
      <c r="T284" s="34">
        <f>[2]Districts_Boroughs!CX273</f>
        <v>109</v>
      </c>
      <c r="U284" s="34">
        <f>[2]Districts_Boroughs!CY273</f>
        <v>144</v>
      </c>
      <c r="V284" s="34">
        <f>[2]Districts_Boroughs!CZ273</f>
        <v>126</v>
      </c>
      <c r="W284" s="34">
        <f>[2]Districts_Boroughs!DA273</f>
        <v>132</v>
      </c>
      <c r="X284" s="34">
        <f>[2]Districts_Boroughs!DB273</f>
        <v>129</v>
      </c>
      <c r="Y284" s="34">
        <f>[2]Districts_Boroughs!DC273</f>
        <v>120</v>
      </c>
      <c r="Z284" s="34">
        <f>[2]Districts_Boroughs!DD273</f>
        <v>118</v>
      </c>
      <c r="AA284" s="34">
        <f>[2]Districts_Boroughs!DE273</f>
        <v>136</v>
      </c>
      <c r="AB284" s="34">
        <f>[2]Districts_Boroughs!DF273</f>
        <v>127</v>
      </c>
      <c r="AC284" s="34">
        <f>[2]Districts_Boroughs!DG273</f>
        <v>120</v>
      </c>
      <c r="AD284" s="34">
        <f>[2]Districts_Boroughs!DH273</f>
        <v>113</v>
      </c>
      <c r="AE284" s="34">
        <f>[2]Districts_Boroughs!DI273</f>
        <v>140</v>
      </c>
      <c r="AF284" s="34">
        <f>[2]Districts_Boroughs!DJ273</f>
        <v>116</v>
      </c>
      <c r="AG284" s="34">
        <f>[2]Districts_Boroughs!DK273</f>
        <v>115</v>
      </c>
      <c r="AH284" s="34">
        <f>[2]Districts_Boroughs!DL273</f>
        <v>120</v>
      </c>
      <c r="AI284" s="34">
        <f>[2]Districts_Boroughs!DM273</f>
        <v>115</v>
      </c>
      <c r="AJ284" s="34">
        <f>[2]Districts_Boroughs!DN273</f>
        <v>112</v>
      </c>
      <c r="AK284" s="34">
        <f>[2]Districts_Boroughs!DO273</f>
        <v>121</v>
      </c>
      <c r="AL284" s="34">
        <f>[2]Districts_Boroughs!DP273</f>
        <v>100</v>
      </c>
      <c r="AM284" s="34">
        <f>[2]Districts_Boroughs!DQ273</f>
        <v>140</v>
      </c>
      <c r="AN284" s="34">
        <f>[2]Districts_Boroughs!DR273</f>
        <v>117</v>
      </c>
      <c r="AO284" s="34">
        <f>[2]Districts_Boroughs!DS273</f>
        <v>105</v>
      </c>
      <c r="AP284" s="34">
        <f>[2]Districts_Boroughs!DT273</f>
        <v>121</v>
      </c>
      <c r="AQ284" s="34">
        <f>[2]Districts_Boroughs!DU273</f>
        <v>130</v>
      </c>
      <c r="AR284" s="34">
        <f>[2]Districts_Boroughs!DV273</f>
        <v>123</v>
      </c>
      <c r="AS284" s="34">
        <f>[2]Districts_Boroughs!DW273</f>
        <v>110</v>
      </c>
      <c r="AT284" s="34">
        <f>[2]Districts_Boroughs!DX273</f>
        <v>117</v>
      </c>
      <c r="AU284" s="34">
        <f>[2]Districts_Boroughs!DY273</f>
        <v>105</v>
      </c>
      <c r="AV284" s="34">
        <f>[2]Districts_Boroughs!DZ273</f>
        <v>119</v>
      </c>
      <c r="AW284" s="34">
        <f>[2]Districts_Boroughs!EA273</f>
        <v>121</v>
      </c>
      <c r="AX284" s="34">
        <f>[2]Districts_Boroughs!EB273</f>
        <v>128</v>
      </c>
      <c r="AY284" s="34">
        <f>[2]Districts_Boroughs!EC273</f>
        <v>122</v>
      </c>
    </row>
    <row r="285" spans="2:51" x14ac:dyDescent="0.35">
      <c r="B285" t="str">
        <f t="shared" si="14"/>
        <v>South Warwickshire</v>
      </c>
      <c r="C285" s="350"/>
      <c r="D285" s="34">
        <f>[2]Districts_Boroughs!CH274</f>
        <v>0</v>
      </c>
      <c r="E285" s="34">
        <f>[2]Districts_Boroughs!CI274</f>
        <v>0</v>
      </c>
      <c r="F285" s="34">
        <f>[2]Districts_Boroughs!CJ274</f>
        <v>0</v>
      </c>
      <c r="G285" s="34">
        <f>[2]Districts_Boroughs!CK274</f>
        <v>0</v>
      </c>
      <c r="H285" s="34">
        <f>[2]Districts_Boroughs!CL274</f>
        <v>0</v>
      </c>
      <c r="I285" s="34">
        <f>[2]Districts_Boroughs!CM274</f>
        <v>0</v>
      </c>
      <c r="J285" s="34">
        <f>[2]Districts_Boroughs!CN274</f>
        <v>0</v>
      </c>
      <c r="K285" s="34">
        <f>[2]Districts_Boroughs!CO274</f>
        <v>0</v>
      </c>
      <c r="L285" s="34">
        <f>[2]Districts_Boroughs!CP274</f>
        <v>0</v>
      </c>
      <c r="M285" s="34">
        <f>[2]Districts_Boroughs!CQ274</f>
        <v>0</v>
      </c>
      <c r="N285" s="34">
        <f>[2]Districts_Boroughs!CR274</f>
        <v>0</v>
      </c>
      <c r="O285" s="34">
        <f>[2]Districts_Boroughs!CS274</f>
        <v>0</v>
      </c>
      <c r="P285" s="34">
        <f>[2]Districts_Boroughs!CT274</f>
        <v>0</v>
      </c>
      <c r="Q285" s="34">
        <f>[2]Districts_Boroughs!CU274</f>
        <v>0</v>
      </c>
      <c r="R285" s="34">
        <f>[2]Districts_Boroughs!CV274</f>
        <v>0</v>
      </c>
      <c r="S285" s="34">
        <f>[2]Districts_Boroughs!CW274</f>
        <v>0</v>
      </c>
      <c r="T285" s="34">
        <f>[2]Districts_Boroughs!CX274</f>
        <v>0</v>
      </c>
      <c r="U285" s="34">
        <f>[2]Districts_Boroughs!CY274</f>
        <v>0</v>
      </c>
      <c r="V285" s="34">
        <f>[2]Districts_Boroughs!CZ274</f>
        <v>0</v>
      </c>
      <c r="W285" s="34">
        <f>[2]Districts_Boroughs!DA274</f>
        <v>0</v>
      </c>
      <c r="X285" s="34">
        <f>[2]Districts_Boroughs!DB274</f>
        <v>0</v>
      </c>
      <c r="Y285" s="34">
        <f>[2]Districts_Boroughs!DC274</f>
        <v>0</v>
      </c>
      <c r="Z285" s="34">
        <f>[2]Districts_Boroughs!DD274</f>
        <v>0</v>
      </c>
      <c r="AA285" s="34">
        <f>[2]Districts_Boroughs!DE274</f>
        <v>0</v>
      </c>
      <c r="AB285" s="34">
        <f>[2]Districts_Boroughs!DF274</f>
        <v>0</v>
      </c>
      <c r="AC285" s="34">
        <f>[2]Districts_Boroughs!DG274</f>
        <v>0</v>
      </c>
      <c r="AD285" s="34">
        <f>[2]Districts_Boroughs!DH274</f>
        <v>0</v>
      </c>
      <c r="AE285" s="34">
        <f>[2]Districts_Boroughs!DI274</f>
        <v>0</v>
      </c>
      <c r="AF285" s="34">
        <f>[2]Districts_Boroughs!DJ274</f>
        <v>0</v>
      </c>
      <c r="AG285" s="34">
        <f>[2]Districts_Boroughs!DK274</f>
        <v>0</v>
      </c>
      <c r="AH285" s="34">
        <f>[2]Districts_Boroughs!DL274</f>
        <v>0</v>
      </c>
      <c r="AI285" s="34">
        <f>[2]Districts_Boroughs!DM274</f>
        <v>0</v>
      </c>
      <c r="AJ285" s="34">
        <f>[2]Districts_Boroughs!DN274</f>
        <v>0</v>
      </c>
      <c r="AK285" s="34">
        <f>[2]Districts_Boroughs!DO274</f>
        <v>0</v>
      </c>
      <c r="AL285" s="34">
        <f>[2]Districts_Boroughs!DP274</f>
        <v>0</v>
      </c>
      <c r="AM285" s="34">
        <f>[2]Districts_Boroughs!DQ274</f>
        <v>0</v>
      </c>
      <c r="AN285" s="34">
        <f>[2]Districts_Boroughs!DR274</f>
        <v>0</v>
      </c>
      <c r="AO285" s="34">
        <f>[2]Districts_Boroughs!DS274</f>
        <v>0</v>
      </c>
      <c r="AP285" s="34">
        <f>[2]Districts_Boroughs!DT274</f>
        <v>0</v>
      </c>
      <c r="AQ285" s="34">
        <f>[2]Districts_Boroughs!DU274</f>
        <v>0</v>
      </c>
      <c r="AR285" s="34">
        <f>[2]Districts_Boroughs!DV274</f>
        <v>0</v>
      </c>
      <c r="AS285" s="34">
        <f>[2]Districts_Boroughs!DW274</f>
        <v>0</v>
      </c>
      <c r="AT285" s="34">
        <f>[2]Districts_Boroughs!DX274</f>
        <v>0</v>
      </c>
      <c r="AU285" s="34">
        <f>[2]Districts_Boroughs!DY274</f>
        <v>0</v>
      </c>
      <c r="AV285" s="34">
        <f>[2]Districts_Boroughs!DZ274</f>
        <v>0</v>
      </c>
      <c r="AW285" s="34">
        <f>[2]Districts_Boroughs!EA274</f>
        <v>0</v>
      </c>
      <c r="AX285" s="34">
        <f>[2]Districts_Boroughs!EB274</f>
        <v>0</v>
      </c>
      <c r="AY285" s="34">
        <f>[2]Districts_Boroughs!EC274</f>
        <v>0</v>
      </c>
    </row>
    <row r="286" spans="2:51" x14ac:dyDescent="0.35">
      <c r="B286" t="str">
        <f t="shared" si="14"/>
        <v>South WarwickshireSection 18</v>
      </c>
      <c r="C286" s="350" t="s">
        <v>53</v>
      </c>
      <c r="D286" s="34">
        <f>[2]Districts_Boroughs!CH275</f>
        <v>6</v>
      </c>
      <c r="E286" s="34">
        <f>[2]Districts_Boroughs!CI275</f>
        <v>10</v>
      </c>
      <c r="F286" s="34">
        <f>[2]Districts_Boroughs!CJ275</f>
        <v>17</v>
      </c>
      <c r="G286" s="34">
        <f>[2]Districts_Boroughs!CK275</f>
        <v>11</v>
      </c>
      <c r="H286" s="34">
        <f>[2]Districts_Boroughs!CL275</f>
        <v>8</v>
      </c>
      <c r="I286" s="34">
        <f>[2]Districts_Boroughs!CM275</f>
        <v>5</v>
      </c>
      <c r="J286" s="34">
        <f>[2]Districts_Boroughs!CN275</f>
        <v>12</v>
      </c>
      <c r="K286" s="34">
        <f>[2]Districts_Boroughs!CO275</f>
        <v>6</v>
      </c>
      <c r="L286" s="34">
        <f>[2]Districts_Boroughs!CP275</f>
        <v>4</v>
      </c>
      <c r="M286" s="34">
        <f>[2]Districts_Boroughs!CQ275</f>
        <v>11</v>
      </c>
      <c r="N286" s="34">
        <f>[2]Districts_Boroughs!CR275</f>
        <v>13</v>
      </c>
      <c r="O286" s="34">
        <f>[2]Districts_Boroughs!CS275</f>
        <v>10</v>
      </c>
      <c r="P286" s="34">
        <f>[2]Districts_Boroughs!CT275</f>
        <v>9</v>
      </c>
      <c r="Q286" s="34">
        <f>[2]Districts_Boroughs!CU275</f>
        <v>7</v>
      </c>
      <c r="R286" s="34">
        <f>[2]Districts_Boroughs!CV275</f>
        <v>6</v>
      </c>
      <c r="S286" s="34">
        <f>[2]Districts_Boroughs!CW275</f>
        <v>7</v>
      </c>
      <c r="T286" s="34">
        <f>[2]Districts_Boroughs!CX275</f>
        <v>10</v>
      </c>
      <c r="U286" s="34">
        <f>[2]Districts_Boroughs!CY275</f>
        <v>8</v>
      </c>
      <c r="V286" s="34">
        <f>[2]Districts_Boroughs!CZ275</f>
        <v>6</v>
      </c>
      <c r="W286" s="34">
        <f>[2]Districts_Boroughs!DA275</f>
        <v>11</v>
      </c>
      <c r="X286" s="34">
        <f>[2]Districts_Boroughs!DB275</f>
        <v>5</v>
      </c>
      <c r="Y286" s="34">
        <f>[2]Districts_Boroughs!DC275</f>
        <v>13</v>
      </c>
      <c r="Z286" s="34">
        <f>[2]Districts_Boroughs!DD275</f>
        <v>7</v>
      </c>
      <c r="AA286" s="34">
        <f>[2]Districts_Boroughs!DE275</f>
        <v>7</v>
      </c>
      <c r="AB286" s="34">
        <f>[2]Districts_Boroughs!DF275</f>
        <v>9</v>
      </c>
      <c r="AC286" s="34">
        <f>[2]Districts_Boroughs!DG275</f>
        <v>12</v>
      </c>
      <c r="AD286" s="34">
        <f>[2]Districts_Boroughs!DH275</f>
        <v>9</v>
      </c>
      <c r="AE286" s="34">
        <f>[2]Districts_Boroughs!DI275</f>
        <v>11</v>
      </c>
      <c r="AF286" s="34">
        <f>[2]Districts_Boroughs!DJ275</f>
        <v>12</v>
      </c>
      <c r="AG286" s="34">
        <f>[2]Districts_Boroughs!DK275</f>
        <v>14</v>
      </c>
      <c r="AH286" s="34">
        <f>[2]Districts_Boroughs!DL275</f>
        <v>4</v>
      </c>
      <c r="AI286" s="34">
        <f>[2]Districts_Boroughs!DM275</f>
        <v>6</v>
      </c>
      <c r="AJ286" s="34">
        <f>[2]Districts_Boroughs!DN275</f>
        <v>6</v>
      </c>
      <c r="AK286" s="34">
        <f>[2]Districts_Boroughs!DO275</f>
        <v>8</v>
      </c>
      <c r="AL286" s="34">
        <f>[2]Districts_Boroughs!DP275</f>
        <v>16</v>
      </c>
      <c r="AM286" s="34">
        <f>[2]Districts_Boroughs!DQ275</f>
        <v>12</v>
      </c>
      <c r="AN286" s="34">
        <f>[2]Districts_Boroughs!DR275</f>
        <v>10</v>
      </c>
      <c r="AO286" s="34">
        <f>[2]Districts_Boroughs!DS275</f>
        <v>16</v>
      </c>
      <c r="AP286" s="34">
        <f>[2]Districts_Boroughs!DT275</f>
        <v>9</v>
      </c>
      <c r="AQ286" s="34">
        <f>[2]Districts_Boroughs!DU275</f>
        <v>11</v>
      </c>
      <c r="AR286" s="34">
        <f>[2]Districts_Boroughs!DV275</f>
        <v>17</v>
      </c>
      <c r="AS286" s="34">
        <f>[2]Districts_Boroughs!DW275</f>
        <v>12</v>
      </c>
      <c r="AT286" s="34">
        <f>[2]Districts_Boroughs!DX275</f>
        <v>11</v>
      </c>
      <c r="AU286" s="34">
        <f>[2]Districts_Boroughs!DY275</f>
        <v>13</v>
      </c>
      <c r="AV286" s="34">
        <f>[2]Districts_Boroughs!DZ275</f>
        <v>12</v>
      </c>
      <c r="AW286" s="34">
        <f>[2]Districts_Boroughs!EA275</f>
        <v>8</v>
      </c>
      <c r="AX286" s="34">
        <f>[2]Districts_Boroughs!EB275</f>
        <v>6</v>
      </c>
      <c r="AY286" s="34">
        <f>[2]Districts_Boroughs!EC275</f>
        <v>12</v>
      </c>
    </row>
    <row r="287" spans="2:51" x14ac:dyDescent="0.35">
      <c r="B287" t="str">
        <f t="shared" si="14"/>
        <v>South WarwickshireSection 20</v>
      </c>
      <c r="C287" s="350" t="s">
        <v>54</v>
      </c>
      <c r="D287" s="34">
        <f>[2]Districts_Boroughs!CH276</f>
        <v>10</v>
      </c>
      <c r="E287" s="34">
        <f>[2]Districts_Boroughs!CI276</f>
        <v>7</v>
      </c>
      <c r="F287" s="34">
        <f>[2]Districts_Boroughs!CJ276</f>
        <v>9</v>
      </c>
      <c r="G287" s="34">
        <f>[2]Districts_Boroughs!CK276</f>
        <v>7</v>
      </c>
      <c r="H287" s="34">
        <f>[2]Districts_Boroughs!CL276</f>
        <v>2</v>
      </c>
      <c r="I287" s="34">
        <f>[2]Districts_Boroughs!CM276</f>
        <v>1</v>
      </c>
      <c r="J287" s="34">
        <f>[2]Districts_Boroughs!CN276</f>
        <v>7</v>
      </c>
      <c r="K287" s="34">
        <f>[2]Districts_Boroughs!CO276</f>
        <v>4</v>
      </c>
      <c r="L287" s="34">
        <f>[2]Districts_Boroughs!CP276</f>
        <v>5</v>
      </c>
      <c r="M287" s="34">
        <f>[2]Districts_Boroughs!CQ276</f>
        <v>4</v>
      </c>
      <c r="N287" s="34">
        <f>[2]Districts_Boroughs!CR276</f>
        <v>6</v>
      </c>
      <c r="O287" s="34">
        <f>[2]Districts_Boroughs!CS276</f>
        <v>5</v>
      </c>
      <c r="P287" s="34">
        <f>[2]Districts_Boroughs!CT276</f>
        <v>6</v>
      </c>
      <c r="Q287" s="34">
        <f>[2]Districts_Boroughs!CU276</f>
        <v>12</v>
      </c>
      <c r="R287" s="34">
        <f>[2]Districts_Boroughs!CV276</f>
        <v>9</v>
      </c>
      <c r="S287" s="34">
        <f>[2]Districts_Boroughs!CW276</f>
        <v>1</v>
      </c>
      <c r="T287" s="34">
        <f>[2]Districts_Boroughs!CX276</f>
        <v>7</v>
      </c>
      <c r="U287" s="34">
        <f>[2]Districts_Boroughs!CY276</f>
        <v>5</v>
      </c>
      <c r="V287" s="34">
        <f>[2]Districts_Boroughs!CZ276</f>
        <v>4</v>
      </c>
      <c r="W287" s="34">
        <f>[2]Districts_Boroughs!DA276</f>
        <v>2</v>
      </c>
      <c r="X287" s="34">
        <f>[2]Districts_Boroughs!DB276</f>
        <v>5</v>
      </c>
      <c r="Y287" s="34">
        <f>[2]Districts_Boroughs!DC276</f>
        <v>5</v>
      </c>
      <c r="Z287" s="34">
        <f>[2]Districts_Boroughs!DD276</f>
        <v>8</v>
      </c>
      <c r="AA287" s="34">
        <f>[2]Districts_Boroughs!DE276</f>
        <v>9</v>
      </c>
      <c r="AB287" s="34">
        <f>[2]Districts_Boroughs!DF276</f>
        <v>5</v>
      </c>
      <c r="AC287" s="34">
        <f>[2]Districts_Boroughs!DG276</f>
        <v>3</v>
      </c>
      <c r="AD287" s="34">
        <f>[2]Districts_Boroughs!DH276</f>
        <v>7</v>
      </c>
      <c r="AE287" s="34">
        <f>[2]Districts_Boroughs!DI276</f>
        <v>3</v>
      </c>
      <c r="AF287" s="34">
        <f>[2]Districts_Boroughs!DJ276</f>
        <v>11</v>
      </c>
      <c r="AG287" s="34">
        <f>[2]Districts_Boroughs!DK276</f>
        <v>4</v>
      </c>
      <c r="AH287" s="34">
        <f>[2]Districts_Boroughs!DL276</f>
        <v>4</v>
      </c>
      <c r="AI287" s="34">
        <f>[2]Districts_Boroughs!DM276</f>
        <v>6</v>
      </c>
      <c r="AJ287" s="34">
        <f>[2]Districts_Boroughs!DN276</f>
        <v>8</v>
      </c>
      <c r="AK287" s="34">
        <f>[2]Districts_Boroughs!DO276</f>
        <v>6</v>
      </c>
      <c r="AL287" s="34">
        <f>[2]Districts_Boroughs!DP276</f>
        <v>3</v>
      </c>
      <c r="AM287" s="34">
        <f>[2]Districts_Boroughs!DQ276</f>
        <v>4</v>
      </c>
      <c r="AN287" s="34">
        <f>[2]Districts_Boroughs!DR276</f>
        <v>5</v>
      </c>
      <c r="AO287" s="34">
        <f>[2]Districts_Boroughs!DS276</f>
        <v>5</v>
      </c>
      <c r="AP287" s="34">
        <f>[2]Districts_Boroughs!DT276</f>
        <v>13</v>
      </c>
      <c r="AQ287" s="34">
        <f>[2]Districts_Boroughs!DU276</f>
        <v>8</v>
      </c>
      <c r="AR287" s="34">
        <f>[2]Districts_Boroughs!DV276</f>
        <v>9</v>
      </c>
      <c r="AS287" s="34">
        <f>[2]Districts_Boroughs!DW276</f>
        <v>6</v>
      </c>
      <c r="AT287" s="34">
        <f>[2]Districts_Boroughs!DX276</f>
        <v>13</v>
      </c>
      <c r="AU287" s="34">
        <f>[2]Districts_Boroughs!DY276</f>
        <v>8</v>
      </c>
      <c r="AV287" s="34">
        <f>[2]Districts_Boroughs!DZ276</f>
        <v>5</v>
      </c>
      <c r="AW287" s="34">
        <f>[2]Districts_Boroughs!EA276</f>
        <v>6</v>
      </c>
      <c r="AX287" s="34">
        <f>[2]Districts_Boroughs!EB276</f>
        <v>8</v>
      </c>
      <c r="AY287" s="34">
        <f>[2]Districts_Boroughs!EC276</f>
        <v>8</v>
      </c>
    </row>
    <row r="288" spans="2:51" x14ac:dyDescent="0.35">
      <c r="B288" t="str">
        <f t="shared" si="14"/>
        <v>South Warwickshire</v>
      </c>
      <c r="C288" s="350"/>
      <c r="D288" s="34">
        <f>[2]Districts_Boroughs!CH277</f>
        <v>0</v>
      </c>
      <c r="E288" s="34">
        <f>[2]Districts_Boroughs!CI277</f>
        <v>0</v>
      </c>
      <c r="F288" s="34">
        <f>[2]Districts_Boroughs!CJ277</f>
        <v>0</v>
      </c>
      <c r="G288" s="34">
        <f>[2]Districts_Boroughs!CK277</f>
        <v>0</v>
      </c>
      <c r="H288" s="34">
        <f>[2]Districts_Boroughs!CL277</f>
        <v>0</v>
      </c>
      <c r="I288" s="34">
        <f>[2]Districts_Boroughs!CM277</f>
        <v>0</v>
      </c>
      <c r="J288" s="34">
        <f>[2]Districts_Boroughs!CN277</f>
        <v>0</v>
      </c>
      <c r="K288" s="34">
        <f>[2]Districts_Boroughs!CO277</f>
        <v>0</v>
      </c>
      <c r="L288" s="34">
        <f>[2]Districts_Boroughs!CP277</f>
        <v>0</v>
      </c>
      <c r="M288" s="34">
        <f>[2]Districts_Boroughs!CQ277</f>
        <v>0</v>
      </c>
      <c r="N288" s="34">
        <f>[2]Districts_Boroughs!CR277</f>
        <v>0</v>
      </c>
      <c r="O288" s="34">
        <f>[2]Districts_Boroughs!CS277</f>
        <v>0</v>
      </c>
      <c r="P288" s="34">
        <f>[2]Districts_Boroughs!CT277</f>
        <v>0</v>
      </c>
      <c r="Q288" s="34">
        <f>[2]Districts_Boroughs!CU277</f>
        <v>0</v>
      </c>
      <c r="R288" s="34">
        <f>[2]Districts_Boroughs!CV277</f>
        <v>0</v>
      </c>
      <c r="S288" s="34">
        <f>[2]Districts_Boroughs!CW277</f>
        <v>0</v>
      </c>
      <c r="T288" s="34">
        <f>[2]Districts_Boroughs!CX277</f>
        <v>0</v>
      </c>
      <c r="U288" s="34">
        <f>[2]Districts_Boroughs!CY277</f>
        <v>0</v>
      </c>
      <c r="V288" s="34">
        <f>[2]Districts_Boroughs!CZ277</f>
        <v>0</v>
      </c>
      <c r="W288" s="34">
        <f>[2]Districts_Boroughs!DA277</f>
        <v>0</v>
      </c>
      <c r="X288" s="34">
        <f>[2]Districts_Boroughs!DB277</f>
        <v>0</v>
      </c>
      <c r="Y288" s="34">
        <f>[2]Districts_Boroughs!DC277</f>
        <v>0</v>
      </c>
      <c r="Z288" s="34">
        <f>[2]Districts_Boroughs!DD277</f>
        <v>0</v>
      </c>
      <c r="AA288" s="34">
        <f>[2]Districts_Boroughs!DE277</f>
        <v>0</v>
      </c>
      <c r="AB288" s="34">
        <f>[2]Districts_Boroughs!DF277</f>
        <v>0</v>
      </c>
      <c r="AC288" s="34">
        <f>[2]Districts_Boroughs!DG277</f>
        <v>0</v>
      </c>
      <c r="AD288" s="34">
        <f>[2]Districts_Boroughs!DH277</f>
        <v>0</v>
      </c>
      <c r="AE288" s="34">
        <f>[2]Districts_Boroughs!DI277</f>
        <v>0</v>
      </c>
      <c r="AF288" s="34">
        <f>[2]Districts_Boroughs!DJ277</f>
        <v>0</v>
      </c>
      <c r="AG288" s="34">
        <f>[2]Districts_Boroughs!DK277</f>
        <v>0</v>
      </c>
      <c r="AH288" s="34">
        <f>[2]Districts_Boroughs!DL277</f>
        <v>0</v>
      </c>
      <c r="AI288" s="34">
        <f>[2]Districts_Boroughs!DM277</f>
        <v>0</v>
      </c>
      <c r="AJ288" s="34">
        <f>[2]Districts_Boroughs!DN277</f>
        <v>0</v>
      </c>
      <c r="AK288" s="34">
        <f>[2]Districts_Boroughs!DO277</f>
        <v>0</v>
      </c>
      <c r="AL288" s="34">
        <f>[2]Districts_Boroughs!DP277</f>
        <v>0</v>
      </c>
      <c r="AM288" s="34">
        <f>[2]Districts_Boroughs!DQ277</f>
        <v>0</v>
      </c>
      <c r="AN288" s="34">
        <f>[2]Districts_Boroughs!DR277</f>
        <v>0</v>
      </c>
      <c r="AO288" s="34">
        <f>[2]Districts_Boroughs!DS277</f>
        <v>0</v>
      </c>
      <c r="AP288" s="34">
        <f>[2]Districts_Boroughs!DT277</f>
        <v>0</v>
      </c>
      <c r="AQ288" s="34">
        <f>[2]Districts_Boroughs!DU277</f>
        <v>0</v>
      </c>
      <c r="AR288" s="34">
        <f>[2]Districts_Boroughs!DV277</f>
        <v>0</v>
      </c>
      <c r="AS288" s="34">
        <f>[2]Districts_Boroughs!DW277</f>
        <v>0</v>
      </c>
      <c r="AT288" s="34">
        <f>[2]Districts_Boroughs!DX277</f>
        <v>0</v>
      </c>
      <c r="AU288" s="34">
        <f>[2]Districts_Boroughs!DY277</f>
        <v>0</v>
      </c>
      <c r="AV288" s="34">
        <f>[2]Districts_Boroughs!DZ277</f>
        <v>0</v>
      </c>
      <c r="AW288" s="34">
        <f>[2]Districts_Boroughs!EA277</f>
        <v>0</v>
      </c>
      <c r="AX288" s="34">
        <f>[2]Districts_Boroughs!EB277</f>
        <v>0</v>
      </c>
      <c r="AY288" s="34">
        <f>[2]Districts_Boroughs!EC277</f>
        <v>0</v>
      </c>
    </row>
    <row r="289" spans="2:51" x14ac:dyDescent="0.35">
      <c r="B289" t="str">
        <f t="shared" si="14"/>
        <v>South WarwickshireAggravated Vehicle Taking</v>
      </c>
      <c r="C289" s="350" t="s">
        <v>46</v>
      </c>
      <c r="D289" s="34">
        <f>[2]Districts_Boroughs!CH278</f>
        <v>0</v>
      </c>
      <c r="E289" s="34">
        <f>[2]Districts_Boroughs!CI278</f>
        <v>2</v>
      </c>
      <c r="F289" s="34">
        <f>[2]Districts_Boroughs!CJ278</f>
        <v>1</v>
      </c>
      <c r="G289" s="34">
        <f>[2]Districts_Boroughs!CK278</f>
        <v>2</v>
      </c>
      <c r="H289" s="34">
        <f>[2]Districts_Boroughs!CL278</f>
        <v>0</v>
      </c>
      <c r="I289" s="34">
        <f>[2]Districts_Boroughs!CM278</f>
        <v>0</v>
      </c>
      <c r="J289" s="34">
        <f>[2]Districts_Boroughs!CN278</f>
        <v>2</v>
      </c>
      <c r="K289" s="34">
        <f>[2]Districts_Boroughs!CO278</f>
        <v>2</v>
      </c>
      <c r="L289" s="34">
        <f>[2]Districts_Boroughs!CP278</f>
        <v>4</v>
      </c>
      <c r="M289" s="34">
        <f>[2]Districts_Boroughs!CQ278</f>
        <v>1</v>
      </c>
      <c r="N289" s="34">
        <f>[2]Districts_Boroughs!CR278</f>
        <v>1</v>
      </c>
      <c r="O289" s="34">
        <f>[2]Districts_Boroughs!CS278</f>
        <v>1</v>
      </c>
      <c r="P289" s="34">
        <f>[2]Districts_Boroughs!CT278</f>
        <v>3</v>
      </c>
      <c r="Q289" s="34">
        <f>[2]Districts_Boroughs!CU278</f>
        <v>1</v>
      </c>
      <c r="R289" s="34">
        <f>[2]Districts_Boroughs!CV278</f>
        <v>2</v>
      </c>
      <c r="S289" s="34">
        <f>[2]Districts_Boroughs!CW278</f>
        <v>1</v>
      </c>
      <c r="T289" s="34">
        <f>[2]Districts_Boroughs!CX278</f>
        <v>1</v>
      </c>
      <c r="U289" s="34">
        <f>[2]Districts_Boroughs!CY278</f>
        <v>2</v>
      </c>
      <c r="V289" s="34">
        <f>[2]Districts_Boroughs!CZ278</f>
        <v>2</v>
      </c>
      <c r="W289" s="34">
        <f>[2]Districts_Boroughs!DA278</f>
        <v>1</v>
      </c>
      <c r="X289" s="34">
        <f>[2]Districts_Boroughs!DB278</f>
        <v>0</v>
      </c>
      <c r="Y289" s="34">
        <f>[2]Districts_Boroughs!DC278</f>
        <v>1</v>
      </c>
      <c r="Z289" s="34">
        <f>[2]Districts_Boroughs!DD278</f>
        <v>1</v>
      </c>
      <c r="AA289" s="34">
        <f>[2]Districts_Boroughs!DE278</f>
        <v>2</v>
      </c>
      <c r="AB289" s="34">
        <f>[2]Districts_Boroughs!DF278</f>
        <v>2</v>
      </c>
      <c r="AC289" s="34">
        <f>[2]Districts_Boroughs!DG278</f>
        <v>3</v>
      </c>
      <c r="AD289" s="34">
        <f>[2]Districts_Boroughs!DH278</f>
        <v>2</v>
      </c>
      <c r="AE289" s="34">
        <f>[2]Districts_Boroughs!DI278</f>
        <v>1</v>
      </c>
      <c r="AF289" s="34">
        <f>[2]Districts_Boroughs!DJ278</f>
        <v>2</v>
      </c>
      <c r="AG289" s="34">
        <f>[2]Districts_Boroughs!DK278</f>
        <v>1</v>
      </c>
      <c r="AH289" s="34">
        <f>[2]Districts_Boroughs!DL278</f>
        <v>3</v>
      </c>
      <c r="AI289" s="34">
        <f>[2]Districts_Boroughs!DM278</f>
        <v>1</v>
      </c>
      <c r="AJ289" s="34">
        <f>[2]Districts_Boroughs!DN278</f>
        <v>4</v>
      </c>
      <c r="AK289" s="34">
        <f>[2]Districts_Boroughs!DO278</f>
        <v>4</v>
      </c>
      <c r="AL289" s="34">
        <f>[2]Districts_Boroughs!DP278</f>
        <v>1</v>
      </c>
      <c r="AM289" s="34">
        <f>[2]Districts_Boroughs!DQ278</f>
        <v>1</v>
      </c>
      <c r="AN289" s="34">
        <f>[2]Districts_Boroughs!DR278</f>
        <v>3</v>
      </c>
      <c r="AO289" s="34">
        <f>[2]Districts_Boroughs!DS278</f>
        <v>2</v>
      </c>
      <c r="AP289" s="34">
        <f>[2]Districts_Boroughs!DT278</f>
        <v>1</v>
      </c>
      <c r="AQ289" s="34">
        <f>[2]Districts_Boroughs!DU278</f>
        <v>1</v>
      </c>
      <c r="AR289" s="34">
        <f>[2]Districts_Boroughs!DV278</f>
        <v>1</v>
      </c>
      <c r="AS289" s="34">
        <f>[2]Districts_Boroughs!DW278</f>
        <v>0</v>
      </c>
      <c r="AT289" s="34">
        <f>[2]Districts_Boroughs!DX278</f>
        <v>1</v>
      </c>
      <c r="AU289" s="34">
        <f>[2]Districts_Boroughs!DY278</f>
        <v>2</v>
      </c>
      <c r="AV289" s="34">
        <f>[2]Districts_Boroughs!DZ278</f>
        <v>0</v>
      </c>
      <c r="AW289" s="34">
        <f>[2]Districts_Boroughs!EA278</f>
        <v>0</v>
      </c>
      <c r="AX289" s="34">
        <f>[2]Districts_Boroughs!EB278</f>
        <v>1</v>
      </c>
      <c r="AY289" s="34">
        <f>[2]Districts_Boroughs!EC278</f>
        <v>2</v>
      </c>
    </row>
    <row r="290" spans="2:51" x14ac:dyDescent="0.35">
      <c r="B290" t="str">
        <f t="shared" si="14"/>
        <v>South WarwickshireInterfering with a Motor Vehicle</v>
      </c>
      <c r="C290" s="350" t="s">
        <v>47</v>
      </c>
      <c r="D290" s="34">
        <f>[2]Districts_Boroughs!CH279</f>
        <v>22</v>
      </c>
      <c r="E290" s="34">
        <f>[2]Districts_Boroughs!CI279</f>
        <v>26</v>
      </c>
      <c r="F290" s="34">
        <f>[2]Districts_Boroughs!CJ279</f>
        <v>29</v>
      </c>
      <c r="G290" s="34">
        <f>[2]Districts_Boroughs!CK279</f>
        <v>27</v>
      </c>
      <c r="H290" s="34">
        <f>[2]Districts_Boroughs!CL279</f>
        <v>34</v>
      </c>
      <c r="I290" s="34">
        <f>[2]Districts_Boroughs!CM279</f>
        <v>28</v>
      </c>
      <c r="J290" s="34">
        <f>[2]Districts_Boroughs!CN279</f>
        <v>25</v>
      </c>
      <c r="K290" s="34">
        <f>[2]Districts_Boroughs!CO279</f>
        <v>52</v>
      </c>
      <c r="L290" s="34">
        <f>[2]Districts_Boroughs!CP279</f>
        <v>22</v>
      </c>
      <c r="M290" s="34">
        <f>[2]Districts_Boroughs!CQ279</f>
        <v>34</v>
      </c>
      <c r="N290" s="34">
        <f>[2]Districts_Boroughs!CR279</f>
        <v>22</v>
      </c>
      <c r="O290" s="34">
        <f>[2]Districts_Boroughs!CS279</f>
        <v>31</v>
      </c>
      <c r="P290" s="34">
        <f>[2]Districts_Boroughs!CT279</f>
        <v>27</v>
      </c>
      <c r="Q290" s="34">
        <f>[2]Districts_Boroughs!CU279</f>
        <v>43</v>
      </c>
      <c r="R290" s="34">
        <f>[2]Districts_Boroughs!CV279</f>
        <v>44</v>
      </c>
      <c r="S290" s="34">
        <f>[2]Districts_Boroughs!CW279</f>
        <v>42</v>
      </c>
      <c r="T290" s="34">
        <f>[2]Districts_Boroughs!CX279</f>
        <v>39</v>
      </c>
      <c r="U290" s="34">
        <f>[2]Districts_Boroughs!CY279</f>
        <v>37</v>
      </c>
      <c r="V290" s="34">
        <f>[2]Districts_Boroughs!CZ279</f>
        <v>54</v>
      </c>
      <c r="W290" s="34">
        <f>[2]Districts_Boroughs!DA279</f>
        <v>34</v>
      </c>
      <c r="X290" s="34">
        <f>[2]Districts_Boroughs!DB279</f>
        <v>19</v>
      </c>
      <c r="Y290" s="34">
        <f>[2]Districts_Boroughs!DC279</f>
        <v>81</v>
      </c>
      <c r="Z290" s="34">
        <f>[2]Districts_Boroughs!DD279</f>
        <v>37</v>
      </c>
      <c r="AA290" s="34">
        <f>[2]Districts_Boroughs!DE279</f>
        <v>36</v>
      </c>
      <c r="AB290" s="34">
        <f>[2]Districts_Boroughs!DF279</f>
        <v>23</v>
      </c>
      <c r="AC290" s="34">
        <f>[2]Districts_Boroughs!DG279</f>
        <v>35</v>
      </c>
      <c r="AD290" s="34">
        <f>[2]Districts_Boroughs!DH279</f>
        <v>18</v>
      </c>
      <c r="AE290" s="34">
        <f>[2]Districts_Boroughs!DI279</f>
        <v>27</v>
      </c>
      <c r="AF290" s="34">
        <f>[2]Districts_Boroughs!DJ279</f>
        <v>14</v>
      </c>
      <c r="AG290" s="34">
        <f>[2]Districts_Boroughs!DK279</f>
        <v>22</v>
      </c>
      <c r="AH290" s="34">
        <f>[2]Districts_Boroughs!DL279</f>
        <v>34</v>
      </c>
      <c r="AI290" s="34">
        <f>[2]Districts_Boroughs!DM279</f>
        <v>32</v>
      </c>
      <c r="AJ290" s="34">
        <f>[2]Districts_Boroughs!DN279</f>
        <v>36</v>
      </c>
      <c r="AK290" s="34">
        <f>[2]Districts_Boroughs!DO279</f>
        <v>37</v>
      </c>
      <c r="AL290" s="34">
        <f>[2]Districts_Boroughs!DP279</f>
        <v>27</v>
      </c>
      <c r="AM290" s="34">
        <f>[2]Districts_Boroughs!DQ279</f>
        <v>28</v>
      </c>
      <c r="AN290" s="34">
        <f>[2]Districts_Boroughs!DR279</f>
        <v>35</v>
      </c>
      <c r="AO290" s="34">
        <f>[2]Districts_Boroughs!DS279</f>
        <v>43</v>
      </c>
      <c r="AP290" s="34">
        <f>[2]Districts_Boroughs!DT279</f>
        <v>30</v>
      </c>
      <c r="AQ290" s="34">
        <f>[2]Districts_Boroughs!DU279</f>
        <v>40</v>
      </c>
      <c r="AR290" s="34">
        <f>[2]Districts_Boroughs!DV279</f>
        <v>26</v>
      </c>
      <c r="AS290" s="34">
        <f>[2]Districts_Boroughs!DW279</f>
        <v>33</v>
      </c>
      <c r="AT290" s="34">
        <f>[2]Districts_Boroughs!DX279</f>
        <v>33</v>
      </c>
      <c r="AU290" s="34">
        <f>[2]Districts_Boroughs!DY279</f>
        <v>23</v>
      </c>
      <c r="AV290" s="34">
        <f>[2]Districts_Boroughs!DZ279</f>
        <v>19</v>
      </c>
      <c r="AW290" s="34">
        <f>[2]Districts_Boroughs!EA279</f>
        <v>28</v>
      </c>
      <c r="AX290" s="34">
        <f>[2]Districts_Boroughs!EB279</f>
        <v>8</v>
      </c>
      <c r="AY290" s="34">
        <f>[2]Districts_Boroughs!EC279</f>
        <v>18</v>
      </c>
    </row>
    <row r="291" spans="2:51" x14ac:dyDescent="0.35">
      <c r="B291" t="str">
        <f t="shared" si="14"/>
        <v>South WarwickshireTheft From A Vehicle</v>
      </c>
      <c r="C291" s="350" t="s">
        <v>48</v>
      </c>
      <c r="D291" s="34">
        <f>[2]Districts_Boroughs!CH280</f>
        <v>62</v>
      </c>
      <c r="E291" s="34">
        <f>[2]Districts_Boroughs!CI280</f>
        <v>64</v>
      </c>
      <c r="F291" s="34">
        <f>[2]Districts_Boroughs!CJ280</f>
        <v>58</v>
      </c>
      <c r="G291" s="34">
        <f>[2]Districts_Boroughs!CK280</f>
        <v>104</v>
      </c>
      <c r="H291" s="34">
        <f>[2]Districts_Boroughs!CL280</f>
        <v>101</v>
      </c>
      <c r="I291" s="34">
        <f>[2]Districts_Boroughs!CM280</f>
        <v>79</v>
      </c>
      <c r="J291" s="34">
        <f>[2]Districts_Boroughs!CN280</f>
        <v>72</v>
      </c>
      <c r="K291" s="34">
        <f>[2]Districts_Boroughs!CO280</f>
        <v>115</v>
      </c>
      <c r="L291" s="34">
        <f>[2]Districts_Boroughs!CP280</f>
        <v>66</v>
      </c>
      <c r="M291" s="34">
        <f>[2]Districts_Boroughs!CQ280</f>
        <v>85</v>
      </c>
      <c r="N291" s="34">
        <f>[2]Districts_Boroughs!CR280</f>
        <v>66</v>
      </c>
      <c r="O291" s="34">
        <f>[2]Districts_Boroughs!CS280</f>
        <v>135</v>
      </c>
      <c r="P291" s="34">
        <f>[2]Districts_Boroughs!CT280</f>
        <v>101</v>
      </c>
      <c r="Q291" s="34">
        <f>[2]Districts_Boroughs!CU280</f>
        <v>114</v>
      </c>
      <c r="R291" s="34">
        <f>[2]Districts_Boroughs!CV280</f>
        <v>92</v>
      </c>
      <c r="S291" s="34">
        <f>[2]Districts_Boroughs!CW280</f>
        <v>114</v>
      </c>
      <c r="T291" s="34">
        <f>[2]Districts_Boroughs!CX280</f>
        <v>116</v>
      </c>
      <c r="U291" s="34">
        <f>[2]Districts_Boroughs!CY280</f>
        <v>150</v>
      </c>
      <c r="V291" s="34">
        <f>[2]Districts_Boroughs!CZ280</f>
        <v>119</v>
      </c>
      <c r="W291" s="34">
        <f>[2]Districts_Boroughs!DA280</f>
        <v>121</v>
      </c>
      <c r="X291" s="34">
        <f>[2]Districts_Boroughs!DB280</f>
        <v>78</v>
      </c>
      <c r="Y291" s="34">
        <f>[2]Districts_Boroughs!DC280</f>
        <v>128</v>
      </c>
      <c r="Z291" s="34">
        <f>[2]Districts_Boroughs!DD280</f>
        <v>106</v>
      </c>
      <c r="AA291" s="34">
        <f>[2]Districts_Boroughs!DE280</f>
        <v>73</v>
      </c>
      <c r="AB291" s="34">
        <f>[2]Districts_Boroughs!DF280</f>
        <v>123</v>
      </c>
      <c r="AC291" s="34">
        <f>[2]Districts_Boroughs!DG280</f>
        <v>97</v>
      </c>
      <c r="AD291" s="34">
        <f>[2]Districts_Boroughs!DH280</f>
        <v>108</v>
      </c>
      <c r="AE291" s="34">
        <f>[2]Districts_Boroughs!DI280</f>
        <v>132</v>
      </c>
      <c r="AF291" s="34">
        <f>[2]Districts_Boroughs!DJ280</f>
        <v>94</v>
      </c>
      <c r="AG291" s="34">
        <f>[2]Districts_Boroughs!DK280</f>
        <v>68</v>
      </c>
      <c r="AH291" s="34">
        <f>[2]Districts_Boroughs!DL280</f>
        <v>106</v>
      </c>
      <c r="AI291" s="34">
        <f>[2]Districts_Boroughs!DM280</f>
        <v>105</v>
      </c>
      <c r="AJ291" s="34">
        <f>[2]Districts_Boroughs!DN280</f>
        <v>101</v>
      </c>
      <c r="AK291" s="34">
        <f>[2]Districts_Boroughs!DO280</f>
        <v>70</v>
      </c>
      <c r="AL291" s="34">
        <f>[2]Districts_Boroughs!DP280</f>
        <v>48</v>
      </c>
      <c r="AM291" s="34">
        <f>[2]Districts_Boroughs!DQ280</f>
        <v>47</v>
      </c>
      <c r="AN291" s="34">
        <f>[2]Districts_Boroughs!DR280</f>
        <v>78</v>
      </c>
      <c r="AO291" s="34">
        <f>[2]Districts_Boroughs!DS280</f>
        <v>97</v>
      </c>
      <c r="AP291" s="34">
        <f>[2]Districts_Boroughs!DT280</f>
        <v>85</v>
      </c>
      <c r="AQ291" s="34">
        <f>[2]Districts_Boroughs!DU280</f>
        <v>86</v>
      </c>
      <c r="AR291" s="34">
        <f>[2]Districts_Boroughs!DV280</f>
        <v>72</v>
      </c>
      <c r="AS291" s="34">
        <f>[2]Districts_Boroughs!DW280</f>
        <v>65</v>
      </c>
      <c r="AT291" s="34">
        <f>[2]Districts_Boroughs!DX280</f>
        <v>96</v>
      </c>
      <c r="AU291" s="34">
        <f>[2]Districts_Boroughs!DY280</f>
        <v>73</v>
      </c>
      <c r="AV291" s="34">
        <f>[2]Districts_Boroughs!DZ280</f>
        <v>57</v>
      </c>
      <c r="AW291" s="34">
        <f>[2]Districts_Boroughs!EA280</f>
        <v>73</v>
      </c>
      <c r="AX291" s="34">
        <f>[2]Districts_Boroughs!EB280</f>
        <v>48</v>
      </c>
      <c r="AY291" s="34">
        <f>[2]Districts_Boroughs!EC280</f>
        <v>60</v>
      </c>
    </row>
    <row r="292" spans="2:51" x14ac:dyDescent="0.35">
      <c r="B292" t="str">
        <f t="shared" si="14"/>
        <v>South WarwickshireTheft Or Unauthorised Taking Of A Motor Vehicle</v>
      </c>
      <c r="C292" s="350" t="s">
        <v>49</v>
      </c>
      <c r="D292" s="34">
        <f>[2]Districts_Boroughs!CH281</f>
        <v>14</v>
      </c>
      <c r="E292" s="34">
        <f>[2]Districts_Boroughs!CI281</f>
        <v>19</v>
      </c>
      <c r="F292" s="34">
        <f>[2]Districts_Boroughs!CJ281</f>
        <v>15</v>
      </c>
      <c r="G292" s="34">
        <f>[2]Districts_Boroughs!CK281</f>
        <v>29</v>
      </c>
      <c r="H292" s="34">
        <f>[2]Districts_Boroughs!CL281</f>
        <v>25</v>
      </c>
      <c r="I292" s="34">
        <f>[2]Districts_Boroughs!CM281</f>
        <v>25</v>
      </c>
      <c r="J292" s="34">
        <f>[2]Districts_Boroughs!CN281</f>
        <v>25</v>
      </c>
      <c r="K292" s="34">
        <f>[2]Districts_Boroughs!CO281</f>
        <v>30</v>
      </c>
      <c r="L292" s="34">
        <f>[2]Districts_Boroughs!CP281</f>
        <v>29</v>
      </c>
      <c r="M292" s="34">
        <f>[2]Districts_Boroughs!CQ281</f>
        <v>30</v>
      </c>
      <c r="N292" s="34">
        <f>[2]Districts_Boroughs!CR281</f>
        <v>28</v>
      </c>
      <c r="O292" s="34">
        <f>[2]Districts_Boroughs!CS281</f>
        <v>33</v>
      </c>
      <c r="P292" s="34">
        <f>[2]Districts_Boroughs!CT281</f>
        <v>23</v>
      </c>
      <c r="Q292" s="34">
        <f>[2]Districts_Boroughs!CU281</f>
        <v>15</v>
      </c>
      <c r="R292" s="34">
        <f>[2]Districts_Boroughs!CV281</f>
        <v>26</v>
      </c>
      <c r="S292" s="34">
        <f>[2]Districts_Boroughs!CW281</f>
        <v>45</v>
      </c>
      <c r="T292" s="34">
        <f>[2]Districts_Boroughs!CX281</f>
        <v>40</v>
      </c>
      <c r="U292" s="34">
        <f>[2]Districts_Boroughs!CY281</f>
        <v>37</v>
      </c>
      <c r="V292" s="34">
        <f>[2]Districts_Boroughs!CZ281</f>
        <v>31</v>
      </c>
      <c r="W292" s="34">
        <f>[2]Districts_Boroughs!DA281</f>
        <v>25</v>
      </c>
      <c r="X292" s="34">
        <f>[2]Districts_Boroughs!DB281</f>
        <v>28</v>
      </c>
      <c r="Y292" s="34">
        <f>[2]Districts_Boroughs!DC281</f>
        <v>28</v>
      </c>
      <c r="Z292" s="34">
        <f>[2]Districts_Boroughs!DD281</f>
        <v>33</v>
      </c>
      <c r="AA292" s="34">
        <f>[2]Districts_Boroughs!DE281</f>
        <v>43</v>
      </c>
      <c r="AB292" s="34">
        <f>[2]Districts_Boroughs!DF281</f>
        <v>47</v>
      </c>
      <c r="AC292" s="34">
        <f>[2]Districts_Boroughs!DG281</f>
        <v>35</v>
      </c>
      <c r="AD292" s="34">
        <f>[2]Districts_Boroughs!DH281</f>
        <v>27</v>
      </c>
      <c r="AE292" s="34">
        <f>[2]Districts_Boroughs!DI281</f>
        <v>29</v>
      </c>
      <c r="AF292" s="34">
        <f>[2]Districts_Boroughs!DJ281</f>
        <v>30</v>
      </c>
      <c r="AG292" s="34">
        <f>[2]Districts_Boroughs!DK281</f>
        <v>30</v>
      </c>
      <c r="AH292" s="34">
        <f>[2]Districts_Boroughs!DL281</f>
        <v>31</v>
      </c>
      <c r="AI292" s="34">
        <f>[2]Districts_Boroughs!DM281</f>
        <v>25</v>
      </c>
      <c r="AJ292" s="34">
        <f>[2]Districts_Boroughs!DN281</f>
        <v>16</v>
      </c>
      <c r="AK292" s="34">
        <f>[2]Districts_Boroughs!DO281</f>
        <v>34</v>
      </c>
      <c r="AL292" s="34">
        <f>[2]Districts_Boroughs!DP281</f>
        <v>27</v>
      </c>
      <c r="AM292" s="34">
        <f>[2]Districts_Boroughs!DQ281</f>
        <v>42</v>
      </c>
      <c r="AN292" s="34">
        <f>[2]Districts_Boroughs!DR281</f>
        <v>28</v>
      </c>
      <c r="AO292" s="34">
        <f>[2]Districts_Boroughs!DS281</f>
        <v>38</v>
      </c>
      <c r="AP292" s="34">
        <f>[2]Districts_Boroughs!DT281</f>
        <v>35</v>
      </c>
      <c r="AQ292" s="34">
        <f>[2]Districts_Boroughs!DU281</f>
        <v>23</v>
      </c>
      <c r="AR292" s="34">
        <f>[2]Districts_Boroughs!DV281</f>
        <v>28</v>
      </c>
      <c r="AS292" s="34">
        <f>[2]Districts_Boroughs!DW281</f>
        <v>33</v>
      </c>
      <c r="AT292" s="34">
        <f>[2]Districts_Boroughs!DX281</f>
        <v>35</v>
      </c>
      <c r="AU292" s="34">
        <f>[2]Districts_Boroughs!DY281</f>
        <v>32</v>
      </c>
      <c r="AV292" s="34">
        <f>[2]Districts_Boroughs!DZ281</f>
        <v>46</v>
      </c>
      <c r="AW292" s="34">
        <f>[2]Districts_Boroughs!EA281</f>
        <v>50</v>
      </c>
      <c r="AX292" s="34">
        <f>[2]Districts_Boroughs!EB281</f>
        <v>31</v>
      </c>
      <c r="AY292" s="34">
        <f>[2]Districts_Boroughs!EC281</f>
        <v>39</v>
      </c>
    </row>
    <row r="293" spans="2:51" x14ac:dyDescent="0.35">
      <c r="B293" t="str">
        <f t="shared" si="14"/>
        <v>South WarwickshireTotal Vehicle Crime</v>
      </c>
      <c r="C293" s="350" t="s">
        <v>50</v>
      </c>
      <c r="D293" s="34">
        <f>[2]Districts_Boroughs!CH282</f>
        <v>98</v>
      </c>
      <c r="E293" s="34">
        <f>[2]Districts_Boroughs!CI282</f>
        <v>111</v>
      </c>
      <c r="F293" s="34">
        <f>[2]Districts_Boroughs!CJ282</f>
        <v>103</v>
      </c>
      <c r="G293" s="34">
        <f>[2]Districts_Boroughs!CK282</f>
        <v>162</v>
      </c>
      <c r="H293" s="34">
        <f>[2]Districts_Boroughs!CL282</f>
        <v>160</v>
      </c>
      <c r="I293" s="34">
        <f>[2]Districts_Boroughs!CM282</f>
        <v>132</v>
      </c>
      <c r="J293" s="34">
        <f>[2]Districts_Boroughs!CN282</f>
        <v>124</v>
      </c>
      <c r="K293" s="34">
        <f>[2]Districts_Boroughs!CO282</f>
        <v>199</v>
      </c>
      <c r="L293" s="34">
        <f>[2]Districts_Boroughs!CP282</f>
        <v>121</v>
      </c>
      <c r="M293" s="34">
        <f>[2]Districts_Boroughs!CQ282</f>
        <v>150</v>
      </c>
      <c r="N293" s="34">
        <f>[2]Districts_Boroughs!CR282</f>
        <v>117</v>
      </c>
      <c r="O293" s="34">
        <f>[2]Districts_Boroughs!CS282</f>
        <v>200</v>
      </c>
      <c r="P293" s="34">
        <f>[2]Districts_Boroughs!CT282</f>
        <v>154</v>
      </c>
      <c r="Q293" s="34">
        <f>[2]Districts_Boroughs!CU282</f>
        <v>173</v>
      </c>
      <c r="R293" s="34">
        <f>[2]Districts_Boroughs!CV282</f>
        <v>164</v>
      </c>
      <c r="S293" s="34">
        <f>[2]Districts_Boroughs!CW282</f>
        <v>202</v>
      </c>
      <c r="T293" s="34">
        <f>[2]Districts_Boroughs!CX282</f>
        <v>196</v>
      </c>
      <c r="U293" s="34">
        <f>[2]Districts_Boroughs!CY282</f>
        <v>226</v>
      </c>
      <c r="V293" s="34">
        <f>[2]Districts_Boroughs!CZ282</f>
        <v>206</v>
      </c>
      <c r="W293" s="34">
        <f>[2]Districts_Boroughs!DA282</f>
        <v>181</v>
      </c>
      <c r="X293" s="34">
        <f>[2]Districts_Boroughs!DB282</f>
        <v>125</v>
      </c>
      <c r="Y293" s="34">
        <f>[2]Districts_Boroughs!DC282</f>
        <v>238</v>
      </c>
      <c r="Z293" s="34">
        <f>[2]Districts_Boroughs!DD282</f>
        <v>177</v>
      </c>
      <c r="AA293" s="34">
        <f>[2]Districts_Boroughs!DE282</f>
        <v>154</v>
      </c>
      <c r="AB293" s="34">
        <f>[2]Districts_Boroughs!DF282</f>
        <v>195</v>
      </c>
      <c r="AC293" s="34">
        <f>[2]Districts_Boroughs!DG282</f>
        <v>170</v>
      </c>
      <c r="AD293" s="34">
        <f>[2]Districts_Boroughs!DH282</f>
        <v>155</v>
      </c>
      <c r="AE293" s="34">
        <f>[2]Districts_Boroughs!DI282</f>
        <v>189</v>
      </c>
      <c r="AF293" s="34">
        <f>[2]Districts_Boroughs!DJ282</f>
        <v>140</v>
      </c>
      <c r="AG293" s="34">
        <f>[2]Districts_Boroughs!DK282</f>
        <v>121</v>
      </c>
      <c r="AH293" s="34">
        <f>[2]Districts_Boroughs!DL282</f>
        <v>174</v>
      </c>
      <c r="AI293" s="34">
        <f>[2]Districts_Boroughs!DM282</f>
        <v>163</v>
      </c>
      <c r="AJ293" s="34">
        <f>[2]Districts_Boroughs!DN282</f>
        <v>157</v>
      </c>
      <c r="AK293" s="34">
        <f>[2]Districts_Boroughs!DO282</f>
        <v>145</v>
      </c>
      <c r="AL293" s="34">
        <f>[2]Districts_Boroughs!DP282</f>
        <v>103</v>
      </c>
      <c r="AM293" s="34">
        <f>[2]Districts_Boroughs!DQ282</f>
        <v>118</v>
      </c>
      <c r="AN293" s="34">
        <f>[2]Districts_Boroughs!DR282</f>
        <v>144</v>
      </c>
      <c r="AO293" s="34">
        <f>[2]Districts_Boroughs!DS282</f>
        <v>180</v>
      </c>
      <c r="AP293" s="34">
        <f>[2]Districts_Boroughs!DT282</f>
        <v>151</v>
      </c>
      <c r="AQ293" s="34">
        <f>[2]Districts_Boroughs!DU282</f>
        <v>150</v>
      </c>
      <c r="AR293" s="34">
        <f>[2]Districts_Boroughs!DV282</f>
        <v>127</v>
      </c>
      <c r="AS293" s="34">
        <f>[2]Districts_Boroughs!DW282</f>
        <v>131</v>
      </c>
      <c r="AT293" s="34">
        <f>[2]Districts_Boroughs!DX282</f>
        <v>165</v>
      </c>
      <c r="AU293" s="34">
        <f>[2]Districts_Boroughs!DY282</f>
        <v>130</v>
      </c>
      <c r="AV293" s="34">
        <f>[2]Districts_Boroughs!DZ282</f>
        <v>122</v>
      </c>
      <c r="AW293" s="34">
        <f>[2]Districts_Boroughs!EA282</f>
        <v>151</v>
      </c>
      <c r="AX293" s="34">
        <f>[2]Districts_Boroughs!EB282</f>
        <v>88</v>
      </c>
      <c r="AY293" s="34">
        <f>[2]Districts_Boroughs!EC282</f>
        <v>119</v>
      </c>
    </row>
    <row r="294" spans="2:51" x14ac:dyDescent="0.35">
      <c r="B294" t="str">
        <f t="shared" si="14"/>
        <v>South Warwickshire</v>
      </c>
      <c r="C294" s="350"/>
      <c r="D294" s="34">
        <f>[2]Districts_Boroughs!CH283</f>
        <v>0</v>
      </c>
      <c r="E294" s="34">
        <f>[2]Districts_Boroughs!CI283</f>
        <v>0</v>
      </c>
      <c r="F294" s="34">
        <f>[2]Districts_Boroughs!CJ283</f>
        <v>0</v>
      </c>
      <c r="G294" s="34">
        <f>[2]Districts_Boroughs!CK283</f>
        <v>0</v>
      </c>
      <c r="H294" s="34">
        <f>[2]Districts_Boroughs!CL283</f>
        <v>0</v>
      </c>
      <c r="I294" s="34">
        <f>[2]Districts_Boroughs!CM283</f>
        <v>0</v>
      </c>
      <c r="J294" s="34">
        <f>[2]Districts_Boroughs!CN283</f>
        <v>0</v>
      </c>
      <c r="K294" s="34">
        <f>[2]Districts_Boroughs!CO283</f>
        <v>0</v>
      </c>
      <c r="L294" s="34">
        <f>[2]Districts_Boroughs!CP283</f>
        <v>0</v>
      </c>
      <c r="M294" s="34">
        <f>[2]Districts_Boroughs!CQ283</f>
        <v>0</v>
      </c>
      <c r="N294" s="34">
        <f>[2]Districts_Boroughs!CR283</f>
        <v>0</v>
      </c>
      <c r="O294" s="34">
        <f>[2]Districts_Boroughs!CS283</f>
        <v>0</v>
      </c>
      <c r="P294" s="34">
        <f>[2]Districts_Boroughs!CT283</f>
        <v>0</v>
      </c>
      <c r="Q294" s="34">
        <f>[2]Districts_Boroughs!CU283</f>
        <v>0</v>
      </c>
      <c r="R294" s="34">
        <f>[2]Districts_Boroughs!CV283</f>
        <v>0</v>
      </c>
      <c r="S294" s="34">
        <f>[2]Districts_Boroughs!CW283</f>
        <v>0</v>
      </c>
      <c r="T294" s="34">
        <f>[2]Districts_Boroughs!CX283</f>
        <v>0</v>
      </c>
      <c r="U294" s="34">
        <f>[2]Districts_Boroughs!CY283</f>
        <v>0</v>
      </c>
      <c r="V294" s="34">
        <f>[2]Districts_Boroughs!CZ283</f>
        <v>0</v>
      </c>
      <c r="W294" s="34">
        <f>[2]Districts_Boroughs!DA283</f>
        <v>0</v>
      </c>
      <c r="X294" s="34">
        <f>[2]Districts_Boroughs!DB283</f>
        <v>0</v>
      </c>
      <c r="Y294" s="34">
        <f>[2]Districts_Boroughs!DC283</f>
        <v>0</v>
      </c>
      <c r="Z294" s="34">
        <f>[2]Districts_Boroughs!DD283</f>
        <v>0</v>
      </c>
      <c r="AA294" s="34">
        <f>[2]Districts_Boroughs!DE283</f>
        <v>0</v>
      </c>
      <c r="AB294" s="34">
        <f>[2]Districts_Boroughs!DF283</f>
        <v>0</v>
      </c>
      <c r="AC294" s="34">
        <f>[2]Districts_Boroughs!DG283</f>
        <v>0</v>
      </c>
      <c r="AD294" s="34">
        <f>[2]Districts_Boroughs!DH283</f>
        <v>0</v>
      </c>
      <c r="AE294" s="34">
        <f>[2]Districts_Boroughs!DI283</f>
        <v>0</v>
      </c>
      <c r="AF294" s="34">
        <f>[2]Districts_Boroughs!DJ283</f>
        <v>0</v>
      </c>
      <c r="AG294" s="34">
        <f>[2]Districts_Boroughs!DK283</f>
        <v>0</v>
      </c>
      <c r="AH294" s="34">
        <f>[2]Districts_Boroughs!DL283</f>
        <v>0</v>
      </c>
      <c r="AI294" s="34">
        <f>[2]Districts_Boroughs!DM283</f>
        <v>0</v>
      </c>
      <c r="AJ294" s="34">
        <f>[2]Districts_Boroughs!DN283</f>
        <v>0</v>
      </c>
      <c r="AK294" s="34">
        <f>[2]Districts_Boroughs!DO283</f>
        <v>0</v>
      </c>
      <c r="AL294" s="34">
        <f>[2]Districts_Boroughs!DP283</f>
        <v>0</v>
      </c>
      <c r="AM294" s="34">
        <f>[2]Districts_Boroughs!DQ283</f>
        <v>0</v>
      </c>
      <c r="AN294" s="34">
        <f>[2]Districts_Boroughs!DR283</f>
        <v>0</v>
      </c>
      <c r="AO294" s="34">
        <f>[2]Districts_Boroughs!DS283</f>
        <v>0</v>
      </c>
      <c r="AP294" s="34">
        <f>[2]Districts_Boroughs!DT283</f>
        <v>0</v>
      </c>
      <c r="AQ294" s="34">
        <f>[2]Districts_Boroughs!DU283</f>
        <v>0</v>
      </c>
      <c r="AR294" s="34">
        <f>[2]Districts_Boroughs!DV283</f>
        <v>0</v>
      </c>
      <c r="AS294" s="34">
        <f>[2]Districts_Boroughs!DW283</f>
        <v>0</v>
      </c>
      <c r="AT294" s="34">
        <f>[2]Districts_Boroughs!DX283</f>
        <v>0</v>
      </c>
      <c r="AU294" s="34">
        <f>[2]Districts_Boroughs!DY283</f>
        <v>0</v>
      </c>
      <c r="AV294" s="34">
        <f>[2]Districts_Boroughs!DZ283</f>
        <v>0</v>
      </c>
      <c r="AW294" s="34">
        <f>[2]Districts_Boroughs!EA283</f>
        <v>0</v>
      </c>
      <c r="AX294" s="34">
        <f>[2]Districts_Boroughs!EB283</f>
        <v>0</v>
      </c>
      <c r="AY294" s="34">
        <f>[2]Districts_Boroughs!EC283</f>
        <v>0</v>
      </c>
    </row>
    <row r="295" spans="2:51" x14ac:dyDescent="0.35">
      <c r="B295" t="str">
        <f t="shared" si="14"/>
        <v>South WarwickshireHate Offences &amp; Crimed Incidents</v>
      </c>
      <c r="C295" s="350" t="s">
        <v>51</v>
      </c>
      <c r="D295" s="34">
        <f>[2]Districts_Boroughs!CH284</f>
        <v>47</v>
      </c>
      <c r="E295" s="34">
        <f>[2]Districts_Boroughs!CI284</f>
        <v>35</v>
      </c>
      <c r="F295" s="34">
        <f>[2]Districts_Boroughs!CJ284</f>
        <v>49</v>
      </c>
      <c r="G295" s="34">
        <f>[2]Districts_Boroughs!CK284</f>
        <v>40</v>
      </c>
      <c r="H295" s="34">
        <f>[2]Districts_Boroughs!CL284</f>
        <v>51</v>
      </c>
      <c r="I295" s="34">
        <f>[2]Districts_Boroughs!CM284</f>
        <v>45</v>
      </c>
      <c r="J295" s="34">
        <f>[2]Districts_Boroughs!CN284</f>
        <v>39</v>
      </c>
      <c r="K295" s="34">
        <f>[2]Districts_Boroughs!CO284</f>
        <v>40</v>
      </c>
      <c r="L295" s="34">
        <f>[2]Districts_Boroughs!CP284</f>
        <v>41</v>
      </c>
      <c r="M295" s="34">
        <f>[2]Districts_Boroughs!CQ284</f>
        <v>25</v>
      </c>
      <c r="N295" s="34">
        <f>[2]Districts_Boroughs!CR284</f>
        <v>33</v>
      </c>
      <c r="O295" s="34">
        <f>[2]Districts_Boroughs!CS284</f>
        <v>34</v>
      </c>
      <c r="P295" s="34">
        <f>[2]Districts_Boroughs!CT284</f>
        <v>40</v>
      </c>
      <c r="Q295" s="34">
        <f>[2]Districts_Boroughs!CU284</f>
        <v>52</v>
      </c>
      <c r="R295" s="34">
        <f>[2]Districts_Boroughs!CV284</f>
        <v>53</v>
      </c>
      <c r="S295" s="34">
        <f>[2]Districts_Boroughs!CW284</f>
        <v>52</v>
      </c>
      <c r="T295" s="34">
        <f>[2]Districts_Boroughs!CX284</f>
        <v>48</v>
      </c>
      <c r="U295" s="34">
        <f>[2]Districts_Boroughs!CY284</f>
        <v>43</v>
      </c>
      <c r="V295" s="34">
        <f>[2]Districts_Boroughs!CZ284</f>
        <v>40</v>
      </c>
      <c r="W295" s="34">
        <f>[2]Districts_Boroughs!DA284</f>
        <v>43</v>
      </c>
      <c r="X295" s="34">
        <f>[2]Districts_Boroughs!DB284</f>
        <v>27</v>
      </c>
      <c r="Y295" s="34">
        <f>[2]Districts_Boroughs!DC284</f>
        <v>34</v>
      </c>
      <c r="Z295" s="34">
        <f>[2]Districts_Boroughs!DD284</f>
        <v>35</v>
      </c>
      <c r="AA295" s="34">
        <f>[2]Districts_Boroughs!DE284</f>
        <v>42</v>
      </c>
      <c r="AB295" s="34">
        <f>[2]Districts_Boroughs!DF284</f>
        <v>37</v>
      </c>
      <c r="AC295" s="34">
        <f>[2]Districts_Boroughs!DG284</f>
        <v>34</v>
      </c>
      <c r="AD295" s="34">
        <f>[2]Districts_Boroughs!DH284</f>
        <v>38</v>
      </c>
      <c r="AE295" s="34">
        <f>[2]Districts_Boroughs!DI284</f>
        <v>36</v>
      </c>
      <c r="AF295" s="34">
        <f>[2]Districts_Boroughs!DJ284</f>
        <v>40</v>
      </c>
      <c r="AG295" s="34">
        <f>[2]Districts_Boroughs!DK284</f>
        <v>41</v>
      </c>
      <c r="AH295" s="34">
        <f>[2]Districts_Boroughs!DL284</f>
        <v>22</v>
      </c>
      <c r="AI295" s="34">
        <f>[2]Districts_Boroughs!DM284</f>
        <v>35</v>
      </c>
      <c r="AJ295" s="34">
        <f>[2]Districts_Boroughs!DN284</f>
        <v>39</v>
      </c>
      <c r="AK295" s="34">
        <f>[2]Districts_Boroughs!DO284</f>
        <v>29</v>
      </c>
      <c r="AL295" s="34">
        <f>[2]Districts_Boroughs!DP284</f>
        <v>46</v>
      </c>
      <c r="AM295" s="34">
        <f>[2]Districts_Boroughs!DQ284</f>
        <v>32</v>
      </c>
      <c r="AN295" s="34">
        <f>[2]Districts_Boroughs!DR284</f>
        <v>27</v>
      </c>
      <c r="AO295" s="34">
        <f>[2]Districts_Boroughs!DS284</f>
        <v>38</v>
      </c>
      <c r="AP295" s="34">
        <f>[2]Districts_Boroughs!DT284</f>
        <v>24</v>
      </c>
      <c r="AQ295" s="34">
        <f>[2]Districts_Boroughs!DU284</f>
        <v>48</v>
      </c>
      <c r="AR295" s="34">
        <f>[2]Districts_Boroughs!DV284</f>
        <v>69</v>
      </c>
      <c r="AS295" s="34">
        <f>[2]Districts_Boroughs!DW284</f>
        <v>31</v>
      </c>
      <c r="AT295" s="34">
        <f>[2]Districts_Boroughs!DX284</f>
        <v>27</v>
      </c>
      <c r="AU295" s="34">
        <f>[2]Districts_Boroughs!DY284</f>
        <v>30</v>
      </c>
      <c r="AV295" s="34">
        <f>[2]Districts_Boroughs!DZ284</f>
        <v>39</v>
      </c>
      <c r="AW295" s="34">
        <f>[2]Districts_Boroughs!EA284</f>
        <v>23</v>
      </c>
      <c r="AX295" s="34">
        <f>[2]Districts_Boroughs!EB284</f>
        <v>34</v>
      </c>
      <c r="AY295" s="34">
        <f>[2]Districts_Boroughs!EC284</f>
        <v>35</v>
      </c>
    </row>
    <row r="296" spans="2:51" s="64" customFormat="1" x14ac:dyDescent="0.35">
      <c r="B296" s="64" t="str">
        <f t="shared" si="14"/>
        <v>South WarwickshireDA Offences &amp; Crimed Incidents</v>
      </c>
      <c r="C296" s="350" t="s">
        <v>200</v>
      </c>
      <c r="D296" s="34">
        <f>[2]Districts_Boroughs!CH285</f>
        <v>359</v>
      </c>
      <c r="E296" s="34">
        <f>[2]Districts_Boroughs!CI285</f>
        <v>403</v>
      </c>
      <c r="F296" s="34">
        <f>[2]Districts_Boroughs!CJ285</f>
        <v>470</v>
      </c>
      <c r="G296" s="34">
        <f>[2]Districts_Boroughs!CK285</f>
        <v>428</v>
      </c>
      <c r="H296" s="34">
        <f>[2]Districts_Boroughs!CL285</f>
        <v>465</v>
      </c>
      <c r="I296" s="34">
        <f>[2]Districts_Boroughs!CM285</f>
        <v>404</v>
      </c>
      <c r="J296" s="34">
        <f>[2]Districts_Boroughs!CN285</f>
        <v>392</v>
      </c>
      <c r="K296" s="34">
        <f>[2]Districts_Boroughs!CO285</f>
        <v>304</v>
      </c>
      <c r="L296" s="34">
        <f>[2]Districts_Boroughs!CP285</f>
        <v>340</v>
      </c>
      <c r="M296" s="34">
        <f>[2]Districts_Boroughs!CQ285</f>
        <v>360</v>
      </c>
      <c r="N296" s="34">
        <f>[2]Districts_Boroughs!CR285</f>
        <v>325</v>
      </c>
      <c r="O296" s="34">
        <f>[2]Districts_Boroughs!CS285</f>
        <v>400</v>
      </c>
      <c r="P296" s="34">
        <f>[2]Districts_Boroughs!CT285</f>
        <v>402</v>
      </c>
      <c r="Q296" s="34">
        <f>[2]Districts_Boroughs!CU285</f>
        <v>423</v>
      </c>
      <c r="R296" s="34">
        <f>[2]Districts_Boroughs!CV285</f>
        <v>371</v>
      </c>
      <c r="S296" s="34">
        <f>[2]Districts_Boroughs!CW285</f>
        <v>432</v>
      </c>
      <c r="T296" s="34">
        <f>[2]Districts_Boroughs!CX285</f>
        <v>379</v>
      </c>
      <c r="U296" s="34">
        <f>[2]Districts_Boroughs!CY285</f>
        <v>370</v>
      </c>
      <c r="V296" s="34">
        <f>[2]Districts_Boroughs!CZ285</f>
        <v>352</v>
      </c>
      <c r="W296" s="34">
        <f>[2]Districts_Boroughs!DA285</f>
        <v>321</v>
      </c>
      <c r="X296" s="34">
        <f>[2]Districts_Boroughs!DB285</f>
        <v>362</v>
      </c>
      <c r="Y296" s="34">
        <f>[2]Districts_Boroughs!DC285</f>
        <v>334</v>
      </c>
      <c r="Z296" s="34">
        <f>[2]Districts_Boroughs!DD285</f>
        <v>323</v>
      </c>
      <c r="AA296" s="34">
        <f>[2]Districts_Boroughs!DE285</f>
        <v>351</v>
      </c>
      <c r="AB296" s="34">
        <f>[2]Districts_Boroughs!DF285</f>
        <v>398</v>
      </c>
      <c r="AC296" s="34">
        <f>[2]Districts_Boroughs!DG285</f>
        <v>333</v>
      </c>
      <c r="AD296" s="34">
        <f>[2]Districts_Boroughs!DH285</f>
        <v>381</v>
      </c>
      <c r="AE296" s="34">
        <f>[2]Districts_Boroughs!DI285</f>
        <v>347</v>
      </c>
      <c r="AF296" s="34">
        <f>[2]Districts_Boroughs!DJ285</f>
        <v>345</v>
      </c>
      <c r="AG296" s="34">
        <f>[2]Districts_Boroughs!DK285</f>
        <v>301</v>
      </c>
      <c r="AH296" s="34">
        <f>[2]Districts_Boroughs!DL285</f>
        <v>318</v>
      </c>
      <c r="AI296" s="34">
        <f>[2]Districts_Boroughs!DM285</f>
        <v>313</v>
      </c>
      <c r="AJ296" s="34">
        <f>[2]Districts_Boroughs!DN285</f>
        <v>340</v>
      </c>
      <c r="AK296" s="34">
        <f>[2]Districts_Boroughs!DO285</f>
        <v>307</v>
      </c>
      <c r="AL296" s="34">
        <f>[2]Districts_Boroughs!DP285</f>
        <v>326</v>
      </c>
      <c r="AM296" s="34">
        <f>[2]Districts_Boroughs!DQ285</f>
        <v>358</v>
      </c>
      <c r="AN296" s="34">
        <f>[2]Districts_Boroughs!DR285</f>
        <v>328</v>
      </c>
      <c r="AO296" s="34">
        <f>[2]Districts_Boroughs!DS285</f>
        <v>340</v>
      </c>
      <c r="AP296" s="34">
        <f>[2]Districts_Boroughs!DT285</f>
        <v>339</v>
      </c>
      <c r="AQ296" s="34">
        <f>[2]Districts_Boroughs!DU285</f>
        <v>379</v>
      </c>
      <c r="AR296" s="34">
        <f>[2]Districts_Boroughs!DV285</f>
        <v>364</v>
      </c>
      <c r="AS296" s="34">
        <f>[2]Districts_Boroughs!DW285</f>
        <v>336</v>
      </c>
      <c r="AT296" s="34">
        <f>[2]Districts_Boroughs!DX285</f>
        <v>366</v>
      </c>
      <c r="AU296" s="34">
        <f>[2]Districts_Boroughs!DY285</f>
        <v>293</v>
      </c>
      <c r="AV296" s="34">
        <f>[2]Districts_Boroughs!DZ285</f>
        <v>359</v>
      </c>
      <c r="AW296" s="34">
        <f>[2]Districts_Boroughs!EA285</f>
        <v>341</v>
      </c>
      <c r="AX296" s="34">
        <f>[2]Districts_Boroughs!EB285</f>
        <v>345</v>
      </c>
      <c r="AY296" s="34">
        <f>[2]Districts_Boroughs!EC285</f>
        <v>372</v>
      </c>
    </row>
    <row r="297" spans="2:51" s="64" customFormat="1" x14ac:dyDescent="0.35">
      <c r="B297" s="64" t="str">
        <f t="shared" si="14"/>
        <v>South WarwickshireVulnerable adult offences and crimed incidents</v>
      </c>
      <c r="C297" s="350" t="s">
        <v>201</v>
      </c>
      <c r="D297" s="34">
        <f>[2]Districts_Boroughs!CH286</f>
        <v>263</v>
      </c>
      <c r="E297" s="34">
        <f>[2]Districts_Boroughs!CI286</f>
        <v>236</v>
      </c>
      <c r="F297" s="34">
        <f>[2]Districts_Boroughs!CJ286</f>
        <v>217</v>
      </c>
      <c r="G297" s="34">
        <f>[2]Districts_Boroughs!CK286</f>
        <v>258</v>
      </c>
      <c r="H297" s="34">
        <f>[2]Districts_Boroughs!CL286</f>
        <v>203</v>
      </c>
      <c r="I297" s="34">
        <f>[2]Districts_Boroughs!CM286</f>
        <v>214</v>
      </c>
      <c r="J297" s="34">
        <f>[2]Districts_Boroughs!CN286</f>
        <v>229</v>
      </c>
      <c r="K297" s="34">
        <f>[2]Districts_Boroughs!CO286</f>
        <v>233</v>
      </c>
      <c r="L297" s="34">
        <f>[2]Districts_Boroughs!CP286</f>
        <v>203</v>
      </c>
      <c r="M297" s="34">
        <f>[2]Districts_Boroughs!CQ286</f>
        <v>188</v>
      </c>
      <c r="N297" s="34">
        <f>[2]Districts_Boroughs!CR286</f>
        <v>201</v>
      </c>
      <c r="O297" s="34">
        <f>[2]Districts_Boroughs!CS286</f>
        <v>216</v>
      </c>
      <c r="P297" s="34">
        <f>[2]Districts_Boroughs!CT286</f>
        <v>230</v>
      </c>
      <c r="Q297" s="34">
        <f>[2]Districts_Boroughs!CU286</f>
        <v>260</v>
      </c>
      <c r="R297" s="34">
        <f>[2]Districts_Boroughs!CV286</f>
        <v>268</v>
      </c>
      <c r="S297" s="34">
        <f>[2]Districts_Boroughs!CW286</f>
        <v>246</v>
      </c>
      <c r="T297" s="34">
        <f>[2]Districts_Boroughs!CX286</f>
        <v>300</v>
      </c>
      <c r="U297" s="34">
        <f>[2]Districts_Boroughs!CY286</f>
        <v>274</v>
      </c>
      <c r="V297" s="34">
        <f>[2]Districts_Boroughs!CZ286</f>
        <v>254</v>
      </c>
      <c r="W297" s="34">
        <f>[2]Districts_Boroughs!DA286</f>
        <v>244</v>
      </c>
      <c r="X297" s="34">
        <f>[2]Districts_Boroughs!DB286</f>
        <v>250</v>
      </c>
      <c r="Y297" s="34">
        <f>[2]Districts_Boroughs!DC286</f>
        <v>236</v>
      </c>
      <c r="Z297" s="34">
        <f>[2]Districts_Boroughs!DD286</f>
        <v>224</v>
      </c>
      <c r="AA297" s="34">
        <f>[2]Districts_Boroughs!DE286</f>
        <v>255</v>
      </c>
      <c r="AB297" s="34">
        <f>[2]Districts_Boroughs!DF286</f>
        <v>254</v>
      </c>
      <c r="AC297" s="34">
        <f>[2]Districts_Boroughs!DG286</f>
        <v>251</v>
      </c>
      <c r="AD297" s="34">
        <f>[2]Districts_Boroughs!DH286</f>
        <v>252</v>
      </c>
      <c r="AE297" s="34">
        <f>[2]Districts_Boroughs!DI286</f>
        <v>251</v>
      </c>
      <c r="AF297" s="34">
        <f>[2]Districts_Boroughs!DJ286</f>
        <v>231</v>
      </c>
      <c r="AG297" s="34">
        <f>[2]Districts_Boroughs!DK286</f>
        <v>218</v>
      </c>
      <c r="AH297" s="34">
        <f>[2]Districts_Boroughs!DL286</f>
        <v>217</v>
      </c>
      <c r="AI297" s="34">
        <f>[2]Districts_Boroughs!DM286</f>
        <v>221</v>
      </c>
      <c r="AJ297" s="34">
        <f>[2]Districts_Boroughs!DN286</f>
        <v>236</v>
      </c>
      <c r="AK297" s="34">
        <f>[2]Districts_Boroughs!DO286</f>
        <v>184</v>
      </c>
      <c r="AL297" s="34">
        <f>[2]Districts_Boroughs!DP286</f>
        <v>209</v>
      </c>
      <c r="AM297" s="34">
        <f>[2]Districts_Boroughs!DQ286</f>
        <v>189</v>
      </c>
      <c r="AN297" s="34">
        <f>[2]Districts_Boroughs!DR286</f>
        <v>190</v>
      </c>
      <c r="AO297" s="34">
        <f>[2]Districts_Boroughs!DS286</f>
        <v>202</v>
      </c>
      <c r="AP297" s="34">
        <f>[2]Districts_Boroughs!DT286</f>
        <v>206</v>
      </c>
      <c r="AQ297" s="34">
        <f>[2]Districts_Boroughs!DU286</f>
        <v>222</v>
      </c>
      <c r="AR297" s="34">
        <f>[2]Districts_Boroughs!DV286</f>
        <v>196</v>
      </c>
      <c r="AS297" s="34">
        <f>[2]Districts_Boroughs!DW286</f>
        <v>198</v>
      </c>
      <c r="AT297" s="34">
        <f>[2]Districts_Boroughs!DX286</f>
        <v>216</v>
      </c>
      <c r="AU297" s="34">
        <f>[2]Districts_Boroughs!DY286</f>
        <v>212</v>
      </c>
      <c r="AV297" s="34">
        <f>[2]Districts_Boroughs!DZ286</f>
        <v>225</v>
      </c>
      <c r="AW297" s="34">
        <f>[2]Districts_Boroughs!EA286</f>
        <v>224</v>
      </c>
      <c r="AX297" s="34">
        <f>[2]Districts_Boroughs!EB286</f>
        <v>227</v>
      </c>
      <c r="AY297" s="34">
        <f>[2]Districts_Boroughs!EC286</f>
        <v>238</v>
      </c>
    </row>
    <row r="298" spans="2:51" s="64" customFormat="1" x14ac:dyDescent="0.35">
      <c r="B298" s="64" t="str">
        <f t="shared" si="14"/>
        <v>South WarwickshireCSE offences and crimed incidents</v>
      </c>
      <c r="C298" s="350" t="s">
        <v>202</v>
      </c>
      <c r="D298" s="34">
        <f>[2]Districts_Boroughs!CH287</f>
        <v>1</v>
      </c>
      <c r="E298" s="34">
        <f>[2]Districts_Boroughs!CI287</f>
        <v>3</v>
      </c>
      <c r="F298" s="34">
        <f>[2]Districts_Boroughs!CJ287</f>
        <v>1</v>
      </c>
      <c r="G298" s="34">
        <f>[2]Districts_Boroughs!CK287</f>
        <v>0</v>
      </c>
      <c r="H298" s="34">
        <f>[2]Districts_Boroughs!CL287</f>
        <v>1</v>
      </c>
      <c r="I298" s="34">
        <f>[2]Districts_Boroughs!CM287</f>
        <v>2</v>
      </c>
      <c r="J298" s="34">
        <f>[2]Districts_Boroughs!CN287</f>
        <v>2</v>
      </c>
      <c r="K298" s="34">
        <f>[2]Districts_Boroughs!CO287</f>
        <v>2</v>
      </c>
      <c r="L298" s="34">
        <f>[2]Districts_Boroughs!CP287</f>
        <v>1</v>
      </c>
      <c r="M298" s="34">
        <f>[2]Districts_Boroughs!CQ287</f>
        <v>10</v>
      </c>
      <c r="N298" s="34">
        <f>[2]Districts_Boroughs!CR287</f>
        <v>0</v>
      </c>
      <c r="O298" s="34">
        <f>[2]Districts_Boroughs!CS287</f>
        <v>1</v>
      </c>
      <c r="P298" s="34">
        <f>[2]Districts_Boroughs!CT287</f>
        <v>4</v>
      </c>
      <c r="Q298" s="34">
        <f>[2]Districts_Boroughs!CU287</f>
        <v>4</v>
      </c>
      <c r="R298" s="34">
        <f>[2]Districts_Boroughs!CV287</f>
        <v>5</v>
      </c>
      <c r="S298" s="34">
        <f>[2]Districts_Boroughs!CW287</f>
        <v>10</v>
      </c>
      <c r="T298" s="34">
        <f>[2]Districts_Boroughs!CX287</f>
        <v>10</v>
      </c>
      <c r="U298" s="34">
        <f>[2]Districts_Boroughs!CY287</f>
        <v>13</v>
      </c>
      <c r="V298" s="34">
        <f>[2]Districts_Boroughs!CZ287</f>
        <v>6</v>
      </c>
      <c r="W298" s="34">
        <f>[2]Districts_Boroughs!DA287</f>
        <v>11</v>
      </c>
      <c r="X298" s="34">
        <f>[2]Districts_Boroughs!DB287</f>
        <v>10</v>
      </c>
      <c r="Y298" s="34">
        <f>[2]Districts_Boroughs!DC287</f>
        <v>20</v>
      </c>
      <c r="Z298" s="34">
        <f>[2]Districts_Boroughs!DD287</f>
        <v>10</v>
      </c>
      <c r="AA298" s="34">
        <f>[2]Districts_Boroughs!DE287</f>
        <v>11</v>
      </c>
      <c r="AB298" s="34">
        <f>[2]Districts_Boroughs!DF287</f>
        <v>1</v>
      </c>
      <c r="AC298" s="34">
        <f>[2]Districts_Boroughs!DG287</f>
        <v>3</v>
      </c>
      <c r="AD298" s="34">
        <f>[2]Districts_Boroughs!DH287</f>
        <v>2</v>
      </c>
      <c r="AE298" s="34">
        <f>[2]Districts_Boroughs!DI287</f>
        <v>1</v>
      </c>
      <c r="AF298" s="34">
        <f>[2]Districts_Boroughs!DJ287</f>
        <v>2</v>
      </c>
      <c r="AG298" s="34">
        <f>[2]Districts_Boroughs!DK287</f>
        <v>2</v>
      </c>
      <c r="AH298" s="34">
        <f>[2]Districts_Boroughs!DL287</f>
        <v>5</v>
      </c>
      <c r="AI298" s="34">
        <f>[2]Districts_Boroughs!DM287</f>
        <v>5</v>
      </c>
      <c r="AJ298" s="34">
        <f>[2]Districts_Boroughs!DN287</f>
        <v>8</v>
      </c>
      <c r="AK298" s="34">
        <f>[2]Districts_Boroughs!DO287</f>
        <v>16</v>
      </c>
      <c r="AL298" s="34">
        <f>[2]Districts_Boroughs!DP287</f>
        <v>5</v>
      </c>
      <c r="AM298" s="34">
        <f>[2]Districts_Boroughs!DQ287</f>
        <v>6</v>
      </c>
      <c r="AN298" s="34">
        <f>[2]Districts_Boroughs!DR287</f>
        <v>14</v>
      </c>
      <c r="AO298" s="34">
        <f>[2]Districts_Boroughs!DS287</f>
        <v>9</v>
      </c>
      <c r="AP298" s="34">
        <f>[2]Districts_Boroughs!DT287</f>
        <v>2</v>
      </c>
      <c r="AQ298" s="34">
        <f>[2]Districts_Boroughs!DU287</f>
        <v>6</v>
      </c>
      <c r="AR298" s="34">
        <f>[2]Districts_Boroughs!DV287</f>
        <v>5</v>
      </c>
      <c r="AS298" s="34">
        <f>[2]Districts_Boroughs!DW287</f>
        <v>4</v>
      </c>
      <c r="AT298" s="34">
        <f>[2]Districts_Boroughs!DX287</f>
        <v>8</v>
      </c>
      <c r="AU298" s="34">
        <f>[2]Districts_Boroughs!DY287</f>
        <v>6</v>
      </c>
      <c r="AV298" s="34">
        <f>[2]Districts_Boroughs!DZ287</f>
        <v>5</v>
      </c>
      <c r="AW298" s="34">
        <f>[2]Districts_Boroughs!EA287</f>
        <v>2</v>
      </c>
      <c r="AX298" s="34">
        <f>[2]Districts_Boroughs!EB287</f>
        <v>14</v>
      </c>
      <c r="AY298" s="34">
        <f>[2]Districts_Boroughs!EC287</f>
        <v>7</v>
      </c>
    </row>
    <row r="299" spans="2:51" x14ac:dyDescent="0.35">
      <c r="B299" s="64" t="str">
        <f t="shared" si="14"/>
        <v>South Warwickshire</v>
      </c>
      <c r="C299" s="350"/>
      <c r="D299" s="34">
        <f>[2]Districts_Boroughs!CH288</f>
        <v>0</v>
      </c>
      <c r="E299" s="34">
        <f>[2]Districts_Boroughs!CI288</f>
        <v>0</v>
      </c>
      <c r="F299" s="34">
        <f>[2]Districts_Boroughs!CJ288</f>
        <v>0</v>
      </c>
      <c r="G299" s="34">
        <f>[2]Districts_Boroughs!CK288</f>
        <v>0</v>
      </c>
      <c r="H299" s="34">
        <f>[2]Districts_Boroughs!CL288</f>
        <v>0</v>
      </c>
      <c r="I299" s="34">
        <f>[2]Districts_Boroughs!CM288</f>
        <v>0</v>
      </c>
      <c r="J299" s="34">
        <f>[2]Districts_Boroughs!CN288</f>
        <v>0</v>
      </c>
      <c r="K299" s="34">
        <f>[2]Districts_Boroughs!CO288</f>
        <v>0</v>
      </c>
      <c r="L299" s="34">
        <f>[2]Districts_Boroughs!CP288</f>
        <v>0</v>
      </c>
      <c r="M299" s="34">
        <f>[2]Districts_Boroughs!CQ288</f>
        <v>0</v>
      </c>
      <c r="N299" s="34">
        <f>[2]Districts_Boroughs!CR288</f>
        <v>0</v>
      </c>
      <c r="O299" s="34">
        <f>[2]Districts_Boroughs!CS288</f>
        <v>0</v>
      </c>
      <c r="P299" s="34">
        <f>[2]Districts_Boroughs!CT288</f>
        <v>0</v>
      </c>
      <c r="Q299" s="34">
        <f>[2]Districts_Boroughs!CU288</f>
        <v>0</v>
      </c>
      <c r="R299" s="34">
        <f>[2]Districts_Boroughs!CV288</f>
        <v>0</v>
      </c>
      <c r="S299" s="34">
        <f>[2]Districts_Boroughs!CW288</f>
        <v>0</v>
      </c>
      <c r="T299" s="34">
        <f>[2]Districts_Boroughs!CX288</f>
        <v>0</v>
      </c>
      <c r="U299" s="34">
        <f>[2]Districts_Boroughs!CY288</f>
        <v>0</v>
      </c>
      <c r="V299" s="34">
        <f>[2]Districts_Boroughs!CZ288</f>
        <v>0</v>
      </c>
      <c r="W299" s="34">
        <f>[2]Districts_Boroughs!DA288</f>
        <v>0</v>
      </c>
      <c r="X299" s="34">
        <f>[2]Districts_Boroughs!DB288</f>
        <v>0</v>
      </c>
      <c r="Y299" s="34">
        <f>[2]Districts_Boroughs!DC288</f>
        <v>0</v>
      </c>
      <c r="Z299" s="34">
        <f>[2]Districts_Boroughs!DD288</f>
        <v>0</v>
      </c>
      <c r="AA299" s="34">
        <f>[2]Districts_Boroughs!DE288</f>
        <v>0</v>
      </c>
      <c r="AB299" s="34">
        <f>[2]Districts_Boroughs!DF288</f>
        <v>0</v>
      </c>
      <c r="AC299" s="34">
        <f>[2]Districts_Boroughs!DG288</f>
        <v>0</v>
      </c>
      <c r="AD299" s="34">
        <f>[2]Districts_Boroughs!DH288</f>
        <v>0</v>
      </c>
      <c r="AE299" s="34">
        <f>[2]Districts_Boroughs!DI288</f>
        <v>0</v>
      </c>
      <c r="AF299" s="34">
        <f>[2]Districts_Boroughs!DJ288</f>
        <v>0</v>
      </c>
      <c r="AG299" s="34">
        <f>[2]Districts_Boroughs!DK288</f>
        <v>0</v>
      </c>
      <c r="AH299" s="34">
        <f>[2]Districts_Boroughs!DL288</f>
        <v>0</v>
      </c>
      <c r="AI299" s="34">
        <f>[2]Districts_Boroughs!DM288</f>
        <v>0</v>
      </c>
      <c r="AJ299" s="34">
        <f>[2]Districts_Boroughs!DN288</f>
        <v>0</v>
      </c>
      <c r="AK299" s="34">
        <f>[2]Districts_Boroughs!DO288</f>
        <v>0</v>
      </c>
      <c r="AL299" s="34">
        <f>[2]Districts_Boroughs!DP288</f>
        <v>0</v>
      </c>
      <c r="AM299" s="34">
        <f>[2]Districts_Boroughs!DQ288</f>
        <v>0</v>
      </c>
      <c r="AN299" s="34">
        <f>[2]Districts_Boroughs!DR288</f>
        <v>0</v>
      </c>
      <c r="AO299" s="34">
        <f>[2]Districts_Boroughs!DS288</f>
        <v>0</v>
      </c>
      <c r="AP299" s="34">
        <f>[2]Districts_Boroughs!DT288</f>
        <v>0</v>
      </c>
      <c r="AQ299" s="34">
        <f>[2]Districts_Boroughs!DU288</f>
        <v>0</v>
      </c>
      <c r="AR299" s="34">
        <f>[2]Districts_Boroughs!DV288</f>
        <v>0</v>
      </c>
      <c r="AS299" s="34">
        <f>[2]Districts_Boroughs!DW288</f>
        <v>0</v>
      </c>
      <c r="AT299" s="34">
        <f>[2]Districts_Boroughs!DX288</f>
        <v>0</v>
      </c>
      <c r="AU299" s="34">
        <f>[2]Districts_Boroughs!DY288</f>
        <v>0</v>
      </c>
      <c r="AV299" s="34">
        <f>[2]Districts_Boroughs!DZ288</f>
        <v>0</v>
      </c>
      <c r="AW299" s="34">
        <f>[2]Districts_Boroughs!EA288</f>
        <v>0</v>
      </c>
      <c r="AX299" s="34">
        <f>[2]Districts_Boroughs!EB288</f>
        <v>0</v>
      </c>
      <c r="AY299" s="34">
        <f>[2]Districts_Boroughs!EC288</f>
        <v>0</v>
      </c>
    </row>
    <row r="300" spans="2:51" x14ac:dyDescent="0.35">
      <c r="B300" t="str">
        <f t="shared" si="14"/>
        <v>South WarwickshireBusiness Crime</v>
      </c>
      <c r="C300" s="350" t="s">
        <v>52</v>
      </c>
      <c r="D300" s="34">
        <f>[2]Districts_Boroughs!CH289</f>
        <v>153</v>
      </c>
      <c r="E300" s="34">
        <f>[2]Districts_Boroughs!CI289</f>
        <v>178</v>
      </c>
      <c r="F300" s="34">
        <f>[2]Districts_Boroughs!CJ289</f>
        <v>207</v>
      </c>
      <c r="G300" s="34">
        <f>[2]Districts_Boroughs!CK289</f>
        <v>216</v>
      </c>
      <c r="H300" s="34">
        <f>[2]Districts_Boroughs!CL289</f>
        <v>197</v>
      </c>
      <c r="I300" s="34">
        <f>[2]Districts_Boroughs!CM289</f>
        <v>199</v>
      </c>
      <c r="J300" s="34">
        <f>[2]Districts_Boroughs!CN289</f>
        <v>170</v>
      </c>
      <c r="K300" s="34">
        <f>[2]Districts_Boroughs!CO289</f>
        <v>185</v>
      </c>
      <c r="L300" s="34">
        <f>[2]Districts_Boroughs!CP289</f>
        <v>147</v>
      </c>
      <c r="M300" s="34">
        <f>[2]Districts_Boroughs!CQ289</f>
        <v>214</v>
      </c>
      <c r="N300" s="34">
        <f>[2]Districts_Boroughs!CR289</f>
        <v>188</v>
      </c>
      <c r="O300" s="34">
        <f>[2]Districts_Boroughs!CS289</f>
        <v>190</v>
      </c>
      <c r="P300" s="34">
        <f>[2]Districts_Boroughs!CT289</f>
        <v>176</v>
      </c>
      <c r="Q300" s="34">
        <f>[2]Districts_Boroughs!CU289</f>
        <v>224</v>
      </c>
      <c r="R300" s="34">
        <f>[2]Districts_Boroughs!CV289</f>
        <v>192</v>
      </c>
      <c r="S300" s="34">
        <f>[2]Districts_Boroughs!CW289</f>
        <v>189</v>
      </c>
      <c r="T300" s="34">
        <f>[2]Districts_Boroughs!CX289</f>
        <v>248</v>
      </c>
      <c r="U300" s="34">
        <f>[2]Districts_Boroughs!CY289</f>
        <v>198</v>
      </c>
      <c r="V300" s="34">
        <f>[2]Districts_Boroughs!CZ289</f>
        <v>264</v>
      </c>
      <c r="W300" s="34">
        <f>[2]Districts_Boroughs!DA289</f>
        <v>234</v>
      </c>
      <c r="X300" s="34">
        <f>[2]Districts_Boroughs!DB289</f>
        <v>208</v>
      </c>
      <c r="Y300" s="34">
        <f>[2]Districts_Boroughs!DC289</f>
        <v>215</v>
      </c>
      <c r="Z300" s="34">
        <f>[2]Districts_Boroughs!DD289</f>
        <v>299</v>
      </c>
      <c r="AA300" s="34">
        <f>[2]Districts_Boroughs!DE289</f>
        <v>251</v>
      </c>
      <c r="AB300" s="34">
        <f>[2]Districts_Boroughs!DF289</f>
        <v>220</v>
      </c>
      <c r="AC300" s="34">
        <f>[2]Districts_Boroughs!DG289</f>
        <v>270</v>
      </c>
      <c r="AD300" s="34">
        <f>[2]Districts_Boroughs!DH289</f>
        <v>214</v>
      </c>
      <c r="AE300" s="34">
        <f>[2]Districts_Boroughs!DI289</f>
        <v>232</v>
      </c>
      <c r="AF300" s="34">
        <f>[2]Districts_Boroughs!DJ289</f>
        <v>195</v>
      </c>
      <c r="AG300" s="34">
        <f>[2]Districts_Boroughs!DK289</f>
        <v>220</v>
      </c>
      <c r="AH300" s="34">
        <f>[2]Districts_Boroughs!DL289</f>
        <v>213</v>
      </c>
      <c r="AI300" s="34">
        <f>[2]Districts_Boroughs!DM289</f>
        <v>237</v>
      </c>
      <c r="AJ300" s="34">
        <f>[2]Districts_Boroughs!DN289</f>
        <v>202</v>
      </c>
      <c r="AK300" s="34">
        <f>[2]Districts_Boroughs!DO289</f>
        <v>295</v>
      </c>
      <c r="AL300" s="34">
        <f>[2]Districts_Boroughs!DP289</f>
        <v>262</v>
      </c>
      <c r="AM300" s="34">
        <f>[2]Districts_Boroughs!DQ289</f>
        <v>284</v>
      </c>
      <c r="AN300" s="34">
        <f>[2]Districts_Boroughs!DR289</f>
        <v>291</v>
      </c>
      <c r="AO300" s="34">
        <f>[2]Districts_Boroughs!DS289</f>
        <v>314</v>
      </c>
      <c r="AP300" s="34">
        <f>[2]Districts_Boroughs!DT289</f>
        <v>253</v>
      </c>
      <c r="AQ300" s="34">
        <f>[2]Districts_Boroughs!DU289</f>
        <v>291</v>
      </c>
      <c r="AR300" s="34">
        <f>[2]Districts_Boroughs!DV289</f>
        <v>290</v>
      </c>
      <c r="AS300" s="34">
        <f>[2]Districts_Boroughs!DW289</f>
        <v>290</v>
      </c>
      <c r="AT300" s="34">
        <f>[2]Districts_Boroughs!DX289</f>
        <v>321</v>
      </c>
      <c r="AU300" s="34">
        <f>[2]Districts_Boroughs!DY289</f>
        <v>222</v>
      </c>
      <c r="AV300" s="34">
        <f>[2]Districts_Boroughs!DZ289</f>
        <v>182</v>
      </c>
      <c r="AW300" s="34">
        <f>[2]Districts_Boroughs!EA289</f>
        <v>180</v>
      </c>
      <c r="AX300" s="34">
        <f>[2]Districts_Boroughs!EB289</f>
        <v>179</v>
      </c>
      <c r="AY300" s="34">
        <f>[2]Districts_Boroughs!EC289</f>
        <v>239</v>
      </c>
    </row>
    <row r="301" spans="2:51" x14ac:dyDescent="0.35">
      <c r="B301" t="str">
        <f t="shared" si="14"/>
        <v>South Warwickshire</v>
      </c>
      <c r="C301" s="362"/>
      <c r="D301" s="34">
        <f>[2]Districts_Boroughs!CH290</f>
        <v>0</v>
      </c>
      <c r="E301" s="34">
        <f>[2]Districts_Boroughs!CI290</f>
        <v>0</v>
      </c>
      <c r="F301" s="34">
        <f>[2]Districts_Boroughs!CJ290</f>
        <v>0</v>
      </c>
      <c r="G301" s="34">
        <f>[2]Districts_Boroughs!CK290</f>
        <v>0</v>
      </c>
      <c r="H301" s="34">
        <f>[2]Districts_Boroughs!CL290</f>
        <v>0</v>
      </c>
      <c r="I301" s="34">
        <f>[2]Districts_Boroughs!CM290</f>
        <v>0</v>
      </c>
      <c r="J301" s="34">
        <f>[2]Districts_Boroughs!CN290</f>
        <v>0</v>
      </c>
      <c r="K301" s="34">
        <f>[2]Districts_Boroughs!CO290</f>
        <v>0</v>
      </c>
      <c r="L301" s="34">
        <f>[2]Districts_Boroughs!CP290</f>
        <v>0</v>
      </c>
      <c r="M301" s="34">
        <f>[2]Districts_Boroughs!CQ290</f>
        <v>0</v>
      </c>
      <c r="N301" s="34">
        <f>[2]Districts_Boroughs!CR290</f>
        <v>0</v>
      </c>
      <c r="O301" s="34">
        <f>[2]Districts_Boroughs!CS290</f>
        <v>0</v>
      </c>
      <c r="P301" s="34">
        <f>[2]Districts_Boroughs!CT290</f>
        <v>0</v>
      </c>
      <c r="Q301" s="34">
        <f>[2]Districts_Boroughs!CU290</f>
        <v>0</v>
      </c>
      <c r="R301" s="34">
        <f>[2]Districts_Boroughs!CV290</f>
        <v>0</v>
      </c>
      <c r="S301" s="34">
        <f>[2]Districts_Boroughs!CW290</f>
        <v>0</v>
      </c>
      <c r="T301" s="34">
        <f>[2]Districts_Boroughs!CX290</f>
        <v>0</v>
      </c>
      <c r="U301" s="34">
        <f>[2]Districts_Boroughs!CY290</f>
        <v>0</v>
      </c>
      <c r="V301" s="34">
        <f>[2]Districts_Boroughs!CZ290</f>
        <v>0</v>
      </c>
      <c r="W301" s="34">
        <f>[2]Districts_Boroughs!DA290</f>
        <v>0</v>
      </c>
      <c r="X301" s="34">
        <f>[2]Districts_Boroughs!DB290</f>
        <v>0</v>
      </c>
      <c r="Y301" s="34">
        <f>[2]Districts_Boroughs!DC290</f>
        <v>0</v>
      </c>
      <c r="Z301" s="34">
        <f>[2]Districts_Boroughs!DD290</f>
        <v>0</v>
      </c>
      <c r="AA301" s="34">
        <f>[2]Districts_Boroughs!DE290</f>
        <v>0</v>
      </c>
      <c r="AB301" s="34">
        <f>[2]Districts_Boroughs!DF290</f>
        <v>0</v>
      </c>
      <c r="AC301" s="34">
        <f>[2]Districts_Boroughs!DG290</f>
        <v>0</v>
      </c>
      <c r="AD301" s="34">
        <f>[2]Districts_Boroughs!DH290</f>
        <v>0</v>
      </c>
      <c r="AE301" s="34">
        <f>[2]Districts_Boroughs!DI290</f>
        <v>0</v>
      </c>
      <c r="AF301" s="34">
        <f>[2]Districts_Boroughs!DJ290</f>
        <v>0</v>
      </c>
      <c r="AG301" s="34">
        <f>[2]Districts_Boroughs!DK290</f>
        <v>0</v>
      </c>
      <c r="AH301" s="34">
        <f>[2]Districts_Boroughs!DL290</f>
        <v>0</v>
      </c>
      <c r="AI301" s="34">
        <f>[2]Districts_Boroughs!DM290</f>
        <v>0</v>
      </c>
      <c r="AJ301" s="34">
        <f>[2]Districts_Boroughs!DN290</f>
        <v>0</v>
      </c>
      <c r="AK301" s="34">
        <f>[2]Districts_Boroughs!DO290</f>
        <v>0</v>
      </c>
      <c r="AL301" s="34">
        <f>[2]Districts_Boroughs!DP290</f>
        <v>0</v>
      </c>
      <c r="AM301" s="34">
        <f>[2]Districts_Boroughs!DQ290</f>
        <v>0</v>
      </c>
      <c r="AN301" s="34">
        <f>[2]Districts_Boroughs!DR290</f>
        <v>0</v>
      </c>
      <c r="AO301" s="34">
        <f>[2]Districts_Boroughs!DS290</f>
        <v>0</v>
      </c>
      <c r="AP301" s="34">
        <f>[2]Districts_Boroughs!DT290</f>
        <v>0</v>
      </c>
      <c r="AQ301" s="34">
        <f>[2]Districts_Boroughs!DU290</f>
        <v>0</v>
      </c>
      <c r="AR301" s="34">
        <f>[2]Districts_Boroughs!DV290</f>
        <v>0</v>
      </c>
      <c r="AS301" s="34">
        <f>[2]Districts_Boroughs!DW290</f>
        <v>0</v>
      </c>
      <c r="AT301" s="34">
        <f>[2]Districts_Boroughs!DX290</f>
        <v>0</v>
      </c>
      <c r="AU301" s="34">
        <f>[2]Districts_Boroughs!DY290</f>
        <v>0</v>
      </c>
      <c r="AV301" s="34">
        <f>[2]Districts_Boroughs!DZ290</f>
        <v>0</v>
      </c>
      <c r="AW301" s="34">
        <f>[2]Districts_Boroughs!EA290</f>
        <v>0</v>
      </c>
      <c r="AX301" s="34">
        <f>[2]Districts_Boroughs!EB290</f>
        <v>0</v>
      </c>
      <c r="AY301" s="34">
        <f>[2]Districts_Boroughs!EC290</f>
        <v>0</v>
      </c>
    </row>
    <row r="302" spans="2:51" x14ac:dyDescent="0.35">
      <c r="B302" t="str">
        <f t="shared" si="14"/>
        <v>South WarwickshireResidential dwelling</v>
      </c>
      <c r="C302" s="350" t="s">
        <v>81</v>
      </c>
      <c r="D302" s="34">
        <f>[2]Districts_Boroughs!CH291</f>
        <v>27</v>
      </c>
      <c r="E302" s="34">
        <f>[2]Districts_Boroughs!CI291</f>
        <v>27</v>
      </c>
      <c r="F302" s="34">
        <f>[2]Districts_Boroughs!CJ291</f>
        <v>38</v>
      </c>
      <c r="G302" s="34">
        <f>[2]Districts_Boroughs!CK291</f>
        <v>31</v>
      </c>
      <c r="H302" s="34">
        <f>[2]Districts_Boroughs!CL291</f>
        <v>37</v>
      </c>
      <c r="I302" s="34">
        <f>[2]Districts_Boroughs!CM291</f>
        <v>48</v>
      </c>
      <c r="J302" s="34">
        <f>[2]Districts_Boroughs!CN291</f>
        <v>59</v>
      </c>
      <c r="K302" s="34">
        <f>[2]Districts_Boroughs!CO291</f>
        <v>54</v>
      </c>
      <c r="L302" s="34">
        <f>[2]Districts_Boroughs!CP291</f>
        <v>34</v>
      </c>
      <c r="M302" s="34">
        <f>[2]Districts_Boroughs!CQ291</f>
        <v>34</v>
      </c>
      <c r="N302" s="34">
        <f>[2]Districts_Boroughs!CR291</f>
        <v>38</v>
      </c>
      <c r="O302" s="34">
        <f>[2]Districts_Boroughs!CS291</f>
        <v>43</v>
      </c>
      <c r="P302" s="34">
        <f>[2]Districts_Boroughs!CT291</f>
        <v>51</v>
      </c>
      <c r="Q302" s="34">
        <f>[2]Districts_Boroughs!CU291</f>
        <v>32</v>
      </c>
      <c r="R302" s="34">
        <f>[2]Districts_Boroughs!CV291</f>
        <v>44</v>
      </c>
      <c r="S302" s="34">
        <f>[2]Districts_Boroughs!CW291</f>
        <v>55</v>
      </c>
      <c r="T302" s="34">
        <f>[2]Districts_Boroughs!CX291</f>
        <v>45</v>
      </c>
      <c r="U302" s="34">
        <f>[2]Districts_Boroughs!CY291</f>
        <v>54</v>
      </c>
      <c r="V302" s="34">
        <f>[2]Districts_Boroughs!CZ291</f>
        <v>54</v>
      </c>
      <c r="W302" s="34">
        <f>[2]Districts_Boroughs!DA291</f>
        <v>62</v>
      </c>
      <c r="X302" s="34">
        <f>[2]Districts_Boroughs!DB291</f>
        <v>36</v>
      </c>
      <c r="Y302" s="34">
        <f>[2]Districts_Boroughs!DC291</f>
        <v>41</v>
      </c>
      <c r="Z302" s="34">
        <f>[2]Districts_Boroughs!DD291</f>
        <v>43</v>
      </c>
      <c r="AA302" s="34">
        <f>[2]Districts_Boroughs!DE291</f>
        <v>47</v>
      </c>
      <c r="AB302" s="34">
        <f>[2]Districts_Boroughs!DF291</f>
        <v>61</v>
      </c>
      <c r="AC302" s="34">
        <f>[2]Districts_Boroughs!DG291</f>
        <v>40</v>
      </c>
      <c r="AD302" s="34">
        <f>[2]Districts_Boroughs!DH291</f>
        <v>47</v>
      </c>
      <c r="AE302" s="34">
        <f>[2]Districts_Boroughs!DI291</f>
        <v>35</v>
      </c>
      <c r="AF302" s="34">
        <f>[2]Districts_Boroughs!DJ291</f>
        <v>29</v>
      </c>
      <c r="AG302" s="34">
        <f>[2]Districts_Boroughs!DK291</f>
        <v>38</v>
      </c>
      <c r="AH302" s="34">
        <f>[2]Districts_Boroughs!DL291</f>
        <v>32</v>
      </c>
      <c r="AI302" s="34">
        <f>[2]Districts_Boroughs!DM291</f>
        <v>39</v>
      </c>
      <c r="AJ302" s="34">
        <f>[2]Districts_Boroughs!DN291</f>
        <v>56</v>
      </c>
      <c r="AK302" s="34">
        <f>[2]Districts_Boroughs!DO291</f>
        <v>51</v>
      </c>
      <c r="AL302" s="34">
        <f>[2]Districts_Boroughs!DP291</f>
        <v>42</v>
      </c>
      <c r="AM302" s="34">
        <f>[2]Districts_Boroughs!DQ291</f>
        <v>35</v>
      </c>
      <c r="AN302" s="34">
        <f>[2]Districts_Boroughs!DR291</f>
        <v>37</v>
      </c>
      <c r="AO302" s="34">
        <f>[2]Districts_Boroughs!DS291</f>
        <v>45</v>
      </c>
      <c r="AP302" s="34">
        <f>[2]Districts_Boroughs!DT291</f>
        <v>40</v>
      </c>
      <c r="AQ302" s="34">
        <f>[2]Districts_Boroughs!DU291</f>
        <v>61</v>
      </c>
      <c r="AR302" s="34">
        <f>[2]Districts_Boroughs!DV291</f>
        <v>31</v>
      </c>
      <c r="AS302" s="34">
        <f>[2]Districts_Boroughs!DW291</f>
        <v>46</v>
      </c>
      <c r="AT302" s="34">
        <f>[2]Districts_Boroughs!DX291</f>
        <v>44</v>
      </c>
      <c r="AU302" s="34">
        <f>[2]Districts_Boroughs!DY291</f>
        <v>47</v>
      </c>
      <c r="AV302" s="34">
        <f>[2]Districts_Boroughs!DZ291</f>
        <v>36</v>
      </c>
      <c r="AW302" s="34">
        <f>[2]Districts_Boroughs!EA291</f>
        <v>38</v>
      </c>
      <c r="AX302" s="34">
        <f>[2]Districts_Boroughs!EB291</f>
        <v>52</v>
      </c>
      <c r="AY302" s="34">
        <f>[2]Districts_Boroughs!EC291</f>
        <v>58</v>
      </c>
    </row>
    <row r="303" spans="2:51" s="36" customFormat="1" x14ac:dyDescent="0.35"/>
    <row r="304" spans="2:51" s="36" customFormat="1" x14ac:dyDescent="0.35"/>
    <row r="305" spans="3:51" s="36" customFormat="1" x14ac:dyDescent="0.35"/>
    <row r="306" spans="3:51" s="36" customFormat="1" x14ac:dyDescent="0.35">
      <c r="C306" s="363" t="s">
        <v>91</v>
      </c>
    </row>
    <row r="307" spans="3:51" s="36" customFormat="1" x14ac:dyDescent="0.35">
      <c r="C307" s="364" t="s">
        <v>56</v>
      </c>
      <c r="D307" s="39">
        <v>44287</v>
      </c>
      <c r="E307" s="39">
        <v>44317</v>
      </c>
      <c r="F307" s="39">
        <v>44348</v>
      </c>
      <c r="G307" s="39">
        <v>44378</v>
      </c>
      <c r="H307" s="39">
        <v>44409</v>
      </c>
      <c r="I307" s="39">
        <v>44440</v>
      </c>
      <c r="J307" s="39">
        <v>44470</v>
      </c>
      <c r="K307" s="39">
        <v>44501</v>
      </c>
      <c r="L307" s="39">
        <v>44531</v>
      </c>
      <c r="M307" s="39">
        <v>44562</v>
      </c>
      <c r="N307" s="39">
        <v>44593</v>
      </c>
      <c r="O307" s="39">
        <v>44621</v>
      </c>
      <c r="P307" s="39">
        <v>44652</v>
      </c>
      <c r="Q307" s="39">
        <v>44682</v>
      </c>
      <c r="R307" s="39">
        <v>44713</v>
      </c>
      <c r="S307" s="39">
        <v>44743</v>
      </c>
      <c r="T307" s="39">
        <v>44774</v>
      </c>
      <c r="U307" s="39">
        <v>44805</v>
      </c>
      <c r="V307" s="39">
        <v>44835</v>
      </c>
      <c r="W307" s="39">
        <v>44866</v>
      </c>
      <c r="X307" s="39">
        <v>44896</v>
      </c>
      <c r="Y307" s="39">
        <v>44927</v>
      </c>
      <c r="Z307" s="39">
        <v>44958</v>
      </c>
      <c r="AA307" s="39">
        <v>44986</v>
      </c>
      <c r="AB307" s="39">
        <v>45017</v>
      </c>
      <c r="AC307" s="39">
        <v>45047</v>
      </c>
      <c r="AD307" s="39">
        <v>45078</v>
      </c>
      <c r="AE307" s="39">
        <v>45108</v>
      </c>
      <c r="AF307" s="39">
        <v>45139</v>
      </c>
      <c r="AG307" s="39">
        <v>45170</v>
      </c>
      <c r="AH307" s="39">
        <v>45200</v>
      </c>
      <c r="AI307" s="39">
        <v>45231</v>
      </c>
      <c r="AJ307" s="39">
        <v>45261</v>
      </c>
      <c r="AK307" s="39">
        <v>45292</v>
      </c>
      <c r="AL307" s="39">
        <v>45323</v>
      </c>
      <c r="AM307" s="39">
        <v>45352</v>
      </c>
      <c r="AN307" s="39">
        <v>45383</v>
      </c>
      <c r="AO307" s="39">
        <v>45413</v>
      </c>
      <c r="AP307" s="39">
        <v>45444</v>
      </c>
      <c r="AQ307" s="39">
        <v>45474</v>
      </c>
      <c r="AR307" s="39">
        <v>45505</v>
      </c>
      <c r="AS307" s="39">
        <v>45536</v>
      </c>
      <c r="AT307" s="39">
        <v>45566</v>
      </c>
      <c r="AU307" s="39">
        <v>45597</v>
      </c>
      <c r="AV307" s="39">
        <v>45627</v>
      </c>
      <c r="AW307" s="39">
        <v>45658</v>
      </c>
      <c r="AX307" s="39">
        <v>45689</v>
      </c>
      <c r="AY307" s="39">
        <v>45717</v>
      </c>
    </row>
    <row r="308" spans="3:51" x14ac:dyDescent="0.35">
      <c r="C308" s="365" t="s">
        <v>92</v>
      </c>
      <c r="D308" s="107">
        <f>[2]KSI!CI17</f>
        <v>3</v>
      </c>
      <c r="E308" s="107">
        <f>[2]KSI!CJ17</f>
        <v>2</v>
      </c>
      <c r="F308" s="107">
        <f>[2]KSI!CK17</f>
        <v>7</v>
      </c>
      <c r="G308" s="107">
        <f>[2]KSI!CL17</f>
        <v>3</v>
      </c>
      <c r="H308" s="107">
        <f>[2]KSI!CM17</f>
        <v>2</v>
      </c>
      <c r="I308" s="107">
        <f>[2]KSI!CN17</f>
        <v>2</v>
      </c>
      <c r="J308" s="107">
        <f>[2]KSI!CO17</f>
        <v>7</v>
      </c>
      <c r="K308" s="107">
        <f>[2]KSI!CP17</f>
        <v>4</v>
      </c>
      <c r="L308" s="107">
        <f>[2]KSI!CQ17</f>
        <v>3</v>
      </c>
      <c r="M308" s="107">
        <f>[2]KSI!CR17</f>
        <v>3</v>
      </c>
      <c r="N308" s="107">
        <f>[2]KSI!CS17</f>
        <v>0</v>
      </c>
      <c r="O308" s="107">
        <f>[2]KSI!CT17</f>
        <v>5</v>
      </c>
      <c r="P308" s="107">
        <f>[2]KSI!CU17</f>
        <v>0</v>
      </c>
      <c r="Q308" s="107">
        <f>[2]KSI!CV17</f>
        <v>3</v>
      </c>
      <c r="R308" s="107">
        <f>[2]KSI!CW17</f>
        <v>2</v>
      </c>
      <c r="S308" s="107">
        <f>[2]KSI!CX17</f>
        <v>3</v>
      </c>
      <c r="T308" s="107">
        <f>[2]KSI!CY17</f>
        <v>6</v>
      </c>
      <c r="U308" s="107">
        <f>[2]KSI!CZ17</f>
        <v>2</v>
      </c>
      <c r="V308" s="107">
        <f>[2]KSI!DA17</f>
        <v>0</v>
      </c>
      <c r="W308" s="107">
        <f>[2]KSI!DB17</f>
        <v>7</v>
      </c>
      <c r="X308" s="107">
        <f>[2]KSI!DC17</f>
        <v>2</v>
      </c>
      <c r="Y308" s="107">
        <f>[2]KSI!DD17</f>
        <v>2</v>
      </c>
      <c r="Z308" s="107">
        <f>[2]KSI!DE17</f>
        <v>2</v>
      </c>
      <c r="AA308" s="107">
        <f>[2]KSI!DF17</f>
        <v>3</v>
      </c>
      <c r="AB308" s="107">
        <f>[2]KSI!DG17</f>
        <v>2</v>
      </c>
      <c r="AC308" s="107">
        <f>[2]KSI!DH17</f>
        <v>7</v>
      </c>
      <c r="AD308" s="107">
        <f>[2]KSI!DI17</f>
        <v>2</v>
      </c>
      <c r="AE308" s="107">
        <f>[2]KSI!DJ17</f>
        <v>0</v>
      </c>
      <c r="AF308" s="107">
        <f>[2]KSI!DK17</f>
        <v>4</v>
      </c>
      <c r="AG308" s="107">
        <f>[2]KSI!DL17</f>
        <v>8</v>
      </c>
      <c r="AH308" s="107">
        <f>[2]KSI!DM17</f>
        <v>3</v>
      </c>
      <c r="AI308" s="107">
        <f>[2]KSI!DN17</f>
        <v>3</v>
      </c>
      <c r="AJ308" s="107">
        <f>[2]KSI!DO17</f>
        <v>3</v>
      </c>
      <c r="AK308" s="107">
        <f>[2]KSI!DP17</f>
        <v>1</v>
      </c>
      <c r="AL308" s="107">
        <f>[2]KSI!DQ17</f>
        <v>10</v>
      </c>
      <c r="AM308" s="107">
        <f>[2]KSI!DR17</f>
        <v>6</v>
      </c>
      <c r="AN308" s="107">
        <f>[2]KSI!DS17</f>
        <v>5</v>
      </c>
      <c r="AO308" s="107">
        <f>[2]KSI!DT17</f>
        <v>6</v>
      </c>
      <c r="AP308" s="107">
        <f>[2]KSI!DU17</f>
        <v>7</v>
      </c>
      <c r="AQ308" s="107">
        <f>[2]KSI!DV17</f>
        <v>7</v>
      </c>
      <c r="AR308" s="107">
        <f>[2]KSI!DW17</f>
        <v>4</v>
      </c>
      <c r="AS308" s="107">
        <f>[2]KSI!DX17</f>
        <v>2</v>
      </c>
      <c r="AT308" s="107">
        <f>[2]KSI!DY17</f>
        <v>1</v>
      </c>
      <c r="AU308" s="107">
        <f>[2]KSI!DZ17</f>
        <v>4</v>
      </c>
      <c r="AV308" s="107">
        <f>[2]KSI!EA17</f>
        <v>2</v>
      </c>
      <c r="AW308" s="107">
        <f>[2]KSI!EB17</f>
        <v>2</v>
      </c>
      <c r="AX308" s="107">
        <f>[2]KSI!EC17</f>
        <v>5</v>
      </c>
      <c r="AY308" s="107">
        <f>[2]KSI!ED17</f>
        <v>0</v>
      </c>
    </row>
    <row r="309" spans="3:51" x14ac:dyDescent="0.35">
      <c r="C309" s="365" t="s">
        <v>94</v>
      </c>
      <c r="D309" s="107">
        <f>[2]KSI!CI2</f>
        <v>0</v>
      </c>
      <c r="E309" s="107">
        <f>[2]KSI!CJ2</f>
        <v>0</v>
      </c>
      <c r="F309" s="107">
        <f>[2]KSI!CK2</f>
        <v>2</v>
      </c>
      <c r="G309" s="107">
        <f>[2]KSI!CL2</f>
        <v>0</v>
      </c>
      <c r="H309" s="107">
        <f>[2]KSI!CM2</f>
        <v>0</v>
      </c>
      <c r="I309" s="107">
        <f>[2]KSI!CN2</f>
        <v>0</v>
      </c>
      <c r="J309" s="107">
        <f>[2]KSI!CO2</f>
        <v>1</v>
      </c>
      <c r="K309" s="107">
        <f>[2]KSI!CP2</f>
        <v>0</v>
      </c>
      <c r="L309" s="107">
        <f>[2]KSI!CQ2</f>
        <v>0</v>
      </c>
      <c r="M309" s="107">
        <f>[2]KSI!CR2</f>
        <v>1</v>
      </c>
      <c r="N309" s="107">
        <f>[2]KSI!CS2</f>
        <v>0</v>
      </c>
      <c r="O309" s="107">
        <f>[2]KSI!CT2</f>
        <v>1</v>
      </c>
      <c r="P309" s="107">
        <f>[2]KSI!CU2</f>
        <v>0</v>
      </c>
      <c r="Q309" s="107">
        <f>[2]KSI!CV2</f>
        <v>0</v>
      </c>
      <c r="R309" s="107">
        <f>[2]KSI!CW2</f>
        <v>0</v>
      </c>
      <c r="S309" s="107">
        <f>[2]KSI!CX2</f>
        <v>0</v>
      </c>
      <c r="T309" s="107">
        <f>[2]KSI!CY2</f>
        <v>0</v>
      </c>
      <c r="U309" s="107">
        <f>[2]KSI!CZ2</f>
        <v>0</v>
      </c>
      <c r="V309" s="107">
        <f>[2]KSI!DA2</f>
        <v>0</v>
      </c>
      <c r="W309" s="107">
        <f>[2]KSI!DB2</f>
        <v>0</v>
      </c>
      <c r="X309" s="107">
        <f>[2]KSI!DC2</f>
        <v>0</v>
      </c>
      <c r="Y309" s="107">
        <f>[2]KSI!DD2</f>
        <v>0</v>
      </c>
      <c r="Z309" s="107">
        <f>[2]KSI!DE2</f>
        <v>0</v>
      </c>
      <c r="AA309" s="107">
        <f>[2]KSI!DF2</f>
        <v>0</v>
      </c>
      <c r="AB309" s="107">
        <f>[2]KSI!DG2</f>
        <v>0</v>
      </c>
      <c r="AC309" s="107">
        <f>[2]KSI!DH2</f>
        <v>0</v>
      </c>
      <c r="AD309" s="107">
        <f>[2]KSI!DI2</f>
        <v>0</v>
      </c>
      <c r="AE309" s="107">
        <f>[2]KSI!DJ2</f>
        <v>0</v>
      </c>
      <c r="AF309" s="107">
        <f>[2]KSI!DK2</f>
        <v>0</v>
      </c>
      <c r="AG309" s="107">
        <f>[2]KSI!DL2</f>
        <v>0</v>
      </c>
      <c r="AH309" s="107">
        <f>[2]KSI!DM2</f>
        <v>0</v>
      </c>
      <c r="AI309" s="107">
        <f>[2]KSI!DN2</f>
        <v>0</v>
      </c>
      <c r="AJ309" s="107">
        <f>[2]KSI!DO2</f>
        <v>0</v>
      </c>
      <c r="AK309" s="107">
        <f>[2]KSI!DP2</f>
        <v>0</v>
      </c>
      <c r="AL309" s="107">
        <f>[2]KSI!DQ2</f>
        <v>2</v>
      </c>
      <c r="AM309" s="107">
        <f>[2]KSI!DR2</f>
        <v>0</v>
      </c>
      <c r="AN309" s="107">
        <f>[2]KSI!DS2</f>
        <v>0</v>
      </c>
      <c r="AO309" s="107">
        <f>[2]KSI!DT2</f>
        <v>0</v>
      </c>
      <c r="AP309" s="107">
        <f>[2]KSI!DU2</f>
        <v>2</v>
      </c>
      <c r="AQ309" s="107">
        <f>[2]KSI!DV2</f>
        <v>0</v>
      </c>
      <c r="AR309" s="107">
        <f>[2]KSI!DW2</f>
        <v>0</v>
      </c>
      <c r="AS309" s="107">
        <f>[2]KSI!DX2</f>
        <v>1</v>
      </c>
      <c r="AT309" s="107">
        <f>[2]KSI!DY2</f>
        <v>0</v>
      </c>
      <c r="AU309" s="107">
        <f>[2]KSI!DZ2</f>
        <v>0</v>
      </c>
      <c r="AV309" s="107">
        <f>[2]KSI!EA2</f>
        <v>0</v>
      </c>
      <c r="AW309" s="107">
        <f>[2]KSI!EB2</f>
        <v>0</v>
      </c>
      <c r="AX309" s="107">
        <f>[2]KSI!EC2</f>
        <v>3</v>
      </c>
      <c r="AY309" s="107">
        <f>[2]KSI!ED2</f>
        <v>0</v>
      </c>
    </row>
    <row r="310" spans="3:51" x14ac:dyDescent="0.35">
      <c r="C310" s="365" t="s">
        <v>93</v>
      </c>
      <c r="D310" s="107">
        <f>[2]KSI!CI3</f>
        <v>3</v>
      </c>
      <c r="E310" s="107">
        <f>[2]KSI!CJ3</f>
        <v>2</v>
      </c>
      <c r="F310" s="107">
        <f>[2]KSI!CK3</f>
        <v>5</v>
      </c>
      <c r="G310" s="107">
        <f>[2]KSI!CL3</f>
        <v>3</v>
      </c>
      <c r="H310" s="107">
        <f>[2]KSI!CM3</f>
        <v>2</v>
      </c>
      <c r="I310" s="107">
        <f>[2]KSI!CN3</f>
        <v>2</v>
      </c>
      <c r="J310" s="107">
        <f>[2]KSI!CO3</f>
        <v>6</v>
      </c>
      <c r="K310" s="107">
        <f>[2]KSI!CP3</f>
        <v>4</v>
      </c>
      <c r="L310" s="107">
        <f>[2]KSI!CQ3</f>
        <v>3</v>
      </c>
      <c r="M310" s="107">
        <f>[2]KSI!CR3</f>
        <v>2</v>
      </c>
      <c r="N310" s="107">
        <f>[2]KSI!CS3</f>
        <v>0</v>
      </c>
      <c r="O310" s="107">
        <f>[2]KSI!CT3</f>
        <v>4</v>
      </c>
      <c r="P310" s="107">
        <f>[2]KSI!CU3</f>
        <v>0</v>
      </c>
      <c r="Q310" s="107">
        <f>[2]KSI!CV3</f>
        <v>3</v>
      </c>
      <c r="R310" s="107">
        <f>[2]KSI!CW3</f>
        <v>2</v>
      </c>
      <c r="S310" s="107">
        <f>[2]KSI!CX3</f>
        <v>3</v>
      </c>
      <c r="T310" s="107">
        <f>[2]KSI!CY3</f>
        <v>6</v>
      </c>
      <c r="U310" s="107">
        <f>[2]KSI!CZ3</f>
        <v>2</v>
      </c>
      <c r="V310" s="107">
        <f>[2]KSI!DA3</f>
        <v>0</v>
      </c>
      <c r="W310" s="107">
        <f>[2]KSI!DB3</f>
        <v>7</v>
      </c>
      <c r="X310" s="107">
        <f>[2]KSI!DC3</f>
        <v>2</v>
      </c>
      <c r="Y310" s="107">
        <f>[2]KSI!DD3</f>
        <v>2</v>
      </c>
      <c r="Z310" s="107">
        <f>[2]KSI!DE3</f>
        <v>2</v>
      </c>
      <c r="AA310" s="107">
        <f>[2]KSI!DF3</f>
        <v>3</v>
      </c>
      <c r="AB310" s="107">
        <f>[2]KSI!DG3</f>
        <v>2</v>
      </c>
      <c r="AC310" s="107">
        <f>[2]KSI!DH3</f>
        <v>7</v>
      </c>
      <c r="AD310" s="107">
        <f>[2]KSI!DI3</f>
        <v>2</v>
      </c>
      <c r="AE310" s="107">
        <f>[2]KSI!DJ3</f>
        <v>0</v>
      </c>
      <c r="AF310" s="107">
        <f>[2]KSI!DK3</f>
        <v>4</v>
      </c>
      <c r="AG310" s="107">
        <f>[2]KSI!DL3</f>
        <v>8</v>
      </c>
      <c r="AH310" s="107">
        <f>[2]KSI!DM3</f>
        <v>3</v>
      </c>
      <c r="AI310" s="107">
        <f>[2]KSI!DN3</f>
        <v>3</v>
      </c>
      <c r="AJ310" s="107">
        <f>[2]KSI!DO3</f>
        <v>3</v>
      </c>
      <c r="AK310" s="107">
        <f>[2]KSI!DP3</f>
        <v>1</v>
      </c>
      <c r="AL310" s="107">
        <f>[2]KSI!DQ3</f>
        <v>8</v>
      </c>
      <c r="AM310" s="107">
        <f>[2]KSI!DR3</f>
        <v>6</v>
      </c>
      <c r="AN310" s="107">
        <f>[2]KSI!DS3</f>
        <v>5</v>
      </c>
      <c r="AO310" s="107">
        <f>[2]KSI!DT3</f>
        <v>6</v>
      </c>
      <c r="AP310" s="107">
        <f>[2]KSI!DU3</f>
        <v>5</v>
      </c>
      <c r="AQ310" s="107">
        <f>[2]KSI!DV3</f>
        <v>7</v>
      </c>
      <c r="AR310" s="107">
        <f>[2]KSI!DW3</f>
        <v>4</v>
      </c>
      <c r="AS310" s="107">
        <f>[2]KSI!DX3</f>
        <v>1</v>
      </c>
      <c r="AT310" s="107">
        <f>[2]KSI!DY3</f>
        <v>1</v>
      </c>
      <c r="AU310" s="107">
        <f>[2]KSI!DZ3</f>
        <v>4</v>
      </c>
      <c r="AV310" s="107">
        <f>[2]KSI!EA3</f>
        <v>2</v>
      </c>
      <c r="AW310" s="107">
        <f>[2]KSI!EB3</f>
        <v>2</v>
      </c>
      <c r="AX310" s="107">
        <f>[2]KSI!EC3</f>
        <v>2</v>
      </c>
      <c r="AY310" s="107">
        <f>[2]KSI!ED3</f>
        <v>0</v>
      </c>
    </row>
    <row r="311" spans="3:51" x14ac:dyDescent="0.35">
      <c r="C311" s="365" t="s">
        <v>95</v>
      </c>
      <c r="D311" s="107">
        <f>[2]KSI!CI18</f>
        <v>3</v>
      </c>
      <c r="E311" s="107">
        <f>[2]KSI!CJ18</f>
        <v>2</v>
      </c>
      <c r="F311" s="107">
        <f>[2]KSI!CK18</f>
        <v>1</v>
      </c>
      <c r="G311" s="107">
        <f>[2]KSI!CL18</f>
        <v>5</v>
      </c>
      <c r="H311" s="107">
        <f>[2]KSI!CM18</f>
        <v>9</v>
      </c>
      <c r="I311" s="107">
        <f>[2]KSI!CN18</f>
        <v>0</v>
      </c>
      <c r="J311" s="107">
        <f>[2]KSI!CO18</f>
        <v>2</v>
      </c>
      <c r="K311" s="107">
        <f>[2]KSI!CP18</f>
        <v>2</v>
      </c>
      <c r="L311" s="107">
        <f>[2]KSI!CQ18</f>
        <v>6</v>
      </c>
      <c r="M311" s="107">
        <f>[2]KSI!CR18</f>
        <v>4</v>
      </c>
      <c r="N311" s="107">
        <f>[2]KSI!CS18</f>
        <v>3</v>
      </c>
      <c r="O311" s="107">
        <f>[2]KSI!CT18</f>
        <v>3</v>
      </c>
      <c r="P311" s="107">
        <f>[2]KSI!CU18</f>
        <v>5</v>
      </c>
      <c r="Q311" s="107">
        <f>[2]KSI!CV18</f>
        <v>3</v>
      </c>
      <c r="R311" s="107">
        <f>[2]KSI!CW18</f>
        <v>7</v>
      </c>
      <c r="S311" s="107">
        <f>[2]KSI!CX18</f>
        <v>7</v>
      </c>
      <c r="T311" s="107">
        <f>[2]KSI!CY18</f>
        <v>8</v>
      </c>
      <c r="U311" s="107">
        <f>[2]KSI!CZ18</f>
        <v>1</v>
      </c>
      <c r="V311" s="107">
        <f>[2]KSI!DA18</f>
        <v>10</v>
      </c>
      <c r="W311" s="107">
        <f>[2]KSI!DB18</f>
        <v>4</v>
      </c>
      <c r="X311" s="107">
        <f>[2]KSI!DC18</f>
        <v>7</v>
      </c>
      <c r="Y311" s="107">
        <f>[2]KSI!DD18</f>
        <v>7</v>
      </c>
      <c r="Z311" s="107">
        <f>[2]KSI!DE18</f>
        <v>6</v>
      </c>
      <c r="AA311" s="107">
        <f>[2]KSI!DF18</f>
        <v>5</v>
      </c>
      <c r="AB311" s="107">
        <f>[2]KSI!DG18</f>
        <v>7</v>
      </c>
      <c r="AC311" s="107">
        <f>[2]KSI!DH18</f>
        <v>9</v>
      </c>
      <c r="AD311" s="107">
        <f>[2]KSI!DI18</f>
        <v>8</v>
      </c>
      <c r="AE311" s="107">
        <f>[2]KSI!DJ18</f>
        <v>9</v>
      </c>
      <c r="AF311" s="107">
        <f>[2]KSI!DK18</f>
        <v>2</v>
      </c>
      <c r="AG311" s="107">
        <f>[2]KSI!DL18</f>
        <v>4</v>
      </c>
      <c r="AH311" s="107">
        <f>[2]KSI!DM18</f>
        <v>3</v>
      </c>
      <c r="AI311" s="107">
        <f>[2]KSI!DN18</f>
        <v>5</v>
      </c>
      <c r="AJ311" s="107">
        <f>[2]KSI!DO18</f>
        <v>4</v>
      </c>
      <c r="AK311" s="107">
        <f>[2]KSI!DP18</f>
        <v>4</v>
      </c>
      <c r="AL311" s="107">
        <f>[2]KSI!DQ18</f>
        <v>5</v>
      </c>
      <c r="AM311" s="107">
        <f>[2]KSI!DR18</f>
        <v>5</v>
      </c>
      <c r="AN311" s="107">
        <f>[2]KSI!DS18</f>
        <v>6</v>
      </c>
      <c r="AO311" s="107">
        <f>[2]KSI!DT18</f>
        <v>5</v>
      </c>
      <c r="AP311" s="107">
        <f>[2]KSI!DU18</f>
        <v>6</v>
      </c>
      <c r="AQ311" s="107">
        <f>[2]KSI!DV18</f>
        <v>1</v>
      </c>
      <c r="AR311" s="107">
        <f>[2]KSI!DW18</f>
        <v>11</v>
      </c>
      <c r="AS311" s="107">
        <f>[2]KSI!DX18</f>
        <v>9</v>
      </c>
      <c r="AT311" s="107">
        <f>[2]KSI!DY18</f>
        <v>4</v>
      </c>
      <c r="AU311" s="107">
        <f>[2]KSI!DZ18</f>
        <v>4</v>
      </c>
      <c r="AV311" s="107">
        <f>[2]KSI!EA18</f>
        <v>3</v>
      </c>
      <c r="AW311" s="107">
        <f>[2]KSI!EB18</f>
        <v>4</v>
      </c>
      <c r="AX311" s="107">
        <f>[2]KSI!EC18</f>
        <v>4</v>
      </c>
      <c r="AY311" s="107">
        <f>[2]KSI!ED18</f>
        <v>0</v>
      </c>
    </row>
    <row r="312" spans="3:51" x14ac:dyDescent="0.35">
      <c r="C312" s="365" t="s">
        <v>96</v>
      </c>
      <c r="D312" s="107">
        <f>[2]KSI!CI4</f>
        <v>0</v>
      </c>
      <c r="E312" s="107">
        <f>[2]KSI!CJ4</f>
        <v>0</v>
      </c>
      <c r="F312" s="107">
        <f>[2]KSI!CK4</f>
        <v>0</v>
      </c>
      <c r="G312" s="107">
        <f>[2]KSI!CL4</f>
        <v>1</v>
      </c>
      <c r="H312" s="107">
        <f>[2]KSI!CM4</f>
        <v>1</v>
      </c>
      <c r="I312" s="107">
        <f>[2]KSI!CN4</f>
        <v>0</v>
      </c>
      <c r="J312" s="107">
        <f>[2]KSI!CO4</f>
        <v>0</v>
      </c>
      <c r="K312" s="107">
        <f>[2]KSI!CP4</f>
        <v>0</v>
      </c>
      <c r="L312" s="107">
        <f>[2]KSI!CQ4</f>
        <v>1</v>
      </c>
      <c r="M312" s="107">
        <f>[2]KSI!CR4</f>
        <v>1</v>
      </c>
      <c r="N312" s="107">
        <f>[2]KSI!CS4</f>
        <v>1</v>
      </c>
      <c r="O312" s="107">
        <f>[2]KSI!CT4</f>
        <v>0</v>
      </c>
      <c r="P312" s="107">
        <f>[2]KSI!CU4</f>
        <v>0</v>
      </c>
      <c r="Q312" s="107">
        <f>[2]KSI!CV4</f>
        <v>2</v>
      </c>
      <c r="R312" s="107">
        <f>[2]KSI!CW4</f>
        <v>1</v>
      </c>
      <c r="S312" s="107">
        <f>[2]KSI!CX4</f>
        <v>2</v>
      </c>
      <c r="T312" s="107">
        <f>[2]KSI!CY4</f>
        <v>0</v>
      </c>
      <c r="U312" s="107">
        <f>[2]KSI!CZ4</f>
        <v>0</v>
      </c>
      <c r="V312" s="107">
        <f>[2]KSI!DA4</f>
        <v>1</v>
      </c>
      <c r="W312" s="107">
        <f>[2]KSI!DB4</f>
        <v>1</v>
      </c>
      <c r="X312" s="107">
        <f>[2]KSI!DC4</f>
        <v>0</v>
      </c>
      <c r="Y312" s="107">
        <f>[2]KSI!DD4</f>
        <v>0</v>
      </c>
      <c r="Z312" s="107">
        <f>[2]KSI!DE4</f>
        <v>0</v>
      </c>
      <c r="AA312" s="107">
        <f>[2]KSI!DF4</f>
        <v>0</v>
      </c>
      <c r="AB312" s="107">
        <f>[2]KSI!DG4</f>
        <v>0</v>
      </c>
      <c r="AC312" s="107">
        <f>[2]KSI!DH4</f>
        <v>1</v>
      </c>
      <c r="AD312" s="107">
        <f>[2]KSI!DI4</f>
        <v>1</v>
      </c>
      <c r="AE312" s="107">
        <f>[2]KSI!DJ4</f>
        <v>2</v>
      </c>
      <c r="AF312" s="107">
        <f>[2]KSI!DK4</f>
        <v>0</v>
      </c>
      <c r="AG312" s="107">
        <f>[2]KSI!DL4</f>
        <v>1</v>
      </c>
      <c r="AH312" s="107">
        <f>[2]KSI!DM4</f>
        <v>0</v>
      </c>
      <c r="AI312" s="107">
        <f>[2]KSI!DN4</f>
        <v>1</v>
      </c>
      <c r="AJ312" s="107">
        <f>[2]KSI!DO4</f>
        <v>1</v>
      </c>
      <c r="AK312" s="107">
        <f>[2]KSI!DP4</f>
        <v>1</v>
      </c>
      <c r="AL312" s="107">
        <f>[2]KSI!DQ4</f>
        <v>0</v>
      </c>
      <c r="AM312" s="107">
        <f>[2]KSI!DR4</f>
        <v>1</v>
      </c>
      <c r="AN312" s="107">
        <f>[2]KSI!DS4</f>
        <v>0</v>
      </c>
      <c r="AO312" s="107">
        <f>[2]KSI!DT4</f>
        <v>0</v>
      </c>
      <c r="AP312" s="107">
        <f>[2]KSI!DU4</f>
        <v>0</v>
      </c>
      <c r="AQ312" s="107">
        <f>[2]KSI!DV4</f>
        <v>0</v>
      </c>
      <c r="AR312" s="107">
        <f>[2]KSI!DW4</f>
        <v>0</v>
      </c>
      <c r="AS312" s="107">
        <f>[2]KSI!DX4</f>
        <v>1</v>
      </c>
      <c r="AT312" s="107">
        <f>[2]KSI!DY4</f>
        <v>0</v>
      </c>
      <c r="AU312" s="107">
        <f>[2]KSI!DZ4</f>
        <v>0</v>
      </c>
      <c r="AV312" s="107">
        <f>[2]KSI!EA4</f>
        <v>0</v>
      </c>
      <c r="AW312" s="107">
        <f>[2]KSI!EB4</f>
        <v>0</v>
      </c>
      <c r="AX312" s="107">
        <f>[2]KSI!EC4</f>
        <v>0</v>
      </c>
      <c r="AY312" s="107">
        <f>[2]KSI!ED4</f>
        <v>0</v>
      </c>
    </row>
    <row r="313" spans="3:51" x14ac:dyDescent="0.35">
      <c r="C313" s="365" t="s">
        <v>97</v>
      </c>
      <c r="D313" s="107">
        <f>[2]KSI!CI5</f>
        <v>3</v>
      </c>
      <c r="E313" s="107">
        <f>[2]KSI!CJ5</f>
        <v>2</v>
      </c>
      <c r="F313" s="107">
        <f>[2]KSI!CK5</f>
        <v>1</v>
      </c>
      <c r="G313" s="107">
        <f>[2]KSI!CL5</f>
        <v>4</v>
      </c>
      <c r="H313" s="107">
        <f>[2]KSI!CM5</f>
        <v>8</v>
      </c>
      <c r="I313" s="107">
        <f>[2]KSI!CN5</f>
        <v>0</v>
      </c>
      <c r="J313" s="107">
        <f>[2]KSI!CO5</f>
        <v>2</v>
      </c>
      <c r="K313" s="107">
        <f>[2]KSI!CP5</f>
        <v>2</v>
      </c>
      <c r="L313" s="107">
        <f>[2]KSI!CQ5</f>
        <v>5</v>
      </c>
      <c r="M313" s="107">
        <f>[2]KSI!CR5</f>
        <v>3</v>
      </c>
      <c r="N313" s="107">
        <f>[2]KSI!CS5</f>
        <v>2</v>
      </c>
      <c r="O313" s="107">
        <f>[2]KSI!CT5</f>
        <v>3</v>
      </c>
      <c r="P313" s="107">
        <f>[2]KSI!CU5</f>
        <v>5</v>
      </c>
      <c r="Q313" s="107">
        <f>[2]KSI!CV5</f>
        <v>1</v>
      </c>
      <c r="R313" s="107">
        <f>[2]KSI!CW5</f>
        <v>6</v>
      </c>
      <c r="S313" s="107">
        <f>[2]KSI!CX5</f>
        <v>5</v>
      </c>
      <c r="T313" s="107">
        <f>[2]KSI!CY5</f>
        <v>8</v>
      </c>
      <c r="U313" s="107">
        <f>[2]KSI!CZ5</f>
        <v>1</v>
      </c>
      <c r="V313" s="107">
        <f>[2]KSI!DA5</f>
        <v>9</v>
      </c>
      <c r="W313" s="107">
        <f>[2]KSI!DB5</f>
        <v>3</v>
      </c>
      <c r="X313" s="107">
        <f>[2]KSI!DC5</f>
        <v>7</v>
      </c>
      <c r="Y313" s="107">
        <f>[2]KSI!DD5</f>
        <v>7</v>
      </c>
      <c r="Z313" s="107">
        <f>[2]KSI!DE5</f>
        <v>6</v>
      </c>
      <c r="AA313" s="107">
        <f>[2]KSI!DF5</f>
        <v>5</v>
      </c>
      <c r="AB313" s="107">
        <f>[2]KSI!DG5</f>
        <v>7</v>
      </c>
      <c r="AC313" s="107">
        <f>[2]KSI!DH5</f>
        <v>8</v>
      </c>
      <c r="AD313" s="107">
        <f>[2]KSI!DI5</f>
        <v>7</v>
      </c>
      <c r="AE313" s="107">
        <f>[2]KSI!DJ5</f>
        <v>7</v>
      </c>
      <c r="AF313" s="107">
        <f>[2]KSI!DK5</f>
        <v>2</v>
      </c>
      <c r="AG313" s="107">
        <f>[2]KSI!DL5</f>
        <v>3</v>
      </c>
      <c r="AH313" s="107">
        <f>[2]KSI!DM5</f>
        <v>3</v>
      </c>
      <c r="AI313" s="107">
        <f>[2]KSI!DN5</f>
        <v>4</v>
      </c>
      <c r="AJ313" s="107">
        <f>[2]KSI!DO5</f>
        <v>3</v>
      </c>
      <c r="AK313" s="107">
        <f>[2]KSI!DP5</f>
        <v>3</v>
      </c>
      <c r="AL313" s="107">
        <f>[2]KSI!DQ5</f>
        <v>5</v>
      </c>
      <c r="AM313" s="107">
        <f>[2]KSI!DR5</f>
        <v>4</v>
      </c>
      <c r="AN313" s="107">
        <f>[2]KSI!DS5</f>
        <v>6</v>
      </c>
      <c r="AO313" s="107">
        <f>[2]KSI!DT5</f>
        <v>5</v>
      </c>
      <c r="AP313" s="107">
        <f>[2]KSI!DU5</f>
        <v>6</v>
      </c>
      <c r="AQ313" s="107">
        <f>[2]KSI!DV5</f>
        <v>1</v>
      </c>
      <c r="AR313" s="107">
        <f>[2]KSI!DW5</f>
        <v>11</v>
      </c>
      <c r="AS313" s="107">
        <f>[2]KSI!DX5</f>
        <v>8</v>
      </c>
      <c r="AT313" s="107">
        <f>[2]KSI!DY5</f>
        <v>4</v>
      </c>
      <c r="AU313" s="107">
        <f>[2]KSI!DZ5</f>
        <v>4</v>
      </c>
      <c r="AV313" s="107">
        <f>[2]KSI!EA5</f>
        <v>3</v>
      </c>
      <c r="AW313" s="107">
        <f>[2]KSI!EB5</f>
        <v>4</v>
      </c>
      <c r="AX313" s="107">
        <f>[2]KSI!EC5</f>
        <v>4</v>
      </c>
      <c r="AY313" s="107">
        <f>[2]KSI!ED5</f>
        <v>0</v>
      </c>
    </row>
    <row r="314" spans="3:51" x14ac:dyDescent="0.35">
      <c r="C314" s="365" t="s">
        <v>98</v>
      </c>
      <c r="D314" s="107">
        <f>[2]KSI!CI19</f>
        <v>4</v>
      </c>
      <c r="E314" s="107">
        <f>[2]KSI!CJ19</f>
        <v>1</v>
      </c>
      <c r="F314" s="107">
        <f>[2]KSI!CK19</f>
        <v>8</v>
      </c>
      <c r="G314" s="107">
        <f>[2]KSI!CL19</f>
        <v>12</v>
      </c>
      <c r="H314" s="107">
        <f>[2]KSI!CM19</f>
        <v>8</v>
      </c>
      <c r="I314" s="107">
        <f>[2]KSI!CN19</f>
        <v>7</v>
      </c>
      <c r="J314" s="107">
        <f>[2]KSI!CO19</f>
        <v>3</v>
      </c>
      <c r="K314" s="107">
        <f>[2]KSI!CP19</f>
        <v>4</v>
      </c>
      <c r="L314" s="107">
        <f>[2]KSI!CQ19</f>
        <v>6</v>
      </c>
      <c r="M314" s="107">
        <f>[2]KSI!CR19</f>
        <v>8</v>
      </c>
      <c r="N314" s="107">
        <f>[2]KSI!CS19</f>
        <v>3</v>
      </c>
      <c r="O314" s="107">
        <f>[2]KSI!CT19</f>
        <v>5</v>
      </c>
      <c r="P314" s="107">
        <f>[2]KSI!CU19</f>
        <v>4</v>
      </c>
      <c r="Q314" s="107">
        <f>[2]KSI!CV19</f>
        <v>6</v>
      </c>
      <c r="R314" s="107">
        <f>[2]KSI!CW19</f>
        <v>6</v>
      </c>
      <c r="S314" s="107">
        <f>[2]KSI!CX19</f>
        <v>4</v>
      </c>
      <c r="T314" s="107">
        <f>[2]KSI!CY19</f>
        <v>1</v>
      </c>
      <c r="U314" s="107">
        <f>[2]KSI!CZ19</f>
        <v>5</v>
      </c>
      <c r="V314" s="107">
        <f>[2]KSI!DA19</f>
        <v>6</v>
      </c>
      <c r="W314" s="107">
        <f>[2]KSI!DB19</f>
        <v>9</v>
      </c>
      <c r="X314" s="107">
        <f>[2]KSI!DC19</f>
        <v>9</v>
      </c>
      <c r="Y314" s="107">
        <f>[2]KSI!DD19</f>
        <v>8</v>
      </c>
      <c r="Z314" s="107">
        <f>[2]KSI!DE19</f>
        <v>3</v>
      </c>
      <c r="AA314" s="107">
        <f>[2]KSI!DF19</f>
        <v>0</v>
      </c>
      <c r="AB314" s="107">
        <f>[2]KSI!DG19</f>
        <v>10</v>
      </c>
      <c r="AC314" s="107">
        <f>[2]KSI!DH19</f>
        <v>8</v>
      </c>
      <c r="AD314" s="107">
        <f>[2]KSI!DI19</f>
        <v>7</v>
      </c>
      <c r="AE314" s="107">
        <f>[2]KSI!DJ19</f>
        <v>7</v>
      </c>
      <c r="AF314" s="107">
        <f>[2]KSI!DK19</f>
        <v>5</v>
      </c>
      <c r="AG314" s="107">
        <f>[2]KSI!DL19</f>
        <v>4</v>
      </c>
      <c r="AH314" s="107">
        <f>[2]KSI!DM19</f>
        <v>9</v>
      </c>
      <c r="AI314" s="107">
        <f>[2]KSI!DN19</f>
        <v>5</v>
      </c>
      <c r="AJ314" s="107">
        <f>[2]KSI!DO19</f>
        <v>10</v>
      </c>
      <c r="AK314" s="107">
        <f>[2]KSI!DP19</f>
        <v>6</v>
      </c>
      <c r="AL314" s="107">
        <f>[2]KSI!DQ19</f>
        <v>3</v>
      </c>
      <c r="AM314" s="107">
        <f>[2]KSI!DR19</f>
        <v>4</v>
      </c>
      <c r="AN314" s="107">
        <f>[2]KSI!DS19</f>
        <v>9</v>
      </c>
      <c r="AO314" s="107">
        <f>[2]KSI!DT19</f>
        <v>11</v>
      </c>
      <c r="AP314" s="107">
        <f>[2]KSI!DU19</f>
        <v>6</v>
      </c>
      <c r="AQ314" s="107">
        <f>[2]KSI!DV19</f>
        <v>7</v>
      </c>
      <c r="AR314" s="107">
        <f>[2]KSI!DW19</f>
        <v>12</v>
      </c>
      <c r="AS314" s="107">
        <f>[2]KSI!DX19</f>
        <v>8</v>
      </c>
      <c r="AT314" s="107">
        <f>[2]KSI!DY19</f>
        <v>8</v>
      </c>
      <c r="AU314" s="107">
        <f>[2]KSI!DZ19</f>
        <v>9</v>
      </c>
      <c r="AV314" s="107">
        <f>[2]KSI!EA19</f>
        <v>7</v>
      </c>
      <c r="AW314" s="107">
        <f>[2]KSI!EB19</f>
        <v>7</v>
      </c>
      <c r="AX314" s="107">
        <f>[2]KSI!EC19</f>
        <v>6</v>
      </c>
      <c r="AY314" s="107">
        <f>[2]KSI!ED19</f>
        <v>0</v>
      </c>
    </row>
    <row r="315" spans="3:51" x14ac:dyDescent="0.35">
      <c r="C315" s="365" t="s">
        <v>99</v>
      </c>
      <c r="D315" s="107">
        <f>[2]KSI!CI6</f>
        <v>0</v>
      </c>
      <c r="E315" s="107">
        <f>[2]KSI!CJ6</f>
        <v>0</v>
      </c>
      <c r="F315" s="107">
        <f>[2]KSI!CK6</f>
        <v>1</v>
      </c>
      <c r="G315" s="107">
        <f>[2]KSI!CL6</f>
        <v>2</v>
      </c>
      <c r="H315" s="107">
        <f>[2]KSI!CM6</f>
        <v>0</v>
      </c>
      <c r="I315" s="107">
        <f>[2]KSI!CN6</f>
        <v>1</v>
      </c>
      <c r="J315" s="107">
        <f>[2]KSI!CO6</f>
        <v>0</v>
      </c>
      <c r="K315" s="107">
        <f>[2]KSI!CP6</f>
        <v>1</v>
      </c>
      <c r="L315" s="107">
        <f>[2]KSI!CQ6</f>
        <v>0</v>
      </c>
      <c r="M315" s="107">
        <f>[2]KSI!CR6</f>
        <v>0</v>
      </c>
      <c r="N315" s="107">
        <f>[2]KSI!CS6</f>
        <v>0</v>
      </c>
      <c r="O315" s="107">
        <f>[2]KSI!CT6</f>
        <v>0</v>
      </c>
      <c r="P315" s="107">
        <f>[2]KSI!CU6</f>
        <v>1</v>
      </c>
      <c r="Q315" s="107">
        <f>[2]KSI!CV6</f>
        <v>0</v>
      </c>
      <c r="R315" s="107">
        <f>[2]KSI!CW6</f>
        <v>0</v>
      </c>
      <c r="S315" s="107">
        <f>[2]KSI!CX6</f>
        <v>0</v>
      </c>
      <c r="T315" s="107">
        <f>[2]KSI!CY6</f>
        <v>0</v>
      </c>
      <c r="U315" s="107">
        <f>[2]KSI!CZ6</f>
        <v>0</v>
      </c>
      <c r="V315" s="107">
        <f>[2]KSI!DA6</f>
        <v>0</v>
      </c>
      <c r="W315" s="107">
        <f>[2]KSI!DB6</f>
        <v>0</v>
      </c>
      <c r="X315" s="107">
        <f>[2]KSI!DC6</f>
        <v>0</v>
      </c>
      <c r="Y315" s="107">
        <f>[2]KSI!DD6</f>
        <v>1</v>
      </c>
      <c r="Z315" s="107">
        <f>[2]KSI!DE6</f>
        <v>1</v>
      </c>
      <c r="AA315" s="107">
        <f>[2]KSI!DF6</f>
        <v>0</v>
      </c>
      <c r="AB315" s="107">
        <f>[2]KSI!DG6</f>
        <v>4</v>
      </c>
      <c r="AC315" s="107">
        <f>[2]KSI!DH6</f>
        <v>1</v>
      </c>
      <c r="AD315" s="107">
        <f>[2]KSI!DI6</f>
        <v>1</v>
      </c>
      <c r="AE315" s="107">
        <f>[2]KSI!DJ6</f>
        <v>0</v>
      </c>
      <c r="AF315" s="107">
        <f>[2]KSI!DK6</f>
        <v>0</v>
      </c>
      <c r="AG315" s="107">
        <f>[2]KSI!DL6</f>
        <v>0</v>
      </c>
      <c r="AH315" s="107">
        <f>[2]KSI!DM6</f>
        <v>4</v>
      </c>
      <c r="AI315" s="107">
        <f>[2]KSI!DN6</f>
        <v>1</v>
      </c>
      <c r="AJ315" s="107">
        <f>[2]KSI!DO6</f>
        <v>1</v>
      </c>
      <c r="AK315" s="107">
        <f>[2]KSI!DP6</f>
        <v>1</v>
      </c>
      <c r="AL315" s="107">
        <f>[2]KSI!DQ6</f>
        <v>0</v>
      </c>
      <c r="AM315" s="107">
        <f>[2]KSI!DR6</f>
        <v>1</v>
      </c>
      <c r="AN315" s="107">
        <f>[2]KSI!DS6</f>
        <v>0</v>
      </c>
      <c r="AO315" s="107">
        <f>[2]KSI!DT6</f>
        <v>0</v>
      </c>
      <c r="AP315" s="107">
        <f>[2]KSI!DU6</f>
        <v>0</v>
      </c>
      <c r="AQ315" s="107">
        <f>[2]KSI!DV6</f>
        <v>0</v>
      </c>
      <c r="AR315" s="107">
        <f>[2]KSI!DW6</f>
        <v>1</v>
      </c>
      <c r="AS315" s="107">
        <f>[2]KSI!DX6</f>
        <v>2</v>
      </c>
      <c r="AT315" s="107">
        <f>[2]KSI!DY6</f>
        <v>0</v>
      </c>
      <c r="AU315" s="107">
        <f>[2]KSI!DZ6</f>
        <v>1</v>
      </c>
      <c r="AV315" s="107">
        <f>[2]KSI!EA6</f>
        <v>1</v>
      </c>
      <c r="AW315" s="107">
        <f>[2]KSI!EB6</f>
        <v>0</v>
      </c>
      <c r="AX315" s="107">
        <f>[2]KSI!EC6</f>
        <v>0</v>
      </c>
      <c r="AY315" s="107">
        <f>[2]KSI!ED6</f>
        <v>0</v>
      </c>
    </row>
    <row r="316" spans="3:51" x14ac:dyDescent="0.35">
      <c r="C316" s="365" t="s">
        <v>100</v>
      </c>
      <c r="D316" s="107">
        <f>[2]KSI!CI7</f>
        <v>4</v>
      </c>
      <c r="E316" s="107">
        <f>[2]KSI!CJ7</f>
        <v>1</v>
      </c>
      <c r="F316" s="107">
        <f>[2]KSI!CK7</f>
        <v>7</v>
      </c>
      <c r="G316" s="107">
        <f>[2]KSI!CL7</f>
        <v>10</v>
      </c>
      <c r="H316" s="107">
        <f>[2]KSI!CM7</f>
        <v>8</v>
      </c>
      <c r="I316" s="107">
        <f>[2]KSI!CN7</f>
        <v>6</v>
      </c>
      <c r="J316" s="107">
        <f>[2]KSI!CO7</f>
        <v>3</v>
      </c>
      <c r="K316" s="107">
        <f>[2]KSI!CP7</f>
        <v>3</v>
      </c>
      <c r="L316" s="107">
        <f>[2]KSI!CQ7</f>
        <v>6</v>
      </c>
      <c r="M316" s="107">
        <f>[2]KSI!CR7</f>
        <v>8</v>
      </c>
      <c r="N316" s="107">
        <f>[2]KSI!CS7</f>
        <v>3</v>
      </c>
      <c r="O316" s="107">
        <f>[2]KSI!CT7</f>
        <v>5</v>
      </c>
      <c r="P316" s="107">
        <f>[2]KSI!CU7</f>
        <v>3</v>
      </c>
      <c r="Q316" s="107">
        <f>[2]KSI!CV7</f>
        <v>6</v>
      </c>
      <c r="R316" s="107">
        <f>[2]KSI!CW7</f>
        <v>6</v>
      </c>
      <c r="S316" s="107">
        <f>[2]KSI!CX7</f>
        <v>4</v>
      </c>
      <c r="T316" s="107">
        <f>[2]KSI!CY7</f>
        <v>1</v>
      </c>
      <c r="U316" s="107">
        <f>[2]KSI!CZ7</f>
        <v>5</v>
      </c>
      <c r="V316" s="107">
        <f>[2]KSI!DA7</f>
        <v>6</v>
      </c>
      <c r="W316" s="107">
        <f>[2]KSI!DB7</f>
        <v>9</v>
      </c>
      <c r="X316" s="107">
        <f>[2]KSI!DC7</f>
        <v>9</v>
      </c>
      <c r="Y316" s="107">
        <f>[2]KSI!DD7</f>
        <v>7</v>
      </c>
      <c r="Z316" s="107">
        <f>[2]KSI!DE7</f>
        <v>2</v>
      </c>
      <c r="AA316" s="107">
        <f>[2]KSI!DF7</f>
        <v>0</v>
      </c>
      <c r="AB316" s="107">
        <f>[2]KSI!DG7</f>
        <v>6</v>
      </c>
      <c r="AC316" s="107">
        <f>[2]KSI!DH7</f>
        <v>7</v>
      </c>
      <c r="AD316" s="107">
        <f>[2]KSI!DI7</f>
        <v>6</v>
      </c>
      <c r="AE316" s="107">
        <f>[2]KSI!DJ7</f>
        <v>7</v>
      </c>
      <c r="AF316" s="107">
        <f>[2]KSI!DK7</f>
        <v>5</v>
      </c>
      <c r="AG316" s="107">
        <f>[2]KSI!DL7</f>
        <v>4</v>
      </c>
      <c r="AH316" s="107">
        <f>[2]KSI!DM7</f>
        <v>5</v>
      </c>
      <c r="AI316" s="107">
        <f>[2]KSI!DN7</f>
        <v>4</v>
      </c>
      <c r="AJ316" s="107">
        <f>[2]KSI!DO7</f>
        <v>9</v>
      </c>
      <c r="AK316" s="107">
        <f>[2]KSI!DP7</f>
        <v>5</v>
      </c>
      <c r="AL316" s="107">
        <f>[2]KSI!DQ7</f>
        <v>3</v>
      </c>
      <c r="AM316" s="107">
        <f>[2]KSI!DR7</f>
        <v>3</v>
      </c>
      <c r="AN316" s="107">
        <f>[2]KSI!DS7</f>
        <v>9</v>
      </c>
      <c r="AO316" s="107">
        <f>[2]KSI!DT7</f>
        <v>11</v>
      </c>
      <c r="AP316" s="107">
        <f>[2]KSI!DU7</f>
        <v>6</v>
      </c>
      <c r="AQ316" s="107">
        <f>[2]KSI!DV7</f>
        <v>7</v>
      </c>
      <c r="AR316" s="107">
        <f>[2]KSI!DW7</f>
        <v>11</v>
      </c>
      <c r="AS316" s="107">
        <f>[2]KSI!DX7</f>
        <v>6</v>
      </c>
      <c r="AT316" s="107">
        <f>[2]KSI!DY7</f>
        <v>8</v>
      </c>
      <c r="AU316" s="107">
        <f>[2]KSI!DZ7</f>
        <v>8</v>
      </c>
      <c r="AV316" s="107">
        <f>[2]KSI!EA7</f>
        <v>6</v>
      </c>
      <c r="AW316" s="107">
        <f>[2]KSI!EB7</f>
        <v>7</v>
      </c>
      <c r="AX316" s="107">
        <f>[2]KSI!EC7</f>
        <v>6</v>
      </c>
      <c r="AY316" s="107">
        <f>[2]KSI!ED7</f>
        <v>0</v>
      </c>
    </row>
    <row r="317" spans="3:51" x14ac:dyDescent="0.35">
      <c r="C317" s="365" t="s">
        <v>101</v>
      </c>
      <c r="D317" s="107">
        <f>[2]KSI!CI20</f>
        <v>2</v>
      </c>
      <c r="E317" s="107">
        <f>[2]KSI!CJ20</f>
        <v>1</v>
      </c>
      <c r="F317" s="107">
        <f>[2]KSI!CK20</f>
        <v>6</v>
      </c>
      <c r="G317" s="107">
        <f>[2]KSI!CL20</f>
        <v>8</v>
      </c>
      <c r="H317" s="107">
        <f>[2]KSI!CM20</f>
        <v>5</v>
      </c>
      <c r="I317" s="107">
        <f>[2]KSI!CN20</f>
        <v>4</v>
      </c>
      <c r="J317" s="107">
        <f>[2]KSI!CO20</f>
        <v>10</v>
      </c>
      <c r="K317" s="107">
        <f>[2]KSI!CP20</f>
        <v>8</v>
      </c>
      <c r="L317" s="107">
        <f>[2]KSI!CQ20</f>
        <v>3</v>
      </c>
      <c r="M317" s="107">
        <f>[2]KSI!CR20</f>
        <v>5</v>
      </c>
      <c r="N317" s="107">
        <f>[2]KSI!CS20</f>
        <v>3</v>
      </c>
      <c r="O317" s="107">
        <f>[2]KSI!CT20</f>
        <v>3</v>
      </c>
      <c r="P317" s="107">
        <f>[2]KSI!CU20</f>
        <v>6</v>
      </c>
      <c r="Q317" s="107">
        <f>[2]KSI!CV20</f>
        <v>8</v>
      </c>
      <c r="R317" s="107">
        <f>[2]KSI!CW20</f>
        <v>3</v>
      </c>
      <c r="S317" s="107">
        <f>[2]KSI!CX20</f>
        <v>2</v>
      </c>
      <c r="T317" s="107">
        <f>[2]KSI!CY20</f>
        <v>8</v>
      </c>
      <c r="U317" s="107">
        <f>[2]KSI!CZ20</f>
        <v>2</v>
      </c>
      <c r="V317" s="107">
        <f>[2]KSI!DA20</f>
        <v>2</v>
      </c>
      <c r="W317" s="107">
        <f>[2]KSI!DB20</f>
        <v>5</v>
      </c>
      <c r="X317" s="107">
        <f>[2]KSI!DC20</f>
        <v>1</v>
      </c>
      <c r="Y317" s="107">
        <f>[2]KSI!DD20</f>
        <v>8</v>
      </c>
      <c r="Z317" s="107">
        <f>[2]KSI!DE20</f>
        <v>7</v>
      </c>
      <c r="AA317" s="107">
        <f>[2]KSI!DF20</f>
        <v>4</v>
      </c>
      <c r="AB317" s="107">
        <f>[2]KSI!DG20</f>
        <v>2</v>
      </c>
      <c r="AC317" s="107">
        <f>[2]KSI!DH20</f>
        <v>2</v>
      </c>
      <c r="AD317" s="107">
        <f>[2]KSI!DI20</f>
        <v>7</v>
      </c>
      <c r="AE317" s="107">
        <f>[2]KSI!DJ20</f>
        <v>7</v>
      </c>
      <c r="AF317" s="107">
        <f>[2]KSI!DK20</f>
        <v>5</v>
      </c>
      <c r="AG317" s="107">
        <f>[2]KSI!DL20</f>
        <v>6</v>
      </c>
      <c r="AH317" s="107">
        <f>[2]KSI!DM20</f>
        <v>6</v>
      </c>
      <c r="AI317" s="107">
        <f>[2]KSI!DN20</f>
        <v>6</v>
      </c>
      <c r="AJ317" s="107">
        <f>[2]KSI!DO20</f>
        <v>4</v>
      </c>
      <c r="AK317" s="107">
        <f>[2]KSI!DP20</f>
        <v>6</v>
      </c>
      <c r="AL317" s="107">
        <f>[2]KSI!DQ20</f>
        <v>6</v>
      </c>
      <c r="AM317" s="107">
        <f>[2]KSI!DR20</f>
        <v>4</v>
      </c>
      <c r="AN317" s="107">
        <f>[2]KSI!DS20</f>
        <v>5</v>
      </c>
      <c r="AO317" s="107">
        <f>[2]KSI!DT20</f>
        <v>3</v>
      </c>
      <c r="AP317" s="107">
        <f>[2]KSI!DU20</f>
        <v>6</v>
      </c>
      <c r="AQ317" s="107">
        <f>[2]KSI!DV20</f>
        <v>2</v>
      </c>
      <c r="AR317" s="107">
        <f>[2]KSI!DW20</f>
        <v>11</v>
      </c>
      <c r="AS317" s="107">
        <f>[2]KSI!DX20</f>
        <v>6</v>
      </c>
      <c r="AT317" s="107">
        <f>[2]KSI!DY20</f>
        <v>7</v>
      </c>
      <c r="AU317" s="107">
        <f>[2]KSI!DZ20</f>
        <v>4</v>
      </c>
      <c r="AV317" s="107">
        <f>[2]KSI!EA20</f>
        <v>7</v>
      </c>
      <c r="AW317" s="107">
        <f>[2]KSI!EB20</f>
        <v>3</v>
      </c>
      <c r="AX317" s="107">
        <f>[2]KSI!EC20</f>
        <v>2</v>
      </c>
      <c r="AY317" s="107">
        <f>[2]KSI!ED20</f>
        <v>0</v>
      </c>
    </row>
    <row r="318" spans="3:51" x14ac:dyDescent="0.35">
      <c r="C318" s="365" t="s">
        <v>102</v>
      </c>
      <c r="D318" s="107">
        <f>[2]KSI!CI8</f>
        <v>0</v>
      </c>
      <c r="E318" s="107">
        <f>[2]KSI!CJ8</f>
        <v>0</v>
      </c>
      <c r="F318" s="107">
        <f>[2]KSI!CK8</f>
        <v>0</v>
      </c>
      <c r="G318" s="107">
        <f>[2]KSI!CL8</f>
        <v>0</v>
      </c>
      <c r="H318" s="107">
        <f>[2]KSI!CM8</f>
        <v>0</v>
      </c>
      <c r="I318" s="107">
        <f>[2]KSI!CN8</f>
        <v>0</v>
      </c>
      <c r="J318" s="107">
        <f>[2]KSI!CO8</f>
        <v>1</v>
      </c>
      <c r="K318" s="107">
        <f>[2]KSI!CP8</f>
        <v>0</v>
      </c>
      <c r="L318" s="107">
        <f>[2]KSI!CQ8</f>
        <v>0</v>
      </c>
      <c r="M318" s="107">
        <f>[2]KSI!CR8</f>
        <v>0</v>
      </c>
      <c r="N318" s="107">
        <f>[2]KSI!CS8</f>
        <v>0</v>
      </c>
      <c r="O318" s="107">
        <f>[2]KSI!CT8</f>
        <v>0</v>
      </c>
      <c r="P318" s="107">
        <f>[2]KSI!CU8</f>
        <v>0</v>
      </c>
      <c r="Q318" s="107">
        <f>[2]KSI!CV8</f>
        <v>0</v>
      </c>
      <c r="R318" s="107">
        <f>[2]KSI!CW8</f>
        <v>0</v>
      </c>
      <c r="S318" s="107">
        <f>[2]KSI!CX8</f>
        <v>0</v>
      </c>
      <c r="T318" s="107">
        <f>[2]KSI!CY8</f>
        <v>2</v>
      </c>
      <c r="U318" s="107">
        <f>[2]KSI!CZ8</f>
        <v>1</v>
      </c>
      <c r="V318" s="107">
        <f>[2]KSI!DA8</f>
        <v>0</v>
      </c>
      <c r="W318" s="107">
        <f>[2]KSI!DB8</f>
        <v>2</v>
      </c>
      <c r="X318" s="107">
        <f>[2]KSI!DC8</f>
        <v>0</v>
      </c>
      <c r="Y318" s="107">
        <f>[2]KSI!DD8</f>
        <v>0</v>
      </c>
      <c r="Z318" s="107">
        <f>[2]KSI!DE8</f>
        <v>0</v>
      </c>
      <c r="AA318" s="107">
        <f>[2]KSI!DF8</f>
        <v>0</v>
      </c>
      <c r="AB318" s="107">
        <f>[2]KSI!DG8</f>
        <v>0</v>
      </c>
      <c r="AC318" s="107">
        <f>[2]KSI!DH8</f>
        <v>0</v>
      </c>
      <c r="AD318" s="107">
        <f>[2]KSI!DI8</f>
        <v>0</v>
      </c>
      <c r="AE318" s="107">
        <f>[2]KSI!DJ8</f>
        <v>1</v>
      </c>
      <c r="AF318" s="107">
        <f>[2]KSI!DK8</f>
        <v>2</v>
      </c>
      <c r="AG318" s="107">
        <f>[2]KSI!DL8</f>
        <v>0</v>
      </c>
      <c r="AH318" s="107">
        <f>[2]KSI!DM8</f>
        <v>0</v>
      </c>
      <c r="AI318" s="107">
        <f>[2]KSI!DN8</f>
        <v>1</v>
      </c>
      <c r="AJ318" s="107">
        <f>[2]KSI!DO8</f>
        <v>0</v>
      </c>
      <c r="AK318" s="107">
        <f>[2]KSI!DP8</f>
        <v>0</v>
      </c>
      <c r="AL318" s="107">
        <f>[2]KSI!DQ8</f>
        <v>0</v>
      </c>
      <c r="AM318" s="107">
        <f>[2]KSI!DR8</f>
        <v>0</v>
      </c>
      <c r="AN318" s="107">
        <f>[2]KSI!DS8</f>
        <v>1</v>
      </c>
      <c r="AO318" s="107">
        <f>[2]KSI!DT8</f>
        <v>0</v>
      </c>
      <c r="AP318" s="107">
        <f>[2]KSI!DU8</f>
        <v>2</v>
      </c>
      <c r="AQ318" s="107">
        <f>[2]KSI!DV8</f>
        <v>1</v>
      </c>
      <c r="AR318" s="107">
        <f>[2]KSI!DW8</f>
        <v>3</v>
      </c>
      <c r="AS318" s="107">
        <f>[2]KSI!DX8</f>
        <v>0</v>
      </c>
      <c r="AT318" s="107">
        <f>[2]KSI!DY8</f>
        <v>2</v>
      </c>
      <c r="AU318" s="107">
        <f>[2]KSI!DZ8</f>
        <v>0</v>
      </c>
      <c r="AV318" s="107">
        <f>[2]KSI!EA8</f>
        <v>0</v>
      </c>
      <c r="AW318" s="107">
        <f>[2]KSI!EB8</f>
        <v>1</v>
      </c>
      <c r="AX318" s="107">
        <f>[2]KSI!EC8</f>
        <v>0</v>
      </c>
      <c r="AY318" s="107">
        <f>[2]KSI!ED8</f>
        <v>0</v>
      </c>
    </row>
    <row r="319" spans="3:51" x14ac:dyDescent="0.35">
      <c r="C319" s="365" t="s">
        <v>103</v>
      </c>
      <c r="D319" s="107">
        <f>[2]KSI!CI9</f>
        <v>2</v>
      </c>
      <c r="E319" s="107">
        <f>[2]KSI!CJ9</f>
        <v>1</v>
      </c>
      <c r="F319" s="107">
        <f>[2]KSI!CK9</f>
        <v>6</v>
      </c>
      <c r="G319" s="107">
        <f>[2]KSI!CL9</f>
        <v>8</v>
      </c>
      <c r="H319" s="107">
        <f>[2]KSI!CM9</f>
        <v>5</v>
      </c>
      <c r="I319" s="107">
        <f>[2]KSI!CN9</f>
        <v>4</v>
      </c>
      <c r="J319" s="107">
        <f>[2]KSI!CO9</f>
        <v>9</v>
      </c>
      <c r="K319" s="107">
        <f>[2]KSI!CP9</f>
        <v>8</v>
      </c>
      <c r="L319" s="107">
        <f>[2]KSI!CQ9</f>
        <v>3</v>
      </c>
      <c r="M319" s="107">
        <f>[2]KSI!CR9</f>
        <v>5</v>
      </c>
      <c r="N319" s="107">
        <f>[2]KSI!CS9</f>
        <v>3</v>
      </c>
      <c r="O319" s="107">
        <f>[2]KSI!CT9</f>
        <v>3</v>
      </c>
      <c r="P319" s="107">
        <f>[2]KSI!CU9</f>
        <v>6</v>
      </c>
      <c r="Q319" s="107">
        <f>[2]KSI!CV9</f>
        <v>8</v>
      </c>
      <c r="R319" s="107">
        <f>[2]KSI!CW9</f>
        <v>3</v>
      </c>
      <c r="S319" s="107">
        <f>[2]KSI!CX9</f>
        <v>2</v>
      </c>
      <c r="T319" s="107">
        <f>[2]KSI!CY9</f>
        <v>6</v>
      </c>
      <c r="U319" s="107">
        <f>[2]KSI!CZ9</f>
        <v>1</v>
      </c>
      <c r="V319" s="107">
        <f>[2]KSI!DA9</f>
        <v>2</v>
      </c>
      <c r="W319" s="107">
        <f>[2]KSI!DB9</f>
        <v>3</v>
      </c>
      <c r="X319" s="107">
        <f>[2]KSI!DC9</f>
        <v>1</v>
      </c>
      <c r="Y319" s="107">
        <f>[2]KSI!DD9</f>
        <v>8</v>
      </c>
      <c r="Z319" s="107">
        <f>[2]KSI!DE9</f>
        <v>7</v>
      </c>
      <c r="AA319" s="107">
        <f>[2]KSI!DF9</f>
        <v>4</v>
      </c>
      <c r="AB319" s="107">
        <f>[2]KSI!DG9</f>
        <v>2</v>
      </c>
      <c r="AC319" s="107">
        <f>[2]KSI!DH9</f>
        <v>2</v>
      </c>
      <c r="AD319" s="107">
        <f>[2]KSI!DI9</f>
        <v>7</v>
      </c>
      <c r="AE319" s="107">
        <f>[2]KSI!DJ9</f>
        <v>6</v>
      </c>
      <c r="AF319" s="107">
        <f>[2]KSI!DK9</f>
        <v>3</v>
      </c>
      <c r="AG319" s="107">
        <f>[2]KSI!DL9</f>
        <v>6</v>
      </c>
      <c r="AH319" s="107">
        <f>[2]KSI!DM9</f>
        <v>6</v>
      </c>
      <c r="AI319" s="107">
        <f>[2]KSI!DN9</f>
        <v>5</v>
      </c>
      <c r="AJ319" s="107">
        <f>[2]KSI!DO9</f>
        <v>4</v>
      </c>
      <c r="AK319" s="107">
        <f>[2]KSI!DP9</f>
        <v>6</v>
      </c>
      <c r="AL319" s="107">
        <f>[2]KSI!DQ9</f>
        <v>6</v>
      </c>
      <c r="AM319" s="107">
        <f>[2]KSI!DR9</f>
        <v>4</v>
      </c>
      <c r="AN319" s="107">
        <f>[2]KSI!DS9</f>
        <v>4</v>
      </c>
      <c r="AO319" s="107">
        <f>[2]KSI!DT9</f>
        <v>3</v>
      </c>
      <c r="AP319" s="107">
        <f>[2]KSI!DU9</f>
        <v>4</v>
      </c>
      <c r="AQ319" s="107">
        <f>[2]KSI!DV9</f>
        <v>1</v>
      </c>
      <c r="AR319" s="107">
        <f>[2]KSI!DW9</f>
        <v>8</v>
      </c>
      <c r="AS319" s="107">
        <f>[2]KSI!DX9</f>
        <v>6</v>
      </c>
      <c r="AT319" s="107">
        <f>[2]KSI!DY9</f>
        <v>5</v>
      </c>
      <c r="AU319" s="107">
        <f>[2]KSI!DZ9</f>
        <v>4</v>
      </c>
      <c r="AV319" s="107">
        <f>[2]KSI!EA9</f>
        <v>7</v>
      </c>
      <c r="AW319" s="107">
        <f>[2]KSI!EB9</f>
        <v>2</v>
      </c>
      <c r="AX319" s="107">
        <f>[2]KSI!EC9</f>
        <v>2</v>
      </c>
      <c r="AY319" s="107">
        <f>[2]KSI!ED9</f>
        <v>0</v>
      </c>
    </row>
    <row r="320" spans="3:51" x14ac:dyDescent="0.35">
      <c r="C320" s="365" t="s">
        <v>104</v>
      </c>
      <c r="D320" s="107">
        <f>[2]KSI!CI21</f>
        <v>5</v>
      </c>
      <c r="E320" s="107">
        <f>[2]KSI!CJ21</f>
        <v>1</v>
      </c>
      <c r="F320" s="107">
        <f>[2]KSI!CK21</f>
        <v>6</v>
      </c>
      <c r="G320" s="107">
        <f>[2]KSI!CL21</f>
        <v>5</v>
      </c>
      <c r="H320" s="107">
        <f>[2]KSI!CM21</f>
        <v>3</v>
      </c>
      <c r="I320" s="107">
        <f>[2]KSI!CN21</f>
        <v>6</v>
      </c>
      <c r="J320" s="107">
        <f>[2]KSI!CO21</f>
        <v>4</v>
      </c>
      <c r="K320" s="107">
        <f>[2]KSI!CP21</f>
        <v>2</v>
      </c>
      <c r="L320" s="107">
        <f>[2]KSI!CQ21</f>
        <v>3</v>
      </c>
      <c r="M320" s="107">
        <f>[2]KSI!CR21</f>
        <v>1</v>
      </c>
      <c r="N320" s="107">
        <f>[2]KSI!CS21</f>
        <v>8</v>
      </c>
      <c r="O320" s="107">
        <f>[2]KSI!CT21</f>
        <v>2</v>
      </c>
      <c r="P320" s="107">
        <f>[2]KSI!CU21</f>
        <v>3</v>
      </c>
      <c r="Q320" s="107">
        <f>[2]KSI!CV21</f>
        <v>2</v>
      </c>
      <c r="R320" s="107">
        <f>[2]KSI!CW21</f>
        <v>7</v>
      </c>
      <c r="S320" s="107">
        <f>[2]KSI!CX21</f>
        <v>5</v>
      </c>
      <c r="T320" s="107">
        <f>[2]KSI!CY21</f>
        <v>3</v>
      </c>
      <c r="U320" s="107">
        <f>[2]KSI!CZ21</f>
        <v>3</v>
      </c>
      <c r="V320" s="107">
        <f>[2]KSI!DA21</f>
        <v>6</v>
      </c>
      <c r="W320" s="107">
        <f>[2]KSI!DB21</f>
        <v>8</v>
      </c>
      <c r="X320" s="107">
        <f>[2]KSI!DC21</f>
        <v>2</v>
      </c>
      <c r="Y320" s="107">
        <f>[2]KSI!DD21</f>
        <v>4</v>
      </c>
      <c r="Z320" s="107">
        <f>[2]KSI!DE21</f>
        <v>10</v>
      </c>
      <c r="AA320" s="107">
        <f>[2]KSI!DF21</f>
        <v>0</v>
      </c>
      <c r="AB320" s="107">
        <f>[2]KSI!DG21</f>
        <v>0</v>
      </c>
      <c r="AC320" s="107">
        <f>[2]KSI!DH21</f>
        <v>2</v>
      </c>
      <c r="AD320" s="107">
        <f>[2]KSI!DI21</f>
        <v>2</v>
      </c>
      <c r="AE320" s="107">
        <f>[2]KSI!DJ21</f>
        <v>10</v>
      </c>
      <c r="AF320" s="107">
        <f>[2]KSI!DK21</f>
        <v>5</v>
      </c>
      <c r="AG320" s="107">
        <f>[2]KSI!DL21</f>
        <v>2</v>
      </c>
      <c r="AH320" s="107">
        <f>[2]KSI!DM21</f>
        <v>4</v>
      </c>
      <c r="AI320" s="107">
        <f>[2]KSI!DN21</f>
        <v>1</v>
      </c>
      <c r="AJ320" s="107">
        <f>[2]KSI!DO21</f>
        <v>1</v>
      </c>
      <c r="AK320" s="107">
        <f>[2]KSI!DP21</f>
        <v>4</v>
      </c>
      <c r="AL320" s="107">
        <f>[2]KSI!DQ21</f>
        <v>3</v>
      </c>
      <c r="AM320" s="107">
        <f>[2]KSI!DR21</f>
        <v>2</v>
      </c>
      <c r="AN320" s="107">
        <f>[2]KSI!DS21</f>
        <v>1</v>
      </c>
      <c r="AO320" s="107">
        <f>[2]KSI!DT21</f>
        <v>2</v>
      </c>
      <c r="AP320" s="107">
        <f>[2]KSI!DU21</f>
        <v>4</v>
      </c>
      <c r="AQ320" s="107">
        <f>[2]KSI!DV21</f>
        <v>4</v>
      </c>
      <c r="AR320" s="107">
        <f>[2]KSI!DW21</f>
        <v>5</v>
      </c>
      <c r="AS320" s="107">
        <f>[2]KSI!DX21</f>
        <v>4</v>
      </c>
      <c r="AT320" s="107">
        <f>[2]KSI!DY21</f>
        <v>14</v>
      </c>
      <c r="AU320" s="107">
        <f>[2]KSI!DZ21</f>
        <v>3</v>
      </c>
      <c r="AV320" s="107">
        <f>[2]KSI!EA21</f>
        <v>5</v>
      </c>
      <c r="AW320" s="107">
        <f>[2]KSI!EB21</f>
        <v>0</v>
      </c>
      <c r="AX320" s="107">
        <f>[2]KSI!EC21</f>
        <v>3</v>
      </c>
      <c r="AY320" s="107">
        <f>[2]KSI!ED21</f>
        <v>0</v>
      </c>
    </row>
    <row r="321" spans="3:51" x14ac:dyDescent="0.35">
      <c r="C321" s="365" t="s">
        <v>105</v>
      </c>
      <c r="D321" s="107">
        <f>[2]KSI!CI10</f>
        <v>0</v>
      </c>
      <c r="E321" s="107">
        <f>[2]KSI!CJ10</f>
        <v>0</v>
      </c>
      <c r="F321" s="107">
        <f>[2]KSI!CK10</f>
        <v>0</v>
      </c>
      <c r="G321" s="107">
        <f>[2]KSI!CL10</f>
        <v>1</v>
      </c>
      <c r="H321" s="107">
        <f>[2]KSI!CM10</f>
        <v>0</v>
      </c>
      <c r="I321" s="107">
        <f>[2]KSI!CN10</f>
        <v>0</v>
      </c>
      <c r="J321" s="107">
        <f>[2]KSI!CO10</f>
        <v>0</v>
      </c>
      <c r="K321" s="107">
        <f>[2]KSI!CP10</f>
        <v>0</v>
      </c>
      <c r="L321" s="107">
        <f>[2]KSI!CQ10</f>
        <v>1</v>
      </c>
      <c r="M321" s="107">
        <f>[2]KSI!CR10</f>
        <v>0</v>
      </c>
      <c r="N321" s="107">
        <f>[2]KSI!CS10</f>
        <v>0</v>
      </c>
      <c r="O321" s="107">
        <f>[2]KSI!CT10</f>
        <v>0</v>
      </c>
      <c r="P321" s="107">
        <f>[2]KSI!CU10</f>
        <v>0</v>
      </c>
      <c r="Q321" s="107">
        <f>[2]KSI!CV10</f>
        <v>0</v>
      </c>
      <c r="R321" s="107">
        <f>[2]KSI!CW10</f>
        <v>0</v>
      </c>
      <c r="S321" s="107">
        <f>[2]KSI!CX10</f>
        <v>1</v>
      </c>
      <c r="T321" s="107">
        <f>[2]KSI!CY10</f>
        <v>0</v>
      </c>
      <c r="U321" s="107">
        <f>[2]KSI!CZ10</f>
        <v>2</v>
      </c>
      <c r="V321" s="107">
        <f>[2]KSI!DA10</f>
        <v>0</v>
      </c>
      <c r="W321" s="107">
        <f>[2]KSI!DB10</f>
        <v>0</v>
      </c>
      <c r="X321" s="107">
        <f>[2]KSI!DC10</f>
        <v>0</v>
      </c>
      <c r="Y321" s="107">
        <f>[2]KSI!DD10</f>
        <v>1</v>
      </c>
      <c r="Z321" s="107">
        <f>[2]KSI!DE10</f>
        <v>0</v>
      </c>
      <c r="AA321" s="107">
        <f>[2]KSI!DF10</f>
        <v>0</v>
      </c>
      <c r="AB321" s="107">
        <f>[2]KSI!DG10</f>
        <v>0</v>
      </c>
      <c r="AC321" s="107">
        <f>[2]KSI!DH10</f>
        <v>0</v>
      </c>
      <c r="AD321" s="107">
        <f>[2]KSI!DI10</f>
        <v>1</v>
      </c>
      <c r="AE321" s="107">
        <f>[2]KSI!DJ10</f>
        <v>2</v>
      </c>
      <c r="AF321" s="107">
        <f>[2]KSI!DK10</f>
        <v>0</v>
      </c>
      <c r="AG321" s="107">
        <f>[2]KSI!DL10</f>
        <v>0</v>
      </c>
      <c r="AH321" s="107">
        <f>[2]KSI!DM10</f>
        <v>0</v>
      </c>
      <c r="AI321" s="107">
        <f>[2]KSI!DN10</f>
        <v>0</v>
      </c>
      <c r="AJ321" s="107">
        <f>[2]KSI!DO10</f>
        <v>0</v>
      </c>
      <c r="AK321" s="107">
        <f>[2]KSI!DP10</f>
        <v>1</v>
      </c>
      <c r="AL321" s="107">
        <f>[2]KSI!DQ10</f>
        <v>0</v>
      </c>
      <c r="AM321" s="107">
        <f>[2]KSI!DR10</f>
        <v>0</v>
      </c>
      <c r="AN321" s="107">
        <f>[2]KSI!DS10</f>
        <v>0</v>
      </c>
      <c r="AO321" s="107">
        <f>[2]KSI!DT10</f>
        <v>1</v>
      </c>
      <c r="AP321" s="107">
        <f>[2]KSI!DU10</f>
        <v>0</v>
      </c>
      <c r="AQ321" s="107">
        <f>[2]KSI!DV10</f>
        <v>0</v>
      </c>
      <c r="AR321" s="107">
        <f>[2]KSI!DW10</f>
        <v>0</v>
      </c>
      <c r="AS321" s="107">
        <f>[2]KSI!DX10</f>
        <v>0</v>
      </c>
      <c r="AT321" s="107">
        <f>[2]KSI!DY10</f>
        <v>1</v>
      </c>
      <c r="AU321" s="107">
        <f>[2]KSI!DZ10</f>
        <v>1</v>
      </c>
      <c r="AV321" s="107">
        <f>[2]KSI!EA10</f>
        <v>1</v>
      </c>
      <c r="AW321" s="107">
        <f>[2]KSI!EB10</f>
        <v>0</v>
      </c>
      <c r="AX321" s="107">
        <f>[2]KSI!EC10</f>
        <v>0</v>
      </c>
      <c r="AY321" s="107">
        <f>[2]KSI!ED10</f>
        <v>0</v>
      </c>
    </row>
    <row r="322" spans="3:51" x14ac:dyDescent="0.35">
      <c r="C322" s="365" t="s">
        <v>106</v>
      </c>
      <c r="D322" s="107">
        <f>[2]KSI!CI11</f>
        <v>5</v>
      </c>
      <c r="E322" s="107">
        <f>[2]KSI!CJ11</f>
        <v>1</v>
      </c>
      <c r="F322" s="107">
        <f>[2]KSI!CK11</f>
        <v>6</v>
      </c>
      <c r="G322" s="107">
        <f>[2]KSI!CL11</f>
        <v>4</v>
      </c>
      <c r="H322" s="107">
        <f>[2]KSI!CM11</f>
        <v>3</v>
      </c>
      <c r="I322" s="107">
        <f>[2]KSI!CN11</f>
        <v>6</v>
      </c>
      <c r="J322" s="107">
        <f>[2]KSI!CO11</f>
        <v>4</v>
      </c>
      <c r="K322" s="107">
        <f>[2]KSI!CP11</f>
        <v>2</v>
      </c>
      <c r="L322" s="107">
        <f>[2]KSI!CQ11</f>
        <v>2</v>
      </c>
      <c r="M322" s="107">
        <f>[2]KSI!CR11</f>
        <v>1</v>
      </c>
      <c r="N322" s="107">
        <f>[2]KSI!CS11</f>
        <v>8</v>
      </c>
      <c r="O322" s="107">
        <f>[2]KSI!CT11</f>
        <v>2</v>
      </c>
      <c r="P322" s="107">
        <f>[2]KSI!CU11</f>
        <v>3</v>
      </c>
      <c r="Q322" s="107">
        <f>[2]KSI!CV11</f>
        <v>2</v>
      </c>
      <c r="R322" s="107">
        <f>[2]KSI!CW11</f>
        <v>7</v>
      </c>
      <c r="S322" s="107">
        <f>[2]KSI!CX11</f>
        <v>4</v>
      </c>
      <c r="T322" s="107">
        <f>[2]KSI!CY11</f>
        <v>3</v>
      </c>
      <c r="U322" s="107">
        <f>[2]KSI!CZ11</f>
        <v>1</v>
      </c>
      <c r="V322" s="107">
        <f>[2]KSI!DA11</f>
        <v>6</v>
      </c>
      <c r="W322" s="107">
        <f>[2]KSI!DB11</f>
        <v>8</v>
      </c>
      <c r="X322" s="107">
        <f>[2]KSI!DC11</f>
        <v>2</v>
      </c>
      <c r="Y322" s="107">
        <f>[2]KSI!DD11</f>
        <v>3</v>
      </c>
      <c r="Z322" s="107">
        <f>[2]KSI!DE11</f>
        <v>10</v>
      </c>
      <c r="AA322" s="107">
        <f>[2]KSI!DF11</f>
        <v>0</v>
      </c>
      <c r="AB322" s="107">
        <f>[2]KSI!DG11</f>
        <v>0</v>
      </c>
      <c r="AC322" s="107">
        <f>[2]KSI!DH11</f>
        <v>2</v>
      </c>
      <c r="AD322" s="107">
        <f>[2]KSI!DI11</f>
        <v>1</v>
      </c>
      <c r="AE322" s="107">
        <f>[2]KSI!DJ11</f>
        <v>8</v>
      </c>
      <c r="AF322" s="107">
        <f>[2]KSI!DK11</f>
        <v>5</v>
      </c>
      <c r="AG322" s="107">
        <f>[2]KSI!DL11</f>
        <v>2</v>
      </c>
      <c r="AH322" s="107">
        <f>[2]KSI!DM11</f>
        <v>4</v>
      </c>
      <c r="AI322" s="107">
        <f>[2]KSI!DN11</f>
        <v>1</v>
      </c>
      <c r="AJ322" s="107">
        <f>[2]KSI!DO11</f>
        <v>1</v>
      </c>
      <c r="AK322" s="107">
        <f>[2]KSI!DP11</f>
        <v>3</v>
      </c>
      <c r="AL322" s="107">
        <f>[2]KSI!DQ11</f>
        <v>3</v>
      </c>
      <c r="AM322" s="107">
        <f>[2]KSI!DR11</f>
        <v>2</v>
      </c>
      <c r="AN322" s="107">
        <f>[2]KSI!DS11</f>
        <v>1</v>
      </c>
      <c r="AO322" s="107">
        <f>[2]KSI!DT11</f>
        <v>1</v>
      </c>
      <c r="AP322" s="107">
        <f>[2]KSI!DU11</f>
        <v>4</v>
      </c>
      <c r="AQ322" s="107">
        <f>[2]KSI!DV11</f>
        <v>4</v>
      </c>
      <c r="AR322" s="107">
        <f>[2]KSI!DW11</f>
        <v>5</v>
      </c>
      <c r="AS322" s="107">
        <f>[2]KSI!DX11</f>
        <v>4</v>
      </c>
      <c r="AT322" s="107">
        <f>[2]KSI!DY11</f>
        <v>13</v>
      </c>
      <c r="AU322" s="107">
        <f>[2]KSI!DZ11</f>
        <v>2</v>
      </c>
      <c r="AV322" s="107">
        <f>[2]KSI!EA11</f>
        <v>4</v>
      </c>
      <c r="AW322" s="107">
        <f>[2]KSI!EB11</f>
        <v>0</v>
      </c>
      <c r="AX322" s="107">
        <f>[2]KSI!EC11</f>
        <v>3</v>
      </c>
      <c r="AY322" s="107">
        <f>[2]KSI!ED11</f>
        <v>0</v>
      </c>
    </row>
    <row r="323" spans="3:51" x14ac:dyDescent="0.35">
      <c r="C323" s="365" t="s">
        <v>107</v>
      </c>
      <c r="D323" s="107">
        <f>[2]KSI!CI22</f>
        <v>17</v>
      </c>
      <c r="E323" s="107">
        <f>[2]KSI!CJ22</f>
        <v>7</v>
      </c>
      <c r="F323" s="107">
        <f>[2]KSI!CK22</f>
        <v>28</v>
      </c>
      <c r="G323" s="107">
        <f>[2]KSI!CL22</f>
        <v>33</v>
      </c>
      <c r="H323" s="107">
        <f>[2]KSI!CM22</f>
        <v>27</v>
      </c>
      <c r="I323" s="107">
        <f>[2]KSI!CN22</f>
        <v>19</v>
      </c>
      <c r="J323" s="107">
        <f>[2]KSI!CO22</f>
        <v>26</v>
      </c>
      <c r="K323" s="107">
        <f>[2]KSI!CP22</f>
        <v>20</v>
      </c>
      <c r="L323" s="107">
        <f>[2]KSI!CQ22</f>
        <v>21</v>
      </c>
      <c r="M323" s="107">
        <f>[2]KSI!CR22</f>
        <v>21</v>
      </c>
      <c r="N323" s="107">
        <f>[2]KSI!CS22</f>
        <v>17</v>
      </c>
      <c r="O323" s="107">
        <f>[2]KSI!CT22</f>
        <v>18</v>
      </c>
      <c r="P323" s="107">
        <f>[2]KSI!CU22</f>
        <v>18</v>
      </c>
      <c r="Q323" s="107">
        <f>[2]KSI!CV22</f>
        <v>22</v>
      </c>
      <c r="R323" s="107">
        <f>[2]KSI!CW22</f>
        <v>25</v>
      </c>
      <c r="S323" s="107">
        <f>[2]KSI!CX22</f>
        <v>21</v>
      </c>
      <c r="T323" s="107">
        <f>[2]KSI!CY22</f>
        <v>26</v>
      </c>
      <c r="U323" s="107">
        <f>[2]KSI!CZ22</f>
        <v>13</v>
      </c>
      <c r="V323" s="107">
        <f>[2]KSI!DA22</f>
        <v>24</v>
      </c>
      <c r="W323" s="107">
        <f>[2]KSI!DB22</f>
        <v>33</v>
      </c>
      <c r="X323" s="107">
        <f>[2]KSI!DC22</f>
        <v>21</v>
      </c>
      <c r="Y323" s="107">
        <f>[2]KSI!DD22</f>
        <v>29</v>
      </c>
      <c r="Z323" s="107">
        <f>[2]KSI!DE22</f>
        <v>28</v>
      </c>
      <c r="AA323" s="107">
        <f>[2]KSI!DF22</f>
        <v>12</v>
      </c>
      <c r="AB323" s="107">
        <f>[2]KSI!DG22</f>
        <v>21</v>
      </c>
      <c r="AC323" s="107">
        <f>[2]KSI!DH22</f>
        <v>28</v>
      </c>
      <c r="AD323" s="107">
        <f>[2]KSI!DI22</f>
        <v>26</v>
      </c>
      <c r="AE323" s="107">
        <f>[2]KSI!DJ22</f>
        <v>33</v>
      </c>
      <c r="AF323" s="107">
        <f>[2]KSI!DK22</f>
        <v>21</v>
      </c>
      <c r="AG323" s="107">
        <f>[2]KSI!DL22</f>
        <v>24</v>
      </c>
      <c r="AH323" s="107">
        <f>[2]KSI!DM22</f>
        <v>25</v>
      </c>
      <c r="AI323" s="107">
        <f>[2]KSI!DN22</f>
        <v>20</v>
      </c>
      <c r="AJ323" s="107">
        <f>[2]KSI!DO22</f>
        <v>22</v>
      </c>
      <c r="AK323" s="107">
        <f>[2]KSI!DP22</f>
        <v>21</v>
      </c>
      <c r="AL323" s="107">
        <f>[2]KSI!DQ22</f>
        <v>27</v>
      </c>
      <c r="AM323" s="107">
        <f>[2]KSI!DR22</f>
        <v>21</v>
      </c>
      <c r="AN323" s="107">
        <f>[2]KSI!DS22</f>
        <v>26</v>
      </c>
      <c r="AO323" s="107">
        <f>[2]KSI!DT22</f>
        <v>27</v>
      </c>
      <c r="AP323" s="107">
        <f>[2]KSI!DU22</f>
        <v>29</v>
      </c>
      <c r="AQ323" s="107">
        <f>[2]KSI!DV22</f>
        <v>21</v>
      </c>
      <c r="AR323" s="107">
        <f>[2]KSI!DW22</f>
        <v>43</v>
      </c>
      <c r="AS323" s="107">
        <f>[2]KSI!DX22</f>
        <v>29</v>
      </c>
      <c r="AT323" s="107">
        <f>[2]KSI!DY22</f>
        <v>34</v>
      </c>
      <c r="AU323" s="107">
        <f>[2]KSI!DZ22</f>
        <v>24</v>
      </c>
      <c r="AV323" s="107">
        <f>[2]KSI!EA22</f>
        <v>24</v>
      </c>
      <c r="AW323" s="107">
        <f>[2]KSI!EB22</f>
        <v>16</v>
      </c>
      <c r="AX323" s="107">
        <f>[2]KSI!EC22</f>
        <v>20</v>
      </c>
      <c r="AY323" s="107">
        <f>[2]KSI!ED22</f>
        <v>0</v>
      </c>
    </row>
    <row r="324" spans="3:51" x14ac:dyDescent="0.35">
      <c r="C324" s="365" t="s">
        <v>109</v>
      </c>
      <c r="D324" s="107">
        <f>[2]KSI!CI12</f>
        <v>0</v>
      </c>
      <c r="E324" s="107">
        <f>[2]KSI!CJ12</f>
        <v>0</v>
      </c>
      <c r="F324" s="107">
        <f>[2]KSI!CK12</f>
        <v>3</v>
      </c>
      <c r="G324" s="107">
        <f>[2]KSI!CL12</f>
        <v>4</v>
      </c>
      <c r="H324" s="107">
        <f>[2]KSI!CM12</f>
        <v>1</v>
      </c>
      <c r="I324" s="107">
        <f>[2]KSI!CN12</f>
        <v>1</v>
      </c>
      <c r="J324" s="107">
        <f>[2]KSI!CO12</f>
        <v>2</v>
      </c>
      <c r="K324" s="107">
        <f>[2]KSI!CP12</f>
        <v>1</v>
      </c>
      <c r="L324" s="107">
        <f>[2]KSI!CQ12</f>
        <v>2</v>
      </c>
      <c r="M324" s="107">
        <f>[2]KSI!CR12</f>
        <v>2</v>
      </c>
      <c r="N324" s="107">
        <f>[2]KSI!CS12</f>
        <v>1</v>
      </c>
      <c r="O324" s="107">
        <f>[2]KSI!CT12</f>
        <v>1</v>
      </c>
      <c r="P324" s="107">
        <f>[2]KSI!CU12</f>
        <v>1</v>
      </c>
      <c r="Q324" s="107">
        <f>[2]KSI!CV12</f>
        <v>2</v>
      </c>
      <c r="R324" s="107">
        <f>[2]KSI!CW12</f>
        <v>1</v>
      </c>
      <c r="S324" s="107">
        <f>[2]KSI!CX12</f>
        <v>3</v>
      </c>
      <c r="T324" s="107">
        <f>[2]KSI!CY12</f>
        <v>2</v>
      </c>
      <c r="U324" s="107">
        <f>[2]KSI!CZ12</f>
        <v>3</v>
      </c>
      <c r="V324" s="107">
        <f>[2]KSI!DA12</f>
        <v>1</v>
      </c>
      <c r="W324" s="107">
        <f>[2]KSI!DB12</f>
        <v>3</v>
      </c>
      <c r="X324" s="107">
        <f>[2]KSI!DC12</f>
        <v>0</v>
      </c>
      <c r="Y324" s="107">
        <f>[2]KSI!DD12</f>
        <v>2</v>
      </c>
      <c r="Z324" s="107">
        <f>[2]KSI!DE12</f>
        <v>1</v>
      </c>
      <c r="AA324" s="107">
        <f>[2]KSI!DF12</f>
        <v>0</v>
      </c>
      <c r="AB324" s="107">
        <f>[2]KSI!DG12</f>
        <v>4</v>
      </c>
      <c r="AC324" s="107">
        <f>[2]KSI!DH12</f>
        <v>2</v>
      </c>
      <c r="AD324" s="107">
        <f>[2]KSI!DI12</f>
        <v>3</v>
      </c>
      <c r="AE324" s="107">
        <f>[2]KSI!DJ12</f>
        <v>5</v>
      </c>
      <c r="AF324" s="107">
        <f>[2]KSI!DK12</f>
        <v>2</v>
      </c>
      <c r="AG324" s="107">
        <f>[2]KSI!DL12</f>
        <v>1</v>
      </c>
      <c r="AH324" s="107">
        <f>[2]KSI!DM12</f>
        <v>4</v>
      </c>
      <c r="AI324" s="107">
        <f>[2]KSI!DN12</f>
        <v>3</v>
      </c>
      <c r="AJ324" s="107">
        <f>[2]KSI!DO12</f>
        <v>2</v>
      </c>
      <c r="AK324" s="107">
        <f>[2]KSI!DP12</f>
        <v>3</v>
      </c>
      <c r="AL324" s="107">
        <f>[2]KSI!DQ12</f>
        <v>2</v>
      </c>
      <c r="AM324" s="107">
        <f>[2]KSI!DR12</f>
        <v>2</v>
      </c>
      <c r="AN324" s="107">
        <f>[2]KSI!DS12</f>
        <v>1</v>
      </c>
      <c r="AO324" s="107">
        <f>[2]KSI!DT12</f>
        <v>1</v>
      </c>
      <c r="AP324" s="107">
        <f>[2]KSI!DU12</f>
        <v>4</v>
      </c>
      <c r="AQ324" s="107">
        <f>[2]KSI!DV12</f>
        <v>1</v>
      </c>
      <c r="AR324" s="107">
        <f>[2]KSI!DW12</f>
        <v>4</v>
      </c>
      <c r="AS324" s="107">
        <f>[2]KSI!DX12</f>
        <v>4</v>
      </c>
      <c r="AT324" s="107">
        <f>[2]KSI!DY12</f>
        <v>3</v>
      </c>
      <c r="AU324" s="107">
        <f>[2]KSI!DZ12</f>
        <v>2</v>
      </c>
      <c r="AV324" s="107">
        <f>[2]KSI!EA12</f>
        <v>2</v>
      </c>
      <c r="AW324" s="107">
        <f>[2]KSI!EB12</f>
        <v>1</v>
      </c>
      <c r="AX324" s="107">
        <f>[2]KSI!EC12</f>
        <v>3</v>
      </c>
      <c r="AY324" s="107">
        <f>[2]KSI!ED12</f>
        <v>0</v>
      </c>
    </row>
    <row r="325" spans="3:51" x14ac:dyDescent="0.35">
      <c r="C325" s="365" t="s">
        <v>108</v>
      </c>
      <c r="D325" s="107">
        <f>[2]KSI!CI13</f>
        <v>17</v>
      </c>
      <c r="E325" s="107">
        <f>[2]KSI!CJ13</f>
        <v>7</v>
      </c>
      <c r="F325" s="107">
        <f>[2]KSI!CK13</f>
        <v>25</v>
      </c>
      <c r="G325" s="107">
        <f>[2]KSI!CL13</f>
        <v>29</v>
      </c>
      <c r="H325" s="107">
        <f>[2]KSI!CM13</f>
        <v>26</v>
      </c>
      <c r="I325" s="107">
        <f>[2]KSI!CN13</f>
        <v>18</v>
      </c>
      <c r="J325" s="107">
        <f>[2]KSI!CO13</f>
        <v>24</v>
      </c>
      <c r="K325" s="107">
        <f>[2]KSI!CP13</f>
        <v>19</v>
      </c>
      <c r="L325" s="107">
        <f>[2]KSI!CQ13</f>
        <v>19</v>
      </c>
      <c r="M325" s="107">
        <f>[2]KSI!CR13</f>
        <v>19</v>
      </c>
      <c r="N325" s="107">
        <f>[2]KSI!CS13</f>
        <v>16</v>
      </c>
      <c r="O325" s="107">
        <f>[2]KSI!CT13</f>
        <v>17</v>
      </c>
      <c r="P325" s="107">
        <f>[2]KSI!CU13</f>
        <v>17</v>
      </c>
      <c r="Q325" s="107">
        <f>[2]KSI!CV13</f>
        <v>20</v>
      </c>
      <c r="R325" s="107">
        <f>[2]KSI!CW13</f>
        <v>24</v>
      </c>
      <c r="S325" s="107">
        <f>[2]KSI!CX13</f>
        <v>18</v>
      </c>
      <c r="T325" s="107">
        <f>[2]KSI!CY13</f>
        <v>24</v>
      </c>
      <c r="U325" s="107">
        <f>[2]KSI!CZ13</f>
        <v>10</v>
      </c>
      <c r="V325" s="107">
        <f>[2]KSI!DA13</f>
        <v>23</v>
      </c>
      <c r="W325" s="107">
        <f>[2]KSI!DB13</f>
        <v>30</v>
      </c>
      <c r="X325" s="107">
        <f>[2]KSI!DC13</f>
        <v>21</v>
      </c>
      <c r="Y325" s="107">
        <f>[2]KSI!DD13</f>
        <v>27</v>
      </c>
      <c r="Z325" s="107">
        <f>[2]KSI!DE13</f>
        <v>27</v>
      </c>
      <c r="AA325" s="107">
        <f>[2]KSI!DF13</f>
        <v>12</v>
      </c>
      <c r="AB325" s="107">
        <f>[2]KSI!DG13</f>
        <v>17</v>
      </c>
      <c r="AC325" s="107">
        <f>[2]KSI!DH13</f>
        <v>26</v>
      </c>
      <c r="AD325" s="107">
        <f>[2]KSI!DI13</f>
        <v>23</v>
      </c>
      <c r="AE325" s="107">
        <f>[2]KSI!DJ13</f>
        <v>28</v>
      </c>
      <c r="AF325" s="107">
        <f>[2]KSI!DK13</f>
        <v>19</v>
      </c>
      <c r="AG325" s="107">
        <f>[2]KSI!DL13</f>
        <v>23</v>
      </c>
      <c r="AH325" s="107">
        <f>[2]KSI!DM13</f>
        <v>21</v>
      </c>
      <c r="AI325" s="107">
        <f>[2]KSI!DN13</f>
        <v>17</v>
      </c>
      <c r="AJ325" s="107">
        <f>[2]KSI!DO13</f>
        <v>20</v>
      </c>
      <c r="AK325" s="107">
        <f>[2]KSI!DP13</f>
        <v>18</v>
      </c>
      <c r="AL325" s="107">
        <f>[2]KSI!DQ13</f>
        <v>25</v>
      </c>
      <c r="AM325" s="107">
        <f>[2]KSI!DR13</f>
        <v>19</v>
      </c>
      <c r="AN325" s="107">
        <f>[2]KSI!DS13</f>
        <v>25</v>
      </c>
      <c r="AO325" s="107">
        <f>[2]KSI!DT13</f>
        <v>26</v>
      </c>
      <c r="AP325" s="107">
        <f>[2]KSI!DU13</f>
        <v>25</v>
      </c>
      <c r="AQ325" s="107">
        <f>[2]KSI!DV13</f>
        <v>20</v>
      </c>
      <c r="AR325" s="107">
        <f>[2]KSI!DW13</f>
        <v>39</v>
      </c>
      <c r="AS325" s="107">
        <f>[2]KSI!DX13</f>
        <v>25</v>
      </c>
      <c r="AT325" s="107">
        <f>[2]KSI!DY13</f>
        <v>31</v>
      </c>
      <c r="AU325" s="107">
        <f>[2]KSI!DZ13</f>
        <v>22</v>
      </c>
      <c r="AV325" s="107">
        <f>[2]KSI!EA13</f>
        <v>22</v>
      </c>
      <c r="AW325" s="107">
        <f>[2]KSI!EB13</f>
        <v>15</v>
      </c>
      <c r="AX325" s="107">
        <f>[2]KSI!EC13</f>
        <v>17</v>
      </c>
      <c r="AY325" s="107">
        <f>[2]KSI!ED13</f>
        <v>0</v>
      </c>
    </row>
    <row r="326" spans="3:51" x14ac:dyDescent="0.35">
      <c r="C326" s="365" t="s">
        <v>110</v>
      </c>
      <c r="D326" s="107">
        <f t="shared" ref="D326:D328" si="16">D314+D320</f>
        <v>9</v>
      </c>
      <c r="E326" s="107">
        <f t="shared" ref="E326:AY326" si="17">E314+E320</f>
        <v>2</v>
      </c>
      <c r="F326" s="107">
        <f t="shared" si="17"/>
        <v>14</v>
      </c>
      <c r="G326" s="107">
        <f t="shared" si="17"/>
        <v>17</v>
      </c>
      <c r="H326" s="107">
        <f t="shared" si="17"/>
        <v>11</v>
      </c>
      <c r="I326" s="107">
        <f t="shared" si="17"/>
        <v>13</v>
      </c>
      <c r="J326" s="107">
        <f t="shared" si="17"/>
        <v>7</v>
      </c>
      <c r="K326" s="107">
        <f t="shared" si="17"/>
        <v>6</v>
      </c>
      <c r="L326" s="107">
        <f t="shared" si="17"/>
        <v>9</v>
      </c>
      <c r="M326" s="107">
        <f t="shared" si="17"/>
        <v>9</v>
      </c>
      <c r="N326" s="107">
        <f t="shared" si="17"/>
        <v>11</v>
      </c>
      <c r="O326" s="107">
        <f t="shared" si="17"/>
        <v>7</v>
      </c>
      <c r="P326" s="107">
        <f t="shared" si="17"/>
        <v>7</v>
      </c>
      <c r="Q326" s="107">
        <f t="shared" si="17"/>
        <v>8</v>
      </c>
      <c r="R326" s="107">
        <f t="shared" si="17"/>
        <v>13</v>
      </c>
      <c r="S326" s="107">
        <f t="shared" si="17"/>
        <v>9</v>
      </c>
      <c r="T326" s="107">
        <f t="shared" si="17"/>
        <v>4</v>
      </c>
      <c r="U326" s="107">
        <f t="shared" si="17"/>
        <v>8</v>
      </c>
      <c r="V326" s="107">
        <f t="shared" si="17"/>
        <v>12</v>
      </c>
      <c r="W326" s="107">
        <f t="shared" si="17"/>
        <v>17</v>
      </c>
      <c r="X326" s="107">
        <f t="shared" si="17"/>
        <v>11</v>
      </c>
      <c r="Y326" s="107">
        <f t="shared" si="17"/>
        <v>12</v>
      </c>
      <c r="Z326" s="107">
        <f t="shared" si="17"/>
        <v>13</v>
      </c>
      <c r="AA326" s="107">
        <f t="shared" si="17"/>
        <v>0</v>
      </c>
      <c r="AB326" s="107">
        <f t="shared" si="17"/>
        <v>10</v>
      </c>
      <c r="AC326" s="107">
        <f t="shared" si="17"/>
        <v>10</v>
      </c>
      <c r="AD326" s="107">
        <f t="shared" si="17"/>
        <v>9</v>
      </c>
      <c r="AE326" s="107">
        <f t="shared" si="17"/>
        <v>17</v>
      </c>
      <c r="AF326" s="107">
        <f t="shared" si="17"/>
        <v>10</v>
      </c>
      <c r="AG326" s="107">
        <f t="shared" si="17"/>
        <v>6</v>
      </c>
      <c r="AH326" s="107">
        <f t="shared" si="17"/>
        <v>13</v>
      </c>
      <c r="AI326" s="107">
        <f t="shared" si="17"/>
        <v>6</v>
      </c>
      <c r="AJ326" s="107">
        <f t="shared" si="17"/>
        <v>11</v>
      </c>
      <c r="AK326" s="107">
        <f t="shared" si="17"/>
        <v>10</v>
      </c>
      <c r="AL326" s="107">
        <f t="shared" si="17"/>
        <v>6</v>
      </c>
      <c r="AM326" s="107">
        <f t="shared" si="17"/>
        <v>6</v>
      </c>
      <c r="AN326" s="107">
        <f t="shared" si="17"/>
        <v>10</v>
      </c>
      <c r="AO326" s="107">
        <f t="shared" si="17"/>
        <v>13</v>
      </c>
      <c r="AP326" s="107">
        <f t="shared" si="17"/>
        <v>10</v>
      </c>
      <c r="AQ326" s="107">
        <f t="shared" si="17"/>
        <v>11</v>
      </c>
      <c r="AR326" s="107">
        <f t="shared" si="17"/>
        <v>17</v>
      </c>
      <c r="AS326" s="107">
        <f t="shared" si="17"/>
        <v>12</v>
      </c>
      <c r="AT326" s="107">
        <f t="shared" si="17"/>
        <v>22</v>
      </c>
      <c r="AU326" s="107">
        <f t="shared" si="17"/>
        <v>12</v>
      </c>
      <c r="AV326" s="107">
        <f t="shared" si="17"/>
        <v>12</v>
      </c>
      <c r="AW326" s="107">
        <f t="shared" si="17"/>
        <v>7</v>
      </c>
      <c r="AX326" s="107">
        <f t="shared" si="17"/>
        <v>9</v>
      </c>
      <c r="AY326" s="107">
        <f t="shared" si="17"/>
        <v>0</v>
      </c>
    </row>
    <row r="327" spans="3:51" x14ac:dyDescent="0.35">
      <c r="C327" s="365" t="s">
        <v>111</v>
      </c>
      <c r="D327" s="107">
        <f t="shared" si="16"/>
        <v>0</v>
      </c>
      <c r="E327" s="107">
        <f t="shared" ref="E327:AY327" si="18">E315+E321</f>
        <v>0</v>
      </c>
      <c r="F327" s="107">
        <f t="shared" si="18"/>
        <v>1</v>
      </c>
      <c r="G327" s="107">
        <f t="shared" si="18"/>
        <v>3</v>
      </c>
      <c r="H327" s="107">
        <f t="shared" si="18"/>
        <v>0</v>
      </c>
      <c r="I327" s="107">
        <f t="shared" si="18"/>
        <v>1</v>
      </c>
      <c r="J327" s="107">
        <f t="shared" si="18"/>
        <v>0</v>
      </c>
      <c r="K327" s="107">
        <f t="shared" si="18"/>
        <v>1</v>
      </c>
      <c r="L327" s="107">
        <f t="shared" si="18"/>
        <v>1</v>
      </c>
      <c r="M327" s="107">
        <f t="shared" si="18"/>
        <v>0</v>
      </c>
      <c r="N327" s="107">
        <f t="shared" si="18"/>
        <v>0</v>
      </c>
      <c r="O327" s="107">
        <f t="shared" si="18"/>
        <v>0</v>
      </c>
      <c r="P327" s="107">
        <f t="shared" si="18"/>
        <v>1</v>
      </c>
      <c r="Q327" s="107">
        <f t="shared" si="18"/>
        <v>0</v>
      </c>
      <c r="R327" s="107">
        <f t="shared" si="18"/>
        <v>0</v>
      </c>
      <c r="S327" s="107">
        <f t="shared" si="18"/>
        <v>1</v>
      </c>
      <c r="T327" s="107">
        <f t="shared" si="18"/>
        <v>0</v>
      </c>
      <c r="U327" s="107">
        <f t="shared" si="18"/>
        <v>2</v>
      </c>
      <c r="V327" s="107">
        <f t="shared" si="18"/>
        <v>0</v>
      </c>
      <c r="W327" s="107">
        <f t="shared" si="18"/>
        <v>0</v>
      </c>
      <c r="X327" s="107">
        <f t="shared" si="18"/>
        <v>0</v>
      </c>
      <c r="Y327" s="107">
        <f t="shared" si="18"/>
        <v>2</v>
      </c>
      <c r="Z327" s="107">
        <f t="shared" si="18"/>
        <v>1</v>
      </c>
      <c r="AA327" s="107">
        <f t="shared" si="18"/>
        <v>0</v>
      </c>
      <c r="AB327" s="107">
        <f t="shared" si="18"/>
        <v>4</v>
      </c>
      <c r="AC327" s="107">
        <f t="shared" si="18"/>
        <v>1</v>
      </c>
      <c r="AD327" s="107">
        <f t="shared" si="18"/>
        <v>2</v>
      </c>
      <c r="AE327" s="107">
        <f t="shared" si="18"/>
        <v>2</v>
      </c>
      <c r="AF327" s="107">
        <f t="shared" si="18"/>
        <v>0</v>
      </c>
      <c r="AG327" s="107">
        <f t="shared" si="18"/>
        <v>0</v>
      </c>
      <c r="AH327" s="107">
        <f t="shared" si="18"/>
        <v>4</v>
      </c>
      <c r="AI327" s="107">
        <f t="shared" si="18"/>
        <v>1</v>
      </c>
      <c r="AJ327" s="107">
        <f t="shared" si="18"/>
        <v>1</v>
      </c>
      <c r="AK327" s="107">
        <f t="shared" si="18"/>
        <v>2</v>
      </c>
      <c r="AL327" s="107">
        <f t="shared" si="18"/>
        <v>0</v>
      </c>
      <c r="AM327" s="107">
        <f t="shared" si="18"/>
        <v>1</v>
      </c>
      <c r="AN327" s="107">
        <f t="shared" si="18"/>
        <v>0</v>
      </c>
      <c r="AO327" s="107">
        <f t="shared" si="18"/>
        <v>1</v>
      </c>
      <c r="AP327" s="107">
        <f t="shared" si="18"/>
        <v>0</v>
      </c>
      <c r="AQ327" s="107">
        <f t="shared" si="18"/>
        <v>0</v>
      </c>
      <c r="AR327" s="107">
        <f t="shared" si="18"/>
        <v>1</v>
      </c>
      <c r="AS327" s="107">
        <f t="shared" si="18"/>
        <v>2</v>
      </c>
      <c r="AT327" s="107">
        <f t="shared" si="18"/>
        <v>1</v>
      </c>
      <c r="AU327" s="107">
        <f t="shared" si="18"/>
        <v>2</v>
      </c>
      <c r="AV327" s="107">
        <f t="shared" si="18"/>
        <v>2</v>
      </c>
      <c r="AW327" s="107">
        <f t="shared" si="18"/>
        <v>0</v>
      </c>
      <c r="AX327" s="107">
        <f t="shared" si="18"/>
        <v>0</v>
      </c>
      <c r="AY327" s="107">
        <f t="shared" si="18"/>
        <v>0</v>
      </c>
    </row>
    <row r="328" spans="3:51" x14ac:dyDescent="0.35">
      <c r="C328" s="365" t="s">
        <v>112</v>
      </c>
      <c r="D328" s="107">
        <f t="shared" si="16"/>
        <v>9</v>
      </c>
      <c r="E328" s="107">
        <f t="shared" ref="E328:AY328" si="19">E316+E322</f>
        <v>2</v>
      </c>
      <c r="F328" s="107">
        <f t="shared" si="19"/>
        <v>13</v>
      </c>
      <c r="G328" s="107">
        <f t="shared" si="19"/>
        <v>14</v>
      </c>
      <c r="H328" s="107">
        <f t="shared" si="19"/>
        <v>11</v>
      </c>
      <c r="I328" s="107">
        <f t="shared" si="19"/>
        <v>12</v>
      </c>
      <c r="J328" s="107">
        <f t="shared" si="19"/>
        <v>7</v>
      </c>
      <c r="K328" s="107">
        <f t="shared" si="19"/>
        <v>5</v>
      </c>
      <c r="L328" s="107">
        <f t="shared" si="19"/>
        <v>8</v>
      </c>
      <c r="M328" s="107">
        <f t="shared" si="19"/>
        <v>9</v>
      </c>
      <c r="N328" s="107">
        <f t="shared" si="19"/>
        <v>11</v>
      </c>
      <c r="O328" s="107">
        <f t="shared" si="19"/>
        <v>7</v>
      </c>
      <c r="P328" s="107">
        <f t="shared" si="19"/>
        <v>6</v>
      </c>
      <c r="Q328" s="107">
        <f t="shared" si="19"/>
        <v>8</v>
      </c>
      <c r="R328" s="107">
        <f t="shared" si="19"/>
        <v>13</v>
      </c>
      <c r="S328" s="107">
        <f t="shared" si="19"/>
        <v>8</v>
      </c>
      <c r="T328" s="107">
        <f t="shared" si="19"/>
        <v>4</v>
      </c>
      <c r="U328" s="107">
        <f t="shared" si="19"/>
        <v>6</v>
      </c>
      <c r="V328" s="107">
        <f t="shared" si="19"/>
        <v>12</v>
      </c>
      <c r="W328" s="107">
        <f t="shared" si="19"/>
        <v>17</v>
      </c>
      <c r="X328" s="107">
        <f t="shared" si="19"/>
        <v>11</v>
      </c>
      <c r="Y328" s="107">
        <f t="shared" si="19"/>
        <v>10</v>
      </c>
      <c r="Z328" s="107">
        <f t="shared" si="19"/>
        <v>12</v>
      </c>
      <c r="AA328" s="107">
        <f t="shared" si="19"/>
        <v>0</v>
      </c>
      <c r="AB328" s="107">
        <f t="shared" si="19"/>
        <v>6</v>
      </c>
      <c r="AC328" s="107">
        <f t="shared" si="19"/>
        <v>9</v>
      </c>
      <c r="AD328" s="107">
        <f t="shared" si="19"/>
        <v>7</v>
      </c>
      <c r="AE328" s="107">
        <f t="shared" si="19"/>
        <v>15</v>
      </c>
      <c r="AF328" s="107">
        <f t="shared" si="19"/>
        <v>10</v>
      </c>
      <c r="AG328" s="107">
        <f t="shared" si="19"/>
        <v>6</v>
      </c>
      <c r="AH328" s="107">
        <f t="shared" si="19"/>
        <v>9</v>
      </c>
      <c r="AI328" s="107">
        <f t="shared" si="19"/>
        <v>5</v>
      </c>
      <c r="AJ328" s="107">
        <f t="shared" si="19"/>
        <v>10</v>
      </c>
      <c r="AK328" s="107">
        <f t="shared" si="19"/>
        <v>8</v>
      </c>
      <c r="AL328" s="107">
        <f t="shared" si="19"/>
        <v>6</v>
      </c>
      <c r="AM328" s="107">
        <f t="shared" si="19"/>
        <v>5</v>
      </c>
      <c r="AN328" s="107">
        <f t="shared" si="19"/>
        <v>10</v>
      </c>
      <c r="AO328" s="107">
        <f t="shared" si="19"/>
        <v>12</v>
      </c>
      <c r="AP328" s="107">
        <f t="shared" si="19"/>
        <v>10</v>
      </c>
      <c r="AQ328" s="107">
        <f t="shared" si="19"/>
        <v>11</v>
      </c>
      <c r="AR328" s="107">
        <f t="shared" si="19"/>
        <v>16</v>
      </c>
      <c r="AS328" s="107">
        <f t="shared" si="19"/>
        <v>10</v>
      </c>
      <c r="AT328" s="107">
        <f t="shared" si="19"/>
        <v>21</v>
      </c>
      <c r="AU328" s="107">
        <f t="shared" si="19"/>
        <v>10</v>
      </c>
      <c r="AV328" s="107">
        <f t="shared" si="19"/>
        <v>10</v>
      </c>
      <c r="AW328" s="107">
        <f t="shared" si="19"/>
        <v>7</v>
      </c>
      <c r="AX328" s="107">
        <f t="shared" si="19"/>
        <v>9</v>
      </c>
      <c r="AY328" s="107">
        <f t="shared" si="19"/>
        <v>0</v>
      </c>
    </row>
    <row r="329" spans="3:51" s="36" customFormat="1" x14ac:dyDescent="0.35"/>
    <row r="330" spans="3:51" s="36" customFormat="1" x14ac:dyDescent="0.35"/>
    <row r="331" spans="3:51" s="36" customFormat="1" x14ac:dyDescent="0.35">
      <c r="C331" s="366" t="s">
        <v>113</v>
      </c>
    </row>
    <row r="332" spans="3:51" s="36" customFormat="1" x14ac:dyDescent="0.35">
      <c r="C332" s="367" t="s">
        <v>56</v>
      </c>
      <c r="D332" s="39">
        <v>44287</v>
      </c>
      <c r="E332" s="39">
        <v>44317</v>
      </c>
      <c r="F332" s="39">
        <v>44348</v>
      </c>
      <c r="G332" s="39">
        <v>44378</v>
      </c>
      <c r="H332" s="39">
        <v>44409</v>
      </c>
      <c r="I332" s="39">
        <v>44440</v>
      </c>
      <c r="J332" s="39">
        <v>44470</v>
      </c>
      <c r="K332" s="39">
        <v>44501</v>
      </c>
      <c r="L332" s="39">
        <v>44531</v>
      </c>
      <c r="M332" s="39">
        <v>44562</v>
      </c>
      <c r="N332" s="39">
        <v>44593</v>
      </c>
      <c r="O332" s="39">
        <v>44621</v>
      </c>
      <c r="P332" s="39">
        <v>44652</v>
      </c>
      <c r="Q332" s="39">
        <v>44682</v>
      </c>
      <c r="R332" s="39">
        <v>44713</v>
      </c>
      <c r="S332" s="39">
        <v>44743</v>
      </c>
      <c r="T332" s="39">
        <v>44774</v>
      </c>
      <c r="U332" s="39">
        <v>44805</v>
      </c>
      <c r="V332" s="39">
        <v>44835</v>
      </c>
      <c r="W332" s="39">
        <v>44866</v>
      </c>
      <c r="X332" s="39">
        <v>44896</v>
      </c>
      <c r="Y332" s="39">
        <v>44927</v>
      </c>
      <c r="Z332" s="39">
        <v>44958</v>
      </c>
      <c r="AA332" s="39">
        <v>44986</v>
      </c>
      <c r="AB332" s="39">
        <v>45017</v>
      </c>
      <c r="AC332" s="39">
        <v>45047</v>
      </c>
      <c r="AD332" s="39">
        <v>45078</v>
      </c>
      <c r="AE332" s="39">
        <v>45108</v>
      </c>
      <c r="AF332" s="39">
        <v>45139</v>
      </c>
      <c r="AG332" s="39">
        <v>45170</v>
      </c>
      <c r="AH332" s="39">
        <v>45200</v>
      </c>
      <c r="AI332" s="39">
        <v>45231</v>
      </c>
      <c r="AJ332" s="39">
        <v>45261</v>
      </c>
      <c r="AK332" s="39">
        <v>45292</v>
      </c>
      <c r="AL332" s="39">
        <v>45323</v>
      </c>
      <c r="AM332" s="39">
        <v>45352</v>
      </c>
      <c r="AN332" s="39">
        <v>45383</v>
      </c>
      <c r="AO332" s="39">
        <v>45413</v>
      </c>
      <c r="AP332" s="39">
        <v>45444</v>
      </c>
      <c r="AQ332" s="39">
        <v>45474</v>
      </c>
      <c r="AR332" s="39">
        <v>45505</v>
      </c>
      <c r="AS332" s="39">
        <v>45536</v>
      </c>
      <c r="AT332" s="39">
        <v>45566</v>
      </c>
      <c r="AU332" s="39">
        <v>45597</v>
      </c>
      <c r="AV332" s="39">
        <v>45627</v>
      </c>
      <c r="AW332" s="39">
        <v>45658</v>
      </c>
      <c r="AX332" s="39">
        <v>45689</v>
      </c>
      <c r="AY332" s="39">
        <v>45717</v>
      </c>
    </row>
    <row r="333" spans="3:51" x14ac:dyDescent="0.35">
      <c r="C333" s="368" t="s">
        <v>114</v>
      </c>
      <c r="D333" s="35">
        <f>[2]DSF!DI2</f>
        <v>2</v>
      </c>
      <c r="E333" s="35">
        <f>[2]DSF!DJ2</f>
        <v>1</v>
      </c>
      <c r="F333" s="35">
        <f>[2]DSF!DK2</f>
        <v>1</v>
      </c>
      <c r="G333" s="35">
        <f>[2]DSF!DL2</f>
        <v>0</v>
      </c>
      <c r="H333" s="35">
        <f>[2]DSF!DM2</f>
        <v>0</v>
      </c>
      <c r="I333" s="35">
        <f>[2]DSF!DN2</f>
        <v>0</v>
      </c>
      <c r="J333" s="35">
        <f>[2]DSF!DO2</f>
        <v>0</v>
      </c>
      <c r="K333" s="35">
        <f>[2]DSF!DP2</f>
        <v>0</v>
      </c>
      <c r="L333" s="35">
        <f>[2]DSF!DQ2</f>
        <v>0</v>
      </c>
      <c r="M333" s="35">
        <f>[2]DSF!DR2</f>
        <v>0</v>
      </c>
      <c r="N333" s="35">
        <f>[2]DSF!DS2</f>
        <v>0</v>
      </c>
      <c r="O333" s="35">
        <f>[2]DSF!DT2</f>
        <v>0</v>
      </c>
      <c r="P333" s="35">
        <f>[2]DSF!DU2</f>
        <v>0</v>
      </c>
      <c r="Q333" s="35">
        <f>[2]DSF!DV2</f>
        <v>1</v>
      </c>
      <c r="R333" s="35">
        <f>[2]DSF!DW2</f>
        <v>0</v>
      </c>
      <c r="S333" s="35">
        <f>[2]DSF!DX2</f>
        <v>2</v>
      </c>
      <c r="T333" s="35">
        <f>[2]DSF!DY2</f>
        <v>3</v>
      </c>
      <c r="U333" s="35">
        <f>[2]DSF!DZ2</f>
        <v>1</v>
      </c>
      <c r="V333" s="35">
        <f>[2]DSF!EA2</f>
        <v>1</v>
      </c>
      <c r="W333" s="35">
        <f>[2]DSF!EB2</f>
        <v>0</v>
      </c>
      <c r="X333" s="35">
        <f>[2]DSF!EC2</f>
        <v>0</v>
      </c>
      <c r="Y333" s="35">
        <f>[2]DSF!ED2</f>
        <v>0</v>
      </c>
      <c r="Z333" s="35">
        <f>[2]DSF!EE2</f>
        <v>0</v>
      </c>
      <c r="AA333" s="35">
        <f>[2]DSF!EF2</f>
        <v>0</v>
      </c>
      <c r="AB333" s="35">
        <f>[2]DSF!EG2</f>
        <v>2</v>
      </c>
      <c r="AC333" s="35">
        <f>[2]DSF!EH2</f>
        <v>0</v>
      </c>
      <c r="AD333" s="35">
        <f>[2]DSF!EI2</f>
        <v>0</v>
      </c>
      <c r="AE333" s="35">
        <f>[2]DSF!EJ2</f>
        <v>0</v>
      </c>
      <c r="AF333" s="35">
        <f>[2]DSF!EK2</f>
        <v>1</v>
      </c>
      <c r="AG333" s="35">
        <f>[2]DSF!EL2</f>
        <v>1</v>
      </c>
      <c r="AH333" s="35">
        <f>[2]DSF!EM2</f>
        <v>0</v>
      </c>
      <c r="AI333" s="35">
        <f>[2]DSF!EN2</f>
        <v>0</v>
      </c>
      <c r="AJ333" s="35">
        <f>[2]DSF!EO2</f>
        <v>1</v>
      </c>
      <c r="AK333" s="35">
        <f>[2]DSF!EP2</f>
        <v>1</v>
      </c>
      <c r="AL333" s="35">
        <f>[2]DSF!EQ2</f>
        <v>0</v>
      </c>
      <c r="AM333" s="35">
        <f>[2]DSF!ER2</f>
        <v>0</v>
      </c>
      <c r="AN333" s="35">
        <f>[2]DSF!ES2</f>
        <v>0</v>
      </c>
      <c r="AO333" s="35">
        <f>[2]DSF!ET2</f>
        <v>1</v>
      </c>
      <c r="AP333" s="35">
        <f>[2]DSF!EU2</f>
        <v>4</v>
      </c>
      <c r="AQ333" s="35">
        <f>[2]DSF!EV2</f>
        <v>1</v>
      </c>
      <c r="AR333" s="35">
        <f>[2]DSF!EW2</f>
        <v>1</v>
      </c>
      <c r="AS333" s="35">
        <f>[2]DSF!EX2</f>
        <v>0</v>
      </c>
      <c r="AT333" s="35">
        <f>[2]DSF!EY2</f>
        <v>1</v>
      </c>
      <c r="AU333" s="35">
        <f>[2]DSF!EZ2</f>
        <v>0</v>
      </c>
      <c r="AV333" s="35">
        <f>[2]DSF!FA2</f>
        <v>2</v>
      </c>
      <c r="AW333" s="35">
        <f>[2]DSF!FB2</f>
        <v>2</v>
      </c>
      <c r="AX333" s="35">
        <f>[2]DSF!FC2</f>
        <v>2</v>
      </c>
      <c r="AY333" s="35">
        <f>[2]DSF!FD2</f>
        <v>1</v>
      </c>
    </row>
    <row r="334" spans="3:51" x14ac:dyDescent="0.35">
      <c r="C334" s="368" t="s">
        <v>61</v>
      </c>
      <c r="D334" s="35">
        <f>[2]DSF!DI3</f>
        <v>2</v>
      </c>
      <c r="E334" s="35">
        <f>[2]DSF!DJ3</f>
        <v>1</v>
      </c>
      <c r="F334" s="35">
        <f>[2]DSF!DK3</f>
        <v>1</v>
      </c>
      <c r="G334" s="35">
        <f>[2]DSF!DL3</f>
        <v>0</v>
      </c>
      <c r="H334" s="35">
        <f>[2]DSF!DM3</f>
        <v>2</v>
      </c>
      <c r="I334" s="35">
        <f>[2]DSF!DN3</f>
        <v>0</v>
      </c>
      <c r="J334" s="35">
        <f>[2]DSF!DO3</f>
        <v>0</v>
      </c>
      <c r="K334" s="35">
        <f>[2]DSF!DP3</f>
        <v>1</v>
      </c>
      <c r="L334" s="35">
        <f>[2]DSF!DQ3</f>
        <v>0</v>
      </c>
      <c r="M334" s="35">
        <f>[2]DSF!DR3</f>
        <v>1</v>
      </c>
      <c r="N334" s="35">
        <f>[2]DSF!DS3</f>
        <v>3</v>
      </c>
      <c r="O334" s="35">
        <f>[2]DSF!DT3</f>
        <v>2</v>
      </c>
      <c r="P334" s="35">
        <f>[2]DSF!DU3</f>
        <v>8</v>
      </c>
      <c r="Q334" s="35">
        <f>[2]DSF!DV3</f>
        <v>10</v>
      </c>
      <c r="R334" s="35">
        <f>[2]DSF!DW3</f>
        <v>5</v>
      </c>
      <c r="S334" s="35">
        <f>[2]DSF!DX3</f>
        <v>5</v>
      </c>
      <c r="T334" s="35">
        <f>[2]DSF!DY3</f>
        <v>13</v>
      </c>
      <c r="U334" s="35">
        <f>[2]DSF!DZ3</f>
        <v>7</v>
      </c>
      <c r="V334" s="35">
        <f>[2]DSF!EA3</f>
        <v>2</v>
      </c>
      <c r="W334" s="35">
        <f>[2]DSF!EB3</f>
        <v>0</v>
      </c>
      <c r="X334" s="35">
        <f>[2]DSF!EC3</f>
        <v>0</v>
      </c>
      <c r="Y334" s="35">
        <f>[2]DSF!ED3</f>
        <v>2</v>
      </c>
      <c r="Z334" s="35">
        <f>[2]DSF!EE3</f>
        <v>3</v>
      </c>
      <c r="AA334" s="35">
        <f>[2]DSF!EF3</f>
        <v>2</v>
      </c>
      <c r="AB334" s="35">
        <f>[2]DSF!EG3</f>
        <v>6</v>
      </c>
      <c r="AC334" s="35">
        <f>[2]DSF!EH3</f>
        <v>2</v>
      </c>
      <c r="AD334" s="35">
        <f>[2]DSF!EI3</f>
        <v>6</v>
      </c>
      <c r="AE334" s="35">
        <f>[2]DSF!EJ3</f>
        <v>0</v>
      </c>
      <c r="AF334" s="35">
        <f>[2]DSF!EK3</f>
        <v>5</v>
      </c>
      <c r="AG334" s="35">
        <f>[2]DSF!EL3</f>
        <v>1</v>
      </c>
      <c r="AH334" s="35">
        <f>[2]DSF!EM3</f>
        <v>3</v>
      </c>
      <c r="AI334" s="35">
        <f>[2]DSF!EN3</f>
        <v>1</v>
      </c>
      <c r="AJ334" s="35">
        <f>[2]DSF!EO3</f>
        <v>0</v>
      </c>
      <c r="AK334" s="35">
        <f>[2]DSF!EP3</f>
        <v>1</v>
      </c>
      <c r="AL334" s="35">
        <f>[2]DSF!EQ3</f>
        <v>1</v>
      </c>
      <c r="AM334" s="35">
        <f>[2]DSF!ER3</f>
        <v>0</v>
      </c>
      <c r="AN334" s="35">
        <f>[2]DSF!ES3</f>
        <v>1</v>
      </c>
      <c r="AO334" s="35">
        <f>[2]DSF!ET3</f>
        <v>3</v>
      </c>
      <c r="AP334" s="35">
        <f>[2]DSF!EU3</f>
        <v>8</v>
      </c>
      <c r="AQ334" s="35">
        <f>[2]DSF!EV3</f>
        <v>2</v>
      </c>
      <c r="AR334" s="35">
        <f>[2]DSF!EW3</f>
        <v>6</v>
      </c>
      <c r="AS334" s="35">
        <f>[2]DSF!EX3</f>
        <v>2</v>
      </c>
      <c r="AT334" s="35">
        <f>[2]DSF!EY3</f>
        <v>3</v>
      </c>
      <c r="AU334" s="35">
        <f>[2]DSF!EZ3</f>
        <v>1</v>
      </c>
      <c r="AV334" s="35">
        <f>[2]DSF!FA3</f>
        <v>1</v>
      </c>
      <c r="AW334" s="35">
        <f>[2]DSF!FB3</f>
        <v>2</v>
      </c>
      <c r="AX334" s="35">
        <f>[2]DSF!FC3</f>
        <v>3</v>
      </c>
      <c r="AY334" s="35">
        <f>[2]DSF!FD3</f>
        <v>3</v>
      </c>
    </row>
    <row r="335" spans="3:51" x14ac:dyDescent="0.35">
      <c r="C335" s="368" t="s">
        <v>58</v>
      </c>
      <c r="D335" s="35">
        <f>[2]DSF!DI4</f>
        <v>19</v>
      </c>
      <c r="E335" s="35">
        <f>[2]DSF!DJ4</f>
        <v>10</v>
      </c>
      <c r="F335" s="35">
        <f>[2]DSF!DK4</f>
        <v>8</v>
      </c>
      <c r="G335" s="35">
        <f>[2]DSF!DL4</f>
        <v>7</v>
      </c>
      <c r="H335" s="35">
        <f>[2]DSF!DM4</f>
        <v>5</v>
      </c>
      <c r="I335" s="35">
        <f>[2]DSF!DN4</f>
        <v>6</v>
      </c>
      <c r="J335" s="35">
        <f>[2]DSF!DO4</f>
        <v>6</v>
      </c>
      <c r="K335" s="35">
        <f>[2]DSF!DP4</f>
        <v>14</v>
      </c>
      <c r="L335" s="35">
        <f>[2]DSF!DQ4</f>
        <v>3</v>
      </c>
      <c r="M335" s="35">
        <f>[2]DSF!DR4</f>
        <v>1</v>
      </c>
      <c r="N335" s="35">
        <f>[2]DSF!DS4</f>
        <v>5</v>
      </c>
      <c r="O335" s="35">
        <f>[2]DSF!DT4</f>
        <v>18</v>
      </c>
      <c r="P335" s="35">
        <f>[2]DSF!DU4</f>
        <v>20</v>
      </c>
      <c r="Q335" s="35">
        <f>[2]DSF!DV4</f>
        <v>8</v>
      </c>
      <c r="R335" s="35">
        <f>[2]DSF!DW4</f>
        <v>21</v>
      </c>
      <c r="S335" s="35">
        <f>[2]DSF!DX4</f>
        <v>25</v>
      </c>
      <c r="T335" s="35">
        <f>[2]DSF!DY4</f>
        <v>31</v>
      </c>
      <c r="U335" s="35">
        <f>[2]DSF!DZ4</f>
        <v>17</v>
      </c>
      <c r="V335" s="35">
        <f>[2]DSF!EA4</f>
        <v>8</v>
      </c>
      <c r="W335" s="35">
        <f>[2]DSF!EB4</f>
        <v>6</v>
      </c>
      <c r="X335" s="35">
        <f>[2]DSF!EC4</f>
        <v>6</v>
      </c>
      <c r="Y335" s="35">
        <f>[2]DSF!ED4</f>
        <v>7</v>
      </c>
      <c r="Z335" s="35">
        <f>[2]DSF!EE4</f>
        <v>12</v>
      </c>
      <c r="AA335" s="35">
        <f>[2]DSF!EF4</f>
        <v>6</v>
      </c>
      <c r="AB335" s="35">
        <f>[2]DSF!EG4</f>
        <v>9</v>
      </c>
      <c r="AC335" s="35">
        <f>[2]DSF!EH4</f>
        <v>14</v>
      </c>
      <c r="AD335" s="35">
        <f>[2]DSF!EI4</f>
        <v>16</v>
      </c>
      <c r="AE335" s="35">
        <f>[2]DSF!EJ4</f>
        <v>12</v>
      </c>
      <c r="AF335" s="35">
        <f>[2]DSF!EK4</f>
        <v>5</v>
      </c>
      <c r="AG335" s="35">
        <f>[2]DSF!EL4</f>
        <v>5</v>
      </c>
      <c r="AH335" s="35">
        <f>[2]DSF!EM4</f>
        <v>14</v>
      </c>
      <c r="AI335" s="35">
        <f>[2]DSF!EN4</f>
        <v>5</v>
      </c>
      <c r="AJ335" s="35">
        <f>[2]DSF!EO4</f>
        <v>1</v>
      </c>
      <c r="AK335" s="35">
        <f>[2]DSF!EP4</f>
        <v>6</v>
      </c>
      <c r="AL335" s="35">
        <f>[2]DSF!EQ4</f>
        <v>5</v>
      </c>
      <c r="AM335" s="35">
        <f>[2]DSF!ER4</f>
        <v>12</v>
      </c>
      <c r="AN335" s="35">
        <f>[2]DSF!ES4</f>
        <v>8</v>
      </c>
      <c r="AO335" s="35">
        <f>[2]DSF!ET4</f>
        <v>4</v>
      </c>
      <c r="AP335" s="35">
        <f>[2]DSF!EU4</f>
        <v>5</v>
      </c>
      <c r="AQ335" s="35">
        <f>[2]DSF!EV4</f>
        <v>15</v>
      </c>
      <c r="AR335" s="35">
        <f>[2]DSF!EW4</f>
        <v>14</v>
      </c>
      <c r="AS335" s="35">
        <f>[2]DSF!EX4</f>
        <v>9</v>
      </c>
      <c r="AT335" s="35">
        <f>[2]DSF!EY4</f>
        <v>7</v>
      </c>
      <c r="AU335" s="35">
        <f>[2]DSF!EZ4</f>
        <v>3</v>
      </c>
      <c r="AV335" s="35">
        <f>[2]DSF!FA4</f>
        <v>1</v>
      </c>
      <c r="AW335" s="35">
        <f>[2]DSF!FB4</f>
        <v>3</v>
      </c>
      <c r="AX335" s="35">
        <f>[2]DSF!FC4</f>
        <v>4</v>
      </c>
      <c r="AY335" s="35">
        <f>[2]DSF!FD4</f>
        <v>4</v>
      </c>
    </row>
    <row r="336" spans="3:51" x14ac:dyDescent="0.35">
      <c r="C336" s="368" t="s">
        <v>115</v>
      </c>
      <c r="D336" s="35">
        <f>[2]DSF!DI5</f>
        <v>7</v>
      </c>
      <c r="E336" s="35">
        <f>[2]DSF!DJ5</f>
        <v>2</v>
      </c>
      <c r="F336" s="35">
        <f>[2]DSF!DK5</f>
        <v>4</v>
      </c>
      <c r="G336" s="35">
        <f>[2]DSF!DL5</f>
        <v>1</v>
      </c>
      <c r="H336" s="35">
        <f>[2]DSF!DM5</f>
        <v>0</v>
      </c>
      <c r="I336" s="35">
        <f>[2]DSF!DN5</f>
        <v>0</v>
      </c>
      <c r="J336" s="35">
        <f>[2]DSF!DO5</f>
        <v>1</v>
      </c>
      <c r="K336" s="35">
        <f>[2]DSF!DP5</f>
        <v>2</v>
      </c>
      <c r="L336" s="35">
        <f>[2]DSF!DQ5</f>
        <v>1</v>
      </c>
      <c r="M336" s="35">
        <f>[2]DSF!DR5</f>
        <v>2</v>
      </c>
      <c r="N336" s="35">
        <f>[2]DSF!DS5</f>
        <v>2</v>
      </c>
      <c r="O336" s="35">
        <f>[2]DSF!DT5</f>
        <v>3</v>
      </c>
      <c r="P336" s="35">
        <f>[2]DSF!DU5</f>
        <v>6</v>
      </c>
      <c r="Q336" s="35">
        <f>[2]DSF!DV5</f>
        <v>4</v>
      </c>
      <c r="R336" s="35">
        <f>[2]DSF!DW5</f>
        <v>1</v>
      </c>
      <c r="S336" s="35">
        <f>[2]DSF!DX5</f>
        <v>9</v>
      </c>
      <c r="T336" s="35">
        <f>[2]DSF!DY5</f>
        <v>8</v>
      </c>
      <c r="U336" s="35">
        <f>[2]DSF!DZ5</f>
        <v>4</v>
      </c>
      <c r="V336" s="35">
        <f>[2]DSF!EA5</f>
        <v>0</v>
      </c>
      <c r="W336" s="35">
        <f>[2]DSF!EB5</f>
        <v>2</v>
      </c>
      <c r="X336" s="35">
        <f>[2]DSF!EC5</f>
        <v>0</v>
      </c>
      <c r="Y336" s="35">
        <f>[2]DSF!ED5</f>
        <v>3</v>
      </c>
      <c r="Z336" s="35">
        <f>[2]DSF!EE5</f>
        <v>0</v>
      </c>
      <c r="AA336" s="35">
        <f>[2]DSF!EF5</f>
        <v>2</v>
      </c>
      <c r="AB336" s="35">
        <f>[2]DSF!EG5</f>
        <v>5</v>
      </c>
      <c r="AC336" s="35">
        <f>[2]DSF!EH5</f>
        <v>1</v>
      </c>
      <c r="AD336" s="35">
        <f>[2]DSF!EI5</f>
        <v>3</v>
      </c>
      <c r="AE336" s="35">
        <f>[2]DSF!EJ5</f>
        <v>5</v>
      </c>
      <c r="AF336" s="35">
        <f>[2]DSF!EK5</f>
        <v>2</v>
      </c>
      <c r="AG336" s="35">
        <f>[2]DSF!EL5</f>
        <v>0</v>
      </c>
      <c r="AH336" s="35">
        <f>[2]DSF!EM5</f>
        <v>1</v>
      </c>
      <c r="AI336" s="35">
        <f>[2]DSF!EN5</f>
        <v>0</v>
      </c>
      <c r="AJ336" s="35">
        <f>[2]DSF!EO5</f>
        <v>1</v>
      </c>
      <c r="AK336" s="35">
        <f>[2]DSF!EP5</f>
        <v>0</v>
      </c>
      <c r="AL336" s="35">
        <f>[2]DSF!EQ5</f>
        <v>1</v>
      </c>
      <c r="AM336" s="35">
        <f>[2]DSF!ER5</f>
        <v>3</v>
      </c>
      <c r="AN336" s="35">
        <f>[2]DSF!ES5</f>
        <v>3</v>
      </c>
      <c r="AO336" s="35">
        <f>[2]DSF!ET5</f>
        <v>3</v>
      </c>
      <c r="AP336" s="35">
        <f>[2]DSF!EU5</f>
        <v>4</v>
      </c>
      <c r="AQ336" s="35">
        <f>[2]DSF!EV5</f>
        <v>2</v>
      </c>
      <c r="AR336" s="35">
        <f>[2]DSF!EW5</f>
        <v>6</v>
      </c>
      <c r="AS336" s="35">
        <f>[2]DSF!EX5</f>
        <v>1</v>
      </c>
      <c r="AT336" s="35">
        <f>[2]DSF!EY5</f>
        <v>5</v>
      </c>
      <c r="AU336" s="35">
        <f>[2]DSF!EZ5</f>
        <v>3</v>
      </c>
      <c r="AV336" s="35">
        <f>[2]DSF!FA5</f>
        <v>0</v>
      </c>
      <c r="AW336" s="35">
        <f>[2]DSF!FB5</f>
        <v>0</v>
      </c>
      <c r="AX336" s="35">
        <f>[2]DSF!FC5</f>
        <v>0</v>
      </c>
      <c r="AY336" s="35">
        <f>[2]DSF!FD5</f>
        <v>2</v>
      </c>
    </row>
    <row r="337" spans="3:51" x14ac:dyDescent="0.35">
      <c r="C337" s="368" t="s">
        <v>59</v>
      </c>
      <c r="D337" s="35">
        <f>[2]DSF!DI6</f>
        <v>6</v>
      </c>
      <c r="E337" s="35">
        <f>[2]DSF!DJ6</f>
        <v>3</v>
      </c>
      <c r="F337" s="35">
        <f>[2]DSF!DK6</f>
        <v>7</v>
      </c>
      <c r="G337" s="35">
        <f>[2]DSF!DL6</f>
        <v>3</v>
      </c>
      <c r="H337" s="35">
        <f>[2]DSF!DM6</f>
        <v>6</v>
      </c>
      <c r="I337" s="35">
        <f>[2]DSF!DN6</f>
        <v>1</v>
      </c>
      <c r="J337" s="35">
        <f>[2]DSF!DO6</f>
        <v>2</v>
      </c>
      <c r="K337" s="35">
        <f>[2]DSF!DP6</f>
        <v>0</v>
      </c>
      <c r="L337" s="35">
        <f>[2]DSF!DQ6</f>
        <v>0</v>
      </c>
      <c r="M337" s="35">
        <f>[2]DSF!DR6</f>
        <v>1</v>
      </c>
      <c r="N337" s="35">
        <f>[2]DSF!DS6</f>
        <v>1</v>
      </c>
      <c r="O337" s="35">
        <f>[2]DSF!DT6</f>
        <v>3</v>
      </c>
      <c r="P337" s="35">
        <f>[2]DSF!DU6</f>
        <v>11</v>
      </c>
      <c r="Q337" s="35">
        <f>[2]DSF!DV6</f>
        <v>4</v>
      </c>
      <c r="R337" s="35">
        <f>[2]DSF!DW6</f>
        <v>11</v>
      </c>
      <c r="S337" s="35">
        <f>[2]DSF!DX6</f>
        <v>14</v>
      </c>
      <c r="T337" s="35">
        <f>[2]DSF!DY6</f>
        <v>15</v>
      </c>
      <c r="U337" s="35">
        <f>[2]DSF!DZ6</f>
        <v>7</v>
      </c>
      <c r="V337" s="35">
        <f>[2]DSF!EA6</f>
        <v>6</v>
      </c>
      <c r="W337" s="35">
        <f>[2]DSF!EB6</f>
        <v>2</v>
      </c>
      <c r="X337" s="35">
        <f>[2]DSF!EC6</f>
        <v>0</v>
      </c>
      <c r="Y337" s="35">
        <f>[2]DSF!ED6</f>
        <v>3</v>
      </c>
      <c r="Z337" s="35">
        <f>[2]DSF!EE6</f>
        <v>1</v>
      </c>
      <c r="AA337" s="35">
        <f>[2]DSF!EF6</f>
        <v>1</v>
      </c>
      <c r="AB337" s="35">
        <f>[2]DSF!EG6</f>
        <v>5</v>
      </c>
      <c r="AC337" s="35">
        <f>[2]DSF!EH6</f>
        <v>8</v>
      </c>
      <c r="AD337" s="35">
        <f>[2]DSF!EI6</f>
        <v>2</v>
      </c>
      <c r="AE337" s="35">
        <f>[2]DSF!EJ6</f>
        <v>2</v>
      </c>
      <c r="AF337" s="35">
        <f>[2]DSF!EK6</f>
        <v>3</v>
      </c>
      <c r="AG337" s="35">
        <f>[2]DSF!EL6</f>
        <v>1</v>
      </c>
      <c r="AH337" s="35">
        <f>[2]DSF!EM6</f>
        <v>0</v>
      </c>
      <c r="AI337" s="35">
        <f>[2]DSF!EN6</f>
        <v>1</v>
      </c>
      <c r="AJ337" s="35">
        <f>[2]DSF!EO6</f>
        <v>5</v>
      </c>
      <c r="AK337" s="35">
        <f>[2]DSF!EP6</f>
        <v>3</v>
      </c>
      <c r="AL337" s="35">
        <f>[2]DSF!EQ6</f>
        <v>1</v>
      </c>
      <c r="AM337" s="35">
        <f>[2]DSF!ER6</f>
        <v>3</v>
      </c>
      <c r="AN337" s="35">
        <f>[2]DSF!ES6</f>
        <v>3</v>
      </c>
      <c r="AO337" s="35">
        <f>[2]DSF!ET6</f>
        <v>1</v>
      </c>
      <c r="AP337" s="35">
        <f>[2]DSF!EU6</f>
        <v>2</v>
      </c>
      <c r="AQ337" s="35">
        <f>[2]DSF!EV6</f>
        <v>2</v>
      </c>
      <c r="AR337" s="35">
        <f>[2]DSF!EW6</f>
        <v>7</v>
      </c>
      <c r="AS337" s="35">
        <f>[2]DSF!EX6</f>
        <v>1</v>
      </c>
      <c r="AT337" s="35">
        <f>[2]DSF!EY6</f>
        <v>3</v>
      </c>
      <c r="AU337" s="35">
        <f>[2]DSF!EZ6</f>
        <v>1</v>
      </c>
      <c r="AV337" s="35">
        <f>[2]DSF!FA6</f>
        <v>0</v>
      </c>
      <c r="AW337" s="35">
        <f>[2]DSF!FB6</f>
        <v>3</v>
      </c>
      <c r="AX337" s="35">
        <f>[2]DSF!FC6</f>
        <v>4</v>
      </c>
      <c r="AY337" s="35">
        <f>[2]DSF!FD6</f>
        <v>4</v>
      </c>
    </row>
    <row r="338" spans="3:51" x14ac:dyDescent="0.35">
      <c r="C338" s="368" t="s">
        <v>60</v>
      </c>
      <c r="D338" s="35">
        <f>[2]DSF!DI7</f>
        <v>0</v>
      </c>
      <c r="E338" s="35">
        <f>[2]DSF!DJ7</f>
        <v>2</v>
      </c>
      <c r="F338" s="35">
        <f>[2]DSF!DK7</f>
        <v>0</v>
      </c>
      <c r="G338" s="35">
        <f>[2]DSF!DL7</f>
        <v>0</v>
      </c>
      <c r="H338" s="35">
        <f>[2]DSF!DM7</f>
        <v>0</v>
      </c>
      <c r="I338" s="35">
        <f>[2]DSF!DN7</f>
        <v>1</v>
      </c>
      <c r="J338" s="35">
        <f>[2]DSF!DO7</f>
        <v>0</v>
      </c>
      <c r="K338" s="35">
        <f>[2]DSF!DP7</f>
        <v>0</v>
      </c>
      <c r="L338" s="35">
        <f>[2]DSF!DQ7</f>
        <v>0</v>
      </c>
      <c r="M338" s="35">
        <f>[2]DSF!DR7</f>
        <v>0</v>
      </c>
      <c r="N338" s="35">
        <f>[2]DSF!DS7</f>
        <v>2</v>
      </c>
      <c r="O338" s="35">
        <f>[2]DSF!DT7</f>
        <v>0</v>
      </c>
      <c r="P338" s="35">
        <f>[2]DSF!DU7</f>
        <v>2</v>
      </c>
      <c r="Q338" s="35">
        <f>[2]DSF!DV7</f>
        <v>0</v>
      </c>
      <c r="R338" s="35">
        <f>[2]DSF!DW7</f>
        <v>1</v>
      </c>
      <c r="S338" s="35">
        <f>[2]DSF!DX7</f>
        <v>1</v>
      </c>
      <c r="T338" s="35">
        <f>[2]DSF!DY7</f>
        <v>1</v>
      </c>
      <c r="U338" s="35">
        <f>[2]DSF!DZ7</f>
        <v>3</v>
      </c>
      <c r="V338" s="35">
        <f>[2]DSF!EA7</f>
        <v>0</v>
      </c>
      <c r="W338" s="35">
        <f>[2]DSF!EB7</f>
        <v>0</v>
      </c>
      <c r="X338" s="35">
        <f>[2]DSF!EC7</f>
        <v>0</v>
      </c>
      <c r="Y338" s="35">
        <f>[2]DSF!ED7</f>
        <v>0</v>
      </c>
      <c r="Z338" s="35">
        <f>[2]DSF!EE7</f>
        <v>0</v>
      </c>
      <c r="AA338" s="35">
        <f>[2]DSF!EF7</f>
        <v>0</v>
      </c>
      <c r="AB338" s="35">
        <f>[2]DSF!EG7</f>
        <v>1</v>
      </c>
      <c r="AC338" s="35">
        <f>[2]DSF!EH7</f>
        <v>1</v>
      </c>
      <c r="AD338" s="35">
        <f>[2]DSF!EI7</f>
        <v>1</v>
      </c>
      <c r="AE338" s="35">
        <f>[2]DSF!EJ7</f>
        <v>0</v>
      </c>
      <c r="AF338" s="35">
        <f>[2]DSF!EK7</f>
        <v>1</v>
      </c>
      <c r="AG338" s="35">
        <f>[2]DSF!EL7</f>
        <v>0</v>
      </c>
      <c r="AH338" s="35">
        <f>[2]DSF!EM7</f>
        <v>0</v>
      </c>
      <c r="AI338" s="35">
        <f>[2]DSF!EN7</f>
        <v>2</v>
      </c>
      <c r="AJ338" s="35">
        <f>[2]DSF!EO7</f>
        <v>0</v>
      </c>
      <c r="AK338" s="35">
        <f>[2]DSF!EP7</f>
        <v>0</v>
      </c>
      <c r="AL338" s="35">
        <f>[2]DSF!EQ7</f>
        <v>0</v>
      </c>
      <c r="AM338" s="35">
        <f>[2]DSF!ER7</f>
        <v>1</v>
      </c>
      <c r="AN338" s="35">
        <f>[2]DSF!ES7</f>
        <v>1</v>
      </c>
      <c r="AO338" s="35">
        <f>[2]DSF!ET7</f>
        <v>3</v>
      </c>
      <c r="AP338" s="35">
        <f>[2]DSF!EU7</f>
        <v>3</v>
      </c>
      <c r="AQ338" s="35">
        <f>[2]DSF!EV7</f>
        <v>3</v>
      </c>
      <c r="AR338" s="35">
        <f>[2]DSF!EW7</f>
        <v>4</v>
      </c>
      <c r="AS338" s="35">
        <f>[2]DSF!EX7</f>
        <v>0</v>
      </c>
      <c r="AT338" s="35">
        <f>[2]DSF!EY7</f>
        <v>1</v>
      </c>
      <c r="AU338" s="35">
        <f>[2]DSF!EZ7</f>
        <v>0</v>
      </c>
      <c r="AV338" s="35">
        <f>[2]DSF!FA7</f>
        <v>0</v>
      </c>
      <c r="AW338" s="35">
        <f>[2]DSF!FB7</f>
        <v>0</v>
      </c>
      <c r="AX338" s="35">
        <f>[2]DSF!FC7</f>
        <v>3</v>
      </c>
      <c r="AY338" s="35">
        <f>[2]DSF!FD7</f>
        <v>0</v>
      </c>
    </row>
    <row r="339" spans="3:51" x14ac:dyDescent="0.35">
      <c r="C339" s="368" t="s">
        <v>0</v>
      </c>
      <c r="D339" s="35">
        <f>[2]DSF!DI8</f>
        <v>36</v>
      </c>
      <c r="E339" s="35">
        <f>[2]DSF!DJ8</f>
        <v>19</v>
      </c>
      <c r="F339" s="35">
        <f>[2]DSF!DK8</f>
        <v>21</v>
      </c>
      <c r="G339" s="35">
        <f>[2]DSF!DL8</f>
        <v>11</v>
      </c>
      <c r="H339" s="35">
        <f>[2]DSF!DM8</f>
        <v>13</v>
      </c>
      <c r="I339" s="35">
        <f>[2]DSF!DN8</f>
        <v>8</v>
      </c>
      <c r="J339" s="35">
        <f>[2]DSF!DO8</f>
        <v>9</v>
      </c>
      <c r="K339" s="35">
        <f>[2]DSF!DP8</f>
        <v>17</v>
      </c>
      <c r="L339" s="35">
        <f>[2]DSF!DQ8</f>
        <v>4</v>
      </c>
      <c r="M339" s="35">
        <f>[2]DSF!DR8</f>
        <v>5</v>
      </c>
      <c r="N339" s="35">
        <f>[2]DSF!DS8</f>
        <v>13</v>
      </c>
      <c r="O339" s="35">
        <f>[2]DSF!DT8</f>
        <v>26</v>
      </c>
      <c r="P339" s="35">
        <f>[2]DSF!DU8</f>
        <v>47</v>
      </c>
      <c r="Q339" s="35">
        <f>[2]DSF!DV8</f>
        <v>27</v>
      </c>
      <c r="R339" s="35">
        <f>[2]DSF!DW8</f>
        <v>39</v>
      </c>
      <c r="S339" s="35">
        <f>[2]DSF!DX8</f>
        <v>56</v>
      </c>
      <c r="T339" s="35">
        <f>[2]DSF!DY8</f>
        <v>71</v>
      </c>
      <c r="U339" s="35">
        <f>[2]DSF!DZ8</f>
        <v>39</v>
      </c>
      <c r="V339" s="35">
        <f>[2]DSF!EA8</f>
        <v>17</v>
      </c>
      <c r="W339" s="35">
        <f>[2]DSF!EB8</f>
        <v>10</v>
      </c>
      <c r="X339" s="35">
        <f>[2]DSF!EC8</f>
        <v>6</v>
      </c>
      <c r="Y339" s="35">
        <f>[2]DSF!ED8</f>
        <v>15</v>
      </c>
      <c r="Z339" s="35">
        <f>[2]DSF!EE8</f>
        <v>16</v>
      </c>
      <c r="AA339" s="35">
        <f>[2]DSF!EF8</f>
        <v>11</v>
      </c>
      <c r="AB339" s="35">
        <f>[2]DSF!EG8</f>
        <v>28</v>
      </c>
      <c r="AC339" s="35">
        <f>[2]DSF!EH8</f>
        <v>26</v>
      </c>
      <c r="AD339" s="35">
        <f>[2]DSF!EI8</f>
        <v>28</v>
      </c>
      <c r="AE339" s="35">
        <f>[2]DSF!EJ8</f>
        <v>19</v>
      </c>
      <c r="AF339" s="35">
        <f>[2]DSF!EK8</f>
        <v>17</v>
      </c>
      <c r="AG339" s="35">
        <f>[2]DSF!EL8</f>
        <v>8</v>
      </c>
      <c r="AH339" s="35">
        <f>[2]DSF!EM8</f>
        <v>18</v>
      </c>
      <c r="AI339" s="35">
        <f>[2]DSF!EN8</f>
        <v>9</v>
      </c>
      <c r="AJ339" s="35">
        <f>[2]DSF!EO8</f>
        <v>8</v>
      </c>
      <c r="AK339" s="35">
        <f>[2]DSF!EP8</f>
        <v>11</v>
      </c>
      <c r="AL339" s="35">
        <f>[2]DSF!EQ8</f>
        <v>8</v>
      </c>
      <c r="AM339" s="35">
        <f>[2]DSF!ER8</f>
        <v>19</v>
      </c>
      <c r="AN339" s="35">
        <f>[2]DSF!ES8</f>
        <v>16</v>
      </c>
      <c r="AO339" s="35">
        <f>[2]DSF!ET8</f>
        <v>15</v>
      </c>
      <c r="AP339" s="35">
        <f>[2]DSF!EU8</f>
        <v>26</v>
      </c>
      <c r="AQ339" s="35">
        <f>[2]DSF!EV8</f>
        <v>25</v>
      </c>
      <c r="AR339" s="35">
        <f>[2]DSF!EW8</f>
        <v>38</v>
      </c>
      <c r="AS339" s="35">
        <f>[2]DSF!EX8</f>
        <v>13</v>
      </c>
      <c r="AT339" s="35">
        <f>[2]DSF!EY8</f>
        <v>20</v>
      </c>
      <c r="AU339" s="35">
        <f>[2]DSF!EZ8</f>
        <v>8</v>
      </c>
      <c r="AV339" s="35">
        <f>[2]DSF!FA8</f>
        <v>4</v>
      </c>
      <c r="AW339" s="35">
        <f>[2]DSF!FB8</f>
        <v>10</v>
      </c>
      <c r="AX339" s="35">
        <f>[2]DSF!FC8</f>
        <v>16</v>
      </c>
      <c r="AY339" s="35">
        <f>[2]DSF!FD8</f>
        <v>14</v>
      </c>
    </row>
    <row r="340" spans="3:51" ht="14.25" customHeight="1" x14ac:dyDescent="0.35">
      <c r="C340" s="368" t="s">
        <v>116</v>
      </c>
      <c r="D340" s="35">
        <f>[2]DSF!DI12</f>
        <v>2</v>
      </c>
      <c r="E340" s="35">
        <f>[2]DSF!DJ12</f>
        <v>3</v>
      </c>
      <c r="F340" s="35">
        <f>[2]DSF!DK12</f>
        <v>1</v>
      </c>
      <c r="G340" s="35">
        <f>[2]DSF!DL12</f>
        <v>0</v>
      </c>
      <c r="H340" s="35">
        <f>[2]DSF!DM12</f>
        <v>0</v>
      </c>
      <c r="I340" s="35">
        <f>[2]DSF!DN12</f>
        <v>1</v>
      </c>
      <c r="J340" s="35">
        <f>[2]DSF!DO12</f>
        <v>0</v>
      </c>
      <c r="K340" s="35">
        <f>[2]DSF!DP12</f>
        <v>0</v>
      </c>
      <c r="L340" s="35">
        <f>[2]DSF!DQ12</f>
        <v>0</v>
      </c>
      <c r="M340" s="35">
        <f>[2]DSF!DR12</f>
        <v>0</v>
      </c>
      <c r="N340" s="35">
        <f>[2]DSF!DS12</f>
        <v>2</v>
      </c>
      <c r="O340" s="35">
        <f>[2]DSF!DT12</f>
        <v>0</v>
      </c>
      <c r="P340" s="35">
        <f>[2]DSF!DU12</f>
        <v>2</v>
      </c>
      <c r="Q340" s="35">
        <f>[2]DSF!DV12</f>
        <v>1</v>
      </c>
      <c r="R340" s="35">
        <f>[2]DSF!DW12</f>
        <v>1</v>
      </c>
      <c r="S340" s="35">
        <f>[2]DSF!DX12</f>
        <v>3</v>
      </c>
      <c r="T340" s="35">
        <f>[2]DSF!DY12</f>
        <v>4</v>
      </c>
      <c r="U340" s="35">
        <f>[2]DSF!DZ12</f>
        <v>4</v>
      </c>
      <c r="V340" s="35">
        <f>[2]DSF!EA12</f>
        <v>1</v>
      </c>
      <c r="W340" s="35">
        <f>[2]DSF!EB12</f>
        <v>0</v>
      </c>
      <c r="X340" s="35">
        <f>[2]DSF!EC12</f>
        <v>0</v>
      </c>
      <c r="Y340" s="35">
        <f>[2]DSF!ED12</f>
        <v>0</v>
      </c>
      <c r="Z340" s="35">
        <f>[2]DSF!EE12</f>
        <v>0</v>
      </c>
      <c r="AA340" s="35">
        <f>[2]DSF!EF12</f>
        <v>0</v>
      </c>
      <c r="AB340" s="35">
        <f>[2]DSF!EG12</f>
        <v>3</v>
      </c>
      <c r="AC340" s="35">
        <f>[2]DSF!EH12</f>
        <v>1</v>
      </c>
      <c r="AD340" s="35">
        <f>[2]DSF!EI12</f>
        <v>1</v>
      </c>
      <c r="AE340" s="35">
        <f>[2]DSF!EJ12</f>
        <v>0</v>
      </c>
      <c r="AF340" s="35">
        <f>[2]DSF!EK12</f>
        <v>2</v>
      </c>
      <c r="AG340" s="35">
        <f>[2]DSF!EL12</f>
        <v>1</v>
      </c>
      <c r="AH340" s="35">
        <f>[2]DSF!EM12</f>
        <v>0</v>
      </c>
      <c r="AI340" s="35">
        <f>[2]DSF!EN12</f>
        <v>2</v>
      </c>
      <c r="AJ340" s="35">
        <f>[2]DSF!EO12</f>
        <v>1</v>
      </c>
      <c r="AK340" s="35">
        <f>[2]DSF!EP12</f>
        <v>1</v>
      </c>
      <c r="AL340" s="35">
        <f>[2]DSF!EQ12</f>
        <v>0</v>
      </c>
      <c r="AM340" s="35">
        <f>[2]DSF!ER12</f>
        <v>1</v>
      </c>
      <c r="AN340" s="35">
        <f>[2]DSF!ES12</f>
        <v>1</v>
      </c>
      <c r="AO340" s="35">
        <f>[2]DSF!ET12</f>
        <v>4</v>
      </c>
      <c r="AP340" s="35">
        <f>[2]DSF!EU12</f>
        <v>7</v>
      </c>
      <c r="AQ340" s="35">
        <f>[2]DSF!EV12</f>
        <v>4</v>
      </c>
      <c r="AR340" s="35">
        <f>[2]DSF!EW12</f>
        <v>5</v>
      </c>
      <c r="AS340" s="35">
        <f>[2]DSF!EX12</f>
        <v>0</v>
      </c>
      <c r="AT340" s="35">
        <f>[2]DSF!EY12</f>
        <v>2</v>
      </c>
      <c r="AU340" s="35">
        <f>[2]DSF!EZ12</f>
        <v>0</v>
      </c>
      <c r="AV340" s="35">
        <f>[2]DSF!FA12</f>
        <v>2</v>
      </c>
      <c r="AW340" s="35">
        <f>[2]DSF!FB12</f>
        <v>2</v>
      </c>
      <c r="AX340" s="35">
        <f>[2]DSF!FC12</f>
        <v>5</v>
      </c>
      <c r="AY340" s="35">
        <f>[2]DSF!FD12</f>
        <v>1</v>
      </c>
    </row>
    <row r="341" spans="3:51" x14ac:dyDescent="0.35">
      <c r="C341" s="368" t="s">
        <v>117</v>
      </c>
      <c r="D341" s="35">
        <f>[2]DSF!DI13</f>
        <v>4</v>
      </c>
      <c r="E341" s="35">
        <f>[2]DSF!DJ13</f>
        <v>4</v>
      </c>
      <c r="F341" s="35">
        <f>[2]DSF!DK13</f>
        <v>2</v>
      </c>
      <c r="G341" s="35">
        <f>[2]DSF!DL13</f>
        <v>0</v>
      </c>
      <c r="H341" s="35">
        <f>[2]DSF!DM13</f>
        <v>2</v>
      </c>
      <c r="I341" s="35">
        <f>[2]DSF!DN13</f>
        <v>1</v>
      </c>
      <c r="J341" s="35">
        <f>[2]DSF!DO13</f>
        <v>0</v>
      </c>
      <c r="K341" s="35">
        <f>[2]DSF!DP13</f>
        <v>1</v>
      </c>
      <c r="L341" s="35">
        <f>[2]DSF!DQ13</f>
        <v>0</v>
      </c>
      <c r="M341" s="35">
        <f>[2]DSF!DR13</f>
        <v>1</v>
      </c>
      <c r="N341" s="35">
        <f>[2]DSF!DS13</f>
        <v>5</v>
      </c>
      <c r="O341" s="35">
        <f>[2]DSF!DT13</f>
        <v>2</v>
      </c>
      <c r="P341" s="35">
        <f>[2]DSF!DU13</f>
        <v>10</v>
      </c>
      <c r="Q341" s="35">
        <f>[2]DSF!DV13</f>
        <v>11</v>
      </c>
      <c r="R341" s="35">
        <f>[2]DSF!DW13</f>
        <v>6</v>
      </c>
      <c r="S341" s="35">
        <f>[2]DSF!DX13</f>
        <v>8</v>
      </c>
      <c r="T341" s="35">
        <f>[2]DSF!DY13</f>
        <v>17</v>
      </c>
      <c r="U341" s="35">
        <f>[2]DSF!DZ13</f>
        <v>11</v>
      </c>
      <c r="V341" s="35">
        <f>[2]DSF!EA13</f>
        <v>3</v>
      </c>
      <c r="W341" s="35">
        <f>[2]DSF!EB13</f>
        <v>0</v>
      </c>
      <c r="X341" s="35">
        <f>[2]DSF!EC13</f>
        <v>0</v>
      </c>
      <c r="Y341" s="35">
        <f>[2]DSF!ED13</f>
        <v>2</v>
      </c>
      <c r="Z341" s="35">
        <f>[2]DSF!EE13</f>
        <v>3</v>
      </c>
      <c r="AA341" s="35">
        <f>[2]DSF!EF13</f>
        <v>2</v>
      </c>
      <c r="AB341" s="35">
        <f>[2]DSF!EG13</f>
        <v>9</v>
      </c>
      <c r="AC341" s="35">
        <f>[2]DSF!EH13</f>
        <v>3</v>
      </c>
      <c r="AD341" s="35">
        <f>[2]DSF!EI13</f>
        <v>7</v>
      </c>
      <c r="AE341" s="35">
        <f>[2]DSF!EJ13</f>
        <v>0</v>
      </c>
      <c r="AF341" s="35">
        <f>[2]DSF!EK13</f>
        <v>7</v>
      </c>
      <c r="AG341" s="35">
        <f>[2]DSF!EL13</f>
        <v>2</v>
      </c>
      <c r="AH341" s="35">
        <f>[2]DSF!EM13</f>
        <v>3</v>
      </c>
      <c r="AI341" s="35">
        <f>[2]DSF!EN13</f>
        <v>3</v>
      </c>
      <c r="AJ341" s="35">
        <f>[2]DSF!EO13</f>
        <v>1</v>
      </c>
      <c r="AK341" s="35">
        <f>[2]DSF!EP13</f>
        <v>2</v>
      </c>
      <c r="AL341" s="35">
        <f>[2]DSF!EQ13</f>
        <v>1</v>
      </c>
      <c r="AM341" s="35">
        <f>[2]DSF!ER13</f>
        <v>1</v>
      </c>
      <c r="AN341" s="35">
        <f>[2]DSF!ES13</f>
        <v>2</v>
      </c>
      <c r="AO341" s="35">
        <f>[2]DSF!ET13</f>
        <v>7</v>
      </c>
      <c r="AP341" s="35">
        <f>[2]DSF!EU13</f>
        <v>15</v>
      </c>
      <c r="AQ341" s="35">
        <f>[2]DSF!EV13</f>
        <v>6</v>
      </c>
      <c r="AR341" s="35">
        <f>[2]DSF!EW13</f>
        <v>11</v>
      </c>
      <c r="AS341" s="35">
        <f>[2]DSF!EX13</f>
        <v>2</v>
      </c>
      <c r="AT341" s="35">
        <f>[2]DSF!EY13</f>
        <v>5</v>
      </c>
      <c r="AU341" s="35">
        <f>[2]DSF!EZ13</f>
        <v>1</v>
      </c>
      <c r="AV341" s="35">
        <f>[2]DSF!FA13</f>
        <v>3</v>
      </c>
      <c r="AW341" s="35">
        <f>[2]DSF!FB13</f>
        <v>4</v>
      </c>
      <c r="AX341" s="35">
        <f>[2]DSF!FC13</f>
        <v>8</v>
      </c>
      <c r="AY341" s="35">
        <f>[2]DSF!FD13</f>
        <v>4</v>
      </c>
    </row>
    <row r="342" spans="3:51" s="36" customFormat="1" x14ac:dyDescent="0.35"/>
    <row r="343" spans="3:51" s="36" customFormat="1" x14ac:dyDescent="0.35"/>
    <row r="344" spans="3:51" x14ac:dyDescent="0.35">
      <c r="C344" s="369" t="s">
        <v>127</v>
      </c>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row>
    <row r="345" spans="3:51" x14ac:dyDescent="0.35">
      <c r="C345" s="370" t="s">
        <v>0</v>
      </c>
      <c r="D345" s="40"/>
      <c r="E345" s="40"/>
      <c r="F345" s="40"/>
      <c r="G345" s="40"/>
      <c r="H345" s="40"/>
      <c r="I345" s="40"/>
      <c r="J345" s="40"/>
      <c r="K345" s="40"/>
      <c r="L345" s="40"/>
      <c r="M345" s="40"/>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row>
    <row r="346" spans="3:51" x14ac:dyDescent="0.35">
      <c r="C346" s="353"/>
      <c r="D346" s="41">
        <v>44287</v>
      </c>
      <c r="E346" s="41">
        <v>44317</v>
      </c>
      <c r="F346" s="41">
        <v>44348</v>
      </c>
      <c r="G346" s="41">
        <v>44378</v>
      </c>
      <c r="H346" s="41">
        <v>44409</v>
      </c>
      <c r="I346" s="41">
        <v>44440</v>
      </c>
      <c r="J346" s="41">
        <v>44470</v>
      </c>
      <c r="K346" s="41">
        <v>44501</v>
      </c>
      <c r="L346" s="41">
        <v>44531</v>
      </c>
      <c r="M346" s="41">
        <v>44562</v>
      </c>
      <c r="N346" s="41">
        <v>44593</v>
      </c>
      <c r="O346" s="41">
        <v>44621</v>
      </c>
      <c r="P346" s="39">
        <v>44652</v>
      </c>
      <c r="Q346" s="39">
        <v>44682</v>
      </c>
      <c r="R346" s="39">
        <v>44713</v>
      </c>
      <c r="S346" s="39">
        <v>44743</v>
      </c>
      <c r="T346" s="39">
        <v>44774</v>
      </c>
      <c r="U346" s="39">
        <v>44805</v>
      </c>
      <c r="V346" s="39">
        <v>44835</v>
      </c>
      <c r="W346" s="39">
        <v>44866</v>
      </c>
      <c r="X346" s="39">
        <v>44896</v>
      </c>
      <c r="Y346" s="39">
        <v>44927</v>
      </c>
      <c r="Z346" s="39">
        <v>44958</v>
      </c>
      <c r="AA346" s="39">
        <v>44986</v>
      </c>
      <c r="AB346" s="39">
        <v>45017</v>
      </c>
      <c r="AC346" s="39">
        <v>45047</v>
      </c>
      <c r="AD346" s="39">
        <v>45078</v>
      </c>
      <c r="AE346" s="39">
        <v>45108</v>
      </c>
      <c r="AF346" s="39">
        <v>45139</v>
      </c>
      <c r="AG346" s="39">
        <v>45170</v>
      </c>
      <c r="AH346" s="39">
        <v>45200</v>
      </c>
      <c r="AI346" s="39">
        <v>45231</v>
      </c>
      <c r="AJ346" s="39">
        <v>45261</v>
      </c>
      <c r="AK346" s="39">
        <v>45292</v>
      </c>
      <c r="AL346" s="39">
        <v>45323</v>
      </c>
      <c r="AM346" s="39">
        <v>45352</v>
      </c>
      <c r="AN346" s="39">
        <v>45383</v>
      </c>
      <c r="AO346" s="39">
        <v>45413</v>
      </c>
      <c r="AP346" s="39">
        <v>45444</v>
      </c>
      <c r="AQ346" s="39">
        <v>45474</v>
      </c>
      <c r="AR346" s="39">
        <v>45505</v>
      </c>
      <c r="AS346" s="39">
        <v>45536</v>
      </c>
      <c r="AT346" s="39">
        <v>45566</v>
      </c>
      <c r="AU346" s="39">
        <v>45597</v>
      </c>
      <c r="AV346" s="39">
        <v>45627</v>
      </c>
      <c r="AW346" s="39">
        <v>45658</v>
      </c>
      <c r="AX346" s="39">
        <v>45689</v>
      </c>
      <c r="AY346" s="39">
        <v>45717</v>
      </c>
    </row>
    <row r="347" spans="3:51" x14ac:dyDescent="0.35">
      <c r="C347" s="353" t="s">
        <v>128</v>
      </c>
      <c r="D347" s="43">
        <f>[2]ASB!CH5</f>
        <v>1326</v>
      </c>
      <c r="E347" s="43">
        <f>[2]ASB!CI5</f>
        <v>1007</v>
      </c>
      <c r="F347" s="43">
        <f>[2]ASB!CJ5</f>
        <v>1213</v>
      </c>
      <c r="G347" s="43">
        <f>[2]ASB!CK5</f>
        <v>1162</v>
      </c>
      <c r="H347" s="43">
        <f>[2]ASB!CL5</f>
        <v>955</v>
      </c>
      <c r="I347" s="43">
        <f>[2]ASB!CM5</f>
        <v>954</v>
      </c>
      <c r="J347" s="43">
        <f>[2]ASB!CN5</f>
        <v>957</v>
      </c>
      <c r="K347" s="43">
        <f>[2]ASB!CO5</f>
        <v>840</v>
      </c>
      <c r="L347" s="43">
        <f>[2]ASB!CP5</f>
        <v>789</v>
      </c>
      <c r="M347" s="43">
        <f>[2]ASB!CQ5</f>
        <v>856</v>
      </c>
      <c r="N347" s="43">
        <f>[2]ASB!CR5</f>
        <v>754</v>
      </c>
      <c r="O347" s="43">
        <f>[2]ASB!CS5</f>
        <v>854</v>
      </c>
      <c r="P347" s="43">
        <f>[2]ASB!CT5</f>
        <v>872</v>
      </c>
      <c r="Q347" s="43">
        <f>[2]ASB!CU5</f>
        <v>908</v>
      </c>
      <c r="R347" s="43">
        <f>[2]ASB!CV5</f>
        <v>877</v>
      </c>
      <c r="S347" s="43">
        <f>[2]ASB!CW5</f>
        <v>952</v>
      </c>
      <c r="T347" s="43">
        <f>[2]ASB!CX5</f>
        <v>971</v>
      </c>
      <c r="U347" s="43">
        <f>[2]ASB!CY5</f>
        <v>784</v>
      </c>
      <c r="V347" s="43">
        <f>[2]ASB!CZ5</f>
        <v>784</v>
      </c>
      <c r="W347" s="43">
        <f>[2]ASB!DA5</f>
        <v>668</v>
      </c>
      <c r="X347" s="43">
        <f>[2]ASB!DB5</f>
        <v>548</v>
      </c>
      <c r="Y347" s="43">
        <f>[2]ASB!DC5</f>
        <v>610</v>
      </c>
      <c r="Z347" s="43">
        <f>[2]ASB!DD5</f>
        <v>687</v>
      </c>
      <c r="AA347" s="43">
        <f>[2]ASB!DE5</f>
        <v>650</v>
      </c>
      <c r="AB347" s="43">
        <f>[2]ASB!DF5</f>
        <v>736</v>
      </c>
      <c r="AC347" s="43">
        <f>[2]ASB!DG5</f>
        <v>779</v>
      </c>
      <c r="AD347" s="43">
        <f>[2]ASB!DH5</f>
        <v>747</v>
      </c>
      <c r="AE347" s="43">
        <f>[2]ASB!DI5</f>
        <v>675</v>
      </c>
      <c r="AF347" s="43">
        <f>[2]ASB!DJ5</f>
        <v>794</v>
      </c>
      <c r="AG347" s="43">
        <f>[2]ASB!DK5</f>
        <v>730</v>
      </c>
      <c r="AH347" s="43">
        <f>[2]ASB!DL5</f>
        <v>546</v>
      </c>
      <c r="AI347" s="43">
        <f>[2]ASB!DM5</f>
        <v>512</v>
      </c>
      <c r="AJ347" s="43">
        <f>[2]ASB!DN5</f>
        <v>491</v>
      </c>
      <c r="AK347" s="43">
        <f>[2]ASB!DO5</f>
        <v>529</v>
      </c>
      <c r="AL347" s="43">
        <f>[2]ASB!DP5</f>
        <v>592</v>
      </c>
      <c r="AM347" s="43">
        <f>[2]ASB!DQ5</f>
        <v>625</v>
      </c>
      <c r="AN347" s="43">
        <f>[2]ASB!DR5</f>
        <v>716</v>
      </c>
      <c r="AO347" s="43">
        <f>[2]ASB!DS5</f>
        <v>816</v>
      </c>
      <c r="AP347" s="43">
        <f>[2]ASB!DT5</f>
        <v>772</v>
      </c>
      <c r="AQ347" s="43">
        <f>[2]ASB!DU5</f>
        <v>804</v>
      </c>
      <c r="AR347" s="43">
        <f>[2]ASB!DV5</f>
        <v>790</v>
      </c>
      <c r="AS347" s="43">
        <f>[2]ASB!DW5</f>
        <v>699</v>
      </c>
      <c r="AT347" s="43">
        <f>[2]ASB!DX5</f>
        <v>733</v>
      </c>
      <c r="AU347" s="43">
        <f>[2]ASB!DY5</f>
        <v>615</v>
      </c>
      <c r="AV347" s="43">
        <f>[2]ASB!DZ5</f>
        <v>522</v>
      </c>
      <c r="AW347" s="43">
        <f>[2]ASB!EA5</f>
        <v>581</v>
      </c>
      <c r="AX347" s="43">
        <f>[2]ASB!EB5</f>
        <v>615</v>
      </c>
      <c r="AY347" s="43">
        <f>[2]ASB!EC5</f>
        <v>513</v>
      </c>
    </row>
    <row r="348" spans="3:51" x14ac:dyDescent="0.35">
      <c r="C348" s="353" t="s">
        <v>11</v>
      </c>
      <c r="D348" s="43">
        <f>[2]ASB!CH6</f>
        <v>194</v>
      </c>
      <c r="E348" s="43">
        <f>[2]ASB!CI6</f>
        <v>160</v>
      </c>
      <c r="F348" s="43">
        <f>[2]ASB!CJ6</f>
        <v>202</v>
      </c>
      <c r="G348" s="43">
        <f>[2]ASB!CK6</f>
        <v>195</v>
      </c>
      <c r="H348" s="43">
        <f>[2]ASB!CL6</f>
        <v>161</v>
      </c>
      <c r="I348" s="43">
        <f>[2]ASB!CM6</f>
        <v>171</v>
      </c>
      <c r="J348" s="43">
        <f>[2]ASB!CN6</f>
        <v>177</v>
      </c>
      <c r="K348" s="43">
        <f>[2]ASB!CO6</f>
        <v>174</v>
      </c>
      <c r="L348" s="43">
        <f>[2]ASB!CP6</f>
        <v>159</v>
      </c>
      <c r="M348" s="43">
        <f>[2]ASB!CQ6</f>
        <v>135</v>
      </c>
      <c r="N348" s="43">
        <f>[2]ASB!CR6</f>
        <v>130</v>
      </c>
      <c r="O348" s="43">
        <f>[2]ASB!CS6</f>
        <v>164</v>
      </c>
      <c r="P348" s="43">
        <f>[2]ASB!CT6</f>
        <v>126</v>
      </c>
      <c r="Q348" s="43">
        <f>[2]ASB!CU6</f>
        <v>150</v>
      </c>
      <c r="R348" s="43">
        <f>[2]ASB!CV6</f>
        <v>167</v>
      </c>
      <c r="S348" s="43">
        <f>[2]ASB!CW6</f>
        <v>134</v>
      </c>
      <c r="T348" s="43">
        <f>[2]ASB!CX6</f>
        <v>199</v>
      </c>
      <c r="U348" s="43">
        <f>[2]ASB!CY6</f>
        <v>153</v>
      </c>
      <c r="V348" s="43">
        <f>[2]ASB!CZ6</f>
        <v>123</v>
      </c>
      <c r="W348" s="43">
        <f>[2]ASB!DA6</f>
        <v>124</v>
      </c>
      <c r="X348" s="43">
        <f>[2]ASB!DB6</f>
        <v>110</v>
      </c>
      <c r="Y348" s="43">
        <f>[2]ASB!DC6</f>
        <v>94</v>
      </c>
      <c r="Z348" s="43">
        <f>[2]ASB!DD6</f>
        <v>111</v>
      </c>
      <c r="AA348" s="43">
        <f>[2]ASB!DE6</f>
        <v>115</v>
      </c>
      <c r="AB348" s="43">
        <f>[2]ASB!DF6</f>
        <v>99</v>
      </c>
      <c r="AC348" s="43">
        <f>[2]ASB!DG6</f>
        <v>117</v>
      </c>
      <c r="AD348" s="43">
        <f>[2]ASB!DH6</f>
        <v>127</v>
      </c>
      <c r="AE348" s="43">
        <f>[2]ASB!DI6</f>
        <v>123</v>
      </c>
      <c r="AF348" s="43">
        <f>[2]ASB!DJ6</f>
        <v>162</v>
      </c>
      <c r="AG348" s="43">
        <f>[2]ASB!DK6</f>
        <v>189</v>
      </c>
      <c r="AH348" s="43">
        <f>[2]ASB!DL6</f>
        <v>143</v>
      </c>
      <c r="AI348" s="43">
        <f>[2]ASB!DM6</f>
        <v>155</v>
      </c>
      <c r="AJ348" s="43">
        <f>[2]ASB!DN6</f>
        <v>133</v>
      </c>
      <c r="AK348" s="43">
        <f>[2]ASB!DO6</f>
        <v>156</v>
      </c>
      <c r="AL348" s="43">
        <f>[2]ASB!DP6</f>
        <v>177</v>
      </c>
      <c r="AM348" s="43">
        <f>[2]ASB!DQ6</f>
        <v>205</v>
      </c>
      <c r="AN348" s="43">
        <f>[2]ASB!DR6</f>
        <v>232</v>
      </c>
      <c r="AO348" s="43">
        <f>[2]ASB!DS6</f>
        <v>242</v>
      </c>
      <c r="AP348" s="43">
        <f>[2]ASB!DT6</f>
        <v>231</v>
      </c>
      <c r="AQ348" s="43">
        <f>[2]ASB!DU6</f>
        <v>232</v>
      </c>
      <c r="AR348" s="43">
        <f>[2]ASB!DV6</f>
        <v>204</v>
      </c>
      <c r="AS348" s="43">
        <f>[2]ASB!DW6</f>
        <v>218</v>
      </c>
      <c r="AT348" s="43">
        <f>[2]ASB!DX6</f>
        <v>212</v>
      </c>
      <c r="AU348" s="43">
        <f>[2]ASB!DY6</f>
        <v>196</v>
      </c>
      <c r="AV348" s="43">
        <f>[2]ASB!DZ6</f>
        <v>148</v>
      </c>
      <c r="AW348" s="43">
        <f>[2]ASB!EA6</f>
        <v>161</v>
      </c>
      <c r="AX348" s="43">
        <f>[2]ASB!EB6</f>
        <v>151</v>
      </c>
      <c r="AY348" s="43">
        <f>[2]ASB!EC6</f>
        <v>118</v>
      </c>
    </row>
    <row r="349" spans="3:51" x14ac:dyDescent="0.35">
      <c r="C349" s="353" t="s">
        <v>129</v>
      </c>
      <c r="D349" s="43">
        <f>[2]ASB!CH7</f>
        <v>960</v>
      </c>
      <c r="E349" s="43">
        <f>[2]ASB!CI7</f>
        <v>743</v>
      </c>
      <c r="F349" s="43">
        <f>[2]ASB!CJ7</f>
        <v>878</v>
      </c>
      <c r="G349" s="43">
        <f>[2]ASB!CK7</f>
        <v>848</v>
      </c>
      <c r="H349" s="43">
        <f>[2]ASB!CL7</f>
        <v>717</v>
      </c>
      <c r="I349" s="43">
        <f>[2]ASB!CM7</f>
        <v>689</v>
      </c>
      <c r="J349" s="43">
        <f>[2]ASB!CN7</f>
        <v>685</v>
      </c>
      <c r="K349" s="43">
        <f>[2]ASB!CO7</f>
        <v>608</v>
      </c>
      <c r="L349" s="43">
        <f>[2]ASB!CP7</f>
        <v>552</v>
      </c>
      <c r="M349" s="43">
        <f>[2]ASB!CQ7</f>
        <v>631</v>
      </c>
      <c r="N349" s="43">
        <f>[2]ASB!CR7</f>
        <v>549</v>
      </c>
      <c r="O349" s="43">
        <f>[2]ASB!CS7</f>
        <v>618</v>
      </c>
      <c r="P349" s="43">
        <f>[2]ASB!CT7</f>
        <v>664</v>
      </c>
      <c r="Q349" s="43">
        <f>[2]ASB!CU7</f>
        <v>663</v>
      </c>
      <c r="R349" s="43">
        <f>[2]ASB!CV7</f>
        <v>629</v>
      </c>
      <c r="S349" s="43">
        <f>[2]ASB!CW7</f>
        <v>748</v>
      </c>
      <c r="T349" s="43">
        <f>[2]ASB!CX7</f>
        <v>673</v>
      </c>
      <c r="U349" s="43">
        <f>[2]ASB!CY7</f>
        <v>570</v>
      </c>
      <c r="V349" s="43">
        <f>[2]ASB!CZ7</f>
        <v>596</v>
      </c>
      <c r="W349" s="43">
        <f>[2]ASB!DA7</f>
        <v>485</v>
      </c>
      <c r="X349" s="43">
        <f>[2]ASB!DB7</f>
        <v>391</v>
      </c>
      <c r="Y349" s="43">
        <f>[2]ASB!DC7</f>
        <v>437</v>
      </c>
      <c r="Z349" s="43">
        <f>[2]ASB!DD7</f>
        <v>508</v>
      </c>
      <c r="AA349" s="43">
        <f>[2]ASB!DE7</f>
        <v>480</v>
      </c>
      <c r="AB349" s="43">
        <f>[2]ASB!DF7</f>
        <v>551</v>
      </c>
      <c r="AC349" s="43">
        <f>[2]ASB!DG7</f>
        <v>589</v>
      </c>
      <c r="AD349" s="43">
        <f>[2]ASB!DH7</f>
        <v>543</v>
      </c>
      <c r="AE349" s="43">
        <f>[2]ASB!DI7</f>
        <v>493</v>
      </c>
      <c r="AF349" s="43">
        <f>[2]ASB!DJ7</f>
        <v>581</v>
      </c>
      <c r="AG349" s="43">
        <f>[2]ASB!DK7</f>
        <v>464</v>
      </c>
      <c r="AH349" s="43">
        <f>[2]ASB!DL7</f>
        <v>354</v>
      </c>
      <c r="AI349" s="43">
        <f>[2]ASB!DM7</f>
        <v>260</v>
      </c>
      <c r="AJ349" s="43">
        <f>[2]ASB!DN7</f>
        <v>310</v>
      </c>
      <c r="AK349" s="43">
        <f>[2]ASB!DO7</f>
        <v>319</v>
      </c>
      <c r="AL349" s="43">
        <f>[2]ASB!DP7</f>
        <v>353</v>
      </c>
      <c r="AM349" s="43">
        <f>[2]ASB!DQ7</f>
        <v>360</v>
      </c>
      <c r="AN349" s="43">
        <f>[2]ASB!DR7</f>
        <v>423</v>
      </c>
      <c r="AO349" s="43">
        <f>[2]ASB!DS7</f>
        <v>500</v>
      </c>
      <c r="AP349" s="43">
        <f>[2]ASB!DT7</f>
        <v>486</v>
      </c>
      <c r="AQ349" s="43">
        <f>[2]ASB!DU7</f>
        <v>497</v>
      </c>
      <c r="AR349" s="43">
        <f>[2]ASB!DV7</f>
        <v>515</v>
      </c>
      <c r="AS349" s="43">
        <f>[2]ASB!DW7</f>
        <v>445</v>
      </c>
      <c r="AT349" s="43">
        <f>[2]ASB!DX7</f>
        <v>457</v>
      </c>
      <c r="AU349" s="43">
        <f>[2]ASB!DY7</f>
        <v>379</v>
      </c>
      <c r="AV349" s="43">
        <f>[2]ASB!DZ7</f>
        <v>338</v>
      </c>
      <c r="AW349" s="43">
        <f>[2]ASB!EA7</f>
        <v>379</v>
      </c>
      <c r="AX349" s="43">
        <f>[2]ASB!EB7</f>
        <v>415</v>
      </c>
      <c r="AY349" s="43">
        <f>[2]ASB!EC7</f>
        <v>361</v>
      </c>
    </row>
    <row r="350" spans="3:51" x14ac:dyDescent="0.35">
      <c r="C350" s="353" t="s">
        <v>13</v>
      </c>
      <c r="D350" s="43">
        <f>[2]ASB!CH8</f>
        <v>172</v>
      </c>
      <c r="E350" s="43">
        <f>[2]ASB!CI8</f>
        <v>104</v>
      </c>
      <c r="F350" s="43">
        <f>[2]ASB!CJ8</f>
        <v>133</v>
      </c>
      <c r="G350" s="43">
        <f>[2]ASB!CK8</f>
        <v>119</v>
      </c>
      <c r="H350" s="43">
        <f>[2]ASB!CL8</f>
        <v>77</v>
      </c>
      <c r="I350" s="43">
        <f>[2]ASB!CM8</f>
        <v>94</v>
      </c>
      <c r="J350" s="43">
        <f>[2]ASB!CN8</f>
        <v>95</v>
      </c>
      <c r="K350" s="43">
        <f>[2]ASB!CO8</f>
        <v>58</v>
      </c>
      <c r="L350" s="43">
        <f>[2]ASB!CP8</f>
        <v>78</v>
      </c>
      <c r="M350" s="43">
        <f>[2]ASB!CQ8</f>
        <v>90</v>
      </c>
      <c r="N350" s="43">
        <f>[2]ASB!CR8</f>
        <v>75</v>
      </c>
      <c r="O350" s="43">
        <f>[2]ASB!CS8</f>
        <v>72</v>
      </c>
      <c r="P350" s="43">
        <f>[2]ASB!CT8</f>
        <v>82</v>
      </c>
      <c r="Q350" s="43">
        <f>[2]ASB!CU8</f>
        <v>95</v>
      </c>
      <c r="R350" s="43">
        <f>[2]ASB!CV8</f>
        <v>81</v>
      </c>
      <c r="S350" s="43">
        <f>[2]ASB!CW8</f>
        <v>70</v>
      </c>
      <c r="T350" s="43">
        <f>[2]ASB!CX8</f>
        <v>99</v>
      </c>
      <c r="U350" s="43">
        <f>[2]ASB!CY8</f>
        <v>61</v>
      </c>
      <c r="V350" s="43">
        <f>[2]ASB!CZ8</f>
        <v>65</v>
      </c>
      <c r="W350" s="43">
        <f>[2]ASB!DA8</f>
        <v>59</v>
      </c>
      <c r="X350" s="43">
        <f>[2]ASB!DB8</f>
        <v>47</v>
      </c>
      <c r="Y350" s="43">
        <f>[2]ASB!DC8</f>
        <v>79</v>
      </c>
      <c r="Z350" s="43">
        <f>[2]ASB!DD8</f>
        <v>68</v>
      </c>
      <c r="AA350" s="43">
        <f>[2]ASB!DE8</f>
        <v>55</v>
      </c>
      <c r="AB350" s="43">
        <f>[2]ASB!DF8</f>
        <v>86</v>
      </c>
      <c r="AC350" s="43">
        <f>[2]ASB!DG8</f>
        <v>73</v>
      </c>
      <c r="AD350" s="43">
        <f>[2]ASB!DH8</f>
        <v>77</v>
      </c>
      <c r="AE350" s="43">
        <f>[2]ASB!DI8</f>
        <v>59</v>
      </c>
      <c r="AF350" s="43">
        <f>[2]ASB!DJ8</f>
        <v>51</v>
      </c>
      <c r="AG350" s="43">
        <f>[2]ASB!DK8</f>
        <v>77</v>
      </c>
      <c r="AH350" s="43">
        <f>[2]ASB!DL8</f>
        <v>49</v>
      </c>
      <c r="AI350" s="43">
        <f>[2]ASB!DM8</f>
        <v>97</v>
      </c>
      <c r="AJ350" s="43">
        <f>[2]ASB!DN8</f>
        <v>48</v>
      </c>
      <c r="AK350" s="43">
        <f>[2]ASB!DO8</f>
        <v>54</v>
      </c>
      <c r="AL350" s="43">
        <f>[2]ASB!DP8</f>
        <v>62</v>
      </c>
      <c r="AM350" s="43">
        <f>[2]ASB!DQ8</f>
        <v>60</v>
      </c>
      <c r="AN350" s="43">
        <f>[2]ASB!DR8</f>
        <v>61</v>
      </c>
      <c r="AO350" s="43">
        <f>[2]ASB!DS8</f>
        <v>74</v>
      </c>
      <c r="AP350" s="43">
        <f>[2]ASB!DT8</f>
        <v>55</v>
      </c>
      <c r="AQ350" s="43">
        <f>[2]ASB!DU8</f>
        <v>75</v>
      </c>
      <c r="AR350" s="43">
        <f>[2]ASB!DV8</f>
        <v>71</v>
      </c>
      <c r="AS350" s="43">
        <f>[2]ASB!DW8</f>
        <v>36</v>
      </c>
      <c r="AT350" s="43">
        <f>[2]ASB!DX8</f>
        <v>64</v>
      </c>
      <c r="AU350" s="43">
        <f>[2]ASB!DY8</f>
        <v>40</v>
      </c>
      <c r="AV350" s="43">
        <f>[2]ASB!DZ8</f>
        <v>36</v>
      </c>
      <c r="AW350" s="43">
        <f>[2]ASB!EA8</f>
        <v>41</v>
      </c>
      <c r="AX350" s="43">
        <f>[2]ASB!EB8</f>
        <v>49</v>
      </c>
      <c r="AY350" s="43">
        <f>[2]ASB!EC8</f>
        <v>34</v>
      </c>
    </row>
    <row r="351" spans="3:51" x14ac:dyDescent="0.35">
      <c r="C351" s="28"/>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row>
    <row r="352" spans="3:51" x14ac:dyDescent="0.35">
      <c r="C352" s="28"/>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row>
    <row r="353" spans="3:51" x14ac:dyDescent="0.35">
      <c r="C353" s="371" t="s">
        <v>115</v>
      </c>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row>
    <row r="354" spans="3:51" x14ac:dyDescent="0.35">
      <c r="C354" s="372"/>
      <c r="D354" s="41">
        <v>44287</v>
      </c>
      <c r="E354" s="41">
        <v>44317</v>
      </c>
      <c r="F354" s="41">
        <v>44348</v>
      </c>
      <c r="G354" s="41">
        <v>44378</v>
      </c>
      <c r="H354" s="41">
        <v>44409</v>
      </c>
      <c r="I354" s="41">
        <v>44440</v>
      </c>
      <c r="J354" s="41">
        <v>44470</v>
      </c>
      <c r="K354" s="41">
        <v>44501</v>
      </c>
      <c r="L354" s="41">
        <v>44531</v>
      </c>
      <c r="M354" s="41">
        <v>44562</v>
      </c>
      <c r="N354" s="41">
        <v>44593</v>
      </c>
      <c r="O354" s="41">
        <v>44621</v>
      </c>
      <c r="P354" s="39">
        <v>44652</v>
      </c>
      <c r="Q354" s="39">
        <v>44682</v>
      </c>
      <c r="R354" s="39">
        <v>44713</v>
      </c>
      <c r="S354" s="39">
        <v>44743</v>
      </c>
      <c r="T354" s="39">
        <v>44774</v>
      </c>
      <c r="U354" s="39">
        <v>44805</v>
      </c>
      <c r="V354" s="39">
        <v>44835</v>
      </c>
      <c r="W354" s="39">
        <v>44866</v>
      </c>
      <c r="X354" s="39">
        <v>44896</v>
      </c>
      <c r="Y354" s="39">
        <v>44927</v>
      </c>
      <c r="Z354" s="39">
        <v>44958</v>
      </c>
      <c r="AA354" s="39">
        <v>44986</v>
      </c>
      <c r="AB354" s="39">
        <v>45017</v>
      </c>
      <c r="AC354" s="39">
        <v>45047</v>
      </c>
      <c r="AD354" s="39">
        <v>45078</v>
      </c>
      <c r="AE354" s="39">
        <v>45108</v>
      </c>
      <c r="AF354" s="39">
        <v>45139</v>
      </c>
      <c r="AG354" s="39">
        <v>45170</v>
      </c>
      <c r="AH354" s="39">
        <v>45200</v>
      </c>
      <c r="AI354" s="39">
        <v>45231</v>
      </c>
      <c r="AJ354" s="39">
        <v>45261</v>
      </c>
      <c r="AK354" s="39">
        <v>45292</v>
      </c>
      <c r="AL354" s="39">
        <v>45323</v>
      </c>
      <c r="AM354" s="39">
        <v>45352</v>
      </c>
      <c r="AN354" s="39">
        <v>45383</v>
      </c>
      <c r="AO354" s="39">
        <v>45413</v>
      </c>
      <c r="AP354" s="39">
        <v>45444</v>
      </c>
      <c r="AQ354" s="39">
        <v>45474</v>
      </c>
      <c r="AR354" s="39">
        <v>45505</v>
      </c>
      <c r="AS354" s="39">
        <v>45536</v>
      </c>
      <c r="AT354" s="39">
        <v>45566</v>
      </c>
      <c r="AU354" s="39">
        <v>45597</v>
      </c>
      <c r="AV354" s="39">
        <v>45627</v>
      </c>
      <c r="AW354" s="39">
        <v>45658</v>
      </c>
      <c r="AX354" s="39">
        <v>45689</v>
      </c>
      <c r="AY354" s="39">
        <v>45717</v>
      </c>
    </row>
    <row r="355" spans="3:51" x14ac:dyDescent="0.35">
      <c r="C355" s="373" t="s">
        <v>128</v>
      </c>
      <c r="D355" s="43">
        <f>[2]ASB!CH13</f>
        <v>174</v>
      </c>
      <c r="E355" s="43">
        <f>[2]ASB!CI13</f>
        <v>122</v>
      </c>
      <c r="F355" s="43">
        <f>[2]ASB!CJ13</f>
        <v>151</v>
      </c>
      <c r="G355" s="43">
        <f>[2]ASB!CK13</f>
        <v>108</v>
      </c>
      <c r="H355" s="43">
        <f>[2]ASB!CL13</f>
        <v>97</v>
      </c>
      <c r="I355" s="43">
        <f>[2]ASB!CM13</f>
        <v>93</v>
      </c>
      <c r="J355" s="43">
        <f>[2]ASB!CN13</f>
        <v>110</v>
      </c>
      <c r="K355" s="43">
        <f>[2]ASB!CO13</f>
        <v>107</v>
      </c>
      <c r="L355" s="43">
        <f>[2]ASB!CP13</f>
        <v>90</v>
      </c>
      <c r="M355" s="43">
        <f>[2]ASB!CQ13</f>
        <v>106</v>
      </c>
      <c r="N355" s="43">
        <f>[2]ASB!CR13</f>
        <v>91</v>
      </c>
      <c r="O355" s="43">
        <f>[2]ASB!CS13</f>
        <v>99</v>
      </c>
      <c r="P355" s="43">
        <f>[2]ASB!CT13</f>
        <v>118</v>
      </c>
      <c r="Q355" s="43">
        <f>[2]ASB!CU13</f>
        <v>99</v>
      </c>
      <c r="R355" s="43">
        <f>[2]ASB!CV13</f>
        <v>100</v>
      </c>
      <c r="S355" s="43">
        <f>[2]ASB!CW13</f>
        <v>120</v>
      </c>
      <c r="T355" s="43">
        <f>[2]ASB!CX13</f>
        <v>110</v>
      </c>
      <c r="U355" s="43">
        <f>[2]ASB!CY13</f>
        <v>91</v>
      </c>
      <c r="V355" s="43">
        <f>[2]ASB!CZ13</f>
        <v>88</v>
      </c>
      <c r="W355" s="43">
        <f>[2]ASB!DA13</f>
        <v>57</v>
      </c>
      <c r="X355" s="43">
        <f>[2]ASB!DB13</f>
        <v>45</v>
      </c>
      <c r="Y355" s="43">
        <f>[2]ASB!DC13</f>
        <v>60</v>
      </c>
      <c r="Z355" s="43">
        <f>[2]ASB!DD13</f>
        <v>77</v>
      </c>
      <c r="AA355" s="43">
        <f>[2]ASB!DE13</f>
        <v>81</v>
      </c>
      <c r="AB355" s="43">
        <f>[2]ASB!DF13</f>
        <v>81</v>
      </c>
      <c r="AC355" s="43">
        <f>[2]ASB!DG13</f>
        <v>71</v>
      </c>
      <c r="AD355" s="43">
        <f>[2]ASB!DH13</f>
        <v>72</v>
      </c>
      <c r="AE355" s="43">
        <f>[2]ASB!DI13</f>
        <v>81</v>
      </c>
      <c r="AF355" s="43">
        <f>[2]ASB!DJ13</f>
        <v>103</v>
      </c>
      <c r="AG355" s="43">
        <f>[2]ASB!DK13</f>
        <v>95</v>
      </c>
      <c r="AH355" s="43">
        <f>[2]ASB!DL13</f>
        <v>76</v>
      </c>
      <c r="AI355" s="43">
        <f>[2]ASB!DM13</f>
        <v>58</v>
      </c>
      <c r="AJ355" s="43">
        <f>[2]ASB!DN13</f>
        <v>60</v>
      </c>
      <c r="AK355" s="43">
        <f>[2]ASB!DO13</f>
        <v>60</v>
      </c>
      <c r="AL355" s="43">
        <f>[2]ASB!DP13</f>
        <v>77</v>
      </c>
      <c r="AM355" s="43">
        <f>[2]ASB!DQ13</f>
        <v>85</v>
      </c>
      <c r="AN355" s="43">
        <f>[2]ASB!DR13</f>
        <v>95</v>
      </c>
      <c r="AO355" s="43">
        <f>[2]ASB!DS13</f>
        <v>89</v>
      </c>
      <c r="AP355" s="43">
        <f>[2]ASB!DT13</f>
        <v>91</v>
      </c>
      <c r="AQ355" s="43">
        <f>[2]ASB!DU13</f>
        <v>101</v>
      </c>
      <c r="AR355" s="43">
        <f>[2]ASB!DV13</f>
        <v>77</v>
      </c>
      <c r="AS355" s="43">
        <f>[2]ASB!DW13</f>
        <v>50</v>
      </c>
      <c r="AT355" s="43">
        <f>[2]ASB!DX13</f>
        <v>92</v>
      </c>
      <c r="AU355" s="43">
        <f>[2]ASB!DY13</f>
        <v>74</v>
      </c>
      <c r="AV355" s="43">
        <f>[2]ASB!DZ13</f>
        <v>53</v>
      </c>
      <c r="AW355" s="43">
        <f>[2]ASB!EA13</f>
        <v>55</v>
      </c>
      <c r="AX355" s="43">
        <f>[2]ASB!EB13</f>
        <v>58</v>
      </c>
      <c r="AY355" s="43">
        <f>[2]ASB!EC13</f>
        <v>89</v>
      </c>
    </row>
    <row r="356" spans="3:51" x14ac:dyDescent="0.35">
      <c r="C356" s="373" t="s">
        <v>11</v>
      </c>
      <c r="D356" s="43">
        <f>[2]ASB!CH14</f>
        <v>25</v>
      </c>
      <c r="E356" s="43">
        <f>[2]ASB!CI14</f>
        <v>19</v>
      </c>
      <c r="F356" s="43">
        <f>[2]ASB!CJ14</f>
        <v>29</v>
      </c>
      <c r="G356" s="43">
        <f>[2]ASB!CK14</f>
        <v>23</v>
      </c>
      <c r="H356" s="43">
        <f>[2]ASB!CL14</f>
        <v>17</v>
      </c>
      <c r="I356" s="43">
        <f>[2]ASB!CM14</f>
        <v>19</v>
      </c>
      <c r="J356" s="43">
        <f>[2]ASB!CN14</f>
        <v>24</v>
      </c>
      <c r="K356" s="43">
        <f>[2]ASB!CO14</f>
        <v>19</v>
      </c>
      <c r="L356" s="43">
        <f>[2]ASB!CP14</f>
        <v>19</v>
      </c>
      <c r="M356" s="43">
        <f>[2]ASB!CQ14</f>
        <v>20</v>
      </c>
      <c r="N356" s="43">
        <f>[2]ASB!CR14</f>
        <v>11</v>
      </c>
      <c r="O356" s="43">
        <f>[2]ASB!CS14</f>
        <v>25</v>
      </c>
      <c r="P356" s="43">
        <f>[2]ASB!CT14</f>
        <v>15</v>
      </c>
      <c r="Q356" s="43">
        <f>[2]ASB!CU14</f>
        <v>14</v>
      </c>
      <c r="R356" s="43">
        <f>[2]ASB!CV14</f>
        <v>25</v>
      </c>
      <c r="S356" s="43">
        <f>[2]ASB!CW14</f>
        <v>21</v>
      </c>
      <c r="T356" s="43">
        <f>[2]ASB!CX14</f>
        <v>24</v>
      </c>
      <c r="U356" s="43">
        <f>[2]ASB!CY14</f>
        <v>17</v>
      </c>
      <c r="V356" s="43">
        <f>[2]ASB!CZ14</f>
        <v>12</v>
      </c>
      <c r="W356" s="43">
        <f>[2]ASB!DA14</f>
        <v>12</v>
      </c>
      <c r="X356" s="43">
        <f>[2]ASB!DB14</f>
        <v>15</v>
      </c>
      <c r="Y356" s="43">
        <f>[2]ASB!DC14</f>
        <v>11</v>
      </c>
      <c r="Z356" s="43">
        <f>[2]ASB!DD14</f>
        <v>14</v>
      </c>
      <c r="AA356" s="43">
        <f>[2]ASB!DE14</f>
        <v>13</v>
      </c>
      <c r="AB356" s="43">
        <f>[2]ASB!DF14</f>
        <v>12</v>
      </c>
      <c r="AC356" s="43">
        <f>[2]ASB!DG14</f>
        <v>9</v>
      </c>
      <c r="AD356" s="43">
        <f>[2]ASB!DH14</f>
        <v>13</v>
      </c>
      <c r="AE356" s="43">
        <f>[2]ASB!DI14</f>
        <v>18</v>
      </c>
      <c r="AF356" s="43">
        <f>[2]ASB!DJ14</f>
        <v>12</v>
      </c>
      <c r="AG356" s="43">
        <f>[2]ASB!DK14</f>
        <v>27</v>
      </c>
      <c r="AH356" s="43">
        <f>[2]ASB!DL14</f>
        <v>20</v>
      </c>
      <c r="AI356" s="43">
        <f>[2]ASB!DM14</f>
        <v>12</v>
      </c>
      <c r="AJ356" s="43">
        <f>[2]ASB!DN14</f>
        <v>8</v>
      </c>
      <c r="AK356" s="43">
        <f>[2]ASB!DO14</f>
        <v>19</v>
      </c>
      <c r="AL356" s="43">
        <f>[2]ASB!DP14</f>
        <v>30</v>
      </c>
      <c r="AM356" s="43">
        <f>[2]ASB!DQ14</f>
        <v>31</v>
      </c>
      <c r="AN356" s="43">
        <f>[2]ASB!DR14</f>
        <v>31</v>
      </c>
      <c r="AO356" s="43">
        <f>[2]ASB!DS14</f>
        <v>23</v>
      </c>
      <c r="AP356" s="43">
        <f>[2]ASB!DT14</f>
        <v>35</v>
      </c>
      <c r="AQ356" s="43">
        <f>[2]ASB!DU14</f>
        <v>29</v>
      </c>
      <c r="AR356" s="43">
        <f>[2]ASB!DV14</f>
        <v>22</v>
      </c>
      <c r="AS356" s="43">
        <f>[2]ASB!DW14</f>
        <v>14</v>
      </c>
      <c r="AT356" s="43">
        <f>[2]ASB!DX14</f>
        <v>36</v>
      </c>
      <c r="AU356" s="43">
        <f>[2]ASB!DY14</f>
        <v>26</v>
      </c>
      <c r="AV356" s="43">
        <f>[2]ASB!DZ14</f>
        <v>17</v>
      </c>
      <c r="AW356" s="43">
        <f>[2]ASB!EA14</f>
        <v>15</v>
      </c>
      <c r="AX356" s="43">
        <f>[2]ASB!EB14</f>
        <v>17</v>
      </c>
      <c r="AY356" s="43">
        <f>[2]ASB!EC14</f>
        <v>28</v>
      </c>
    </row>
    <row r="357" spans="3:51" x14ac:dyDescent="0.35">
      <c r="C357" s="373" t="s">
        <v>129</v>
      </c>
      <c r="D357" s="43">
        <f>[2]ASB!CH15</f>
        <v>126</v>
      </c>
      <c r="E357" s="43">
        <f>[2]ASB!CI15</f>
        <v>91</v>
      </c>
      <c r="F357" s="43">
        <f>[2]ASB!CJ15</f>
        <v>96</v>
      </c>
      <c r="G357" s="43">
        <f>[2]ASB!CK15</f>
        <v>74</v>
      </c>
      <c r="H357" s="43">
        <f>[2]ASB!CL15</f>
        <v>73</v>
      </c>
      <c r="I357" s="43">
        <f>[2]ASB!CM15</f>
        <v>67</v>
      </c>
      <c r="J357" s="43">
        <f>[2]ASB!CN15</f>
        <v>69</v>
      </c>
      <c r="K357" s="43">
        <f>[2]ASB!CO15</f>
        <v>81</v>
      </c>
      <c r="L357" s="43">
        <f>[2]ASB!CP15</f>
        <v>57</v>
      </c>
      <c r="M357" s="43">
        <f>[2]ASB!CQ15</f>
        <v>74</v>
      </c>
      <c r="N357" s="43">
        <f>[2]ASB!CR15</f>
        <v>67</v>
      </c>
      <c r="O357" s="43">
        <f>[2]ASB!CS15</f>
        <v>62</v>
      </c>
      <c r="P357" s="43">
        <f>[2]ASB!CT15</f>
        <v>96</v>
      </c>
      <c r="Q357" s="43">
        <f>[2]ASB!CU15</f>
        <v>74</v>
      </c>
      <c r="R357" s="43">
        <f>[2]ASB!CV15</f>
        <v>68</v>
      </c>
      <c r="S357" s="43">
        <f>[2]ASB!CW15</f>
        <v>88</v>
      </c>
      <c r="T357" s="43">
        <f>[2]ASB!CX15</f>
        <v>76</v>
      </c>
      <c r="U357" s="43">
        <f>[2]ASB!CY15</f>
        <v>62</v>
      </c>
      <c r="V357" s="43">
        <f>[2]ASB!CZ15</f>
        <v>67</v>
      </c>
      <c r="W357" s="43">
        <f>[2]ASB!DA15</f>
        <v>36</v>
      </c>
      <c r="X357" s="43">
        <f>[2]ASB!DB15</f>
        <v>28</v>
      </c>
      <c r="Y357" s="43">
        <f>[2]ASB!DC15</f>
        <v>43</v>
      </c>
      <c r="Z357" s="43">
        <f>[2]ASB!DD15</f>
        <v>52</v>
      </c>
      <c r="AA357" s="43">
        <f>[2]ASB!DE15</f>
        <v>61</v>
      </c>
      <c r="AB357" s="43">
        <f>[2]ASB!DF15</f>
        <v>60</v>
      </c>
      <c r="AC357" s="43">
        <f>[2]ASB!DG15</f>
        <v>53</v>
      </c>
      <c r="AD357" s="43">
        <f>[2]ASB!DH15</f>
        <v>49</v>
      </c>
      <c r="AE357" s="43">
        <f>[2]ASB!DI15</f>
        <v>57</v>
      </c>
      <c r="AF357" s="43">
        <f>[2]ASB!DJ15</f>
        <v>84</v>
      </c>
      <c r="AG357" s="43">
        <f>[2]ASB!DK15</f>
        <v>60</v>
      </c>
      <c r="AH357" s="43">
        <f>[2]ASB!DL15</f>
        <v>55</v>
      </c>
      <c r="AI357" s="43">
        <f>[2]ASB!DM15</f>
        <v>32</v>
      </c>
      <c r="AJ357" s="43">
        <f>[2]ASB!DN15</f>
        <v>49</v>
      </c>
      <c r="AK357" s="43">
        <f>[2]ASB!DO15</f>
        <v>33</v>
      </c>
      <c r="AL357" s="43">
        <f>[2]ASB!DP15</f>
        <v>40</v>
      </c>
      <c r="AM357" s="43">
        <f>[2]ASB!DQ15</f>
        <v>47</v>
      </c>
      <c r="AN357" s="43">
        <f>[2]ASB!DR15</f>
        <v>56</v>
      </c>
      <c r="AO357" s="43">
        <f>[2]ASB!DS15</f>
        <v>59</v>
      </c>
      <c r="AP357" s="43">
        <f>[2]ASB!DT15</f>
        <v>43</v>
      </c>
      <c r="AQ357" s="43">
        <f>[2]ASB!DU15</f>
        <v>61</v>
      </c>
      <c r="AR357" s="43">
        <f>[2]ASB!DV15</f>
        <v>44</v>
      </c>
      <c r="AS357" s="43">
        <f>[2]ASB!DW15</f>
        <v>33</v>
      </c>
      <c r="AT357" s="43">
        <f>[2]ASB!DX15</f>
        <v>51</v>
      </c>
      <c r="AU357" s="43">
        <f>[2]ASB!DY15</f>
        <v>42</v>
      </c>
      <c r="AV357" s="43">
        <f>[2]ASB!DZ15</f>
        <v>29</v>
      </c>
      <c r="AW357" s="43">
        <f>[2]ASB!EA15</f>
        <v>35</v>
      </c>
      <c r="AX357" s="43">
        <f>[2]ASB!EB15</f>
        <v>33</v>
      </c>
      <c r="AY357" s="43">
        <f>[2]ASB!EC15</f>
        <v>52</v>
      </c>
    </row>
    <row r="358" spans="3:51" x14ac:dyDescent="0.35">
      <c r="C358" s="373" t="s">
        <v>13</v>
      </c>
      <c r="D358" s="43">
        <f>[2]ASB!CH16</f>
        <v>23</v>
      </c>
      <c r="E358" s="43">
        <f>[2]ASB!CI16</f>
        <v>12</v>
      </c>
      <c r="F358" s="43">
        <f>[2]ASB!CJ16</f>
        <v>26</v>
      </c>
      <c r="G358" s="43">
        <f>[2]ASB!CK16</f>
        <v>11</v>
      </c>
      <c r="H358" s="43">
        <f>[2]ASB!CL16</f>
        <v>7</v>
      </c>
      <c r="I358" s="43">
        <f>[2]ASB!CM16</f>
        <v>7</v>
      </c>
      <c r="J358" s="43">
        <f>[2]ASB!CN16</f>
        <v>17</v>
      </c>
      <c r="K358" s="43">
        <f>[2]ASB!CO16</f>
        <v>7</v>
      </c>
      <c r="L358" s="43">
        <f>[2]ASB!CP16</f>
        <v>14</v>
      </c>
      <c r="M358" s="43">
        <f>[2]ASB!CQ16</f>
        <v>12</v>
      </c>
      <c r="N358" s="43">
        <f>[2]ASB!CR16</f>
        <v>13</v>
      </c>
      <c r="O358" s="43">
        <f>[2]ASB!CS16</f>
        <v>12</v>
      </c>
      <c r="P358" s="43">
        <f>[2]ASB!CT16</f>
        <v>7</v>
      </c>
      <c r="Q358" s="43">
        <f>[2]ASB!CU16</f>
        <v>11</v>
      </c>
      <c r="R358" s="43">
        <f>[2]ASB!CV16</f>
        <v>7</v>
      </c>
      <c r="S358" s="43">
        <f>[2]ASB!CW16</f>
        <v>11</v>
      </c>
      <c r="T358" s="43">
        <f>[2]ASB!CX16</f>
        <v>10</v>
      </c>
      <c r="U358" s="43">
        <f>[2]ASB!CY16</f>
        <v>12</v>
      </c>
      <c r="V358" s="43">
        <f>[2]ASB!CZ16</f>
        <v>9</v>
      </c>
      <c r="W358" s="43">
        <f>[2]ASB!DA16</f>
        <v>9</v>
      </c>
      <c r="X358" s="43">
        <f>[2]ASB!DB16</f>
        <v>2</v>
      </c>
      <c r="Y358" s="43">
        <f>[2]ASB!DC16</f>
        <v>6</v>
      </c>
      <c r="Z358" s="43">
        <f>[2]ASB!DD16</f>
        <v>11</v>
      </c>
      <c r="AA358" s="43">
        <f>[2]ASB!DE16</f>
        <v>7</v>
      </c>
      <c r="AB358" s="43">
        <f>[2]ASB!DF16</f>
        <v>9</v>
      </c>
      <c r="AC358" s="43">
        <f>[2]ASB!DG16</f>
        <v>9</v>
      </c>
      <c r="AD358" s="43">
        <f>[2]ASB!DH16</f>
        <v>10</v>
      </c>
      <c r="AE358" s="43">
        <f>[2]ASB!DI16</f>
        <v>6</v>
      </c>
      <c r="AF358" s="43">
        <f>[2]ASB!DJ16</f>
        <v>7</v>
      </c>
      <c r="AG358" s="43">
        <f>[2]ASB!DK16</f>
        <v>8</v>
      </c>
      <c r="AH358" s="43">
        <f>[2]ASB!DL16</f>
        <v>1</v>
      </c>
      <c r="AI358" s="43">
        <f>[2]ASB!DM16</f>
        <v>14</v>
      </c>
      <c r="AJ358" s="43">
        <f>[2]ASB!DN16</f>
        <v>3</v>
      </c>
      <c r="AK358" s="43">
        <f>[2]ASB!DO16</f>
        <v>8</v>
      </c>
      <c r="AL358" s="43">
        <f>[2]ASB!DP16</f>
        <v>7</v>
      </c>
      <c r="AM358" s="43">
        <f>[2]ASB!DQ16</f>
        <v>7</v>
      </c>
      <c r="AN358" s="43">
        <f>[2]ASB!DR16</f>
        <v>8</v>
      </c>
      <c r="AO358" s="43">
        <f>[2]ASB!DS16</f>
        <v>7</v>
      </c>
      <c r="AP358" s="43">
        <f>[2]ASB!DT16</f>
        <v>13</v>
      </c>
      <c r="AQ358" s="43">
        <f>[2]ASB!DU16</f>
        <v>11</v>
      </c>
      <c r="AR358" s="43">
        <f>[2]ASB!DV16</f>
        <v>11</v>
      </c>
      <c r="AS358" s="43">
        <f>[2]ASB!DW16</f>
        <v>3</v>
      </c>
      <c r="AT358" s="43">
        <f>[2]ASB!DX16</f>
        <v>5</v>
      </c>
      <c r="AU358" s="43">
        <f>[2]ASB!DY16</f>
        <v>6</v>
      </c>
      <c r="AV358" s="43">
        <f>[2]ASB!DZ16</f>
        <v>7</v>
      </c>
      <c r="AW358" s="43">
        <f>[2]ASB!EA16</f>
        <v>5</v>
      </c>
      <c r="AX358" s="43">
        <f>[2]ASB!EB16</f>
        <v>8</v>
      </c>
      <c r="AY358" s="43">
        <f>[2]ASB!EC16</f>
        <v>9</v>
      </c>
    </row>
    <row r="359" spans="3:51" s="60" customFormat="1" x14ac:dyDescent="0.35">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row>
    <row r="360" spans="3:51" s="60" customFormat="1" x14ac:dyDescent="0.35">
      <c r="C360" s="62"/>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row>
    <row r="361" spans="3:51" x14ac:dyDescent="0.35">
      <c r="C361" s="374" t="s">
        <v>130</v>
      </c>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row>
    <row r="362" spans="3:51" s="60" customFormat="1" x14ac:dyDescent="0.35">
      <c r="C362" s="375"/>
      <c r="D362" s="41">
        <v>44287</v>
      </c>
      <c r="E362" s="41">
        <v>44317</v>
      </c>
      <c r="F362" s="41">
        <v>44348</v>
      </c>
      <c r="G362" s="41">
        <v>44378</v>
      </c>
      <c r="H362" s="41">
        <v>44409</v>
      </c>
      <c r="I362" s="41">
        <v>44440</v>
      </c>
      <c r="J362" s="41">
        <v>44470</v>
      </c>
      <c r="K362" s="41">
        <v>44501</v>
      </c>
      <c r="L362" s="41">
        <v>44531</v>
      </c>
      <c r="M362" s="41">
        <v>44562</v>
      </c>
      <c r="N362" s="41">
        <v>44593</v>
      </c>
      <c r="O362" s="41">
        <v>44621</v>
      </c>
      <c r="P362" s="39">
        <v>44652</v>
      </c>
      <c r="Q362" s="39">
        <v>44682</v>
      </c>
      <c r="R362" s="39">
        <v>44713</v>
      </c>
      <c r="S362" s="39">
        <v>44743</v>
      </c>
      <c r="T362" s="39">
        <v>44774</v>
      </c>
      <c r="U362" s="39">
        <v>44805</v>
      </c>
      <c r="V362" s="39">
        <v>44835</v>
      </c>
      <c r="W362" s="39">
        <v>44866</v>
      </c>
      <c r="X362" s="39">
        <v>44896</v>
      </c>
      <c r="Y362" s="39">
        <v>44927</v>
      </c>
      <c r="Z362" s="39">
        <v>44958</v>
      </c>
      <c r="AA362" s="39">
        <v>44986</v>
      </c>
      <c r="AB362" s="39">
        <v>45017</v>
      </c>
      <c r="AC362" s="39">
        <v>45047</v>
      </c>
      <c r="AD362" s="39">
        <v>45078</v>
      </c>
      <c r="AE362" s="39">
        <v>45108</v>
      </c>
      <c r="AF362" s="39">
        <v>45139</v>
      </c>
      <c r="AG362" s="39">
        <v>45170</v>
      </c>
      <c r="AH362" s="39">
        <v>45200</v>
      </c>
      <c r="AI362" s="39">
        <v>45231</v>
      </c>
      <c r="AJ362" s="39">
        <v>45261</v>
      </c>
      <c r="AK362" s="39">
        <v>45292</v>
      </c>
      <c r="AL362" s="39">
        <v>45323</v>
      </c>
      <c r="AM362" s="39">
        <v>45352</v>
      </c>
      <c r="AN362" s="39">
        <v>45383</v>
      </c>
      <c r="AO362" s="39">
        <v>45413</v>
      </c>
      <c r="AP362" s="39">
        <v>45444</v>
      </c>
      <c r="AQ362" s="39">
        <v>45474</v>
      </c>
      <c r="AR362" s="39">
        <v>45505</v>
      </c>
      <c r="AS362" s="39">
        <v>45536</v>
      </c>
      <c r="AT362" s="39">
        <v>45566</v>
      </c>
      <c r="AU362" s="39">
        <v>45597</v>
      </c>
      <c r="AV362" s="39">
        <v>45627</v>
      </c>
      <c r="AW362" s="39">
        <v>45658</v>
      </c>
      <c r="AX362" s="39">
        <v>45689</v>
      </c>
      <c r="AY362" s="39">
        <v>45717</v>
      </c>
    </row>
    <row r="363" spans="3:51" x14ac:dyDescent="0.35">
      <c r="C363" s="362" t="s">
        <v>128</v>
      </c>
      <c r="D363" s="43">
        <f>[2]ASB!CH21</f>
        <v>377</v>
      </c>
      <c r="E363" s="43">
        <f>[2]ASB!CI21</f>
        <v>303</v>
      </c>
      <c r="F363" s="43">
        <f>[2]ASB!CJ21</f>
        <v>354</v>
      </c>
      <c r="G363" s="43">
        <f>[2]ASB!CK21</f>
        <v>371</v>
      </c>
      <c r="H363" s="43">
        <f>[2]ASB!CL21</f>
        <v>319</v>
      </c>
      <c r="I363" s="43">
        <f>[2]ASB!CM21</f>
        <v>288</v>
      </c>
      <c r="J363" s="43">
        <f>[2]ASB!CN21</f>
        <v>320</v>
      </c>
      <c r="K363" s="43">
        <f>[2]ASB!CO21</f>
        <v>278</v>
      </c>
      <c r="L363" s="43">
        <f>[2]ASB!CP21</f>
        <v>264</v>
      </c>
      <c r="M363" s="43">
        <f>[2]ASB!CQ21</f>
        <v>281</v>
      </c>
      <c r="N363" s="43">
        <f>[2]ASB!CR21</f>
        <v>282</v>
      </c>
      <c r="O363" s="43">
        <f>[2]ASB!CS21</f>
        <v>313</v>
      </c>
      <c r="P363" s="43">
        <f>[2]ASB!CT21</f>
        <v>320</v>
      </c>
      <c r="Q363" s="43">
        <f>[2]ASB!CU21</f>
        <v>317</v>
      </c>
      <c r="R363" s="43">
        <f>[2]ASB!CV21</f>
        <v>295</v>
      </c>
      <c r="S363" s="43">
        <f>[2]ASB!CW21</f>
        <v>274</v>
      </c>
      <c r="T363" s="43">
        <f>[2]ASB!CX21</f>
        <v>292</v>
      </c>
      <c r="U363" s="43">
        <f>[2]ASB!CY21</f>
        <v>233</v>
      </c>
      <c r="V363" s="43">
        <f>[2]ASB!CZ21</f>
        <v>223</v>
      </c>
      <c r="W363" s="43">
        <f>[2]ASB!DA21</f>
        <v>191</v>
      </c>
      <c r="X363" s="43">
        <f>[2]ASB!DB21</f>
        <v>160</v>
      </c>
      <c r="Y363" s="43">
        <f>[2]ASB!DC21</f>
        <v>179</v>
      </c>
      <c r="Z363" s="43">
        <f>[2]ASB!DD21</f>
        <v>230</v>
      </c>
      <c r="AA363" s="43">
        <f>[2]ASB!DE21</f>
        <v>225</v>
      </c>
      <c r="AB363" s="43">
        <f>[2]ASB!DF21</f>
        <v>260</v>
      </c>
      <c r="AC363" s="43">
        <f>[2]ASB!DG21</f>
        <v>221</v>
      </c>
      <c r="AD363" s="43">
        <f>[2]ASB!DH21</f>
        <v>215</v>
      </c>
      <c r="AE363" s="43">
        <f>[2]ASB!DI21</f>
        <v>224</v>
      </c>
      <c r="AF363" s="43">
        <f>[2]ASB!DJ21</f>
        <v>249</v>
      </c>
      <c r="AG363" s="43">
        <f>[2]ASB!DK21</f>
        <v>236</v>
      </c>
      <c r="AH363" s="43">
        <f>[2]ASB!DL21</f>
        <v>150</v>
      </c>
      <c r="AI363" s="43">
        <f>[2]ASB!DM21</f>
        <v>144</v>
      </c>
      <c r="AJ363" s="43">
        <f>[2]ASB!DN21</f>
        <v>163</v>
      </c>
      <c r="AK363" s="43">
        <f>[2]ASB!DO21</f>
        <v>171</v>
      </c>
      <c r="AL363" s="43">
        <f>[2]ASB!DP21</f>
        <v>170</v>
      </c>
      <c r="AM363" s="43">
        <f>[2]ASB!DQ21</f>
        <v>173</v>
      </c>
      <c r="AN363" s="43">
        <f>[2]ASB!DR21</f>
        <v>242</v>
      </c>
      <c r="AO363" s="43">
        <f>[2]ASB!DS21</f>
        <v>295</v>
      </c>
      <c r="AP363" s="43">
        <f>[2]ASB!DT21</f>
        <v>256</v>
      </c>
      <c r="AQ363" s="43">
        <f>[2]ASB!DU21</f>
        <v>254</v>
      </c>
      <c r="AR363" s="43">
        <f>[2]ASB!DV21</f>
        <v>275</v>
      </c>
      <c r="AS363" s="43">
        <f>[2]ASB!DW21</f>
        <v>249</v>
      </c>
      <c r="AT363" s="43">
        <f>[2]ASB!DX21</f>
        <v>231</v>
      </c>
      <c r="AU363" s="43">
        <f>[2]ASB!DY21</f>
        <v>198</v>
      </c>
      <c r="AV363" s="43">
        <f>[2]ASB!DZ21</f>
        <v>176</v>
      </c>
      <c r="AW363" s="43">
        <f>[2]ASB!EA21</f>
        <v>195</v>
      </c>
      <c r="AX363" s="43">
        <f>[2]ASB!EB21</f>
        <v>204</v>
      </c>
      <c r="AY363" s="43">
        <f>[2]ASB!EC21</f>
        <v>281</v>
      </c>
    </row>
    <row r="364" spans="3:51" x14ac:dyDescent="0.35">
      <c r="C364" s="362" t="s">
        <v>11</v>
      </c>
      <c r="D364" s="43">
        <f>[2]ASB!CH22</f>
        <v>45</v>
      </c>
      <c r="E364" s="43">
        <f>[2]ASB!CI22</f>
        <v>52</v>
      </c>
      <c r="F364" s="43">
        <f>[2]ASB!CJ22</f>
        <v>69</v>
      </c>
      <c r="G364" s="43">
        <f>[2]ASB!CK22</f>
        <v>57</v>
      </c>
      <c r="H364" s="43">
        <f>[2]ASB!CL22</f>
        <v>54</v>
      </c>
      <c r="I364" s="43">
        <f>[2]ASB!CM22</f>
        <v>47</v>
      </c>
      <c r="J364" s="43">
        <f>[2]ASB!CN22</f>
        <v>47</v>
      </c>
      <c r="K364" s="43">
        <f>[2]ASB!CO22</f>
        <v>41</v>
      </c>
      <c r="L364" s="43">
        <f>[2]ASB!CP22</f>
        <v>42</v>
      </c>
      <c r="M364" s="43">
        <f>[2]ASB!CQ22</f>
        <v>43</v>
      </c>
      <c r="N364" s="43">
        <f>[2]ASB!CR22</f>
        <v>47</v>
      </c>
      <c r="O364" s="43">
        <f>[2]ASB!CS22</f>
        <v>62</v>
      </c>
      <c r="P364" s="43">
        <f>[2]ASB!CT22</f>
        <v>37</v>
      </c>
      <c r="Q364" s="43">
        <f>[2]ASB!CU22</f>
        <v>54</v>
      </c>
      <c r="R364" s="43">
        <f>[2]ASB!CV22</f>
        <v>48</v>
      </c>
      <c r="S364" s="43">
        <f>[2]ASB!CW22</f>
        <v>34</v>
      </c>
      <c r="T364" s="43">
        <f>[2]ASB!CX22</f>
        <v>52</v>
      </c>
      <c r="U364" s="43">
        <f>[2]ASB!CY22</f>
        <v>42</v>
      </c>
      <c r="V364" s="43">
        <f>[2]ASB!CZ22</f>
        <v>35</v>
      </c>
      <c r="W364" s="43">
        <f>[2]ASB!DA22</f>
        <v>28</v>
      </c>
      <c r="X364" s="43">
        <f>[2]ASB!DB22</f>
        <v>24</v>
      </c>
      <c r="Y364" s="43">
        <f>[2]ASB!DC22</f>
        <v>26</v>
      </c>
      <c r="Z364" s="43">
        <f>[2]ASB!DD22</f>
        <v>34</v>
      </c>
      <c r="AA364" s="43">
        <f>[2]ASB!DE22</f>
        <v>36</v>
      </c>
      <c r="AB364" s="43">
        <f>[2]ASB!DF22</f>
        <v>30</v>
      </c>
      <c r="AC364" s="43">
        <f>[2]ASB!DG22</f>
        <v>35</v>
      </c>
      <c r="AD364" s="43">
        <f>[2]ASB!DH22</f>
        <v>36</v>
      </c>
      <c r="AE364" s="43">
        <f>[2]ASB!DI22</f>
        <v>38</v>
      </c>
      <c r="AF364" s="43">
        <f>[2]ASB!DJ22</f>
        <v>52</v>
      </c>
      <c r="AG364" s="43">
        <f>[2]ASB!DK22</f>
        <v>49</v>
      </c>
      <c r="AH364" s="43">
        <f>[2]ASB!DL22</f>
        <v>38</v>
      </c>
      <c r="AI364" s="43">
        <f>[2]ASB!DM22</f>
        <v>39</v>
      </c>
      <c r="AJ364" s="43">
        <f>[2]ASB!DN22</f>
        <v>46</v>
      </c>
      <c r="AK364" s="43">
        <f>[2]ASB!DO22</f>
        <v>43</v>
      </c>
      <c r="AL364" s="43">
        <f>[2]ASB!DP22</f>
        <v>45</v>
      </c>
      <c r="AM364" s="43">
        <f>[2]ASB!DQ22</f>
        <v>46</v>
      </c>
      <c r="AN364" s="43">
        <f>[2]ASB!DR22</f>
        <v>63</v>
      </c>
      <c r="AO364" s="43">
        <f>[2]ASB!DS22</f>
        <v>71</v>
      </c>
      <c r="AP364" s="43">
        <f>[2]ASB!DT22</f>
        <v>69</v>
      </c>
      <c r="AQ364" s="43">
        <f>[2]ASB!DU22</f>
        <v>64</v>
      </c>
      <c r="AR364" s="43">
        <f>[2]ASB!DV22</f>
        <v>66</v>
      </c>
      <c r="AS364" s="43">
        <f>[2]ASB!DW22</f>
        <v>60</v>
      </c>
      <c r="AT364" s="43">
        <f>[2]ASB!DX22</f>
        <v>55</v>
      </c>
      <c r="AU364" s="43">
        <f>[2]ASB!DY22</f>
        <v>47</v>
      </c>
      <c r="AV364" s="43">
        <f>[2]ASB!DZ22</f>
        <v>50</v>
      </c>
      <c r="AW364" s="43">
        <f>[2]ASB!EA22</f>
        <v>47</v>
      </c>
      <c r="AX364" s="43">
        <f>[2]ASB!EB22</f>
        <v>50</v>
      </c>
      <c r="AY364" s="43">
        <f>[2]ASB!EC22</f>
        <v>50</v>
      </c>
    </row>
    <row r="365" spans="3:51" x14ac:dyDescent="0.35">
      <c r="C365" s="362" t="s">
        <v>129</v>
      </c>
      <c r="D365" s="43">
        <f>[2]ASB!CH23</f>
        <v>279</v>
      </c>
      <c r="E365" s="43">
        <f>[2]ASB!CI23</f>
        <v>224</v>
      </c>
      <c r="F365" s="43">
        <f>[2]ASB!CJ23</f>
        <v>245</v>
      </c>
      <c r="G365" s="43">
        <f>[2]ASB!CK23</f>
        <v>278</v>
      </c>
      <c r="H365" s="43">
        <f>[2]ASB!CL23</f>
        <v>250</v>
      </c>
      <c r="I365" s="43">
        <f>[2]ASB!CM23</f>
        <v>213</v>
      </c>
      <c r="J365" s="43">
        <f>[2]ASB!CN23</f>
        <v>243</v>
      </c>
      <c r="K365" s="43">
        <f>[2]ASB!CO23</f>
        <v>215</v>
      </c>
      <c r="L365" s="43">
        <f>[2]ASB!CP23</f>
        <v>196</v>
      </c>
      <c r="M365" s="43">
        <f>[2]ASB!CQ23</f>
        <v>210</v>
      </c>
      <c r="N365" s="43">
        <f>[2]ASB!CR23</f>
        <v>207</v>
      </c>
      <c r="O365" s="43">
        <f>[2]ASB!CS23</f>
        <v>230</v>
      </c>
      <c r="P365" s="43">
        <f>[2]ASB!CT23</f>
        <v>254</v>
      </c>
      <c r="Q365" s="43">
        <f>[2]ASB!CU23</f>
        <v>231</v>
      </c>
      <c r="R365" s="43">
        <f>[2]ASB!CV23</f>
        <v>227</v>
      </c>
      <c r="S365" s="43">
        <f>[2]ASB!CW23</f>
        <v>219</v>
      </c>
      <c r="T365" s="43">
        <f>[2]ASB!CX23</f>
        <v>209</v>
      </c>
      <c r="U365" s="43">
        <f>[2]ASB!CY23</f>
        <v>166</v>
      </c>
      <c r="V365" s="43">
        <f>[2]ASB!CZ23</f>
        <v>161</v>
      </c>
      <c r="W365" s="43">
        <f>[2]ASB!DA23</f>
        <v>144</v>
      </c>
      <c r="X365" s="43">
        <f>[2]ASB!DB23</f>
        <v>118</v>
      </c>
      <c r="Y365" s="43">
        <f>[2]ASB!DC23</f>
        <v>138</v>
      </c>
      <c r="Z365" s="43">
        <f>[2]ASB!DD23</f>
        <v>175</v>
      </c>
      <c r="AA365" s="43">
        <f>[2]ASB!DE23</f>
        <v>171</v>
      </c>
      <c r="AB365" s="43">
        <f>[2]ASB!DF23</f>
        <v>182</v>
      </c>
      <c r="AC365" s="43">
        <f>[2]ASB!DG23</f>
        <v>161</v>
      </c>
      <c r="AD365" s="43">
        <f>[2]ASB!DH23</f>
        <v>153</v>
      </c>
      <c r="AE365" s="43">
        <f>[2]ASB!DI23</f>
        <v>167</v>
      </c>
      <c r="AF365" s="43">
        <f>[2]ASB!DJ23</f>
        <v>183</v>
      </c>
      <c r="AG365" s="43">
        <f>[2]ASB!DK23</f>
        <v>153</v>
      </c>
      <c r="AH365" s="43">
        <f>[2]ASB!DL23</f>
        <v>101</v>
      </c>
      <c r="AI365" s="43">
        <f>[2]ASB!DM23</f>
        <v>79</v>
      </c>
      <c r="AJ365" s="43">
        <f>[2]ASB!DN23</f>
        <v>104</v>
      </c>
      <c r="AK365" s="43">
        <f>[2]ASB!DO23</f>
        <v>113</v>
      </c>
      <c r="AL365" s="43">
        <f>[2]ASB!DP23</f>
        <v>113</v>
      </c>
      <c r="AM365" s="43">
        <f>[2]ASB!DQ23</f>
        <v>119</v>
      </c>
      <c r="AN365" s="43">
        <f>[2]ASB!DR23</f>
        <v>154</v>
      </c>
      <c r="AO365" s="43">
        <f>[2]ASB!DS23</f>
        <v>196</v>
      </c>
      <c r="AP365" s="43">
        <f>[2]ASB!DT23</f>
        <v>169</v>
      </c>
      <c r="AQ365" s="43">
        <f>[2]ASB!DU23</f>
        <v>162</v>
      </c>
      <c r="AR365" s="43">
        <f>[2]ASB!DV23</f>
        <v>191</v>
      </c>
      <c r="AS365" s="43">
        <f>[2]ASB!DW23</f>
        <v>176</v>
      </c>
      <c r="AT365" s="43">
        <f>[2]ASB!DX23</f>
        <v>151</v>
      </c>
      <c r="AU365" s="43">
        <f>[2]ASB!DY23</f>
        <v>136</v>
      </c>
      <c r="AV365" s="43">
        <f>[2]ASB!DZ23</f>
        <v>114</v>
      </c>
      <c r="AW365" s="43">
        <f>[2]ASB!EA23</f>
        <v>132</v>
      </c>
      <c r="AX365" s="43">
        <f>[2]ASB!EB23</f>
        <v>140</v>
      </c>
      <c r="AY365" s="43">
        <f>[2]ASB!EC23</f>
        <v>216</v>
      </c>
    </row>
    <row r="366" spans="3:51" x14ac:dyDescent="0.35">
      <c r="C366" s="362" t="s">
        <v>13</v>
      </c>
      <c r="D366" s="43">
        <f>[2]ASB!CH24</f>
        <v>53</v>
      </c>
      <c r="E366" s="43">
        <f>[2]ASB!CI24</f>
        <v>27</v>
      </c>
      <c r="F366" s="43">
        <f>[2]ASB!CJ24</f>
        <v>40</v>
      </c>
      <c r="G366" s="43">
        <f>[2]ASB!CK24</f>
        <v>36</v>
      </c>
      <c r="H366" s="43">
        <f>[2]ASB!CL24</f>
        <v>15</v>
      </c>
      <c r="I366" s="43">
        <f>[2]ASB!CM24</f>
        <v>28</v>
      </c>
      <c r="J366" s="43">
        <f>[2]ASB!CN24</f>
        <v>30</v>
      </c>
      <c r="K366" s="43">
        <f>[2]ASB!CO24</f>
        <v>22</v>
      </c>
      <c r="L366" s="43">
        <f>[2]ASB!CP24</f>
        <v>26</v>
      </c>
      <c r="M366" s="43">
        <f>[2]ASB!CQ24</f>
        <v>28</v>
      </c>
      <c r="N366" s="43">
        <f>[2]ASB!CR24</f>
        <v>28</v>
      </c>
      <c r="O366" s="43">
        <f>[2]ASB!CS24</f>
        <v>21</v>
      </c>
      <c r="P366" s="43">
        <f>[2]ASB!CT24</f>
        <v>29</v>
      </c>
      <c r="Q366" s="43">
        <f>[2]ASB!CU24</f>
        <v>32</v>
      </c>
      <c r="R366" s="43">
        <f>[2]ASB!CV24</f>
        <v>20</v>
      </c>
      <c r="S366" s="43">
        <f>[2]ASB!CW24</f>
        <v>21</v>
      </c>
      <c r="T366" s="43">
        <f>[2]ASB!CX24</f>
        <v>31</v>
      </c>
      <c r="U366" s="43">
        <f>[2]ASB!CY24</f>
        <v>25</v>
      </c>
      <c r="V366" s="43">
        <f>[2]ASB!CZ24</f>
        <v>27</v>
      </c>
      <c r="W366" s="43">
        <f>[2]ASB!DA24</f>
        <v>19</v>
      </c>
      <c r="X366" s="43">
        <f>[2]ASB!DB24</f>
        <v>18</v>
      </c>
      <c r="Y366" s="43">
        <f>[2]ASB!DC24</f>
        <v>15</v>
      </c>
      <c r="Z366" s="43">
        <f>[2]ASB!DD24</f>
        <v>21</v>
      </c>
      <c r="AA366" s="43">
        <f>[2]ASB!DE24</f>
        <v>18</v>
      </c>
      <c r="AB366" s="43">
        <f>[2]ASB!DF24</f>
        <v>48</v>
      </c>
      <c r="AC366" s="43">
        <f>[2]ASB!DG24</f>
        <v>25</v>
      </c>
      <c r="AD366" s="43">
        <f>[2]ASB!DH24</f>
        <v>26</v>
      </c>
      <c r="AE366" s="43">
        <f>[2]ASB!DI24</f>
        <v>19</v>
      </c>
      <c r="AF366" s="43">
        <f>[2]ASB!DJ24</f>
        <v>14</v>
      </c>
      <c r="AG366" s="43">
        <f>[2]ASB!DK24</f>
        <v>34</v>
      </c>
      <c r="AH366" s="43">
        <f>[2]ASB!DL24</f>
        <v>11</v>
      </c>
      <c r="AI366" s="43">
        <f>[2]ASB!DM24</f>
        <v>26</v>
      </c>
      <c r="AJ366" s="43">
        <f>[2]ASB!DN24</f>
        <v>13</v>
      </c>
      <c r="AK366" s="43">
        <f>[2]ASB!DO24</f>
        <v>15</v>
      </c>
      <c r="AL366" s="43">
        <f>[2]ASB!DP24</f>
        <v>12</v>
      </c>
      <c r="AM366" s="43">
        <f>[2]ASB!DQ24</f>
        <v>8</v>
      </c>
      <c r="AN366" s="43">
        <f>[2]ASB!DR24</f>
        <v>25</v>
      </c>
      <c r="AO366" s="43">
        <f>[2]ASB!DS24</f>
        <v>28</v>
      </c>
      <c r="AP366" s="43">
        <f>[2]ASB!DT24</f>
        <v>18</v>
      </c>
      <c r="AQ366" s="43">
        <f>[2]ASB!DU24</f>
        <v>28</v>
      </c>
      <c r="AR366" s="43">
        <f>[2]ASB!DV24</f>
        <v>18</v>
      </c>
      <c r="AS366" s="43">
        <f>[2]ASB!DW24</f>
        <v>13</v>
      </c>
      <c r="AT366" s="43">
        <f>[2]ASB!DX24</f>
        <v>25</v>
      </c>
      <c r="AU366" s="43">
        <f>[2]ASB!DY24</f>
        <v>15</v>
      </c>
      <c r="AV366" s="43">
        <f>[2]ASB!DZ24</f>
        <v>12</v>
      </c>
      <c r="AW366" s="43">
        <f>[2]ASB!EA24</f>
        <v>16</v>
      </c>
      <c r="AX366" s="43">
        <f>[2]ASB!EB24</f>
        <v>14</v>
      </c>
      <c r="AY366" s="43">
        <f>[2]ASB!EC24</f>
        <v>15</v>
      </c>
    </row>
    <row r="367" spans="3:51" s="60" customFormat="1" ht="15.75" customHeight="1" x14ac:dyDescent="0.35">
      <c r="C367" s="63"/>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row>
    <row r="368" spans="3:51" s="60" customFormat="1" x14ac:dyDescent="0.35">
      <c r="C368" s="63"/>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row>
    <row r="369" spans="3:51" x14ac:dyDescent="0.35">
      <c r="C369" s="376" t="s">
        <v>59</v>
      </c>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row>
    <row r="370" spans="3:51" s="60" customFormat="1" x14ac:dyDescent="0.35">
      <c r="C370" s="377"/>
      <c r="D370" s="41">
        <v>44287</v>
      </c>
      <c r="E370" s="41">
        <v>44317</v>
      </c>
      <c r="F370" s="41">
        <v>44348</v>
      </c>
      <c r="G370" s="41">
        <v>44378</v>
      </c>
      <c r="H370" s="41">
        <v>44409</v>
      </c>
      <c r="I370" s="41">
        <v>44440</v>
      </c>
      <c r="J370" s="41">
        <v>44470</v>
      </c>
      <c r="K370" s="41">
        <v>44501</v>
      </c>
      <c r="L370" s="41">
        <v>44531</v>
      </c>
      <c r="M370" s="41">
        <v>44562</v>
      </c>
      <c r="N370" s="41">
        <v>44593</v>
      </c>
      <c r="O370" s="41">
        <v>44621</v>
      </c>
      <c r="P370" s="39">
        <v>44652</v>
      </c>
      <c r="Q370" s="39">
        <v>44682</v>
      </c>
      <c r="R370" s="39">
        <v>44713</v>
      </c>
      <c r="S370" s="39">
        <v>44743</v>
      </c>
      <c r="T370" s="39">
        <v>44774</v>
      </c>
      <c r="U370" s="39">
        <v>44805</v>
      </c>
      <c r="V370" s="39">
        <v>44835</v>
      </c>
      <c r="W370" s="39">
        <v>44866</v>
      </c>
      <c r="X370" s="39">
        <v>44896</v>
      </c>
      <c r="Y370" s="39">
        <v>44927</v>
      </c>
      <c r="Z370" s="39">
        <v>44958</v>
      </c>
      <c r="AA370" s="39">
        <v>44986</v>
      </c>
      <c r="AB370" s="39">
        <v>45017</v>
      </c>
      <c r="AC370" s="39">
        <v>45047</v>
      </c>
      <c r="AD370" s="39">
        <v>45078</v>
      </c>
      <c r="AE370" s="39">
        <v>45108</v>
      </c>
      <c r="AF370" s="39">
        <v>45139</v>
      </c>
      <c r="AG370" s="39">
        <v>45170</v>
      </c>
      <c r="AH370" s="39">
        <v>45200</v>
      </c>
      <c r="AI370" s="39">
        <v>45231</v>
      </c>
      <c r="AJ370" s="39">
        <v>45261</v>
      </c>
      <c r="AK370" s="39">
        <v>45292</v>
      </c>
      <c r="AL370" s="39">
        <v>45323</v>
      </c>
      <c r="AM370" s="39">
        <v>45352</v>
      </c>
      <c r="AN370" s="39">
        <v>45383</v>
      </c>
      <c r="AO370" s="39">
        <v>45413</v>
      </c>
      <c r="AP370" s="39">
        <v>45444</v>
      </c>
      <c r="AQ370" s="39">
        <v>45474</v>
      </c>
      <c r="AR370" s="39">
        <v>45505</v>
      </c>
      <c r="AS370" s="39">
        <v>45536</v>
      </c>
      <c r="AT370" s="39">
        <v>45566</v>
      </c>
      <c r="AU370" s="39">
        <v>45597</v>
      </c>
      <c r="AV370" s="39">
        <v>45627</v>
      </c>
      <c r="AW370" s="39">
        <v>45658</v>
      </c>
      <c r="AX370" s="39">
        <v>45689</v>
      </c>
      <c r="AY370" s="39">
        <v>45717</v>
      </c>
    </row>
    <row r="371" spans="3:51" x14ac:dyDescent="0.35">
      <c r="C371" s="359" t="s">
        <v>128</v>
      </c>
      <c r="D371" s="43">
        <f>[2]ASB!CH29</f>
        <v>210</v>
      </c>
      <c r="E371" s="43">
        <f>[2]ASB!CI29</f>
        <v>171</v>
      </c>
      <c r="F371" s="43">
        <f>[2]ASB!CJ29</f>
        <v>212</v>
      </c>
      <c r="G371" s="43">
        <f>[2]ASB!CK29</f>
        <v>180</v>
      </c>
      <c r="H371" s="43">
        <f>[2]ASB!CL29</f>
        <v>144</v>
      </c>
      <c r="I371" s="43">
        <f>[2]ASB!CM29</f>
        <v>169</v>
      </c>
      <c r="J371" s="43">
        <f>[2]ASB!CN29</f>
        <v>153</v>
      </c>
      <c r="K371" s="43">
        <f>[2]ASB!CO29</f>
        <v>123</v>
      </c>
      <c r="L371" s="43">
        <f>[2]ASB!CP29</f>
        <v>140</v>
      </c>
      <c r="M371" s="43">
        <f>[2]ASB!CQ29</f>
        <v>145</v>
      </c>
      <c r="N371" s="43">
        <f>[2]ASB!CR29</f>
        <v>119</v>
      </c>
      <c r="O371" s="43">
        <f>[2]ASB!CS29</f>
        <v>147</v>
      </c>
      <c r="P371" s="43">
        <f>[2]ASB!CT29</f>
        <v>155</v>
      </c>
      <c r="Q371" s="43">
        <f>[2]ASB!CU29</f>
        <v>157</v>
      </c>
      <c r="R371" s="43">
        <f>[2]ASB!CV29</f>
        <v>174</v>
      </c>
      <c r="S371" s="43">
        <f>[2]ASB!CW29</f>
        <v>145</v>
      </c>
      <c r="T371" s="43">
        <f>[2]ASB!CX29</f>
        <v>156</v>
      </c>
      <c r="U371" s="43">
        <f>[2]ASB!CY29</f>
        <v>112</v>
      </c>
      <c r="V371" s="43">
        <f>[2]ASB!CZ29</f>
        <v>145</v>
      </c>
      <c r="W371" s="43">
        <f>[2]ASB!DA29</f>
        <v>119</v>
      </c>
      <c r="X371" s="43">
        <f>[2]ASB!DB29</f>
        <v>85</v>
      </c>
      <c r="Y371" s="43">
        <f>[2]ASB!DC29</f>
        <v>90</v>
      </c>
      <c r="Z371" s="43">
        <f>[2]ASB!DD29</f>
        <v>115</v>
      </c>
      <c r="AA371" s="43">
        <f>[2]ASB!DE29</f>
        <v>94</v>
      </c>
      <c r="AB371" s="43">
        <f>[2]ASB!DF29</f>
        <v>122</v>
      </c>
      <c r="AC371" s="43">
        <f>[2]ASB!DG29</f>
        <v>132</v>
      </c>
      <c r="AD371" s="43">
        <f>[2]ASB!DH29</f>
        <v>106</v>
      </c>
      <c r="AE371" s="43">
        <f>[2]ASB!DI29</f>
        <v>95</v>
      </c>
      <c r="AF371" s="43">
        <f>[2]ASB!DJ29</f>
        <v>103</v>
      </c>
      <c r="AG371" s="43">
        <f>[2]ASB!DK29</f>
        <v>76</v>
      </c>
      <c r="AH371" s="43">
        <f>[2]ASB!DL29</f>
        <v>62</v>
      </c>
      <c r="AI371" s="43">
        <f>[2]ASB!DM29</f>
        <v>68</v>
      </c>
      <c r="AJ371" s="43">
        <f>[2]ASB!DN29</f>
        <v>61</v>
      </c>
      <c r="AK371" s="43">
        <f>[2]ASB!DO29</f>
        <v>68</v>
      </c>
      <c r="AL371" s="43">
        <f>[2]ASB!DP29</f>
        <v>79</v>
      </c>
      <c r="AM371" s="43">
        <f>[2]ASB!DQ29</f>
        <v>103</v>
      </c>
      <c r="AN371" s="43">
        <f>[2]ASB!DR29</f>
        <v>87</v>
      </c>
      <c r="AO371" s="43">
        <f>[2]ASB!DS29</f>
        <v>128</v>
      </c>
      <c r="AP371" s="43">
        <f>[2]ASB!DT29</f>
        <v>105</v>
      </c>
      <c r="AQ371" s="43">
        <f>[2]ASB!DU29</f>
        <v>118</v>
      </c>
      <c r="AR371" s="43">
        <f>[2]ASB!DV29</f>
        <v>114</v>
      </c>
      <c r="AS371" s="43">
        <f>[2]ASB!DW29</f>
        <v>99</v>
      </c>
      <c r="AT371" s="43">
        <f>[2]ASB!DX29</f>
        <v>96</v>
      </c>
      <c r="AU371" s="43">
        <f>[2]ASB!DY29</f>
        <v>93</v>
      </c>
      <c r="AV371" s="43">
        <f>[2]ASB!DZ29</f>
        <v>82</v>
      </c>
      <c r="AW371" s="43">
        <f>[2]ASB!EA29</f>
        <v>76</v>
      </c>
      <c r="AX371" s="43">
        <f>[2]ASB!EB29</f>
        <v>99</v>
      </c>
      <c r="AY371" s="43">
        <f>[2]ASB!EC29</f>
        <v>143</v>
      </c>
    </row>
    <row r="372" spans="3:51" x14ac:dyDescent="0.35">
      <c r="C372" s="359" t="s">
        <v>11</v>
      </c>
      <c r="D372" s="43">
        <f>[2]ASB!CH30</f>
        <v>35</v>
      </c>
      <c r="E372" s="43">
        <f>[2]ASB!CI30</f>
        <v>28</v>
      </c>
      <c r="F372" s="43">
        <f>[2]ASB!CJ30</f>
        <v>36</v>
      </c>
      <c r="G372" s="43">
        <f>[2]ASB!CK30</f>
        <v>34</v>
      </c>
      <c r="H372" s="43">
        <f>[2]ASB!CL30</f>
        <v>29</v>
      </c>
      <c r="I372" s="43">
        <f>[2]ASB!CM30</f>
        <v>27</v>
      </c>
      <c r="J372" s="43">
        <f>[2]ASB!CN30</f>
        <v>29</v>
      </c>
      <c r="K372" s="43">
        <f>[2]ASB!CO30</f>
        <v>29</v>
      </c>
      <c r="L372" s="43">
        <f>[2]ASB!CP30</f>
        <v>30</v>
      </c>
      <c r="M372" s="43">
        <f>[2]ASB!CQ30</f>
        <v>22</v>
      </c>
      <c r="N372" s="43">
        <f>[2]ASB!CR30</f>
        <v>22</v>
      </c>
      <c r="O372" s="43">
        <f>[2]ASB!CS30</f>
        <v>23</v>
      </c>
      <c r="P372" s="43">
        <f>[2]ASB!CT30</f>
        <v>36</v>
      </c>
      <c r="Q372" s="43">
        <f>[2]ASB!CU30</f>
        <v>23</v>
      </c>
      <c r="R372" s="43">
        <f>[2]ASB!CV30</f>
        <v>33</v>
      </c>
      <c r="S372" s="43">
        <f>[2]ASB!CW30</f>
        <v>21</v>
      </c>
      <c r="T372" s="43">
        <f>[2]ASB!CX30</f>
        <v>42</v>
      </c>
      <c r="U372" s="43">
        <f>[2]ASB!CY30</f>
        <v>24</v>
      </c>
      <c r="V372" s="43">
        <f>[2]ASB!CZ30</f>
        <v>24</v>
      </c>
      <c r="W372" s="43">
        <f>[2]ASB!DA30</f>
        <v>33</v>
      </c>
      <c r="X372" s="43">
        <f>[2]ASB!DB30</f>
        <v>24</v>
      </c>
      <c r="Y372" s="43">
        <f>[2]ASB!DC30</f>
        <v>15</v>
      </c>
      <c r="Z372" s="43">
        <f>[2]ASB!DD30</f>
        <v>13</v>
      </c>
      <c r="AA372" s="43">
        <f>[2]ASB!DE30</f>
        <v>19</v>
      </c>
      <c r="AB372" s="43">
        <f>[2]ASB!DF30</f>
        <v>17</v>
      </c>
      <c r="AC372" s="43">
        <f>[2]ASB!DG30</f>
        <v>19</v>
      </c>
      <c r="AD372" s="43">
        <f>[2]ASB!DH30</f>
        <v>22</v>
      </c>
      <c r="AE372" s="43">
        <f>[2]ASB!DI30</f>
        <v>18</v>
      </c>
      <c r="AF372" s="43">
        <f>[2]ASB!DJ30</f>
        <v>27</v>
      </c>
      <c r="AG372" s="43">
        <f>[2]ASB!DK30</f>
        <v>27</v>
      </c>
      <c r="AH372" s="43">
        <f>[2]ASB!DL30</f>
        <v>18</v>
      </c>
      <c r="AI372" s="43">
        <f>[2]ASB!DM30</f>
        <v>25</v>
      </c>
      <c r="AJ372" s="43">
        <f>[2]ASB!DN30</f>
        <v>23</v>
      </c>
      <c r="AK372" s="43">
        <f>[2]ASB!DO30</f>
        <v>22</v>
      </c>
      <c r="AL372" s="43">
        <f>[2]ASB!DP30</f>
        <v>23</v>
      </c>
      <c r="AM372" s="43">
        <f>[2]ASB!DQ30</f>
        <v>42</v>
      </c>
      <c r="AN372" s="43">
        <f>[2]ASB!DR30</f>
        <v>30</v>
      </c>
      <c r="AO372" s="43">
        <f>[2]ASB!DS30</f>
        <v>43</v>
      </c>
      <c r="AP372" s="43">
        <f>[2]ASB!DT30</f>
        <v>34</v>
      </c>
      <c r="AQ372" s="43">
        <f>[2]ASB!DU30</f>
        <v>45</v>
      </c>
      <c r="AR372" s="43">
        <f>[2]ASB!DV30</f>
        <v>32</v>
      </c>
      <c r="AS372" s="43">
        <f>[2]ASB!DW30</f>
        <v>37</v>
      </c>
      <c r="AT372" s="43">
        <f>[2]ASB!DX30</f>
        <v>34</v>
      </c>
      <c r="AU372" s="43">
        <f>[2]ASB!DY30</f>
        <v>32</v>
      </c>
      <c r="AV372" s="43">
        <f>[2]ASB!DZ30</f>
        <v>24</v>
      </c>
      <c r="AW372" s="43">
        <f>[2]ASB!EA30</f>
        <v>24</v>
      </c>
      <c r="AX372" s="43">
        <f>[2]ASB!EB30</f>
        <v>23</v>
      </c>
      <c r="AY372" s="43">
        <f>[2]ASB!EC30</f>
        <v>40</v>
      </c>
    </row>
    <row r="373" spans="3:51" x14ac:dyDescent="0.35">
      <c r="C373" s="359" t="s">
        <v>129</v>
      </c>
      <c r="D373" s="43">
        <f>[2]ASB!CH31</f>
        <v>152</v>
      </c>
      <c r="E373" s="43">
        <f>[2]ASB!CI31</f>
        <v>127</v>
      </c>
      <c r="F373" s="43">
        <f>[2]ASB!CJ31</f>
        <v>161</v>
      </c>
      <c r="G373" s="43">
        <f>[2]ASB!CK31</f>
        <v>125</v>
      </c>
      <c r="H373" s="43">
        <f>[2]ASB!CL31</f>
        <v>102</v>
      </c>
      <c r="I373" s="43">
        <f>[2]ASB!CM31</f>
        <v>126</v>
      </c>
      <c r="J373" s="43">
        <f>[2]ASB!CN31</f>
        <v>121</v>
      </c>
      <c r="K373" s="43">
        <f>[2]ASB!CO31</f>
        <v>89</v>
      </c>
      <c r="L373" s="43">
        <f>[2]ASB!CP31</f>
        <v>97</v>
      </c>
      <c r="M373" s="43">
        <f>[2]ASB!CQ31</f>
        <v>109</v>
      </c>
      <c r="N373" s="43">
        <f>[2]ASB!CR31</f>
        <v>89</v>
      </c>
      <c r="O373" s="43">
        <f>[2]ASB!CS31</f>
        <v>106</v>
      </c>
      <c r="P373" s="43">
        <f>[2]ASB!CT31</f>
        <v>104</v>
      </c>
      <c r="Q373" s="43">
        <f>[2]ASB!CU31</f>
        <v>111</v>
      </c>
      <c r="R373" s="43">
        <f>[2]ASB!CV31</f>
        <v>119</v>
      </c>
      <c r="S373" s="43">
        <f>[2]ASB!CW31</f>
        <v>111</v>
      </c>
      <c r="T373" s="43">
        <f>[2]ASB!CX31</f>
        <v>99</v>
      </c>
      <c r="U373" s="43">
        <f>[2]ASB!CY31</f>
        <v>80</v>
      </c>
      <c r="V373" s="43">
        <f>[2]ASB!CZ31</f>
        <v>113</v>
      </c>
      <c r="W373" s="43">
        <f>[2]ASB!DA31</f>
        <v>78</v>
      </c>
      <c r="X373" s="43">
        <f>[2]ASB!DB31</f>
        <v>55</v>
      </c>
      <c r="Y373" s="43">
        <f>[2]ASB!DC31</f>
        <v>63</v>
      </c>
      <c r="Z373" s="43">
        <f>[2]ASB!DD31</f>
        <v>90</v>
      </c>
      <c r="AA373" s="43">
        <f>[2]ASB!DE31</f>
        <v>67</v>
      </c>
      <c r="AB373" s="43">
        <f>[2]ASB!DF31</f>
        <v>92</v>
      </c>
      <c r="AC373" s="43">
        <f>[2]ASB!DG31</f>
        <v>100</v>
      </c>
      <c r="AD373" s="43">
        <f>[2]ASB!DH31</f>
        <v>79</v>
      </c>
      <c r="AE373" s="43">
        <f>[2]ASB!DI31</f>
        <v>67</v>
      </c>
      <c r="AF373" s="43">
        <f>[2]ASB!DJ31</f>
        <v>67</v>
      </c>
      <c r="AG373" s="43">
        <f>[2]ASB!DK31</f>
        <v>45</v>
      </c>
      <c r="AH373" s="43">
        <f>[2]ASB!DL31</f>
        <v>39</v>
      </c>
      <c r="AI373" s="43">
        <f>[2]ASB!DM31</f>
        <v>37</v>
      </c>
      <c r="AJ373" s="43">
        <f>[2]ASB!DN31</f>
        <v>33</v>
      </c>
      <c r="AK373" s="43">
        <f>[2]ASB!DO31</f>
        <v>37</v>
      </c>
      <c r="AL373" s="43">
        <f>[2]ASB!DP31</f>
        <v>50</v>
      </c>
      <c r="AM373" s="43">
        <f>[2]ASB!DQ31</f>
        <v>48</v>
      </c>
      <c r="AN373" s="43">
        <f>[2]ASB!DR31</f>
        <v>47</v>
      </c>
      <c r="AO373" s="43">
        <f>[2]ASB!DS31</f>
        <v>71</v>
      </c>
      <c r="AP373" s="43">
        <f>[2]ASB!DT31</f>
        <v>65</v>
      </c>
      <c r="AQ373" s="43">
        <f>[2]ASB!DU31</f>
        <v>56</v>
      </c>
      <c r="AR373" s="43">
        <f>[2]ASB!DV31</f>
        <v>68</v>
      </c>
      <c r="AS373" s="43">
        <f>[2]ASB!DW31</f>
        <v>58</v>
      </c>
      <c r="AT373" s="43">
        <f>[2]ASB!DX31</f>
        <v>54</v>
      </c>
      <c r="AU373" s="43">
        <f>[2]ASB!DY31</f>
        <v>55</v>
      </c>
      <c r="AV373" s="43">
        <f>[2]ASB!DZ31</f>
        <v>52</v>
      </c>
      <c r="AW373" s="43">
        <f>[2]ASB!EA31</f>
        <v>44</v>
      </c>
      <c r="AX373" s="43">
        <f>[2]ASB!EB31</f>
        <v>68</v>
      </c>
      <c r="AY373" s="43">
        <f>[2]ASB!EC31</f>
        <v>93</v>
      </c>
    </row>
    <row r="374" spans="3:51" x14ac:dyDescent="0.35">
      <c r="C374" s="359" t="s">
        <v>13</v>
      </c>
      <c r="D374" s="43">
        <f>[2]ASB!CH32</f>
        <v>23</v>
      </c>
      <c r="E374" s="43">
        <f>[2]ASB!CI32</f>
        <v>16</v>
      </c>
      <c r="F374" s="43">
        <f>[2]ASB!CJ32</f>
        <v>15</v>
      </c>
      <c r="G374" s="43">
        <f>[2]ASB!CK32</f>
        <v>21</v>
      </c>
      <c r="H374" s="43">
        <f>[2]ASB!CL32</f>
        <v>13</v>
      </c>
      <c r="I374" s="43">
        <f>[2]ASB!CM32</f>
        <v>16</v>
      </c>
      <c r="J374" s="43">
        <f>[2]ASB!CN32</f>
        <v>3</v>
      </c>
      <c r="K374" s="43">
        <f>[2]ASB!CO32</f>
        <v>5</v>
      </c>
      <c r="L374" s="43">
        <f>[2]ASB!CP32</f>
        <v>13</v>
      </c>
      <c r="M374" s="43">
        <f>[2]ASB!CQ32</f>
        <v>14</v>
      </c>
      <c r="N374" s="43">
        <f>[2]ASB!CR32</f>
        <v>8</v>
      </c>
      <c r="O374" s="43">
        <f>[2]ASB!CS32</f>
        <v>18</v>
      </c>
      <c r="P374" s="43">
        <f>[2]ASB!CT32</f>
        <v>15</v>
      </c>
      <c r="Q374" s="43">
        <f>[2]ASB!CU32</f>
        <v>23</v>
      </c>
      <c r="R374" s="43">
        <f>[2]ASB!CV32</f>
        <v>22</v>
      </c>
      <c r="S374" s="43">
        <f>[2]ASB!CW32</f>
        <v>13</v>
      </c>
      <c r="T374" s="43">
        <f>[2]ASB!CX32</f>
        <v>15</v>
      </c>
      <c r="U374" s="43">
        <f>[2]ASB!CY32</f>
        <v>8</v>
      </c>
      <c r="V374" s="43">
        <f>[2]ASB!CZ32</f>
        <v>8</v>
      </c>
      <c r="W374" s="43">
        <f>[2]ASB!DA32</f>
        <v>8</v>
      </c>
      <c r="X374" s="43">
        <f>[2]ASB!DB32</f>
        <v>6</v>
      </c>
      <c r="Y374" s="43">
        <f>[2]ASB!DC32</f>
        <v>12</v>
      </c>
      <c r="Z374" s="43">
        <f>[2]ASB!DD32</f>
        <v>12</v>
      </c>
      <c r="AA374" s="43">
        <f>[2]ASB!DE32</f>
        <v>8</v>
      </c>
      <c r="AB374" s="43">
        <f>[2]ASB!DF32</f>
        <v>13</v>
      </c>
      <c r="AC374" s="43">
        <f>[2]ASB!DG32</f>
        <v>13</v>
      </c>
      <c r="AD374" s="43">
        <f>[2]ASB!DH32</f>
        <v>5</v>
      </c>
      <c r="AE374" s="43">
        <f>[2]ASB!DI32</f>
        <v>10</v>
      </c>
      <c r="AF374" s="43">
        <f>[2]ASB!DJ32</f>
        <v>9</v>
      </c>
      <c r="AG374" s="43">
        <f>[2]ASB!DK32</f>
        <v>4</v>
      </c>
      <c r="AH374" s="43">
        <f>[2]ASB!DL32</f>
        <v>5</v>
      </c>
      <c r="AI374" s="43">
        <f>[2]ASB!DM32</f>
        <v>6</v>
      </c>
      <c r="AJ374" s="43">
        <f>[2]ASB!DN32</f>
        <v>5</v>
      </c>
      <c r="AK374" s="43">
        <f>[2]ASB!DO32</f>
        <v>9</v>
      </c>
      <c r="AL374" s="43">
        <f>[2]ASB!DP32</f>
        <v>6</v>
      </c>
      <c r="AM374" s="43">
        <f>[2]ASB!DQ32</f>
        <v>13</v>
      </c>
      <c r="AN374" s="43">
        <f>[2]ASB!DR32</f>
        <v>10</v>
      </c>
      <c r="AO374" s="43">
        <f>[2]ASB!DS32</f>
        <v>14</v>
      </c>
      <c r="AP374" s="43">
        <f>[2]ASB!DT32</f>
        <v>6</v>
      </c>
      <c r="AQ374" s="43">
        <f>[2]ASB!DU32</f>
        <v>17</v>
      </c>
      <c r="AR374" s="43">
        <f>[2]ASB!DV32</f>
        <v>14</v>
      </c>
      <c r="AS374" s="43">
        <f>[2]ASB!DW32</f>
        <v>4</v>
      </c>
      <c r="AT374" s="43">
        <f>[2]ASB!DX32</f>
        <v>8</v>
      </c>
      <c r="AU374" s="43">
        <f>[2]ASB!DY32</f>
        <v>6</v>
      </c>
      <c r="AV374" s="43">
        <f>[2]ASB!DZ32</f>
        <v>6</v>
      </c>
      <c r="AW374" s="43">
        <f>[2]ASB!EA32</f>
        <v>8</v>
      </c>
      <c r="AX374" s="43">
        <f>[2]ASB!EB32</f>
        <v>8</v>
      </c>
      <c r="AY374" s="43">
        <f>[2]ASB!EC32</f>
        <v>10</v>
      </c>
    </row>
    <row r="375" spans="3:51" s="60" customFormat="1" x14ac:dyDescent="0.35">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row>
    <row r="376" spans="3:51" s="60" customFormat="1" x14ac:dyDescent="0.35">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row>
    <row r="377" spans="3:51" x14ac:dyDescent="0.35">
      <c r="C377" s="378" t="s">
        <v>60</v>
      </c>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row>
    <row r="378" spans="3:51" x14ac:dyDescent="0.35">
      <c r="C378" s="379"/>
      <c r="D378" s="41">
        <v>44287</v>
      </c>
      <c r="E378" s="41">
        <v>44317</v>
      </c>
      <c r="F378" s="41">
        <v>44348</v>
      </c>
      <c r="G378" s="41">
        <v>44378</v>
      </c>
      <c r="H378" s="41">
        <v>44409</v>
      </c>
      <c r="I378" s="41">
        <v>44440</v>
      </c>
      <c r="J378" s="41">
        <v>44470</v>
      </c>
      <c r="K378" s="41">
        <v>44501</v>
      </c>
      <c r="L378" s="41">
        <v>44531</v>
      </c>
      <c r="M378" s="41">
        <v>44562</v>
      </c>
      <c r="N378" s="41">
        <v>44593</v>
      </c>
      <c r="O378" s="41">
        <v>44621</v>
      </c>
      <c r="P378" s="39">
        <v>44652</v>
      </c>
      <c r="Q378" s="39">
        <v>44682</v>
      </c>
      <c r="R378" s="39">
        <v>44713</v>
      </c>
      <c r="S378" s="39">
        <v>44743</v>
      </c>
      <c r="T378" s="39">
        <v>44774</v>
      </c>
      <c r="U378" s="39">
        <v>44805</v>
      </c>
      <c r="V378" s="39">
        <v>44835</v>
      </c>
      <c r="W378" s="39">
        <v>44866</v>
      </c>
      <c r="X378" s="39">
        <v>44896</v>
      </c>
      <c r="Y378" s="39">
        <v>44927</v>
      </c>
      <c r="Z378" s="39">
        <v>44958</v>
      </c>
      <c r="AA378" s="39">
        <v>44986</v>
      </c>
      <c r="AB378" s="39">
        <v>45017</v>
      </c>
      <c r="AC378" s="39">
        <v>45047</v>
      </c>
      <c r="AD378" s="39">
        <v>45078</v>
      </c>
      <c r="AE378" s="39">
        <v>45108</v>
      </c>
      <c r="AF378" s="39">
        <v>45139</v>
      </c>
      <c r="AG378" s="39">
        <v>45170</v>
      </c>
      <c r="AH378" s="39">
        <v>45200</v>
      </c>
      <c r="AI378" s="39">
        <v>45231</v>
      </c>
      <c r="AJ378" s="39">
        <v>45261</v>
      </c>
      <c r="AK378" s="39">
        <v>45292</v>
      </c>
      <c r="AL378" s="39">
        <v>45323</v>
      </c>
      <c r="AM378" s="39">
        <v>45352</v>
      </c>
      <c r="AN378" s="39">
        <v>45383</v>
      </c>
      <c r="AO378" s="39">
        <v>45413</v>
      </c>
      <c r="AP378" s="39">
        <v>45444</v>
      </c>
      <c r="AQ378" s="39">
        <v>45474</v>
      </c>
      <c r="AR378" s="39">
        <v>45505</v>
      </c>
      <c r="AS378" s="39">
        <v>45536</v>
      </c>
      <c r="AT378" s="39">
        <v>45566</v>
      </c>
      <c r="AU378" s="39">
        <v>45597</v>
      </c>
      <c r="AV378" s="39">
        <v>45627</v>
      </c>
      <c r="AW378" s="39">
        <v>45658</v>
      </c>
      <c r="AX378" s="39">
        <v>45689</v>
      </c>
      <c r="AY378" s="39">
        <v>45717</v>
      </c>
    </row>
    <row r="379" spans="3:51" x14ac:dyDescent="0.35">
      <c r="C379" s="361" t="s">
        <v>128</v>
      </c>
      <c r="D379" s="43">
        <f>[2]ASB!CH37</f>
        <v>272</v>
      </c>
      <c r="E379" s="43">
        <f>[2]ASB!CI37</f>
        <v>181</v>
      </c>
      <c r="F379" s="43">
        <f>[2]ASB!CJ37</f>
        <v>216</v>
      </c>
      <c r="G379" s="43">
        <f>[2]ASB!CK37</f>
        <v>235</v>
      </c>
      <c r="H379" s="43">
        <f>[2]ASB!CL37</f>
        <v>150</v>
      </c>
      <c r="I379" s="43">
        <f>[2]ASB!CM37</f>
        <v>194</v>
      </c>
      <c r="J379" s="43">
        <f>[2]ASB!CN37</f>
        <v>185</v>
      </c>
      <c r="K379" s="43">
        <f>[2]ASB!CO37</f>
        <v>155</v>
      </c>
      <c r="L379" s="43">
        <f>[2]ASB!CP37</f>
        <v>131</v>
      </c>
      <c r="M379" s="43">
        <f>[2]ASB!CQ37</f>
        <v>130</v>
      </c>
      <c r="N379" s="43">
        <f>[2]ASB!CR37</f>
        <v>115</v>
      </c>
      <c r="O379" s="43">
        <f>[2]ASB!CS37</f>
        <v>125</v>
      </c>
      <c r="P379" s="43">
        <f>[2]ASB!CT37</f>
        <v>115</v>
      </c>
      <c r="Q379" s="43">
        <f>[2]ASB!CU37</f>
        <v>135</v>
      </c>
      <c r="R379" s="43">
        <f>[2]ASB!CV37</f>
        <v>133</v>
      </c>
      <c r="S379" s="43">
        <f>[2]ASB!CW37</f>
        <v>181</v>
      </c>
      <c r="T379" s="43">
        <f>[2]ASB!CX37</f>
        <v>169</v>
      </c>
      <c r="U379" s="43">
        <f>[2]ASB!CY37</f>
        <v>148</v>
      </c>
      <c r="V379" s="43">
        <f>[2]ASB!CZ37</f>
        <v>144</v>
      </c>
      <c r="W379" s="43">
        <f>[2]ASB!DA37</f>
        <v>127</v>
      </c>
      <c r="X379" s="43">
        <f>[2]ASB!DB37</f>
        <v>121</v>
      </c>
      <c r="Y379" s="43">
        <f>[2]ASB!DC37</f>
        <v>117</v>
      </c>
      <c r="Z379" s="43">
        <f>[2]ASB!DD37</f>
        <v>117</v>
      </c>
      <c r="AA379" s="43">
        <f>[2]ASB!DE37</f>
        <v>100</v>
      </c>
      <c r="AB379" s="43">
        <f>[2]ASB!DF37</f>
        <v>128</v>
      </c>
      <c r="AC379" s="43">
        <f>[2]ASB!DG37</f>
        <v>167</v>
      </c>
      <c r="AD379" s="43">
        <f>[2]ASB!DH37</f>
        <v>167</v>
      </c>
      <c r="AE379" s="43">
        <f>[2]ASB!DI37</f>
        <v>117</v>
      </c>
      <c r="AF379" s="43">
        <f>[2]ASB!DJ37</f>
        <v>145</v>
      </c>
      <c r="AG379" s="43">
        <f>[2]ASB!DK37</f>
        <v>158</v>
      </c>
      <c r="AH379" s="43">
        <f>[2]ASB!DL37</f>
        <v>118</v>
      </c>
      <c r="AI379" s="43">
        <f>[2]ASB!DM37</f>
        <v>115</v>
      </c>
      <c r="AJ379" s="43">
        <f>[2]ASB!DN37</f>
        <v>88</v>
      </c>
      <c r="AK379" s="43">
        <f>[2]ASB!DO37</f>
        <v>105</v>
      </c>
      <c r="AL379" s="43">
        <f>[2]ASB!DP37</f>
        <v>121</v>
      </c>
      <c r="AM379" s="43">
        <f>[2]ASB!DQ37</f>
        <v>131</v>
      </c>
      <c r="AN379" s="43">
        <f>[2]ASB!DR37</f>
        <v>141</v>
      </c>
      <c r="AO379" s="43">
        <f>[2]ASB!DS37</f>
        <v>133</v>
      </c>
      <c r="AP379" s="43">
        <f>[2]ASB!DT37</f>
        <v>164</v>
      </c>
      <c r="AQ379" s="43">
        <f>[2]ASB!DU37</f>
        <v>150</v>
      </c>
      <c r="AR379" s="43">
        <f>[2]ASB!DV37</f>
        <v>153</v>
      </c>
      <c r="AS379" s="43">
        <f>[2]ASB!DW37</f>
        <v>146</v>
      </c>
      <c r="AT379" s="43">
        <f>[2]ASB!DX37</f>
        <v>137</v>
      </c>
      <c r="AU379" s="43">
        <f>[2]ASB!DY37</f>
        <v>124</v>
      </c>
      <c r="AV379" s="43">
        <f>[2]ASB!DZ37</f>
        <v>97</v>
      </c>
      <c r="AW379" s="43">
        <f>[2]ASB!EA37</f>
        <v>106</v>
      </c>
      <c r="AX379" s="43">
        <f>[2]ASB!EB37</f>
        <v>111</v>
      </c>
      <c r="AY379" s="43">
        <f>[2]ASB!EC37</f>
        <v>135</v>
      </c>
    </row>
    <row r="380" spans="3:51" x14ac:dyDescent="0.35">
      <c r="C380" s="361" t="s">
        <v>11</v>
      </c>
      <c r="D380" s="43">
        <f>[2]ASB!CH38</f>
        <v>37</v>
      </c>
      <c r="E380" s="43">
        <f>[2]ASB!CI38</f>
        <v>29</v>
      </c>
      <c r="F380" s="43">
        <f>[2]ASB!CJ38</f>
        <v>27</v>
      </c>
      <c r="G380" s="43">
        <f>[2]ASB!CK38</f>
        <v>36</v>
      </c>
      <c r="H380" s="43">
        <f>[2]ASB!CL38</f>
        <v>25</v>
      </c>
      <c r="I380" s="43">
        <f>[2]ASB!CM38</f>
        <v>45</v>
      </c>
      <c r="J380" s="43">
        <f>[2]ASB!CN38</f>
        <v>47</v>
      </c>
      <c r="K380" s="43">
        <f>[2]ASB!CO38</f>
        <v>45</v>
      </c>
      <c r="L380" s="43">
        <f>[2]ASB!CP38</f>
        <v>25</v>
      </c>
      <c r="M380" s="43">
        <f>[2]ASB!CQ38</f>
        <v>23</v>
      </c>
      <c r="N380" s="43">
        <f>[2]ASB!CR38</f>
        <v>23</v>
      </c>
      <c r="O380" s="43">
        <f>[2]ASB!CS38</f>
        <v>23</v>
      </c>
      <c r="P380" s="43">
        <f>[2]ASB!CT38</f>
        <v>15</v>
      </c>
      <c r="Q380" s="43">
        <f>[2]ASB!CU38</f>
        <v>24</v>
      </c>
      <c r="R380" s="43">
        <f>[2]ASB!CV38</f>
        <v>27</v>
      </c>
      <c r="S380" s="43">
        <f>[2]ASB!CW38</f>
        <v>29</v>
      </c>
      <c r="T380" s="43">
        <f>[2]ASB!CX38</f>
        <v>37</v>
      </c>
      <c r="U380" s="43">
        <f>[2]ASB!CY38</f>
        <v>32</v>
      </c>
      <c r="V380" s="43">
        <f>[2]ASB!CZ38</f>
        <v>33</v>
      </c>
      <c r="W380" s="43">
        <f>[2]ASB!DA38</f>
        <v>28</v>
      </c>
      <c r="X380" s="43">
        <f>[2]ASB!DB38</f>
        <v>23</v>
      </c>
      <c r="Y380" s="43">
        <f>[2]ASB!DC38</f>
        <v>20</v>
      </c>
      <c r="Z380" s="43">
        <f>[2]ASB!DD38</f>
        <v>23</v>
      </c>
      <c r="AA380" s="43">
        <f>[2]ASB!DE38</f>
        <v>18</v>
      </c>
      <c r="AB380" s="43">
        <f>[2]ASB!DF38</f>
        <v>19</v>
      </c>
      <c r="AC380" s="43">
        <f>[2]ASB!DG38</f>
        <v>31</v>
      </c>
      <c r="AD380" s="43">
        <f>[2]ASB!DH38</f>
        <v>28</v>
      </c>
      <c r="AE380" s="43">
        <f>[2]ASB!DI38</f>
        <v>23</v>
      </c>
      <c r="AF380" s="43">
        <f>[2]ASB!DJ38</f>
        <v>31</v>
      </c>
      <c r="AG380" s="43">
        <f>[2]ASB!DK38</f>
        <v>37</v>
      </c>
      <c r="AH380" s="43">
        <f>[2]ASB!DL38</f>
        <v>28</v>
      </c>
      <c r="AI380" s="43">
        <f>[2]ASB!DM38</f>
        <v>35</v>
      </c>
      <c r="AJ380" s="43">
        <f>[2]ASB!DN38</f>
        <v>20</v>
      </c>
      <c r="AK380" s="43">
        <f>[2]ASB!DO38</f>
        <v>34</v>
      </c>
      <c r="AL380" s="43">
        <f>[2]ASB!DP38</f>
        <v>33</v>
      </c>
      <c r="AM380" s="43">
        <f>[2]ASB!DQ38</f>
        <v>48</v>
      </c>
      <c r="AN380" s="43">
        <f>[2]ASB!DR38</f>
        <v>61</v>
      </c>
      <c r="AO380" s="43">
        <f>[2]ASB!DS38</f>
        <v>51</v>
      </c>
      <c r="AP380" s="43">
        <f>[2]ASB!DT38</f>
        <v>51</v>
      </c>
      <c r="AQ380" s="43">
        <f>[2]ASB!DU38</f>
        <v>45</v>
      </c>
      <c r="AR380" s="43">
        <f>[2]ASB!DV38</f>
        <v>32</v>
      </c>
      <c r="AS380" s="43">
        <f>[2]ASB!DW38</f>
        <v>59</v>
      </c>
      <c r="AT380" s="43">
        <f>[2]ASB!DX38</f>
        <v>44</v>
      </c>
      <c r="AU380" s="43">
        <f>[2]ASB!DY38</f>
        <v>43</v>
      </c>
      <c r="AV380" s="43">
        <f>[2]ASB!DZ38</f>
        <v>25</v>
      </c>
      <c r="AW380" s="43">
        <f>[2]ASB!EA38</f>
        <v>36</v>
      </c>
      <c r="AX380" s="43">
        <f>[2]ASB!EB38</f>
        <v>30</v>
      </c>
      <c r="AY380" s="43">
        <f>[2]ASB!EC38</f>
        <v>37</v>
      </c>
    </row>
    <row r="381" spans="3:51" x14ac:dyDescent="0.35">
      <c r="C381" s="361" t="s">
        <v>129</v>
      </c>
      <c r="D381" s="43">
        <f>[2]ASB!CH39</f>
        <v>193</v>
      </c>
      <c r="E381" s="43">
        <f>[2]ASB!CI39</f>
        <v>127</v>
      </c>
      <c r="F381" s="43">
        <f>[2]ASB!CJ39</f>
        <v>167</v>
      </c>
      <c r="G381" s="43">
        <f>[2]ASB!CK39</f>
        <v>174</v>
      </c>
      <c r="H381" s="43">
        <f>[2]ASB!CL39</f>
        <v>107</v>
      </c>
      <c r="I381" s="43">
        <f>[2]ASB!CM39</f>
        <v>130</v>
      </c>
      <c r="J381" s="43">
        <f>[2]ASB!CN39</f>
        <v>112</v>
      </c>
      <c r="K381" s="43">
        <f>[2]ASB!CO39</f>
        <v>100</v>
      </c>
      <c r="L381" s="43">
        <f>[2]ASB!CP39</f>
        <v>92</v>
      </c>
      <c r="M381" s="43">
        <f>[2]ASB!CQ39</f>
        <v>90</v>
      </c>
      <c r="N381" s="43">
        <f>[2]ASB!CR39</f>
        <v>82</v>
      </c>
      <c r="O381" s="43">
        <f>[2]ASB!CS39</f>
        <v>96</v>
      </c>
      <c r="P381" s="43">
        <f>[2]ASB!CT39</f>
        <v>85</v>
      </c>
      <c r="Q381" s="43">
        <f>[2]ASB!CU39</f>
        <v>98</v>
      </c>
      <c r="R381" s="43">
        <f>[2]ASB!CV39</f>
        <v>89</v>
      </c>
      <c r="S381" s="43">
        <f>[2]ASB!CW39</f>
        <v>142</v>
      </c>
      <c r="T381" s="43">
        <f>[2]ASB!CX39</f>
        <v>120</v>
      </c>
      <c r="U381" s="43">
        <f>[2]ASB!CY39</f>
        <v>108</v>
      </c>
      <c r="V381" s="43">
        <f>[2]ASB!CZ39</f>
        <v>101</v>
      </c>
      <c r="W381" s="43">
        <f>[2]ASB!DA39</f>
        <v>90</v>
      </c>
      <c r="X381" s="43">
        <f>[2]ASB!DB39</f>
        <v>86</v>
      </c>
      <c r="Y381" s="43">
        <f>[2]ASB!DC39</f>
        <v>77</v>
      </c>
      <c r="Z381" s="43">
        <f>[2]ASB!DD39</f>
        <v>81</v>
      </c>
      <c r="AA381" s="43">
        <f>[2]ASB!DE39</f>
        <v>74</v>
      </c>
      <c r="AB381" s="43">
        <f>[2]ASB!DF39</f>
        <v>102</v>
      </c>
      <c r="AC381" s="43">
        <f>[2]ASB!DG39</f>
        <v>117</v>
      </c>
      <c r="AD381" s="43">
        <f>[2]ASB!DH39</f>
        <v>121</v>
      </c>
      <c r="AE381" s="43">
        <f>[2]ASB!DI39</f>
        <v>84</v>
      </c>
      <c r="AF381" s="43">
        <f>[2]ASB!DJ39</f>
        <v>105</v>
      </c>
      <c r="AG381" s="43">
        <f>[2]ASB!DK39</f>
        <v>108</v>
      </c>
      <c r="AH381" s="43">
        <f>[2]ASB!DL39</f>
        <v>76</v>
      </c>
      <c r="AI381" s="43">
        <f>[2]ASB!DM39</f>
        <v>55</v>
      </c>
      <c r="AJ381" s="43">
        <f>[2]ASB!DN39</f>
        <v>57</v>
      </c>
      <c r="AK381" s="43">
        <f>[2]ASB!DO39</f>
        <v>55</v>
      </c>
      <c r="AL381" s="43">
        <f>[2]ASB!DP39</f>
        <v>68</v>
      </c>
      <c r="AM381" s="43">
        <f>[2]ASB!DQ39</f>
        <v>67</v>
      </c>
      <c r="AN381" s="43">
        <f>[2]ASB!DR39</f>
        <v>75</v>
      </c>
      <c r="AO381" s="43">
        <f>[2]ASB!DS39</f>
        <v>68</v>
      </c>
      <c r="AP381" s="43">
        <f>[2]ASB!DT39</f>
        <v>103</v>
      </c>
      <c r="AQ381" s="43">
        <f>[2]ASB!DU39</f>
        <v>96</v>
      </c>
      <c r="AR381" s="43">
        <f>[2]ASB!DV39</f>
        <v>106</v>
      </c>
      <c r="AS381" s="43">
        <f>[2]ASB!DW39</f>
        <v>79</v>
      </c>
      <c r="AT381" s="43">
        <f>[2]ASB!DX39</f>
        <v>82</v>
      </c>
      <c r="AU381" s="43">
        <f>[2]ASB!DY39</f>
        <v>75</v>
      </c>
      <c r="AV381" s="43">
        <f>[2]ASB!DZ39</f>
        <v>65</v>
      </c>
      <c r="AW381" s="43">
        <f>[2]ASB!EA39</f>
        <v>65</v>
      </c>
      <c r="AX381" s="43">
        <f>[2]ASB!EB39</f>
        <v>74</v>
      </c>
      <c r="AY381" s="43">
        <f>[2]ASB!EC39</f>
        <v>82</v>
      </c>
    </row>
    <row r="382" spans="3:51" x14ac:dyDescent="0.35">
      <c r="C382" s="361" t="s">
        <v>13</v>
      </c>
      <c r="D382" s="43">
        <f>[2]ASB!CH40</f>
        <v>42</v>
      </c>
      <c r="E382" s="43">
        <f>[2]ASB!CI40</f>
        <v>25</v>
      </c>
      <c r="F382" s="43">
        <f>[2]ASB!CJ40</f>
        <v>22</v>
      </c>
      <c r="G382" s="43">
        <f>[2]ASB!CK40</f>
        <v>25</v>
      </c>
      <c r="H382" s="43">
        <f>[2]ASB!CL40</f>
        <v>18</v>
      </c>
      <c r="I382" s="43">
        <f>[2]ASB!CM40</f>
        <v>19</v>
      </c>
      <c r="J382" s="43">
        <f>[2]ASB!CN40</f>
        <v>26</v>
      </c>
      <c r="K382" s="43">
        <f>[2]ASB!CO40</f>
        <v>10</v>
      </c>
      <c r="L382" s="43">
        <f>[2]ASB!CP40</f>
        <v>14</v>
      </c>
      <c r="M382" s="43">
        <f>[2]ASB!CQ40</f>
        <v>17</v>
      </c>
      <c r="N382" s="43">
        <f>[2]ASB!CR40</f>
        <v>10</v>
      </c>
      <c r="O382" s="43">
        <f>[2]ASB!CS40</f>
        <v>6</v>
      </c>
      <c r="P382" s="43">
        <f>[2]ASB!CT40</f>
        <v>15</v>
      </c>
      <c r="Q382" s="43">
        <f>[2]ASB!CU40</f>
        <v>13</v>
      </c>
      <c r="R382" s="43">
        <f>[2]ASB!CV40</f>
        <v>17</v>
      </c>
      <c r="S382" s="43">
        <f>[2]ASB!CW40</f>
        <v>10</v>
      </c>
      <c r="T382" s="43">
        <f>[2]ASB!CX40</f>
        <v>12</v>
      </c>
      <c r="U382" s="43">
        <f>[2]ASB!CY40</f>
        <v>8</v>
      </c>
      <c r="V382" s="43">
        <f>[2]ASB!CZ40</f>
        <v>10</v>
      </c>
      <c r="W382" s="43">
        <f>[2]ASB!DA40</f>
        <v>9</v>
      </c>
      <c r="X382" s="43">
        <f>[2]ASB!DB40</f>
        <v>12</v>
      </c>
      <c r="Y382" s="43">
        <f>[2]ASB!DC40</f>
        <v>20</v>
      </c>
      <c r="Z382" s="43">
        <f>[2]ASB!DD40</f>
        <v>13</v>
      </c>
      <c r="AA382" s="43">
        <f>[2]ASB!DE40</f>
        <v>8</v>
      </c>
      <c r="AB382" s="43">
        <f>[2]ASB!DF40</f>
        <v>7</v>
      </c>
      <c r="AC382" s="43">
        <f>[2]ASB!DG40</f>
        <v>19</v>
      </c>
      <c r="AD382" s="43">
        <f>[2]ASB!DH40</f>
        <v>18</v>
      </c>
      <c r="AE382" s="43">
        <f>[2]ASB!DI40</f>
        <v>10</v>
      </c>
      <c r="AF382" s="43">
        <f>[2]ASB!DJ40</f>
        <v>9</v>
      </c>
      <c r="AG382" s="43">
        <f>[2]ASB!DK40</f>
        <v>13</v>
      </c>
      <c r="AH382" s="43">
        <f>[2]ASB!DL40</f>
        <v>14</v>
      </c>
      <c r="AI382" s="43">
        <f>[2]ASB!DM40</f>
        <v>25</v>
      </c>
      <c r="AJ382" s="43">
        <f>[2]ASB!DN40</f>
        <v>11</v>
      </c>
      <c r="AK382" s="43">
        <f>[2]ASB!DO40</f>
        <v>16</v>
      </c>
      <c r="AL382" s="43">
        <f>[2]ASB!DP40</f>
        <v>20</v>
      </c>
      <c r="AM382" s="43">
        <f>[2]ASB!DQ40</f>
        <v>16</v>
      </c>
      <c r="AN382" s="43">
        <f>[2]ASB!DR40</f>
        <v>5</v>
      </c>
      <c r="AO382" s="43">
        <f>[2]ASB!DS40</f>
        <v>14</v>
      </c>
      <c r="AP382" s="43">
        <f>[2]ASB!DT40</f>
        <v>10</v>
      </c>
      <c r="AQ382" s="43">
        <f>[2]ASB!DU40</f>
        <v>9</v>
      </c>
      <c r="AR382" s="43">
        <f>[2]ASB!DV40</f>
        <v>15</v>
      </c>
      <c r="AS382" s="43">
        <f>[2]ASB!DW40</f>
        <v>8</v>
      </c>
      <c r="AT382" s="43">
        <f>[2]ASB!DX40</f>
        <v>11</v>
      </c>
      <c r="AU382" s="43">
        <f>[2]ASB!DY40</f>
        <v>6</v>
      </c>
      <c r="AV382" s="43">
        <f>[2]ASB!DZ40</f>
        <v>7</v>
      </c>
      <c r="AW382" s="43">
        <f>[2]ASB!EA40</f>
        <v>5</v>
      </c>
      <c r="AX382" s="43">
        <f>[2]ASB!EB40</f>
        <v>7</v>
      </c>
      <c r="AY382" s="43">
        <f>[2]ASB!EC40</f>
        <v>16</v>
      </c>
    </row>
    <row r="383" spans="3:51" s="60" customFormat="1" x14ac:dyDescent="0.35">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row>
    <row r="384" spans="3:51" s="60" customFormat="1" x14ac:dyDescent="0.35">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row>
    <row r="385" spans="3:51" x14ac:dyDescent="0.35">
      <c r="C385" s="380" t="s">
        <v>61</v>
      </c>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row>
    <row r="386" spans="3:51" s="60" customFormat="1" ht="15.75" customHeight="1" x14ac:dyDescent="0.35">
      <c r="C386" s="381"/>
      <c r="D386" s="41">
        <v>44287</v>
      </c>
      <c r="E386" s="41">
        <v>44317</v>
      </c>
      <c r="F386" s="41">
        <v>44348</v>
      </c>
      <c r="G386" s="41">
        <v>44378</v>
      </c>
      <c r="H386" s="41">
        <v>44409</v>
      </c>
      <c r="I386" s="41">
        <v>44440</v>
      </c>
      <c r="J386" s="41">
        <v>44470</v>
      </c>
      <c r="K386" s="41">
        <v>44501</v>
      </c>
      <c r="L386" s="41">
        <v>44531</v>
      </c>
      <c r="M386" s="41">
        <v>44562</v>
      </c>
      <c r="N386" s="41">
        <v>44593</v>
      </c>
      <c r="O386" s="41">
        <v>44621</v>
      </c>
      <c r="P386" s="39">
        <v>44652</v>
      </c>
      <c r="Q386" s="39">
        <v>44682</v>
      </c>
      <c r="R386" s="39">
        <v>44713</v>
      </c>
      <c r="S386" s="39">
        <v>44743</v>
      </c>
      <c r="T386" s="39">
        <v>44774</v>
      </c>
      <c r="U386" s="39">
        <v>44805</v>
      </c>
      <c r="V386" s="39">
        <v>44835</v>
      </c>
      <c r="W386" s="39">
        <v>44866</v>
      </c>
      <c r="X386" s="39">
        <v>44896</v>
      </c>
      <c r="Y386" s="39">
        <v>44927</v>
      </c>
      <c r="Z386" s="39">
        <v>44958</v>
      </c>
      <c r="AA386" s="39">
        <v>44986</v>
      </c>
      <c r="AB386" s="39">
        <v>45017</v>
      </c>
      <c r="AC386" s="39">
        <v>45047</v>
      </c>
      <c r="AD386" s="39">
        <v>45078</v>
      </c>
      <c r="AE386" s="39">
        <v>45108</v>
      </c>
      <c r="AF386" s="39">
        <v>45139</v>
      </c>
      <c r="AG386" s="39">
        <v>45170</v>
      </c>
      <c r="AH386" s="39">
        <v>45200</v>
      </c>
      <c r="AI386" s="39">
        <v>45231</v>
      </c>
      <c r="AJ386" s="39">
        <v>45261</v>
      </c>
      <c r="AK386" s="39">
        <v>45292</v>
      </c>
      <c r="AL386" s="39">
        <v>45323</v>
      </c>
      <c r="AM386" s="39">
        <v>45352</v>
      </c>
      <c r="AN386" s="39">
        <v>45383</v>
      </c>
      <c r="AO386" s="39">
        <v>45413</v>
      </c>
      <c r="AP386" s="39">
        <v>45444</v>
      </c>
      <c r="AQ386" s="39">
        <v>45474</v>
      </c>
      <c r="AR386" s="39">
        <v>45505</v>
      </c>
      <c r="AS386" s="39">
        <v>45536</v>
      </c>
      <c r="AT386" s="39">
        <v>45566</v>
      </c>
      <c r="AU386" s="39">
        <v>45597</v>
      </c>
      <c r="AV386" s="39">
        <v>45627</v>
      </c>
      <c r="AW386" s="39">
        <v>45658</v>
      </c>
      <c r="AX386" s="39">
        <v>45689</v>
      </c>
      <c r="AY386" s="39">
        <v>45717</v>
      </c>
    </row>
    <row r="387" spans="3:51" x14ac:dyDescent="0.35">
      <c r="C387" s="382" t="s">
        <v>128</v>
      </c>
      <c r="D387" s="43">
        <f>[2]ASB!CH45</f>
        <v>293</v>
      </c>
      <c r="E387" s="43">
        <f>[2]ASB!CI45</f>
        <v>230</v>
      </c>
      <c r="F387" s="43">
        <f>[2]ASB!CJ45</f>
        <v>280</v>
      </c>
      <c r="G387" s="43">
        <f>[2]ASB!CK45</f>
        <v>268</v>
      </c>
      <c r="H387" s="43">
        <f>[2]ASB!CL45</f>
        <v>245</v>
      </c>
      <c r="I387" s="43">
        <f>[2]ASB!CM45</f>
        <v>210</v>
      </c>
      <c r="J387" s="43">
        <f>[2]ASB!CN45</f>
        <v>189</v>
      </c>
      <c r="K387" s="43">
        <f>[2]ASB!CO45</f>
        <v>177</v>
      </c>
      <c r="L387" s="43">
        <f>[2]ASB!CP45</f>
        <v>164</v>
      </c>
      <c r="M387" s="43">
        <f>[2]ASB!CQ45</f>
        <v>194</v>
      </c>
      <c r="N387" s="43">
        <f>[2]ASB!CR45</f>
        <v>147</v>
      </c>
      <c r="O387" s="43">
        <f>[2]ASB!CS45</f>
        <v>170</v>
      </c>
      <c r="P387" s="43">
        <f>[2]ASB!CT45</f>
        <v>164</v>
      </c>
      <c r="Q387" s="43">
        <f>[2]ASB!CU45</f>
        <v>200</v>
      </c>
      <c r="R387" s="43">
        <f>[2]ASB!CV45</f>
        <v>175</v>
      </c>
      <c r="S387" s="43">
        <f>[2]ASB!CW45</f>
        <v>232</v>
      </c>
      <c r="T387" s="43">
        <f>[2]ASB!CX45</f>
        <v>244</v>
      </c>
      <c r="U387" s="43">
        <f>[2]ASB!CY45</f>
        <v>200</v>
      </c>
      <c r="V387" s="43">
        <f>[2]ASB!CZ45</f>
        <v>184</v>
      </c>
      <c r="W387" s="43">
        <f>[2]ASB!DA45</f>
        <v>174</v>
      </c>
      <c r="X387" s="43">
        <f>[2]ASB!DB45</f>
        <v>137</v>
      </c>
      <c r="Y387" s="43">
        <f>[2]ASB!DC45</f>
        <v>164</v>
      </c>
      <c r="Z387" s="43">
        <f>[2]ASB!DD45</f>
        <v>148</v>
      </c>
      <c r="AA387" s="43">
        <f>[2]ASB!DE45</f>
        <v>150</v>
      </c>
      <c r="AB387" s="43">
        <f>[2]ASB!DF45</f>
        <v>145</v>
      </c>
      <c r="AC387" s="43">
        <f>[2]ASB!DG45</f>
        <v>188</v>
      </c>
      <c r="AD387" s="43">
        <f>[2]ASB!DH45</f>
        <v>187</v>
      </c>
      <c r="AE387" s="43">
        <f>[2]ASB!DI45</f>
        <v>158</v>
      </c>
      <c r="AF387" s="43">
        <f>[2]ASB!DJ45</f>
        <v>194</v>
      </c>
      <c r="AG387" s="43">
        <f>[2]ASB!DK45</f>
        <v>165</v>
      </c>
      <c r="AH387" s="43">
        <f>[2]ASB!DL45</f>
        <v>140</v>
      </c>
      <c r="AI387" s="43">
        <f>[2]ASB!DM45</f>
        <v>127</v>
      </c>
      <c r="AJ387" s="43">
        <f>[2]ASB!DN45</f>
        <v>119</v>
      </c>
      <c r="AK387" s="43">
        <f>[2]ASB!DO45</f>
        <v>125</v>
      </c>
      <c r="AL387" s="43">
        <f>[2]ASB!DP45</f>
        <v>145</v>
      </c>
      <c r="AM387" s="43">
        <f>[2]ASB!DQ45</f>
        <v>133</v>
      </c>
      <c r="AN387" s="43">
        <f>[2]ASB!DR45</f>
        <v>151</v>
      </c>
      <c r="AO387" s="43">
        <f>[2]ASB!DS45</f>
        <v>171</v>
      </c>
      <c r="AP387" s="43">
        <f>[2]ASB!DT45</f>
        <v>156</v>
      </c>
      <c r="AQ387" s="43">
        <f>[2]ASB!DU45</f>
        <v>181</v>
      </c>
      <c r="AR387" s="43">
        <f>[2]ASB!DV45</f>
        <v>171</v>
      </c>
      <c r="AS387" s="43">
        <f>[2]ASB!DW45</f>
        <v>155</v>
      </c>
      <c r="AT387" s="43">
        <f>[2]ASB!DX45</f>
        <v>177</v>
      </c>
      <c r="AU387" s="43">
        <f>[2]ASB!DY45</f>
        <v>126</v>
      </c>
      <c r="AV387" s="43">
        <f>[2]ASB!DZ45</f>
        <v>114</v>
      </c>
      <c r="AW387" s="43">
        <f>[2]ASB!EA45</f>
        <v>149</v>
      </c>
      <c r="AX387" s="43">
        <f>[2]ASB!EB45</f>
        <v>143</v>
      </c>
      <c r="AY387" s="43">
        <f>[2]ASB!EC45</f>
        <v>198</v>
      </c>
    </row>
    <row r="388" spans="3:51" x14ac:dyDescent="0.35">
      <c r="C388" s="382" t="s">
        <v>11</v>
      </c>
      <c r="D388" s="43">
        <f>[2]ASB!CH46</f>
        <v>52</v>
      </c>
      <c r="E388" s="43">
        <f>[2]ASB!CI46</f>
        <v>32</v>
      </c>
      <c r="F388" s="43">
        <f>[2]ASB!CJ46</f>
        <v>41</v>
      </c>
      <c r="G388" s="43">
        <f>[2]ASB!CK46</f>
        <v>45</v>
      </c>
      <c r="H388" s="43">
        <f>[2]ASB!CL46</f>
        <v>36</v>
      </c>
      <c r="I388" s="43">
        <f>[2]ASB!CM46</f>
        <v>33</v>
      </c>
      <c r="J388" s="43">
        <f>[2]ASB!CN46</f>
        <v>30</v>
      </c>
      <c r="K388" s="43">
        <f>[2]ASB!CO46</f>
        <v>40</v>
      </c>
      <c r="L388" s="43">
        <f>[2]ASB!CP46</f>
        <v>43</v>
      </c>
      <c r="M388" s="43">
        <f>[2]ASB!CQ46</f>
        <v>27</v>
      </c>
      <c r="N388" s="43">
        <f>[2]ASB!CR46</f>
        <v>27</v>
      </c>
      <c r="O388" s="43">
        <f>[2]ASB!CS46</f>
        <v>31</v>
      </c>
      <c r="P388" s="43">
        <f>[2]ASB!CT46</f>
        <v>23</v>
      </c>
      <c r="Q388" s="43">
        <f>[2]ASB!CU46</f>
        <v>35</v>
      </c>
      <c r="R388" s="43">
        <f>[2]ASB!CV46</f>
        <v>34</v>
      </c>
      <c r="S388" s="43">
        <f>[2]ASB!CW46</f>
        <v>29</v>
      </c>
      <c r="T388" s="43">
        <f>[2]ASB!CX46</f>
        <v>44</v>
      </c>
      <c r="U388" s="43">
        <f>[2]ASB!CY46</f>
        <v>38</v>
      </c>
      <c r="V388" s="43">
        <f>[2]ASB!CZ46</f>
        <v>19</v>
      </c>
      <c r="W388" s="43">
        <f>[2]ASB!DA46</f>
        <v>23</v>
      </c>
      <c r="X388" s="43">
        <f>[2]ASB!DB46</f>
        <v>24</v>
      </c>
      <c r="Y388" s="43">
        <f>[2]ASB!DC46</f>
        <v>22</v>
      </c>
      <c r="Z388" s="43">
        <f>[2]ASB!DD46</f>
        <v>27</v>
      </c>
      <c r="AA388" s="43">
        <f>[2]ASB!DE46</f>
        <v>29</v>
      </c>
      <c r="AB388" s="43">
        <f>[2]ASB!DF46</f>
        <v>21</v>
      </c>
      <c r="AC388" s="43">
        <f>[2]ASB!DG46</f>
        <v>23</v>
      </c>
      <c r="AD388" s="43">
        <f>[2]ASB!DH46</f>
        <v>28</v>
      </c>
      <c r="AE388" s="43">
        <f>[2]ASB!DI46</f>
        <v>26</v>
      </c>
      <c r="AF388" s="43">
        <f>[2]ASB!DJ46</f>
        <v>40</v>
      </c>
      <c r="AG388" s="43">
        <f>[2]ASB!DK46</f>
        <v>49</v>
      </c>
      <c r="AH388" s="43">
        <f>[2]ASB!DL46</f>
        <v>39</v>
      </c>
      <c r="AI388" s="43">
        <f>[2]ASB!DM46</f>
        <v>44</v>
      </c>
      <c r="AJ388" s="43">
        <f>[2]ASB!DN46</f>
        <v>36</v>
      </c>
      <c r="AK388" s="43">
        <f>[2]ASB!DO46</f>
        <v>38</v>
      </c>
      <c r="AL388" s="43">
        <f>[2]ASB!DP46</f>
        <v>46</v>
      </c>
      <c r="AM388" s="43">
        <f>[2]ASB!DQ46</f>
        <v>38</v>
      </c>
      <c r="AN388" s="43">
        <f>[2]ASB!DR46</f>
        <v>47</v>
      </c>
      <c r="AO388" s="43">
        <f>[2]ASB!DS46</f>
        <v>54</v>
      </c>
      <c r="AP388" s="43">
        <f>[2]ASB!DT46</f>
        <v>42</v>
      </c>
      <c r="AQ388" s="43">
        <f>[2]ASB!DU46</f>
        <v>49</v>
      </c>
      <c r="AR388" s="43">
        <f>[2]ASB!DV46</f>
        <v>52</v>
      </c>
      <c r="AS388" s="43">
        <f>[2]ASB!DW46</f>
        <v>48</v>
      </c>
      <c r="AT388" s="43">
        <f>[2]ASB!DX46</f>
        <v>43</v>
      </c>
      <c r="AU388" s="43">
        <f>[2]ASB!DY46</f>
        <v>48</v>
      </c>
      <c r="AV388" s="43">
        <f>[2]ASB!DZ46</f>
        <v>32</v>
      </c>
      <c r="AW388" s="43">
        <f>[2]ASB!EA46</f>
        <v>39</v>
      </c>
      <c r="AX388" s="43">
        <f>[2]ASB!EB46</f>
        <v>31</v>
      </c>
      <c r="AY388" s="43">
        <f>[2]ASB!EC46</f>
        <v>50</v>
      </c>
    </row>
    <row r="389" spans="3:51" x14ac:dyDescent="0.35">
      <c r="C389" s="382" t="s">
        <v>129</v>
      </c>
      <c r="D389" s="43">
        <f>[2]ASB!CH47</f>
        <v>210</v>
      </c>
      <c r="E389" s="43">
        <f>[2]ASB!CI47</f>
        <v>174</v>
      </c>
      <c r="F389" s="43">
        <f>[2]ASB!CJ47</f>
        <v>209</v>
      </c>
      <c r="G389" s="43">
        <f>[2]ASB!CK47</f>
        <v>197</v>
      </c>
      <c r="H389" s="43">
        <f>[2]ASB!CL47</f>
        <v>185</v>
      </c>
      <c r="I389" s="43">
        <f>[2]ASB!CM47</f>
        <v>153</v>
      </c>
      <c r="J389" s="43">
        <f>[2]ASB!CN47</f>
        <v>140</v>
      </c>
      <c r="K389" s="43">
        <f>[2]ASB!CO47</f>
        <v>123</v>
      </c>
      <c r="L389" s="43">
        <f>[2]ASB!CP47</f>
        <v>110</v>
      </c>
      <c r="M389" s="43">
        <f>[2]ASB!CQ47</f>
        <v>148</v>
      </c>
      <c r="N389" s="43">
        <f>[2]ASB!CR47</f>
        <v>104</v>
      </c>
      <c r="O389" s="43">
        <f>[2]ASB!CS47</f>
        <v>124</v>
      </c>
      <c r="P389" s="43">
        <f>[2]ASB!CT47</f>
        <v>125</v>
      </c>
      <c r="Q389" s="43">
        <f>[2]ASB!CU47</f>
        <v>149</v>
      </c>
      <c r="R389" s="43">
        <f>[2]ASB!CV47</f>
        <v>126</v>
      </c>
      <c r="S389" s="43">
        <f>[2]ASB!CW47</f>
        <v>188</v>
      </c>
      <c r="T389" s="43">
        <f>[2]ASB!CX47</f>
        <v>169</v>
      </c>
      <c r="U389" s="43">
        <f>[2]ASB!CY47</f>
        <v>154</v>
      </c>
      <c r="V389" s="43">
        <f>[2]ASB!CZ47</f>
        <v>154</v>
      </c>
      <c r="W389" s="43">
        <f>[2]ASB!DA47</f>
        <v>137</v>
      </c>
      <c r="X389" s="43">
        <f>[2]ASB!DB47</f>
        <v>104</v>
      </c>
      <c r="Y389" s="43">
        <f>[2]ASB!DC47</f>
        <v>116</v>
      </c>
      <c r="Z389" s="43">
        <f>[2]ASB!DD47</f>
        <v>110</v>
      </c>
      <c r="AA389" s="43">
        <f>[2]ASB!DE47</f>
        <v>107</v>
      </c>
      <c r="AB389" s="43">
        <f>[2]ASB!DF47</f>
        <v>115</v>
      </c>
      <c r="AC389" s="43">
        <f>[2]ASB!DG47</f>
        <v>158</v>
      </c>
      <c r="AD389" s="43">
        <f>[2]ASB!DH47</f>
        <v>141</v>
      </c>
      <c r="AE389" s="43">
        <f>[2]ASB!DI47</f>
        <v>118</v>
      </c>
      <c r="AF389" s="43">
        <f>[2]ASB!DJ47</f>
        <v>142</v>
      </c>
      <c r="AG389" s="43">
        <f>[2]ASB!DK47</f>
        <v>98</v>
      </c>
      <c r="AH389" s="43">
        <f>[2]ASB!DL47</f>
        <v>83</v>
      </c>
      <c r="AI389" s="43">
        <f>[2]ASB!DM47</f>
        <v>57</v>
      </c>
      <c r="AJ389" s="43">
        <f>[2]ASB!DN47</f>
        <v>67</v>
      </c>
      <c r="AK389" s="43">
        <f>[2]ASB!DO47</f>
        <v>81</v>
      </c>
      <c r="AL389" s="43">
        <f>[2]ASB!DP47</f>
        <v>82</v>
      </c>
      <c r="AM389" s="43">
        <f>[2]ASB!DQ47</f>
        <v>79</v>
      </c>
      <c r="AN389" s="43">
        <f>[2]ASB!DR47</f>
        <v>91</v>
      </c>
      <c r="AO389" s="43">
        <f>[2]ASB!DS47</f>
        <v>106</v>
      </c>
      <c r="AP389" s="43">
        <f>[2]ASB!DT47</f>
        <v>106</v>
      </c>
      <c r="AQ389" s="43">
        <f>[2]ASB!DU47</f>
        <v>122</v>
      </c>
      <c r="AR389" s="43">
        <f>[2]ASB!DV47</f>
        <v>106</v>
      </c>
      <c r="AS389" s="43">
        <f>[2]ASB!DW47</f>
        <v>99</v>
      </c>
      <c r="AT389" s="43">
        <f>[2]ASB!DX47</f>
        <v>119</v>
      </c>
      <c r="AU389" s="43">
        <f>[2]ASB!DY47</f>
        <v>71</v>
      </c>
      <c r="AV389" s="43">
        <f>[2]ASB!DZ47</f>
        <v>78</v>
      </c>
      <c r="AW389" s="43">
        <f>[2]ASB!EA47</f>
        <v>103</v>
      </c>
      <c r="AX389" s="43">
        <f>[2]ASB!EB47</f>
        <v>100</v>
      </c>
      <c r="AY389" s="43">
        <f>[2]ASB!EC47</f>
        <v>141</v>
      </c>
    </row>
    <row r="390" spans="3:51" x14ac:dyDescent="0.35">
      <c r="C390" s="382" t="s">
        <v>13</v>
      </c>
      <c r="D390" s="43">
        <f>[2]ASB!CH48</f>
        <v>31</v>
      </c>
      <c r="E390" s="43">
        <f>[2]ASB!CI48</f>
        <v>24</v>
      </c>
      <c r="F390" s="43">
        <f>[2]ASB!CJ48</f>
        <v>30</v>
      </c>
      <c r="G390" s="43">
        <f>[2]ASB!CK48</f>
        <v>26</v>
      </c>
      <c r="H390" s="43">
        <f>[2]ASB!CL48</f>
        <v>24</v>
      </c>
      <c r="I390" s="43">
        <f>[2]ASB!CM48</f>
        <v>24</v>
      </c>
      <c r="J390" s="43">
        <f>[2]ASB!CN48</f>
        <v>19</v>
      </c>
      <c r="K390" s="43">
        <f>[2]ASB!CO48</f>
        <v>14</v>
      </c>
      <c r="L390" s="43">
        <f>[2]ASB!CP48</f>
        <v>11</v>
      </c>
      <c r="M390" s="43">
        <f>[2]ASB!CQ48</f>
        <v>19</v>
      </c>
      <c r="N390" s="43">
        <f>[2]ASB!CR48</f>
        <v>16</v>
      </c>
      <c r="O390" s="43">
        <f>[2]ASB!CS48</f>
        <v>15</v>
      </c>
      <c r="P390" s="43">
        <f>[2]ASB!CT48</f>
        <v>16</v>
      </c>
      <c r="Q390" s="43">
        <f>[2]ASB!CU48</f>
        <v>16</v>
      </c>
      <c r="R390" s="43">
        <f>[2]ASB!CV48</f>
        <v>15</v>
      </c>
      <c r="S390" s="43">
        <f>[2]ASB!CW48</f>
        <v>15</v>
      </c>
      <c r="T390" s="43">
        <f>[2]ASB!CX48</f>
        <v>31</v>
      </c>
      <c r="U390" s="43">
        <f>[2]ASB!CY48</f>
        <v>8</v>
      </c>
      <c r="V390" s="43">
        <f>[2]ASB!CZ48</f>
        <v>11</v>
      </c>
      <c r="W390" s="43">
        <f>[2]ASB!DA48</f>
        <v>14</v>
      </c>
      <c r="X390" s="43">
        <f>[2]ASB!DB48</f>
        <v>9</v>
      </c>
      <c r="Y390" s="43">
        <f>[2]ASB!DC48</f>
        <v>26</v>
      </c>
      <c r="Z390" s="43">
        <f>[2]ASB!DD48</f>
        <v>11</v>
      </c>
      <c r="AA390" s="43">
        <f>[2]ASB!DE48</f>
        <v>14</v>
      </c>
      <c r="AB390" s="43">
        <f>[2]ASB!DF48</f>
        <v>9</v>
      </c>
      <c r="AC390" s="43">
        <f>[2]ASB!DG48</f>
        <v>7</v>
      </c>
      <c r="AD390" s="43">
        <f>[2]ASB!DH48</f>
        <v>18</v>
      </c>
      <c r="AE390" s="43">
        <f>[2]ASB!DI48</f>
        <v>14</v>
      </c>
      <c r="AF390" s="43">
        <f>[2]ASB!DJ48</f>
        <v>12</v>
      </c>
      <c r="AG390" s="43">
        <f>[2]ASB!DK48</f>
        <v>18</v>
      </c>
      <c r="AH390" s="43">
        <f>[2]ASB!DL48</f>
        <v>18</v>
      </c>
      <c r="AI390" s="43">
        <f>[2]ASB!DM48</f>
        <v>26</v>
      </c>
      <c r="AJ390" s="43">
        <f>[2]ASB!DN48</f>
        <v>16</v>
      </c>
      <c r="AK390" s="43">
        <f>[2]ASB!DO48</f>
        <v>6</v>
      </c>
      <c r="AL390" s="43">
        <f>[2]ASB!DP48</f>
        <v>17</v>
      </c>
      <c r="AM390" s="43">
        <f>[2]ASB!DQ48</f>
        <v>16</v>
      </c>
      <c r="AN390" s="43">
        <f>[2]ASB!DR48</f>
        <v>13</v>
      </c>
      <c r="AO390" s="43">
        <f>[2]ASB!DS48</f>
        <v>11</v>
      </c>
      <c r="AP390" s="43">
        <f>[2]ASB!DT48</f>
        <v>8</v>
      </c>
      <c r="AQ390" s="43">
        <f>[2]ASB!DU48</f>
        <v>10</v>
      </c>
      <c r="AR390" s="43">
        <f>[2]ASB!DV48</f>
        <v>13</v>
      </c>
      <c r="AS390" s="43">
        <f>[2]ASB!DW48</f>
        <v>8</v>
      </c>
      <c r="AT390" s="43">
        <f>[2]ASB!DX48</f>
        <v>15</v>
      </c>
      <c r="AU390" s="43">
        <f>[2]ASB!DY48</f>
        <v>7</v>
      </c>
      <c r="AV390" s="43">
        <f>[2]ASB!DZ48</f>
        <v>4</v>
      </c>
      <c r="AW390" s="43">
        <f>[2]ASB!EA48</f>
        <v>7</v>
      </c>
      <c r="AX390" s="43">
        <f>[2]ASB!EB48</f>
        <v>12</v>
      </c>
      <c r="AY390" s="43">
        <f>[2]ASB!EC48</f>
        <v>7</v>
      </c>
    </row>
    <row r="391" spans="3:51" s="60" customFormat="1" x14ac:dyDescent="0.35">
      <c r="C391" s="62"/>
      <c r="D391" s="61"/>
      <c r="E391" s="61"/>
      <c r="F391" s="61"/>
      <c r="G391" s="61"/>
      <c r="H391" s="61"/>
      <c r="I391" s="61"/>
      <c r="J391" s="61"/>
      <c r="K391" s="61"/>
      <c r="L391" s="61"/>
      <c r="M391" s="61"/>
      <c r="N391" s="61"/>
      <c r="O391" s="61"/>
    </row>
    <row r="392" spans="3:51" s="60" customFormat="1" x14ac:dyDescent="0.35">
      <c r="D392" s="61"/>
      <c r="E392" s="61"/>
      <c r="F392" s="61"/>
      <c r="G392" s="61"/>
      <c r="H392" s="61"/>
      <c r="I392" s="61"/>
      <c r="J392" s="61"/>
      <c r="K392" s="61"/>
      <c r="L392" s="61"/>
      <c r="M392" s="61"/>
      <c r="N392" s="61"/>
      <c r="O392" s="61"/>
    </row>
    <row r="393" spans="3:51" x14ac:dyDescent="0.35">
      <c r="C393" s="384" t="s">
        <v>117</v>
      </c>
      <c r="D393" s="61"/>
      <c r="E393" s="61"/>
      <c r="F393" s="61"/>
      <c r="G393" s="61"/>
      <c r="H393" s="61"/>
      <c r="I393" s="61"/>
      <c r="J393" s="61"/>
      <c r="K393" s="61"/>
      <c r="L393" s="61"/>
      <c r="M393" s="61"/>
      <c r="N393" s="61"/>
      <c r="O393" s="61"/>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row>
    <row r="394" spans="3:51" x14ac:dyDescent="0.35">
      <c r="C394" s="384"/>
      <c r="D394" s="41">
        <v>44287</v>
      </c>
      <c r="E394" s="41">
        <v>44317</v>
      </c>
      <c r="F394" s="41">
        <v>44348</v>
      </c>
      <c r="G394" s="41">
        <v>44378</v>
      </c>
      <c r="H394" s="41">
        <v>44409</v>
      </c>
      <c r="I394" s="41">
        <v>44440</v>
      </c>
      <c r="J394" s="41">
        <v>44470</v>
      </c>
      <c r="K394" s="41">
        <v>44501</v>
      </c>
      <c r="L394" s="41">
        <v>44531</v>
      </c>
      <c r="M394" s="41">
        <v>44562</v>
      </c>
      <c r="N394" s="41">
        <v>44593</v>
      </c>
      <c r="O394" s="41">
        <v>44621</v>
      </c>
      <c r="P394" s="39">
        <v>44652</v>
      </c>
      <c r="Q394" s="39">
        <v>44682</v>
      </c>
      <c r="R394" s="39">
        <v>44713</v>
      </c>
      <c r="S394" s="39">
        <v>44743</v>
      </c>
      <c r="T394" s="39">
        <v>44774</v>
      </c>
      <c r="U394" s="39">
        <v>44805</v>
      </c>
      <c r="V394" s="39">
        <v>44835</v>
      </c>
      <c r="W394" s="39">
        <v>44866</v>
      </c>
      <c r="X394" s="39">
        <v>44896</v>
      </c>
      <c r="Y394" s="39">
        <v>44927</v>
      </c>
      <c r="Z394" s="39">
        <v>44958</v>
      </c>
      <c r="AA394" s="39">
        <v>44986</v>
      </c>
      <c r="AB394" s="39">
        <v>45017</v>
      </c>
      <c r="AC394" s="39">
        <v>45047</v>
      </c>
      <c r="AD394" s="39">
        <v>45078</v>
      </c>
      <c r="AE394" s="39">
        <v>45108</v>
      </c>
      <c r="AF394" s="39">
        <v>45139</v>
      </c>
      <c r="AG394" s="39">
        <v>45170</v>
      </c>
      <c r="AH394" s="39">
        <v>45200</v>
      </c>
      <c r="AI394" s="39">
        <v>45231</v>
      </c>
      <c r="AJ394" s="39">
        <v>45261</v>
      </c>
      <c r="AK394" s="39">
        <v>45292</v>
      </c>
      <c r="AL394" s="39">
        <v>45323</v>
      </c>
      <c r="AM394" s="39">
        <v>45352</v>
      </c>
      <c r="AN394" s="39">
        <v>45383</v>
      </c>
      <c r="AO394" s="39">
        <v>45413</v>
      </c>
      <c r="AP394" s="39">
        <v>45444</v>
      </c>
      <c r="AQ394" s="39">
        <v>45474</v>
      </c>
      <c r="AR394" s="39">
        <v>45505</v>
      </c>
      <c r="AS394" s="39">
        <v>45536</v>
      </c>
      <c r="AT394" s="39">
        <v>45566</v>
      </c>
      <c r="AU394" s="39">
        <v>45597</v>
      </c>
      <c r="AV394" s="39">
        <v>45627</v>
      </c>
      <c r="AW394" s="39">
        <v>45658</v>
      </c>
      <c r="AX394" s="39">
        <v>45689</v>
      </c>
      <c r="AY394" s="39">
        <v>45717</v>
      </c>
    </row>
    <row r="395" spans="3:51" x14ac:dyDescent="0.35">
      <c r="C395" s="385" t="s">
        <v>128</v>
      </c>
      <c r="D395" s="43">
        <f t="shared" ref="D395:AM395" si="20">SUM(D387+D379)</f>
        <v>565</v>
      </c>
      <c r="E395" s="43">
        <f t="shared" si="20"/>
        <v>411</v>
      </c>
      <c r="F395" s="43">
        <f t="shared" si="20"/>
        <v>496</v>
      </c>
      <c r="G395" s="43">
        <f t="shared" si="20"/>
        <v>503</v>
      </c>
      <c r="H395" s="43">
        <f t="shared" si="20"/>
        <v>395</v>
      </c>
      <c r="I395" s="43">
        <f t="shared" si="20"/>
        <v>404</v>
      </c>
      <c r="J395" s="43">
        <f t="shared" si="20"/>
        <v>374</v>
      </c>
      <c r="K395" s="43">
        <f t="shared" si="20"/>
        <v>332</v>
      </c>
      <c r="L395" s="43">
        <f t="shared" si="20"/>
        <v>295</v>
      </c>
      <c r="M395" s="43">
        <f t="shared" si="20"/>
        <v>324</v>
      </c>
      <c r="N395" s="43">
        <f t="shared" si="20"/>
        <v>262</v>
      </c>
      <c r="O395" s="43">
        <f t="shared" si="20"/>
        <v>295</v>
      </c>
      <c r="P395" s="43">
        <f t="shared" si="20"/>
        <v>279</v>
      </c>
      <c r="Q395" s="43">
        <f t="shared" si="20"/>
        <v>335</v>
      </c>
      <c r="R395" s="43">
        <f t="shared" si="20"/>
        <v>308</v>
      </c>
      <c r="S395" s="43">
        <f t="shared" si="20"/>
        <v>413</v>
      </c>
      <c r="T395" s="43">
        <f t="shared" si="20"/>
        <v>413</v>
      </c>
      <c r="U395" s="43">
        <f t="shared" si="20"/>
        <v>348</v>
      </c>
      <c r="V395" s="43">
        <f t="shared" si="20"/>
        <v>328</v>
      </c>
      <c r="W395" s="43">
        <f t="shared" si="20"/>
        <v>301</v>
      </c>
      <c r="X395" s="43">
        <f t="shared" si="20"/>
        <v>258</v>
      </c>
      <c r="Y395" s="43">
        <f t="shared" si="20"/>
        <v>281</v>
      </c>
      <c r="Z395" s="43">
        <f t="shared" si="20"/>
        <v>265</v>
      </c>
      <c r="AA395" s="43">
        <f t="shared" si="20"/>
        <v>250</v>
      </c>
      <c r="AB395" s="43">
        <f t="shared" si="20"/>
        <v>273</v>
      </c>
      <c r="AC395" s="43">
        <f t="shared" si="20"/>
        <v>355</v>
      </c>
      <c r="AD395" s="43">
        <f t="shared" si="20"/>
        <v>354</v>
      </c>
      <c r="AE395" s="43">
        <f t="shared" si="20"/>
        <v>275</v>
      </c>
      <c r="AF395" s="43">
        <f t="shared" si="20"/>
        <v>339</v>
      </c>
      <c r="AG395" s="43">
        <f t="shared" si="20"/>
        <v>323</v>
      </c>
      <c r="AH395" s="43">
        <f t="shared" si="20"/>
        <v>258</v>
      </c>
      <c r="AI395" s="43">
        <f t="shared" si="20"/>
        <v>242</v>
      </c>
      <c r="AJ395" s="43">
        <f t="shared" si="20"/>
        <v>207</v>
      </c>
      <c r="AK395" s="43">
        <f t="shared" si="20"/>
        <v>230</v>
      </c>
      <c r="AL395" s="43">
        <f t="shared" si="20"/>
        <v>266</v>
      </c>
      <c r="AM395" s="43">
        <f t="shared" si="20"/>
        <v>264</v>
      </c>
      <c r="AN395" s="43">
        <f t="shared" ref="AN395:AY395" si="21">SUM(AN387+AN379)</f>
        <v>292</v>
      </c>
      <c r="AO395" s="43">
        <f t="shared" si="21"/>
        <v>304</v>
      </c>
      <c r="AP395" s="43">
        <f t="shared" si="21"/>
        <v>320</v>
      </c>
      <c r="AQ395" s="43">
        <f t="shared" si="21"/>
        <v>331</v>
      </c>
      <c r="AR395" s="43">
        <f t="shared" si="21"/>
        <v>324</v>
      </c>
      <c r="AS395" s="43">
        <f t="shared" si="21"/>
        <v>301</v>
      </c>
      <c r="AT395" s="43">
        <f t="shared" si="21"/>
        <v>314</v>
      </c>
      <c r="AU395" s="43">
        <f t="shared" si="21"/>
        <v>250</v>
      </c>
      <c r="AV395" s="43">
        <f t="shared" si="21"/>
        <v>211</v>
      </c>
      <c r="AW395" s="43">
        <f t="shared" si="21"/>
        <v>255</v>
      </c>
      <c r="AX395" s="43">
        <f t="shared" si="21"/>
        <v>254</v>
      </c>
      <c r="AY395" s="43">
        <f t="shared" si="21"/>
        <v>333</v>
      </c>
    </row>
    <row r="396" spans="3:51" x14ac:dyDescent="0.35">
      <c r="C396" s="385" t="s">
        <v>11</v>
      </c>
      <c r="D396" s="43">
        <f t="shared" ref="D396:AM398" si="22">D388+D380</f>
        <v>89</v>
      </c>
      <c r="E396" s="43">
        <f t="shared" si="22"/>
        <v>61</v>
      </c>
      <c r="F396" s="43">
        <f t="shared" si="22"/>
        <v>68</v>
      </c>
      <c r="G396" s="43">
        <f t="shared" si="22"/>
        <v>81</v>
      </c>
      <c r="H396" s="43">
        <f t="shared" si="22"/>
        <v>61</v>
      </c>
      <c r="I396" s="43">
        <f t="shared" si="22"/>
        <v>78</v>
      </c>
      <c r="J396" s="43">
        <f t="shared" si="22"/>
        <v>77</v>
      </c>
      <c r="K396" s="43">
        <f t="shared" si="22"/>
        <v>85</v>
      </c>
      <c r="L396" s="43">
        <f t="shared" si="22"/>
        <v>68</v>
      </c>
      <c r="M396" s="43">
        <f t="shared" si="22"/>
        <v>50</v>
      </c>
      <c r="N396" s="43">
        <f t="shared" si="22"/>
        <v>50</v>
      </c>
      <c r="O396" s="43">
        <f t="shared" si="22"/>
        <v>54</v>
      </c>
      <c r="P396" s="43">
        <f t="shared" si="22"/>
        <v>38</v>
      </c>
      <c r="Q396" s="43">
        <f t="shared" si="22"/>
        <v>59</v>
      </c>
      <c r="R396" s="43">
        <f t="shared" si="22"/>
        <v>61</v>
      </c>
      <c r="S396" s="43">
        <f t="shared" si="22"/>
        <v>58</v>
      </c>
      <c r="T396" s="43">
        <f t="shared" si="22"/>
        <v>81</v>
      </c>
      <c r="U396" s="43">
        <f t="shared" si="22"/>
        <v>70</v>
      </c>
      <c r="V396" s="43">
        <f t="shared" si="22"/>
        <v>52</v>
      </c>
      <c r="W396" s="43">
        <f t="shared" si="22"/>
        <v>51</v>
      </c>
      <c r="X396" s="43">
        <f t="shared" si="22"/>
        <v>47</v>
      </c>
      <c r="Y396" s="43">
        <f t="shared" si="22"/>
        <v>42</v>
      </c>
      <c r="Z396" s="43">
        <f t="shared" si="22"/>
        <v>50</v>
      </c>
      <c r="AA396" s="43">
        <f t="shared" si="22"/>
        <v>47</v>
      </c>
      <c r="AB396" s="43">
        <f t="shared" si="22"/>
        <v>40</v>
      </c>
      <c r="AC396" s="43">
        <f t="shared" si="22"/>
        <v>54</v>
      </c>
      <c r="AD396" s="43">
        <f t="shared" si="22"/>
        <v>56</v>
      </c>
      <c r="AE396" s="43">
        <f t="shared" si="22"/>
        <v>49</v>
      </c>
      <c r="AF396" s="43">
        <f t="shared" si="22"/>
        <v>71</v>
      </c>
      <c r="AG396" s="43">
        <f t="shared" si="22"/>
        <v>86</v>
      </c>
      <c r="AH396" s="43">
        <f t="shared" si="22"/>
        <v>67</v>
      </c>
      <c r="AI396" s="43">
        <f t="shared" si="22"/>
        <v>79</v>
      </c>
      <c r="AJ396" s="43">
        <f t="shared" si="22"/>
        <v>56</v>
      </c>
      <c r="AK396" s="43">
        <f t="shared" si="22"/>
        <v>72</v>
      </c>
      <c r="AL396" s="43">
        <f t="shared" si="22"/>
        <v>79</v>
      </c>
      <c r="AM396" s="43">
        <f t="shared" si="22"/>
        <v>86</v>
      </c>
      <c r="AN396" s="43">
        <f t="shared" ref="AN396:AY396" si="23">AN388+AN380</f>
        <v>108</v>
      </c>
      <c r="AO396" s="43">
        <f t="shared" si="23"/>
        <v>105</v>
      </c>
      <c r="AP396" s="43">
        <f t="shared" si="23"/>
        <v>93</v>
      </c>
      <c r="AQ396" s="43">
        <f t="shared" si="23"/>
        <v>94</v>
      </c>
      <c r="AR396" s="43">
        <f t="shared" si="23"/>
        <v>84</v>
      </c>
      <c r="AS396" s="43">
        <f t="shared" si="23"/>
        <v>107</v>
      </c>
      <c r="AT396" s="43">
        <f t="shared" si="23"/>
        <v>87</v>
      </c>
      <c r="AU396" s="43">
        <f t="shared" si="23"/>
        <v>91</v>
      </c>
      <c r="AV396" s="43">
        <f t="shared" si="23"/>
        <v>57</v>
      </c>
      <c r="AW396" s="43">
        <f t="shared" si="23"/>
        <v>75</v>
      </c>
      <c r="AX396" s="43">
        <f t="shared" si="23"/>
        <v>61</v>
      </c>
      <c r="AY396" s="43">
        <f t="shared" si="23"/>
        <v>87</v>
      </c>
    </row>
    <row r="397" spans="3:51" x14ac:dyDescent="0.35">
      <c r="C397" s="385" t="s">
        <v>129</v>
      </c>
      <c r="D397" s="43">
        <f t="shared" ref="D397:O397" si="24">D389+D381</f>
        <v>403</v>
      </c>
      <c r="E397" s="43">
        <f t="shared" si="24"/>
        <v>301</v>
      </c>
      <c r="F397" s="43">
        <f t="shared" si="24"/>
        <v>376</v>
      </c>
      <c r="G397" s="43">
        <f t="shared" si="24"/>
        <v>371</v>
      </c>
      <c r="H397" s="43">
        <f t="shared" si="24"/>
        <v>292</v>
      </c>
      <c r="I397" s="43">
        <f t="shared" si="24"/>
        <v>283</v>
      </c>
      <c r="J397" s="43">
        <f t="shared" si="24"/>
        <v>252</v>
      </c>
      <c r="K397" s="43">
        <f t="shared" si="24"/>
        <v>223</v>
      </c>
      <c r="L397" s="43">
        <f t="shared" si="24"/>
        <v>202</v>
      </c>
      <c r="M397" s="43">
        <f t="shared" si="24"/>
        <v>238</v>
      </c>
      <c r="N397" s="43">
        <f t="shared" si="24"/>
        <v>186</v>
      </c>
      <c r="O397" s="43">
        <f t="shared" si="24"/>
        <v>220</v>
      </c>
      <c r="P397" s="43">
        <f t="shared" si="22"/>
        <v>210</v>
      </c>
      <c r="Q397" s="43">
        <f t="shared" si="22"/>
        <v>247</v>
      </c>
      <c r="R397" s="43">
        <f t="shared" si="22"/>
        <v>215</v>
      </c>
      <c r="S397" s="43">
        <f t="shared" si="22"/>
        <v>330</v>
      </c>
      <c r="T397" s="43">
        <f t="shared" si="22"/>
        <v>289</v>
      </c>
      <c r="U397" s="43">
        <f t="shared" si="22"/>
        <v>262</v>
      </c>
      <c r="V397" s="43">
        <f t="shared" si="22"/>
        <v>255</v>
      </c>
      <c r="W397" s="43">
        <f t="shared" si="22"/>
        <v>227</v>
      </c>
      <c r="X397" s="43">
        <f t="shared" si="22"/>
        <v>190</v>
      </c>
      <c r="Y397" s="43">
        <f t="shared" si="22"/>
        <v>193</v>
      </c>
      <c r="Z397" s="43">
        <f t="shared" si="22"/>
        <v>191</v>
      </c>
      <c r="AA397" s="43">
        <f t="shared" si="22"/>
        <v>181</v>
      </c>
      <c r="AB397" s="43">
        <f t="shared" si="22"/>
        <v>217</v>
      </c>
      <c r="AC397" s="43">
        <f t="shared" si="22"/>
        <v>275</v>
      </c>
      <c r="AD397" s="43">
        <f t="shared" si="22"/>
        <v>262</v>
      </c>
      <c r="AE397" s="43">
        <f t="shared" si="22"/>
        <v>202</v>
      </c>
      <c r="AF397" s="43">
        <f t="shared" si="22"/>
        <v>247</v>
      </c>
      <c r="AG397" s="43">
        <f t="shared" si="22"/>
        <v>206</v>
      </c>
      <c r="AH397" s="43">
        <f t="shared" si="22"/>
        <v>159</v>
      </c>
      <c r="AI397" s="43">
        <f t="shared" si="22"/>
        <v>112</v>
      </c>
      <c r="AJ397" s="43">
        <f t="shared" si="22"/>
        <v>124</v>
      </c>
      <c r="AK397" s="43">
        <f t="shared" si="22"/>
        <v>136</v>
      </c>
      <c r="AL397" s="43">
        <f t="shared" si="22"/>
        <v>150</v>
      </c>
      <c r="AM397" s="43">
        <f t="shared" si="22"/>
        <v>146</v>
      </c>
      <c r="AN397" s="43">
        <f t="shared" ref="AN397:AY397" si="25">AN389+AN381</f>
        <v>166</v>
      </c>
      <c r="AO397" s="43">
        <f t="shared" si="25"/>
        <v>174</v>
      </c>
      <c r="AP397" s="43">
        <f t="shared" si="25"/>
        <v>209</v>
      </c>
      <c r="AQ397" s="43">
        <f t="shared" si="25"/>
        <v>218</v>
      </c>
      <c r="AR397" s="43">
        <f t="shared" si="25"/>
        <v>212</v>
      </c>
      <c r="AS397" s="43">
        <f t="shared" si="25"/>
        <v>178</v>
      </c>
      <c r="AT397" s="43">
        <f t="shared" si="25"/>
        <v>201</v>
      </c>
      <c r="AU397" s="43">
        <f t="shared" si="25"/>
        <v>146</v>
      </c>
      <c r="AV397" s="43">
        <f t="shared" si="25"/>
        <v>143</v>
      </c>
      <c r="AW397" s="43">
        <f t="shared" si="25"/>
        <v>168</v>
      </c>
      <c r="AX397" s="43">
        <f t="shared" si="25"/>
        <v>174</v>
      </c>
      <c r="AY397" s="43">
        <f t="shared" si="25"/>
        <v>223</v>
      </c>
    </row>
    <row r="398" spans="3:51" x14ac:dyDescent="0.35">
      <c r="C398" s="385" t="s">
        <v>13</v>
      </c>
      <c r="D398" s="43">
        <f t="shared" ref="D398:O398" si="26">D390+D382</f>
        <v>73</v>
      </c>
      <c r="E398" s="43">
        <f t="shared" si="26"/>
        <v>49</v>
      </c>
      <c r="F398" s="43">
        <f t="shared" si="26"/>
        <v>52</v>
      </c>
      <c r="G398" s="43">
        <f t="shared" si="26"/>
        <v>51</v>
      </c>
      <c r="H398" s="43">
        <f t="shared" si="26"/>
        <v>42</v>
      </c>
      <c r="I398" s="43">
        <f t="shared" si="26"/>
        <v>43</v>
      </c>
      <c r="J398" s="43">
        <f t="shared" si="26"/>
        <v>45</v>
      </c>
      <c r="K398" s="43">
        <f t="shared" si="26"/>
        <v>24</v>
      </c>
      <c r="L398" s="43">
        <f t="shared" si="26"/>
        <v>25</v>
      </c>
      <c r="M398" s="43">
        <f t="shared" si="26"/>
        <v>36</v>
      </c>
      <c r="N398" s="43">
        <f t="shared" si="26"/>
        <v>26</v>
      </c>
      <c r="O398" s="43">
        <f t="shared" si="26"/>
        <v>21</v>
      </c>
      <c r="P398" s="43">
        <f t="shared" si="22"/>
        <v>31</v>
      </c>
      <c r="Q398" s="43">
        <f t="shared" si="22"/>
        <v>29</v>
      </c>
      <c r="R398" s="43">
        <f t="shared" si="22"/>
        <v>32</v>
      </c>
      <c r="S398" s="43">
        <f t="shared" si="22"/>
        <v>25</v>
      </c>
      <c r="T398" s="43">
        <f t="shared" si="22"/>
        <v>43</v>
      </c>
      <c r="U398" s="43">
        <f t="shared" si="22"/>
        <v>16</v>
      </c>
      <c r="V398" s="43">
        <f t="shared" si="22"/>
        <v>21</v>
      </c>
      <c r="W398" s="43">
        <f t="shared" si="22"/>
        <v>23</v>
      </c>
      <c r="X398" s="43">
        <f t="shared" si="22"/>
        <v>21</v>
      </c>
      <c r="Y398" s="43">
        <f t="shared" si="22"/>
        <v>46</v>
      </c>
      <c r="Z398" s="43">
        <f t="shared" si="22"/>
        <v>24</v>
      </c>
      <c r="AA398" s="43">
        <f t="shared" si="22"/>
        <v>22</v>
      </c>
      <c r="AB398" s="43">
        <f t="shared" si="22"/>
        <v>16</v>
      </c>
      <c r="AC398" s="43">
        <f t="shared" si="22"/>
        <v>26</v>
      </c>
      <c r="AD398" s="43">
        <f t="shared" si="22"/>
        <v>36</v>
      </c>
      <c r="AE398" s="43">
        <f t="shared" si="22"/>
        <v>24</v>
      </c>
      <c r="AF398" s="43">
        <f t="shared" si="22"/>
        <v>21</v>
      </c>
      <c r="AG398" s="43">
        <f t="shared" si="22"/>
        <v>31</v>
      </c>
      <c r="AH398" s="43">
        <f t="shared" si="22"/>
        <v>32</v>
      </c>
      <c r="AI398" s="43">
        <f t="shared" si="22"/>
        <v>51</v>
      </c>
      <c r="AJ398" s="43">
        <f t="shared" si="22"/>
        <v>27</v>
      </c>
      <c r="AK398" s="43">
        <f t="shared" si="22"/>
        <v>22</v>
      </c>
      <c r="AL398" s="43">
        <f t="shared" si="22"/>
        <v>37</v>
      </c>
      <c r="AM398" s="43">
        <f t="shared" si="22"/>
        <v>32</v>
      </c>
      <c r="AN398" s="43">
        <f t="shared" ref="AN398:AY398" si="27">AN390+AN382</f>
        <v>18</v>
      </c>
      <c r="AO398" s="43">
        <f t="shared" si="27"/>
        <v>25</v>
      </c>
      <c r="AP398" s="43">
        <f t="shared" si="27"/>
        <v>18</v>
      </c>
      <c r="AQ398" s="43">
        <f t="shared" si="27"/>
        <v>19</v>
      </c>
      <c r="AR398" s="43">
        <f t="shared" si="27"/>
        <v>28</v>
      </c>
      <c r="AS398" s="43">
        <f t="shared" si="27"/>
        <v>16</v>
      </c>
      <c r="AT398" s="43">
        <f t="shared" si="27"/>
        <v>26</v>
      </c>
      <c r="AU398" s="43">
        <f t="shared" si="27"/>
        <v>13</v>
      </c>
      <c r="AV398" s="43">
        <f t="shared" si="27"/>
        <v>11</v>
      </c>
      <c r="AW398" s="43">
        <f t="shared" si="27"/>
        <v>12</v>
      </c>
      <c r="AX398" s="43">
        <f t="shared" si="27"/>
        <v>19</v>
      </c>
      <c r="AY398" s="43">
        <f t="shared" si="27"/>
        <v>23</v>
      </c>
    </row>
    <row r="399" spans="3:51" x14ac:dyDescent="0.35">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row>
    <row r="400" spans="3:51" x14ac:dyDescent="0.35">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row>
    <row r="401" spans="3:51" x14ac:dyDescent="0.35">
      <c r="C401" t="s">
        <v>215</v>
      </c>
      <c r="D401" s="41">
        <v>44287</v>
      </c>
      <c r="E401" s="41">
        <v>44317</v>
      </c>
      <c r="F401" s="41">
        <v>44348</v>
      </c>
      <c r="G401" s="41">
        <v>44378</v>
      </c>
      <c r="H401" s="41">
        <v>44409</v>
      </c>
      <c r="I401" s="41">
        <v>44440</v>
      </c>
      <c r="J401" s="41">
        <v>44470</v>
      </c>
      <c r="K401" s="41">
        <v>44501</v>
      </c>
      <c r="L401" s="41">
        <v>44531</v>
      </c>
      <c r="M401" s="41">
        <v>44562</v>
      </c>
      <c r="N401" s="41">
        <v>44593</v>
      </c>
      <c r="O401" s="41">
        <v>44621</v>
      </c>
      <c r="P401" s="39">
        <v>44652</v>
      </c>
      <c r="Q401" s="39">
        <v>44682</v>
      </c>
      <c r="R401" s="39">
        <v>44713</v>
      </c>
      <c r="S401" s="39">
        <v>44743</v>
      </c>
      <c r="T401" s="39">
        <v>44774</v>
      </c>
      <c r="U401" s="39">
        <v>44805</v>
      </c>
      <c r="V401" s="39">
        <v>44835</v>
      </c>
      <c r="W401" s="39">
        <v>44866</v>
      </c>
      <c r="X401" s="39">
        <v>44896</v>
      </c>
      <c r="Y401" s="39">
        <v>44927</v>
      </c>
      <c r="Z401" s="39">
        <v>44958</v>
      </c>
      <c r="AA401" s="39">
        <v>44986</v>
      </c>
      <c r="AB401" s="39">
        <v>45017</v>
      </c>
      <c r="AC401" s="39">
        <v>45047</v>
      </c>
      <c r="AD401" s="39">
        <v>45078</v>
      </c>
      <c r="AE401" s="39">
        <v>45108</v>
      </c>
      <c r="AF401" s="39">
        <v>45139</v>
      </c>
      <c r="AG401" s="39">
        <v>45170</v>
      </c>
      <c r="AH401" s="39">
        <v>45200</v>
      </c>
      <c r="AI401" s="39">
        <v>45231</v>
      </c>
      <c r="AJ401" s="39">
        <v>45261</v>
      </c>
      <c r="AK401" s="39">
        <v>45292</v>
      </c>
      <c r="AL401" s="39">
        <v>45323</v>
      </c>
      <c r="AM401" s="39">
        <v>45352</v>
      </c>
      <c r="AN401" s="39">
        <v>45383</v>
      </c>
      <c r="AO401" s="39">
        <v>45413</v>
      </c>
      <c r="AP401" s="39">
        <v>45444</v>
      </c>
      <c r="AQ401" s="39">
        <v>45474</v>
      </c>
      <c r="AR401" s="39">
        <v>45505</v>
      </c>
      <c r="AS401" s="39">
        <v>45536</v>
      </c>
      <c r="AT401" s="39">
        <v>45566</v>
      </c>
      <c r="AU401" s="39">
        <v>45597</v>
      </c>
      <c r="AV401" s="39">
        <v>45627</v>
      </c>
      <c r="AW401" s="39">
        <v>45658</v>
      </c>
      <c r="AX401" s="39">
        <v>45689</v>
      </c>
      <c r="AY401" s="39">
        <v>45717</v>
      </c>
    </row>
    <row r="402" spans="3:51" x14ac:dyDescent="0.35">
      <c r="C402" s="220" t="s">
        <v>212</v>
      </c>
      <c r="D402" s="226">
        <f>[2]Rural!Z3</f>
        <v>18</v>
      </c>
      <c r="E402" s="226">
        <f>[2]Rural!AA3</f>
        <v>19</v>
      </c>
      <c r="F402" s="226">
        <f>[2]Rural!AB3</f>
        <v>24</v>
      </c>
      <c r="G402" s="226">
        <f>[2]Rural!AC3</f>
        <v>21</v>
      </c>
      <c r="H402" s="226">
        <f>[2]Rural!AD3</f>
        <v>18</v>
      </c>
      <c r="I402" s="226">
        <f>[2]Rural!AE3</f>
        <v>14</v>
      </c>
      <c r="J402" s="226">
        <f>[2]Rural!AF3</f>
        <v>18</v>
      </c>
      <c r="K402" s="226">
        <f>[2]Rural!AG3</f>
        <v>19</v>
      </c>
      <c r="L402" s="226">
        <f>[2]Rural!AH3</f>
        <v>13</v>
      </c>
      <c r="M402" s="226">
        <f>[2]Rural!AI3</f>
        <v>12</v>
      </c>
      <c r="N402" s="226">
        <f>[2]Rural!AJ3</f>
        <v>7</v>
      </c>
      <c r="O402" s="226">
        <f>[2]Rural!AK3</f>
        <v>12</v>
      </c>
      <c r="P402" s="226">
        <f>[2]Rural!AL3</f>
        <v>6</v>
      </c>
      <c r="Q402" s="226">
        <f>[2]Rural!AM3</f>
        <v>10</v>
      </c>
      <c r="R402" s="226">
        <f>[2]Rural!AN3</f>
        <v>7</v>
      </c>
      <c r="S402" s="226">
        <f>[2]Rural!AO3</f>
        <v>16</v>
      </c>
      <c r="T402" s="226">
        <f>[2]Rural!AP3</f>
        <v>19</v>
      </c>
      <c r="U402" s="226">
        <f>[2]Rural!AQ3</f>
        <v>25</v>
      </c>
      <c r="V402" s="226">
        <f>[2]Rural!AR3</f>
        <v>22</v>
      </c>
      <c r="W402" s="226">
        <f>[2]Rural!AS3</f>
        <v>20</v>
      </c>
      <c r="X402" s="226">
        <f>[2]Rural!AT3</f>
        <v>9</v>
      </c>
      <c r="Y402" s="226">
        <f>[2]Rural!AU3</f>
        <v>6</v>
      </c>
      <c r="Z402" s="226">
        <f>[2]Rural!AV3</f>
        <v>13</v>
      </c>
      <c r="AA402" s="226">
        <f>[2]Rural!AW3</f>
        <v>17</v>
      </c>
      <c r="AB402" s="226">
        <f>[2]Rural!AX3</f>
        <v>27</v>
      </c>
      <c r="AC402" s="226">
        <f>[2]Rural!AY3</f>
        <v>19</v>
      </c>
      <c r="AD402" s="226">
        <f>[2]Rural!AZ3</f>
        <v>16</v>
      </c>
      <c r="AE402" s="226">
        <f>[2]Rural!BA3</f>
        <v>16</v>
      </c>
      <c r="AF402" s="226">
        <f>[2]Rural!BB3</f>
        <v>7</v>
      </c>
      <c r="AG402" s="226">
        <f>[2]Rural!BC3</f>
        <v>25</v>
      </c>
      <c r="AH402" s="226">
        <f>[2]Rural!BD3</f>
        <v>24</v>
      </c>
      <c r="AI402" s="226">
        <f>[2]Rural!BE3</f>
        <v>25</v>
      </c>
      <c r="AJ402" s="226">
        <f>[2]Rural!BF3</f>
        <v>18</v>
      </c>
      <c r="AK402" s="226">
        <f>[2]Rural!BG3</f>
        <v>23</v>
      </c>
      <c r="AL402" s="226">
        <f>[2]Rural!BH3</f>
        <v>33</v>
      </c>
      <c r="AM402" s="226">
        <f>[2]Rural!BI3</f>
        <v>21</v>
      </c>
      <c r="AN402" s="226">
        <f>[2]Rural!BJ3</f>
        <v>26</v>
      </c>
      <c r="AO402" s="226">
        <f>[2]Rural!BK3</f>
        <v>20</v>
      </c>
      <c r="AP402" s="226">
        <f>[2]Rural!BL3</f>
        <v>20</v>
      </c>
      <c r="AQ402" s="226">
        <f>[2]Rural!BM3</f>
        <v>18</v>
      </c>
      <c r="AR402" s="226">
        <f>[2]Rural!BN3</f>
        <v>16</v>
      </c>
      <c r="AS402" s="226">
        <f>[2]Rural!BO3</f>
        <v>18</v>
      </c>
      <c r="AT402" s="226">
        <f>[2]Rural!BP3</f>
        <v>23</v>
      </c>
      <c r="AU402" s="226">
        <f>[2]Rural!BQ3</f>
        <v>25</v>
      </c>
      <c r="AV402" s="226">
        <f>[2]Rural!BR3</f>
        <v>15</v>
      </c>
      <c r="AW402" s="226">
        <f>[2]Rural!BS3</f>
        <v>26</v>
      </c>
      <c r="AX402" s="226">
        <f>[2]Rural!BT3</f>
        <v>14</v>
      </c>
      <c r="AY402" s="226">
        <f>[2]Rural!BU3</f>
        <v>0</v>
      </c>
    </row>
    <row r="403" spans="3:51" x14ac:dyDescent="0.35">
      <c r="C403" s="221" t="s">
        <v>213</v>
      </c>
      <c r="D403" s="226">
        <f>[2]Rural!Z4</f>
        <v>11</v>
      </c>
      <c r="E403" s="226">
        <f>[2]Rural!AA4</f>
        <v>6</v>
      </c>
      <c r="F403" s="226">
        <f>[2]Rural!AB4</f>
        <v>6</v>
      </c>
      <c r="G403" s="226">
        <f>[2]Rural!AC4</f>
        <v>5</v>
      </c>
      <c r="H403" s="226">
        <f>[2]Rural!AD4</f>
        <v>7</v>
      </c>
      <c r="I403" s="226">
        <f>[2]Rural!AE4</f>
        <v>6</v>
      </c>
      <c r="J403" s="226">
        <f>[2]Rural!AF4</f>
        <v>5</v>
      </c>
      <c r="K403" s="226">
        <f>[2]Rural!AG4</f>
        <v>7</v>
      </c>
      <c r="L403" s="226">
        <f>[2]Rural!AH4</f>
        <v>10</v>
      </c>
      <c r="M403" s="226">
        <f>[2]Rural!AI4</f>
        <v>5</v>
      </c>
      <c r="N403" s="226">
        <f>[2]Rural!AJ4</f>
        <v>3</v>
      </c>
      <c r="O403" s="226">
        <f>[2]Rural!AK4</f>
        <v>5</v>
      </c>
      <c r="P403" s="226">
        <f>[2]Rural!AL4</f>
        <v>3</v>
      </c>
      <c r="Q403" s="226">
        <f>[2]Rural!AM4</f>
        <v>2</v>
      </c>
      <c r="R403" s="226">
        <f>[2]Rural!AN4</f>
        <v>3</v>
      </c>
      <c r="S403" s="226">
        <f>[2]Rural!AO4</f>
        <v>10</v>
      </c>
      <c r="T403" s="226">
        <f>[2]Rural!AP4</f>
        <v>16</v>
      </c>
      <c r="U403" s="226">
        <f>[2]Rural!AQ4</f>
        <v>11</v>
      </c>
      <c r="V403" s="226">
        <f>[2]Rural!AR4</f>
        <v>10</v>
      </c>
      <c r="W403" s="226">
        <f>[2]Rural!AS4</f>
        <v>8</v>
      </c>
      <c r="X403" s="226">
        <f>[2]Rural!AT4</f>
        <v>3</v>
      </c>
      <c r="Y403" s="226">
        <f>[2]Rural!AU4</f>
        <v>3</v>
      </c>
      <c r="Z403" s="226">
        <f>[2]Rural!AV4</f>
        <v>7</v>
      </c>
      <c r="AA403" s="226">
        <f>[2]Rural!AW4</f>
        <v>3</v>
      </c>
      <c r="AB403" s="226">
        <f>[2]Rural!AX4</f>
        <v>8</v>
      </c>
      <c r="AC403" s="226">
        <f>[2]Rural!AY4</f>
        <v>5</v>
      </c>
      <c r="AD403" s="226">
        <f>[2]Rural!AZ4</f>
        <v>2</v>
      </c>
      <c r="AE403" s="226">
        <f>[2]Rural!BA4</f>
        <v>11</v>
      </c>
      <c r="AF403" s="226">
        <f>[2]Rural!BB4</f>
        <v>4</v>
      </c>
      <c r="AG403" s="226">
        <f>[2]Rural!BC4</f>
        <v>7</v>
      </c>
      <c r="AH403" s="226">
        <f>[2]Rural!BD4</f>
        <v>5</v>
      </c>
      <c r="AI403" s="226">
        <f>[2]Rural!BE4</f>
        <v>10</v>
      </c>
      <c r="AJ403" s="226">
        <f>[2]Rural!BF4</f>
        <v>5</v>
      </c>
      <c r="AK403" s="226">
        <f>[2]Rural!BG4</f>
        <v>3</v>
      </c>
      <c r="AL403" s="226">
        <f>[2]Rural!BH4</f>
        <v>11</v>
      </c>
      <c r="AM403" s="226">
        <f>[2]Rural!BI4</f>
        <v>13</v>
      </c>
      <c r="AN403" s="226">
        <f>[2]Rural!BJ4</f>
        <v>6</v>
      </c>
      <c r="AO403" s="226">
        <f>[2]Rural!BK4</f>
        <v>7</v>
      </c>
      <c r="AP403" s="226">
        <f>[2]Rural!BL4</f>
        <v>15</v>
      </c>
      <c r="AQ403" s="226">
        <f>[2]Rural!BM4</f>
        <v>13</v>
      </c>
      <c r="AR403" s="226">
        <f>[2]Rural!BN4</f>
        <v>6</v>
      </c>
      <c r="AS403" s="226">
        <f>[2]Rural!BO4</f>
        <v>11</v>
      </c>
      <c r="AT403" s="226">
        <f>[2]Rural!BP4</f>
        <v>9</v>
      </c>
      <c r="AU403" s="226">
        <f>[2]Rural!BQ4</f>
        <v>10</v>
      </c>
      <c r="AV403" s="226">
        <f>[2]Rural!BR4</f>
        <v>6</v>
      </c>
      <c r="AW403" s="226">
        <f>[2]Rural!BS4</f>
        <v>10</v>
      </c>
      <c r="AX403" s="226">
        <f>[2]Rural!BT4</f>
        <v>11</v>
      </c>
      <c r="AY403" s="226">
        <f>[2]Rural!BU4</f>
        <v>0</v>
      </c>
    </row>
    <row r="404" spans="3:51" x14ac:dyDescent="0.35">
      <c r="C404" s="222" t="s">
        <v>214</v>
      </c>
      <c r="D404" s="226">
        <f>[2]Rural!Z5</f>
        <v>22</v>
      </c>
      <c r="E404" s="226">
        <f>[2]Rural!AA5</f>
        <v>10</v>
      </c>
      <c r="F404" s="226">
        <f>[2]Rural!AB5</f>
        <v>22</v>
      </c>
      <c r="G404" s="226">
        <f>[2]Rural!AC5</f>
        <v>23</v>
      </c>
      <c r="H404" s="226">
        <f>[2]Rural!AD5</f>
        <v>15</v>
      </c>
      <c r="I404" s="226">
        <f>[2]Rural!AE5</f>
        <v>20</v>
      </c>
      <c r="J404" s="226">
        <f>[2]Rural!AF5</f>
        <v>11</v>
      </c>
      <c r="K404" s="226">
        <f>[2]Rural!AG5</f>
        <v>10</v>
      </c>
      <c r="L404" s="226">
        <f>[2]Rural!AH5</f>
        <v>6</v>
      </c>
      <c r="M404" s="226">
        <f>[2]Rural!AI5</f>
        <v>7</v>
      </c>
      <c r="N404" s="226">
        <f>[2]Rural!AJ5</f>
        <v>8</v>
      </c>
      <c r="O404" s="226">
        <f>[2]Rural!AK5</f>
        <v>8</v>
      </c>
      <c r="P404" s="226">
        <f>[2]Rural!AL5</f>
        <v>13</v>
      </c>
      <c r="Q404" s="226">
        <f>[2]Rural!AM5</f>
        <v>9</v>
      </c>
      <c r="R404" s="226">
        <f>[2]Rural!AN5</f>
        <v>8</v>
      </c>
      <c r="S404" s="226">
        <f>[2]Rural!AO5</f>
        <v>15</v>
      </c>
      <c r="T404" s="226">
        <f>[2]Rural!AP5</f>
        <v>28</v>
      </c>
      <c r="U404" s="226">
        <f>[2]Rural!AQ5</f>
        <v>11</v>
      </c>
      <c r="V404" s="226">
        <f>[2]Rural!AR5</f>
        <v>17</v>
      </c>
      <c r="W404" s="226">
        <f>[2]Rural!AS5</f>
        <v>18</v>
      </c>
      <c r="X404" s="226">
        <f>[2]Rural!AT5</f>
        <v>1</v>
      </c>
      <c r="Y404" s="226">
        <f>[2]Rural!AU5</f>
        <v>4</v>
      </c>
      <c r="Z404" s="226">
        <f>[2]Rural!AV5</f>
        <v>12</v>
      </c>
      <c r="AA404" s="226">
        <f>[2]Rural!AW5</f>
        <v>11</v>
      </c>
      <c r="AB404" s="226">
        <f>[2]Rural!AX5</f>
        <v>17</v>
      </c>
      <c r="AC404" s="226">
        <f>[2]Rural!AY5</f>
        <v>13</v>
      </c>
      <c r="AD404" s="226">
        <f>[2]Rural!AZ5</f>
        <v>18</v>
      </c>
      <c r="AE404" s="226">
        <f>[2]Rural!BA5</f>
        <v>13</v>
      </c>
      <c r="AF404" s="226">
        <f>[2]Rural!BB5</f>
        <v>18</v>
      </c>
      <c r="AG404" s="226">
        <f>[2]Rural!BC5</f>
        <v>13</v>
      </c>
      <c r="AH404" s="226">
        <f>[2]Rural!BD5</f>
        <v>14</v>
      </c>
      <c r="AI404" s="226">
        <f>[2]Rural!BE5</f>
        <v>15</v>
      </c>
      <c r="AJ404" s="226">
        <f>[2]Rural!BF5</f>
        <v>13</v>
      </c>
      <c r="AK404" s="226">
        <f>[2]Rural!BG5</f>
        <v>13</v>
      </c>
      <c r="AL404" s="226">
        <f>[2]Rural!BH5</f>
        <v>15</v>
      </c>
      <c r="AM404" s="226">
        <f>[2]Rural!BI5</f>
        <v>13</v>
      </c>
      <c r="AN404" s="226">
        <f>[2]Rural!BJ5</f>
        <v>21</v>
      </c>
      <c r="AO404" s="226">
        <f>[2]Rural!BK5</f>
        <v>16</v>
      </c>
      <c r="AP404" s="226">
        <f>[2]Rural!BL5</f>
        <v>24</v>
      </c>
      <c r="AQ404" s="226">
        <f>[2]Rural!BM5</f>
        <v>32</v>
      </c>
      <c r="AR404" s="226">
        <f>[2]Rural!BN5</f>
        <v>37</v>
      </c>
      <c r="AS404" s="226">
        <f>[2]Rural!BO5</f>
        <v>30</v>
      </c>
      <c r="AT404" s="226">
        <f>[2]Rural!BP5</f>
        <v>29</v>
      </c>
      <c r="AU404" s="226">
        <f>[2]Rural!BQ5</f>
        <v>22</v>
      </c>
      <c r="AV404" s="226">
        <f>[2]Rural!BR5</f>
        <v>26</v>
      </c>
      <c r="AW404" s="226">
        <f>[2]Rural!BS5</f>
        <v>37</v>
      </c>
      <c r="AX404" s="226">
        <f>[2]Rural!BT5</f>
        <v>26</v>
      </c>
      <c r="AY404" s="226">
        <f>[2]Rural!BU5</f>
        <v>0</v>
      </c>
    </row>
    <row r="405" spans="3:51" x14ac:dyDescent="0.35">
      <c r="C405" s="223" t="s">
        <v>146</v>
      </c>
      <c r="D405" s="226">
        <f>[2]Rural!Z6</f>
        <v>27</v>
      </c>
      <c r="E405" s="226">
        <f>[2]Rural!AA6</f>
        <v>25</v>
      </c>
      <c r="F405" s="226">
        <f>[2]Rural!AB6</f>
        <v>30</v>
      </c>
      <c r="G405" s="226">
        <f>[2]Rural!AC6</f>
        <v>28</v>
      </c>
      <c r="H405" s="226">
        <f>[2]Rural!AD6</f>
        <v>29</v>
      </c>
      <c r="I405" s="226">
        <f>[2]Rural!AE6</f>
        <v>21</v>
      </c>
      <c r="J405" s="226">
        <f>[2]Rural!AF6</f>
        <v>33</v>
      </c>
      <c r="K405" s="226">
        <f>[2]Rural!AG6</f>
        <v>25</v>
      </c>
      <c r="L405" s="226">
        <f>[2]Rural!AH6</f>
        <v>17</v>
      </c>
      <c r="M405" s="226">
        <f>[2]Rural!AI6</f>
        <v>22</v>
      </c>
      <c r="N405" s="226">
        <f>[2]Rural!AJ6</f>
        <v>15</v>
      </c>
      <c r="O405" s="226">
        <f>[2]Rural!AK6</f>
        <v>18</v>
      </c>
      <c r="P405" s="226">
        <f>[2]Rural!AL6</f>
        <v>7</v>
      </c>
      <c r="Q405" s="226">
        <f>[2]Rural!AM6</f>
        <v>10</v>
      </c>
      <c r="R405" s="226">
        <f>[2]Rural!AN6</f>
        <v>12</v>
      </c>
      <c r="S405" s="226">
        <f>[2]Rural!AO6</f>
        <v>27</v>
      </c>
      <c r="T405" s="226">
        <f>[2]Rural!AP6</f>
        <v>17</v>
      </c>
      <c r="U405" s="226">
        <f>[2]Rural!AQ6</f>
        <v>27</v>
      </c>
      <c r="V405" s="226">
        <f>[2]Rural!AR6</f>
        <v>27</v>
      </c>
      <c r="W405" s="226">
        <f>[2]Rural!AS6</f>
        <v>26</v>
      </c>
      <c r="X405" s="226">
        <f>[2]Rural!AT6</f>
        <v>10</v>
      </c>
      <c r="Y405" s="226">
        <f>[2]Rural!AU6</f>
        <v>10</v>
      </c>
      <c r="Z405" s="226">
        <f>[2]Rural!AV6</f>
        <v>17</v>
      </c>
      <c r="AA405" s="226">
        <f>[2]Rural!AW6</f>
        <v>17</v>
      </c>
      <c r="AB405" s="226">
        <f>[2]Rural!AX6</f>
        <v>36</v>
      </c>
      <c r="AC405" s="226">
        <f>[2]Rural!AY6</f>
        <v>13</v>
      </c>
      <c r="AD405" s="226">
        <f>[2]Rural!AZ6</f>
        <v>29</v>
      </c>
      <c r="AE405" s="226">
        <f>[2]Rural!BA6</f>
        <v>20</v>
      </c>
      <c r="AF405" s="226">
        <f>[2]Rural!BB6</f>
        <v>31</v>
      </c>
      <c r="AG405" s="226">
        <f>[2]Rural!BC6</f>
        <v>22</v>
      </c>
      <c r="AH405" s="226">
        <f>[2]Rural!BD6</f>
        <v>23</v>
      </c>
      <c r="AI405" s="226">
        <f>[2]Rural!BE6</f>
        <v>25</v>
      </c>
      <c r="AJ405" s="226">
        <f>[2]Rural!BF6</f>
        <v>20</v>
      </c>
      <c r="AK405" s="226">
        <f>[2]Rural!BG6</f>
        <v>33</v>
      </c>
      <c r="AL405" s="226">
        <f>[2]Rural!BH6</f>
        <v>26</v>
      </c>
      <c r="AM405" s="226">
        <f>[2]Rural!BI6</f>
        <v>32</v>
      </c>
      <c r="AN405" s="226">
        <f>[2]Rural!BJ6</f>
        <v>26</v>
      </c>
      <c r="AO405" s="226">
        <f>[2]Rural!BK6</f>
        <v>30</v>
      </c>
      <c r="AP405" s="226">
        <f>[2]Rural!BL6</f>
        <v>39</v>
      </c>
      <c r="AQ405" s="226">
        <f>[2]Rural!BM6</f>
        <v>42</v>
      </c>
      <c r="AR405" s="226">
        <f>[2]Rural!BN6</f>
        <v>38</v>
      </c>
      <c r="AS405" s="226">
        <f>[2]Rural!BO6</f>
        <v>46</v>
      </c>
      <c r="AT405" s="226">
        <f>[2]Rural!BP6</f>
        <v>54</v>
      </c>
      <c r="AU405" s="226">
        <f>[2]Rural!BQ6</f>
        <v>29</v>
      </c>
      <c r="AV405" s="226">
        <f>[2]Rural!BR6</f>
        <v>58</v>
      </c>
      <c r="AW405" s="226">
        <f>[2]Rural!BS6</f>
        <v>48</v>
      </c>
      <c r="AX405" s="226">
        <f>[2]Rural!BT6</f>
        <v>39</v>
      </c>
      <c r="AY405" s="226">
        <f>[2]Rural!BU6</f>
        <v>0</v>
      </c>
    </row>
    <row r="406" spans="3:51" x14ac:dyDescent="0.35">
      <c r="C406" s="224" t="s">
        <v>147</v>
      </c>
      <c r="D406" s="226">
        <f>[2]Rural!Z7</f>
        <v>14</v>
      </c>
      <c r="E406" s="226">
        <f>[2]Rural!AA7</f>
        <v>11</v>
      </c>
      <c r="F406" s="226">
        <f>[2]Rural!AB7</f>
        <v>18</v>
      </c>
      <c r="G406" s="226">
        <f>[2]Rural!AC7</f>
        <v>2</v>
      </c>
      <c r="H406" s="226">
        <f>[2]Rural!AD7</f>
        <v>11</v>
      </c>
      <c r="I406" s="226">
        <f>[2]Rural!AE7</f>
        <v>8</v>
      </c>
      <c r="J406" s="226">
        <f>[2]Rural!AF7</f>
        <v>13</v>
      </c>
      <c r="K406" s="226">
        <f>[2]Rural!AG7</f>
        <v>9</v>
      </c>
      <c r="L406" s="226">
        <f>[2]Rural!AH7</f>
        <v>7</v>
      </c>
      <c r="M406" s="226">
        <f>[2]Rural!AI7</f>
        <v>4</v>
      </c>
      <c r="N406" s="226">
        <f>[2]Rural!AJ7</f>
        <v>2</v>
      </c>
      <c r="O406" s="226">
        <f>[2]Rural!AK7</f>
        <v>3</v>
      </c>
      <c r="P406" s="226">
        <f>[2]Rural!AL7</f>
        <v>10</v>
      </c>
      <c r="Q406" s="226">
        <f>[2]Rural!AM7</f>
        <v>4</v>
      </c>
      <c r="R406" s="226">
        <f>[2]Rural!AN7</f>
        <v>10</v>
      </c>
      <c r="S406" s="226">
        <f>[2]Rural!AO7</f>
        <v>15</v>
      </c>
      <c r="T406" s="226">
        <f>[2]Rural!AP7</f>
        <v>7</v>
      </c>
      <c r="U406" s="226">
        <f>[2]Rural!AQ7</f>
        <v>14</v>
      </c>
      <c r="V406" s="226">
        <f>[2]Rural!AR7</f>
        <v>5</v>
      </c>
      <c r="W406" s="226">
        <f>[2]Rural!AS7</f>
        <v>10</v>
      </c>
      <c r="X406" s="226">
        <f>[2]Rural!AT7</f>
        <v>1</v>
      </c>
      <c r="Y406" s="226">
        <f>[2]Rural!AU7</f>
        <v>4</v>
      </c>
      <c r="Z406" s="226">
        <f>[2]Rural!AV7</f>
        <v>9</v>
      </c>
      <c r="AA406" s="226">
        <f>[2]Rural!AW7</f>
        <v>1</v>
      </c>
      <c r="AB406" s="226">
        <f>[2]Rural!AX7</f>
        <v>9</v>
      </c>
      <c r="AC406" s="226">
        <f>[2]Rural!AY7</f>
        <v>3</v>
      </c>
      <c r="AD406" s="226">
        <f>[2]Rural!AZ7</f>
        <v>10</v>
      </c>
      <c r="AE406" s="226">
        <f>[2]Rural!BA7</f>
        <v>4</v>
      </c>
      <c r="AF406" s="226">
        <f>[2]Rural!BB7</f>
        <v>9</v>
      </c>
      <c r="AG406" s="226">
        <f>[2]Rural!BC7</f>
        <v>9</v>
      </c>
      <c r="AH406" s="226">
        <f>[2]Rural!BD7</f>
        <v>4</v>
      </c>
      <c r="AI406" s="226">
        <f>[2]Rural!BE7</f>
        <v>4</v>
      </c>
      <c r="AJ406" s="226">
        <f>[2]Rural!BF7</f>
        <v>9</v>
      </c>
      <c r="AK406" s="226">
        <f>[2]Rural!BG7</f>
        <v>14</v>
      </c>
      <c r="AL406" s="226">
        <f>[2]Rural!BH7</f>
        <v>18</v>
      </c>
      <c r="AM406" s="226">
        <f>[2]Rural!BI7</f>
        <v>6</v>
      </c>
      <c r="AN406" s="226">
        <f>[2]Rural!BJ7</f>
        <v>9</v>
      </c>
      <c r="AO406" s="226">
        <f>[2]Rural!BK7</f>
        <v>12</v>
      </c>
      <c r="AP406" s="226">
        <f>[2]Rural!BL7</f>
        <v>14</v>
      </c>
      <c r="AQ406" s="226">
        <f>[2]Rural!BM7</f>
        <v>12</v>
      </c>
      <c r="AR406" s="226">
        <f>[2]Rural!BN7</f>
        <v>36</v>
      </c>
      <c r="AS406" s="226">
        <f>[2]Rural!BO7</f>
        <v>20</v>
      </c>
      <c r="AT406" s="226">
        <f>[2]Rural!BP7</f>
        <v>14</v>
      </c>
      <c r="AU406" s="226">
        <f>[2]Rural!BQ7</f>
        <v>29</v>
      </c>
      <c r="AV406" s="226">
        <f>[2]Rural!BR7</f>
        <v>15</v>
      </c>
      <c r="AW406" s="226">
        <f>[2]Rural!BS7</f>
        <v>23</v>
      </c>
      <c r="AX406" s="226">
        <f>[2]Rural!BT7</f>
        <v>10</v>
      </c>
      <c r="AY406" s="226">
        <f>[2]Rural!BU7</f>
        <v>0</v>
      </c>
    </row>
    <row r="407" spans="3:51" x14ac:dyDescent="0.35">
      <c r="C407" s="225" t="s">
        <v>62</v>
      </c>
      <c r="D407" s="226">
        <f>[2]Rural!Z8</f>
        <v>41</v>
      </c>
      <c r="E407" s="226">
        <f>[2]Rural!AA8</f>
        <v>36</v>
      </c>
      <c r="F407" s="226">
        <f>[2]Rural!AB8</f>
        <v>48</v>
      </c>
      <c r="G407" s="226">
        <f>[2]Rural!AC8</f>
        <v>30</v>
      </c>
      <c r="H407" s="226">
        <f>[2]Rural!AD8</f>
        <v>40</v>
      </c>
      <c r="I407" s="226">
        <f>[2]Rural!AE8</f>
        <v>29</v>
      </c>
      <c r="J407" s="226">
        <f>[2]Rural!AF8</f>
        <v>46</v>
      </c>
      <c r="K407" s="226">
        <f>[2]Rural!AG8</f>
        <v>34</v>
      </c>
      <c r="L407" s="226">
        <f>[2]Rural!AH8</f>
        <v>24</v>
      </c>
      <c r="M407" s="226">
        <f>[2]Rural!AI8</f>
        <v>26</v>
      </c>
      <c r="N407" s="226">
        <f>[2]Rural!AJ8</f>
        <v>17</v>
      </c>
      <c r="O407" s="226">
        <f>[2]Rural!AK8</f>
        <v>21</v>
      </c>
      <c r="P407" s="226">
        <f>[2]Rural!AL8</f>
        <v>17</v>
      </c>
      <c r="Q407" s="226">
        <f>[2]Rural!AM8</f>
        <v>14</v>
      </c>
      <c r="R407" s="226">
        <f>[2]Rural!AN8</f>
        <v>22</v>
      </c>
      <c r="S407" s="226">
        <f>[2]Rural!AO8</f>
        <v>42</v>
      </c>
      <c r="T407" s="226">
        <f>[2]Rural!AP8</f>
        <v>24</v>
      </c>
      <c r="U407" s="226">
        <f>[2]Rural!AQ8</f>
        <v>41</v>
      </c>
      <c r="V407" s="226">
        <f>[2]Rural!AR8</f>
        <v>32</v>
      </c>
      <c r="W407" s="226">
        <f>[2]Rural!AS8</f>
        <v>36</v>
      </c>
      <c r="X407" s="226">
        <f>[2]Rural!AT8</f>
        <v>11</v>
      </c>
      <c r="Y407" s="226">
        <f>[2]Rural!AU8</f>
        <v>14</v>
      </c>
      <c r="Z407" s="226">
        <f>[2]Rural!AV8</f>
        <v>26</v>
      </c>
      <c r="AA407" s="226">
        <f>[2]Rural!AW8</f>
        <v>18</v>
      </c>
      <c r="AB407" s="226">
        <f>[2]Rural!AX8</f>
        <v>45</v>
      </c>
      <c r="AC407" s="226">
        <f>[2]Rural!AY8</f>
        <v>16</v>
      </c>
      <c r="AD407" s="226">
        <f>[2]Rural!AZ8</f>
        <v>39</v>
      </c>
      <c r="AE407" s="226">
        <f>[2]Rural!BA8</f>
        <v>24</v>
      </c>
      <c r="AF407" s="226">
        <f>[2]Rural!BB8</f>
        <v>40</v>
      </c>
      <c r="AG407" s="226">
        <f>[2]Rural!BC8</f>
        <v>31</v>
      </c>
      <c r="AH407" s="226">
        <f>[2]Rural!BD8</f>
        <v>27</v>
      </c>
      <c r="AI407" s="226">
        <f>[2]Rural!BE8</f>
        <v>29</v>
      </c>
      <c r="AJ407" s="226">
        <f>[2]Rural!BF8</f>
        <v>29</v>
      </c>
      <c r="AK407" s="226">
        <f>[2]Rural!BG8</f>
        <v>47</v>
      </c>
      <c r="AL407" s="226">
        <f>[2]Rural!BH8</f>
        <v>44</v>
      </c>
      <c r="AM407" s="226">
        <f>[2]Rural!BI8</f>
        <v>38</v>
      </c>
      <c r="AN407" s="226">
        <f>[2]Rural!BJ8</f>
        <v>35</v>
      </c>
      <c r="AO407" s="226">
        <f>[2]Rural!BK8</f>
        <v>42</v>
      </c>
      <c r="AP407" s="226">
        <f>[2]Rural!BL8</f>
        <v>53</v>
      </c>
      <c r="AQ407" s="226">
        <f>[2]Rural!BM8</f>
        <v>54</v>
      </c>
      <c r="AR407" s="226">
        <f>[2]Rural!BN8</f>
        <v>74</v>
      </c>
      <c r="AS407" s="226">
        <f>[2]Rural!BO8</f>
        <v>66</v>
      </c>
      <c r="AT407" s="226">
        <f>[2]Rural!BP8</f>
        <v>68</v>
      </c>
      <c r="AU407" s="226">
        <f>[2]Rural!BQ8</f>
        <v>58</v>
      </c>
      <c r="AV407" s="226">
        <f>[2]Rural!BR8</f>
        <v>73</v>
      </c>
      <c r="AW407" s="226">
        <f>[2]Rural!BS8</f>
        <v>71</v>
      </c>
      <c r="AX407" s="226">
        <f>[2]Rural!BT8</f>
        <v>49</v>
      </c>
      <c r="AY407" s="226">
        <f>[2]Rural!BU8</f>
        <v>0</v>
      </c>
    </row>
    <row r="408" spans="3:51" x14ac:dyDescent="0.35">
      <c r="C408" s="383" t="s">
        <v>0</v>
      </c>
      <c r="D408" s="226">
        <f>[2]Rural!Z9</f>
        <v>92</v>
      </c>
      <c r="E408" s="226">
        <f>[2]Rural!AA9</f>
        <v>71</v>
      </c>
      <c r="F408" s="226">
        <f>[2]Rural!AB9</f>
        <v>100</v>
      </c>
      <c r="G408" s="226">
        <f>[2]Rural!AC9</f>
        <v>79</v>
      </c>
      <c r="H408" s="226">
        <f>[2]Rural!AD9</f>
        <v>80</v>
      </c>
      <c r="I408" s="226">
        <f>[2]Rural!AE9</f>
        <v>69</v>
      </c>
      <c r="J408" s="226">
        <f>[2]Rural!AF9</f>
        <v>80</v>
      </c>
      <c r="K408" s="226">
        <f>[2]Rural!AG9</f>
        <v>70</v>
      </c>
      <c r="L408" s="226">
        <f>[2]Rural!AH9</f>
        <v>53</v>
      </c>
      <c r="M408" s="226">
        <f>[2]Rural!AI9</f>
        <v>50</v>
      </c>
      <c r="N408" s="226">
        <f>[2]Rural!AJ9</f>
        <v>35</v>
      </c>
      <c r="O408" s="226">
        <f>[2]Rural!AK9</f>
        <v>46</v>
      </c>
      <c r="P408" s="226">
        <f>[2]Rural!AL9</f>
        <v>39</v>
      </c>
      <c r="Q408" s="226">
        <f>[2]Rural!AM9</f>
        <v>35</v>
      </c>
      <c r="R408" s="226">
        <f>[2]Rural!AN9</f>
        <v>40</v>
      </c>
      <c r="S408" s="226">
        <f>[2]Rural!AO9</f>
        <v>83</v>
      </c>
      <c r="T408" s="226">
        <f>[2]Rural!AP9</f>
        <v>87</v>
      </c>
      <c r="U408" s="226">
        <f>[2]Rural!AQ9</f>
        <v>88</v>
      </c>
      <c r="V408" s="226">
        <f>[2]Rural!AR9</f>
        <v>81</v>
      </c>
      <c r="W408" s="226">
        <f>[2]Rural!AS9</f>
        <v>82</v>
      </c>
      <c r="X408" s="226">
        <f>[2]Rural!AT9</f>
        <v>24</v>
      </c>
      <c r="Y408" s="226">
        <f>[2]Rural!AU9</f>
        <v>27</v>
      </c>
      <c r="Z408" s="226">
        <f>[2]Rural!AV9</f>
        <v>58</v>
      </c>
      <c r="AA408" s="226">
        <f>[2]Rural!AW9</f>
        <v>49</v>
      </c>
      <c r="AB408" s="226">
        <f>[2]Rural!AX9</f>
        <v>97</v>
      </c>
      <c r="AC408" s="226">
        <f>[2]Rural!AY9</f>
        <v>53</v>
      </c>
      <c r="AD408" s="226">
        <f>[2]Rural!AZ9</f>
        <v>75</v>
      </c>
      <c r="AE408" s="226">
        <f>[2]Rural!BA9</f>
        <v>64</v>
      </c>
      <c r="AF408" s="226">
        <f>[2]Rural!BB9</f>
        <v>69</v>
      </c>
      <c r="AG408" s="226">
        <f>[2]Rural!BC9</f>
        <v>76</v>
      </c>
      <c r="AH408" s="226">
        <f>[2]Rural!BD9</f>
        <v>70</v>
      </c>
      <c r="AI408" s="226">
        <f>[2]Rural!BE9</f>
        <v>79</v>
      </c>
      <c r="AJ408" s="226">
        <f>[2]Rural!BF9</f>
        <v>65</v>
      </c>
      <c r="AK408" s="226">
        <f>[2]Rural!BG9</f>
        <v>86</v>
      </c>
      <c r="AL408" s="226">
        <f>[2]Rural!BH9</f>
        <v>103</v>
      </c>
      <c r="AM408" s="226">
        <f>[2]Rural!BI9</f>
        <v>85</v>
      </c>
      <c r="AN408" s="226">
        <f>[2]Rural!BJ9</f>
        <v>88</v>
      </c>
      <c r="AO408" s="226">
        <f>[2]Rural!BK9</f>
        <v>85</v>
      </c>
      <c r="AP408" s="226">
        <f>[2]Rural!BL9</f>
        <v>112</v>
      </c>
      <c r="AQ408" s="226">
        <f>[2]Rural!BM9</f>
        <v>117</v>
      </c>
      <c r="AR408" s="226">
        <f>[2]Rural!BN9</f>
        <v>133</v>
      </c>
      <c r="AS408" s="226">
        <f>[2]Rural!BO9</f>
        <v>125</v>
      </c>
      <c r="AT408" s="226">
        <f>[2]Rural!BP9</f>
        <v>129</v>
      </c>
      <c r="AU408" s="226">
        <f>[2]Rural!BQ9</f>
        <v>115</v>
      </c>
      <c r="AV408" s="226">
        <f>[2]Rural!BR9</f>
        <v>120</v>
      </c>
      <c r="AW408" s="226">
        <f>[2]Rural!BS9</f>
        <v>144</v>
      </c>
      <c r="AX408" s="226">
        <f>[2]Rural!BT9</f>
        <v>100</v>
      </c>
      <c r="AY408" s="226">
        <f>[2]Rural!BU9</f>
        <v>0</v>
      </c>
    </row>
    <row r="409" spans="3:51" x14ac:dyDescent="0.35">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row>
    <row r="410" spans="3:51" x14ac:dyDescent="0.35">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row>
    <row r="411" spans="3:51" x14ac:dyDescent="0.35">
      <c r="D411" s="41">
        <v>44287</v>
      </c>
      <c r="E411" s="41">
        <v>44317</v>
      </c>
      <c r="F411" s="41">
        <v>44348</v>
      </c>
      <c r="G411" s="41">
        <v>44378</v>
      </c>
      <c r="H411" s="41">
        <v>44409</v>
      </c>
      <c r="I411" s="41">
        <v>44440</v>
      </c>
      <c r="J411" s="41">
        <v>44470</v>
      </c>
      <c r="K411" s="41">
        <v>44501</v>
      </c>
      <c r="L411" s="41">
        <v>44531</v>
      </c>
      <c r="M411" s="41">
        <v>44562</v>
      </c>
      <c r="N411" s="41">
        <v>44593</v>
      </c>
      <c r="O411" s="41">
        <v>44621</v>
      </c>
      <c r="P411" s="39">
        <v>44652</v>
      </c>
      <c r="Q411" s="39">
        <v>44682</v>
      </c>
      <c r="R411" s="39">
        <v>44713</v>
      </c>
      <c r="S411" s="39">
        <v>44743</v>
      </c>
      <c r="T411" s="39">
        <v>44774</v>
      </c>
      <c r="U411" s="39">
        <v>44805</v>
      </c>
      <c r="V411" s="39">
        <v>44835</v>
      </c>
      <c r="W411" s="39">
        <v>44866</v>
      </c>
      <c r="X411" s="39">
        <v>44896</v>
      </c>
      <c r="Y411" s="39">
        <v>44927</v>
      </c>
      <c r="Z411" s="39">
        <v>44958</v>
      </c>
      <c r="AA411" s="39">
        <v>44986</v>
      </c>
      <c r="AB411" s="39">
        <v>45017</v>
      </c>
      <c r="AC411" s="39">
        <v>45047</v>
      </c>
      <c r="AD411" s="39">
        <v>45078</v>
      </c>
      <c r="AE411" s="39">
        <v>45108</v>
      </c>
      <c r="AF411" s="39">
        <v>45139</v>
      </c>
      <c r="AG411" s="39">
        <v>45170</v>
      </c>
      <c r="AH411" s="39">
        <v>45200</v>
      </c>
      <c r="AI411" s="39">
        <v>45231</v>
      </c>
      <c r="AJ411" s="39">
        <v>45261</v>
      </c>
      <c r="AK411" s="39">
        <v>45292</v>
      </c>
      <c r="AL411" s="39">
        <v>45323</v>
      </c>
      <c r="AM411" s="39">
        <v>45352</v>
      </c>
      <c r="AN411" s="39">
        <v>45383</v>
      </c>
      <c r="AO411" s="39">
        <v>45413</v>
      </c>
      <c r="AP411" s="39">
        <v>45444</v>
      </c>
      <c r="AQ411" s="39">
        <v>45474</v>
      </c>
      <c r="AR411" s="39">
        <v>45505</v>
      </c>
      <c r="AS411" s="39">
        <v>45536</v>
      </c>
      <c r="AT411" s="39">
        <v>45566</v>
      </c>
      <c r="AU411" s="39">
        <v>45597</v>
      </c>
      <c r="AV411" s="39">
        <v>45627</v>
      </c>
      <c r="AW411" s="39">
        <v>45658</v>
      </c>
      <c r="AX411" s="39">
        <v>45689</v>
      </c>
      <c r="AY411" s="39">
        <v>45717</v>
      </c>
    </row>
    <row r="412" spans="3:51" x14ac:dyDescent="0.35">
      <c r="C412" s="369" t="s">
        <v>253</v>
      </c>
      <c r="D412" s="41"/>
      <c r="E412" s="41"/>
      <c r="F412" s="41"/>
      <c r="G412" s="41"/>
      <c r="H412" s="41"/>
      <c r="I412" s="41"/>
      <c r="J412" s="41"/>
      <c r="K412" s="41"/>
      <c r="L412" s="41"/>
      <c r="M412" s="41"/>
      <c r="N412" s="41"/>
      <c r="O412" s="41"/>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row>
    <row r="413" spans="3:51" x14ac:dyDescent="0.35">
      <c r="C413" s="370" t="s">
        <v>0</v>
      </c>
      <c r="D413" s="41"/>
      <c r="E413" s="41"/>
      <c r="F413" s="41"/>
      <c r="G413" s="41"/>
      <c r="H413" s="41"/>
      <c r="I413" s="41"/>
      <c r="J413" s="41"/>
      <c r="K413" s="41"/>
      <c r="L413" s="41"/>
      <c r="M413" s="41"/>
      <c r="N413" s="41"/>
      <c r="O413" s="41"/>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row>
    <row r="414" spans="3:51" x14ac:dyDescent="0.35">
      <c r="C414" s="353"/>
      <c r="D414" s="41"/>
      <c r="E414" s="41"/>
      <c r="F414" s="41"/>
      <c r="G414" s="41"/>
      <c r="H414" s="41"/>
      <c r="I414" s="41"/>
      <c r="J414" s="41"/>
      <c r="K414" s="41"/>
      <c r="L414" s="41"/>
      <c r="M414" s="41"/>
      <c r="N414" s="41"/>
      <c r="O414" s="41"/>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row>
    <row r="415" spans="3:51" x14ac:dyDescent="0.35">
      <c r="C415" s="353" t="s">
        <v>128</v>
      </c>
      <c r="D415" s="64">
        <f>[2]ASB!CH64</f>
        <v>132</v>
      </c>
      <c r="E415" s="64">
        <f>[2]ASB!CI64</f>
        <v>52</v>
      </c>
      <c r="F415" s="64">
        <f>[2]ASB!CJ64</f>
        <v>62</v>
      </c>
      <c r="G415" s="64">
        <f>[2]ASB!CK64</f>
        <v>43</v>
      </c>
      <c r="H415" s="64">
        <f>[2]ASB!CL64</f>
        <v>4</v>
      </c>
      <c r="I415" s="64">
        <f>[2]ASB!CM64</f>
        <v>3</v>
      </c>
      <c r="J415" s="64">
        <f>[2]ASB!CN64</f>
        <v>4</v>
      </c>
      <c r="K415" s="64">
        <f>[2]ASB!CO64</f>
        <v>1</v>
      </c>
      <c r="L415" s="64">
        <f>[2]ASB!CP64</f>
        <v>1</v>
      </c>
      <c r="M415" s="64">
        <f>[2]ASB!CQ64</f>
        <v>1</v>
      </c>
      <c r="N415" s="64">
        <f>[2]ASB!CR64</f>
        <v>0</v>
      </c>
      <c r="O415" s="64">
        <f>[2]ASB!CS64</f>
        <v>0</v>
      </c>
      <c r="P415" s="64">
        <f>[2]ASB!CT64</f>
        <v>0</v>
      </c>
      <c r="Q415" s="64">
        <f>[2]ASB!CU64</f>
        <v>0</v>
      </c>
      <c r="R415" s="64">
        <f>[2]ASB!CV64</f>
        <v>0</v>
      </c>
      <c r="S415" s="64">
        <f>[2]ASB!CW64</f>
        <v>0</v>
      </c>
      <c r="T415" s="64">
        <f>[2]ASB!CX64</f>
        <v>0</v>
      </c>
      <c r="U415" s="64">
        <f>[2]ASB!CY64</f>
        <v>0</v>
      </c>
      <c r="V415" s="64">
        <f>[2]ASB!CZ64</f>
        <v>0</v>
      </c>
      <c r="W415" s="64">
        <f>[2]ASB!DA64</f>
        <v>0</v>
      </c>
      <c r="X415" s="64">
        <f>[2]ASB!DB64</f>
        <v>0</v>
      </c>
      <c r="Y415" s="64">
        <f>[2]ASB!DC64</f>
        <v>0</v>
      </c>
      <c r="Z415" s="64">
        <f>[2]ASB!DD64</f>
        <v>0</v>
      </c>
      <c r="AA415" s="64">
        <f>[2]ASB!DE64</f>
        <v>0</v>
      </c>
      <c r="AB415" s="64">
        <f>[2]ASB!DF64</f>
        <v>0</v>
      </c>
      <c r="AC415" s="64">
        <f>[2]ASB!DG64</f>
        <v>0</v>
      </c>
      <c r="AD415" s="64">
        <f>[2]ASB!DH64</f>
        <v>0</v>
      </c>
      <c r="AE415" s="64">
        <f>[2]ASB!DI64</f>
        <v>0</v>
      </c>
      <c r="AF415" s="64">
        <f>[2]ASB!DJ64</f>
        <v>0</v>
      </c>
      <c r="AG415" s="64">
        <f>[2]ASB!DK64</f>
        <v>0</v>
      </c>
      <c r="AH415" s="64">
        <f>[2]ASB!DL64</f>
        <v>0</v>
      </c>
      <c r="AI415" s="64">
        <f>[2]ASB!DM64</f>
        <v>0</v>
      </c>
      <c r="AJ415" s="64">
        <f>[2]ASB!DN64</f>
        <v>0</v>
      </c>
      <c r="AK415" s="64">
        <f>[2]ASB!DO64</f>
        <v>0</v>
      </c>
      <c r="AL415" s="64">
        <f>[2]ASB!DP64</f>
        <v>0</v>
      </c>
      <c r="AM415" s="64">
        <f>[2]ASB!DQ64</f>
        <v>0</v>
      </c>
      <c r="AN415" s="64">
        <f>[2]ASB!DR64</f>
        <v>0</v>
      </c>
      <c r="AO415" s="64">
        <f>[2]ASB!DS64</f>
        <v>0</v>
      </c>
      <c r="AP415" s="64">
        <f>[2]ASB!DT64</f>
        <v>0</v>
      </c>
      <c r="AQ415" s="64">
        <f>[2]ASB!DU64</f>
        <v>0</v>
      </c>
      <c r="AR415" s="64">
        <f>[2]ASB!DV64</f>
        <v>0</v>
      </c>
      <c r="AS415" s="64">
        <f>[2]ASB!DW64</f>
        <v>0</v>
      </c>
      <c r="AT415" s="64">
        <f>[2]ASB!DX64</f>
        <v>0</v>
      </c>
      <c r="AU415" s="64">
        <f>[2]ASB!DY64</f>
        <v>0</v>
      </c>
      <c r="AV415" s="64">
        <f>[2]ASB!DZ64</f>
        <v>0</v>
      </c>
      <c r="AW415" s="64">
        <f>[2]ASB!EA64</f>
        <v>0</v>
      </c>
      <c r="AX415" s="64">
        <f>[2]ASB!EB64</f>
        <v>0</v>
      </c>
      <c r="AY415" s="64">
        <f>[2]ASB!EC64</f>
        <v>0</v>
      </c>
    </row>
    <row r="416" spans="3:51" x14ac:dyDescent="0.35">
      <c r="C416" s="353" t="s">
        <v>11</v>
      </c>
      <c r="D416" s="64">
        <f>[2]ASB!CH65</f>
        <v>0</v>
      </c>
      <c r="E416" s="64">
        <f>[2]ASB!CI65</f>
        <v>1</v>
      </c>
      <c r="F416" s="64">
        <f>[2]ASB!CJ65</f>
        <v>0</v>
      </c>
      <c r="G416" s="64">
        <f>[2]ASB!CK65</f>
        <v>0</v>
      </c>
      <c r="H416" s="64">
        <f>[2]ASB!CL65</f>
        <v>0</v>
      </c>
      <c r="I416" s="64">
        <f>[2]ASB!CM65</f>
        <v>0</v>
      </c>
      <c r="J416" s="64">
        <f>[2]ASB!CN65</f>
        <v>1</v>
      </c>
      <c r="K416" s="64">
        <f>[2]ASB!CO65</f>
        <v>0</v>
      </c>
      <c r="L416" s="64">
        <f>[2]ASB!CP65</f>
        <v>0</v>
      </c>
      <c r="M416" s="64">
        <f>[2]ASB!CQ65</f>
        <v>0</v>
      </c>
      <c r="N416" s="64">
        <f>[2]ASB!CR65</f>
        <v>0</v>
      </c>
      <c r="O416" s="64">
        <f>[2]ASB!CS65</f>
        <v>0</v>
      </c>
      <c r="P416" s="64">
        <f>[2]ASB!CT65</f>
        <v>0</v>
      </c>
      <c r="Q416" s="64">
        <f>[2]ASB!CU65</f>
        <v>0</v>
      </c>
      <c r="R416" s="64">
        <f>[2]ASB!CV65</f>
        <v>0</v>
      </c>
      <c r="S416" s="64">
        <f>[2]ASB!CW65</f>
        <v>0</v>
      </c>
      <c r="T416" s="64">
        <f>[2]ASB!CX65</f>
        <v>0</v>
      </c>
      <c r="U416" s="64">
        <f>[2]ASB!CY65</f>
        <v>0</v>
      </c>
      <c r="V416" s="64">
        <f>[2]ASB!CZ65</f>
        <v>0</v>
      </c>
      <c r="W416" s="64">
        <f>[2]ASB!DA65</f>
        <v>0</v>
      </c>
      <c r="X416" s="64">
        <f>[2]ASB!DB65</f>
        <v>0</v>
      </c>
      <c r="Y416" s="64">
        <f>[2]ASB!DC65</f>
        <v>0</v>
      </c>
      <c r="Z416" s="64">
        <f>[2]ASB!DD65</f>
        <v>0</v>
      </c>
      <c r="AA416" s="64">
        <f>[2]ASB!DE65</f>
        <v>0</v>
      </c>
      <c r="AB416" s="64">
        <f>[2]ASB!DF65</f>
        <v>0</v>
      </c>
      <c r="AC416" s="64">
        <f>[2]ASB!DG65</f>
        <v>0</v>
      </c>
      <c r="AD416" s="64">
        <f>[2]ASB!DH65</f>
        <v>0</v>
      </c>
      <c r="AE416" s="64">
        <f>[2]ASB!DI65</f>
        <v>0</v>
      </c>
      <c r="AF416" s="64">
        <f>[2]ASB!DJ65</f>
        <v>0</v>
      </c>
      <c r="AG416" s="64">
        <f>[2]ASB!DK65</f>
        <v>0</v>
      </c>
      <c r="AH416" s="64">
        <f>[2]ASB!DL65</f>
        <v>0</v>
      </c>
      <c r="AI416" s="64">
        <f>[2]ASB!DM65</f>
        <v>0</v>
      </c>
      <c r="AJ416" s="64">
        <f>[2]ASB!DN65</f>
        <v>0</v>
      </c>
      <c r="AK416" s="64">
        <f>[2]ASB!DO65</f>
        <v>0</v>
      </c>
      <c r="AL416" s="64">
        <f>[2]ASB!DP65</f>
        <v>0</v>
      </c>
      <c r="AM416" s="64">
        <f>[2]ASB!DQ65</f>
        <v>0</v>
      </c>
      <c r="AN416" s="64">
        <f>[2]ASB!DR65</f>
        <v>0</v>
      </c>
      <c r="AO416" s="64">
        <f>[2]ASB!DS65</f>
        <v>0</v>
      </c>
      <c r="AP416" s="64">
        <f>[2]ASB!DT65</f>
        <v>0</v>
      </c>
      <c r="AQ416" s="64">
        <f>[2]ASB!DU65</f>
        <v>0</v>
      </c>
      <c r="AR416" s="64">
        <f>[2]ASB!DV65</f>
        <v>0</v>
      </c>
      <c r="AS416" s="64">
        <f>[2]ASB!DW65</f>
        <v>0</v>
      </c>
      <c r="AT416" s="64">
        <f>[2]ASB!DX65</f>
        <v>0</v>
      </c>
      <c r="AU416" s="64">
        <f>[2]ASB!DY65</f>
        <v>0</v>
      </c>
      <c r="AV416" s="64">
        <f>[2]ASB!DZ65</f>
        <v>0</v>
      </c>
      <c r="AW416" s="64">
        <f>[2]ASB!EA65</f>
        <v>0</v>
      </c>
      <c r="AX416" s="64">
        <f>[2]ASB!EB65</f>
        <v>0</v>
      </c>
      <c r="AY416" s="64">
        <f>[2]ASB!EC65</f>
        <v>0</v>
      </c>
    </row>
    <row r="417" spans="3:51" x14ac:dyDescent="0.35">
      <c r="C417" s="353" t="s">
        <v>129</v>
      </c>
      <c r="D417" s="64">
        <f>[2]ASB!CH66</f>
        <v>77</v>
      </c>
      <c r="E417" s="64">
        <f>[2]ASB!CI66</f>
        <v>30</v>
      </c>
      <c r="F417" s="64">
        <f>[2]ASB!CJ66</f>
        <v>43</v>
      </c>
      <c r="G417" s="64">
        <f>[2]ASB!CK66</f>
        <v>27</v>
      </c>
      <c r="H417" s="64">
        <f>[2]ASB!CL66</f>
        <v>1</v>
      </c>
      <c r="I417" s="64">
        <f>[2]ASB!CM66</f>
        <v>1</v>
      </c>
      <c r="J417" s="64">
        <f>[2]ASB!CN66</f>
        <v>0</v>
      </c>
      <c r="K417" s="64">
        <f>[2]ASB!CO66</f>
        <v>0</v>
      </c>
      <c r="L417" s="64">
        <f>[2]ASB!CP66</f>
        <v>0</v>
      </c>
      <c r="M417" s="64">
        <f>[2]ASB!CQ66</f>
        <v>0</v>
      </c>
      <c r="N417" s="64">
        <f>[2]ASB!CR66</f>
        <v>0</v>
      </c>
      <c r="O417" s="64">
        <f>[2]ASB!CS66</f>
        <v>0</v>
      </c>
      <c r="P417" s="64">
        <f>[2]ASB!CT66</f>
        <v>0</v>
      </c>
      <c r="Q417" s="64">
        <f>[2]ASB!CU66</f>
        <v>0</v>
      </c>
      <c r="R417" s="64">
        <f>[2]ASB!CV66</f>
        <v>0</v>
      </c>
      <c r="S417" s="64">
        <f>[2]ASB!CW66</f>
        <v>0</v>
      </c>
      <c r="T417" s="64">
        <f>[2]ASB!CX66</f>
        <v>0</v>
      </c>
      <c r="U417" s="64">
        <f>[2]ASB!CY66</f>
        <v>0</v>
      </c>
      <c r="V417" s="64">
        <f>[2]ASB!CZ66</f>
        <v>0</v>
      </c>
      <c r="W417" s="64">
        <f>[2]ASB!DA66</f>
        <v>0</v>
      </c>
      <c r="X417" s="64">
        <f>[2]ASB!DB66</f>
        <v>0</v>
      </c>
      <c r="Y417" s="64">
        <f>[2]ASB!DC66</f>
        <v>0</v>
      </c>
      <c r="Z417" s="64">
        <f>[2]ASB!DD66</f>
        <v>0</v>
      </c>
      <c r="AA417" s="64">
        <f>[2]ASB!DE66</f>
        <v>0</v>
      </c>
      <c r="AB417" s="64">
        <f>[2]ASB!DF66</f>
        <v>0</v>
      </c>
      <c r="AC417" s="64">
        <f>[2]ASB!DG66</f>
        <v>0</v>
      </c>
      <c r="AD417" s="64">
        <f>[2]ASB!DH66</f>
        <v>0</v>
      </c>
      <c r="AE417" s="64">
        <f>[2]ASB!DI66</f>
        <v>0</v>
      </c>
      <c r="AF417" s="64">
        <f>[2]ASB!DJ66</f>
        <v>0</v>
      </c>
      <c r="AG417" s="64">
        <f>[2]ASB!DK66</f>
        <v>0</v>
      </c>
      <c r="AH417" s="64">
        <f>[2]ASB!DL66</f>
        <v>0</v>
      </c>
      <c r="AI417" s="64">
        <f>[2]ASB!DM66</f>
        <v>0</v>
      </c>
      <c r="AJ417" s="64">
        <f>[2]ASB!DN66</f>
        <v>0</v>
      </c>
      <c r="AK417" s="64">
        <f>[2]ASB!DO66</f>
        <v>0</v>
      </c>
      <c r="AL417" s="64">
        <f>[2]ASB!DP66</f>
        <v>0</v>
      </c>
      <c r="AM417" s="64">
        <f>[2]ASB!DQ66</f>
        <v>0</v>
      </c>
      <c r="AN417" s="64">
        <f>[2]ASB!DR66</f>
        <v>0</v>
      </c>
      <c r="AO417" s="64">
        <f>[2]ASB!DS66</f>
        <v>0</v>
      </c>
      <c r="AP417" s="64">
        <f>[2]ASB!DT66</f>
        <v>0</v>
      </c>
      <c r="AQ417" s="64">
        <f>[2]ASB!DU66</f>
        <v>0</v>
      </c>
      <c r="AR417" s="64">
        <f>[2]ASB!DV66</f>
        <v>0</v>
      </c>
      <c r="AS417" s="64">
        <f>[2]ASB!DW66</f>
        <v>0</v>
      </c>
      <c r="AT417" s="64">
        <f>[2]ASB!DX66</f>
        <v>0</v>
      </c>
      <c r="AU417" s="64">
        <f>[2]ASB!DY66</f>
        <v>0</v>
      </c>
      <c r="AV417" s="64">
        <f>[2]ASB!DZ66</f>
        <v>0</v>
      </c>
      <c r="AW417" s="64">
        <f>[2]ASB!EA66</f>
        <v>0</v>
      </c>
      <c r="AX417" s="64">
        <f>[2]ASB!EB66</f>
        <v>0</v>
      </c>
      <c r="AY417" s="64">
        <f>[2]ASB!EC66</f>
        <v>0</v>
      </c>
    </row>
    <row r="418" spans="3:51" x14ac:dyDescent="0.35">
      <c r="C418" s="353" t="s">
        <v>13</v>
      </c>
      <c r="D418" s="64">
        <f>[2]ASB!CH67</f>
        <v>55</v>
      </c>
      <c r="E418" s="64">
        <f>[2]ASB!CI67</f>
        <v>21</v>
      </c>
      <c r="F418" s="64">
        <f>[2]ASB!CJ67</f>
        <v>19</v>
      </c>
      <c r="G418" s="64">
        <f>[2]ASB!CK67</f>
        <v>16</v>
      </c>
      <c r="H418" s="64">
        <f>[2]ASB!CL67</f>
        <v>3</v>
      </c>
      <c r="I418" s="64">
        <f>[2]ASB!CM67</f>
        <v>2</v>
      </c>
      <c r="J418" s="64">
        <f>[2]ASB!CN67</f>
        <v>3</v>
      </c>
      <c r="K418" s="64">
        <f>[2]ASB!CO67</f>
        <v>1</v>
      </c>
      <c r="L418" s="64">
        <f>[2]ASB!CP67</f>
        <v>1</v>
      </c>
      <c r="M418" s="64">
        <f>[2]ASB!CQ67</f>
        <v>1</v>
      </c>
      <c r="N418" s="64">
        <f>[2]ASB!CR67</f>
        <v>0</v>
      </c>
      <c r="O418" s="64">
        <f>[2]ASB!CS67</f>
        <v>0</v>
      </c>
      <c r="P418" s="64">
        <f>[2]ASB!CT67</f>
        <v>0</v>
      </c>
      <c r="Q418" s="64">
        <f>[2]ASB!CU67</f>
        <v>0</v>
      </c>
      <c r="R418" s="64">
        <f>[2]ASB!CV67</f>
        <v>0</v>
      </c>
      <c r="S418" s="64">
        <f>[2]ASB!CW67</f>
        <v>0</v>
      </c>
      <c r="T418" s="64">
        <f>[2]ASB!CX67</f>
        <v>0</v>
      </c>
      <c r="U418" s="64">
        <f>[2]ASB!CY67</f>
        <v>0</v>
      </c>
      <c r="V418" s="64">
        <f>[2]ASB!CZ67</f>
        <v>0</v>
      </c>
      <c r="W418" s="64">
        <f>[2]ASB!DA67</f>
        <v>0</v>
      </c>
      <c r="X418" s="64">
        <f>[2]ASB!DB67</f>
        <v>0</v>
      </c>
      <c r="Y418" s="64">
        <f>[2]ASB!DC67</f>
        <v>0</v>
      </c>
      <c r="Z418" s="64">
        <f>[2]ASB!DD67</f>
        <v>0</v>
      </c>
      <c r="AA418" s="64">
        <f>[2]ASB!DE67</f>
        <v>0</v>
      </c>
      <c r="AB418" s="64">
        <f>[2]ASB!DF67</f>
        <v>0</v>
      </c>
      <c r="AC418" s="64">
        <f>[2]ASB!DG67</f>
        <v>0</v>
      </c>
      <c r="AD418" s="64">
        <f>[2]ASB!DH67</f>
        <v>0</v>
      </c>
      <c r="AE418" s="64">
        <f>[2]ASB!DI67</f>
        <v>0</v>
      </c>
      <c r="AF418" s="64">
        <f>[2]ASB!DJ67</f>
        <v>0</v>
      </c>
      <c r="AG418" s="64">
        <f>[2]ASB!DK67</f>
        <v>0</v>
      </c>
      <c r="AH418" s="64">
        <f>[2]ASB!DL67</f>
        <v>0</v>
      </c>
      <c r="AI418" s="64">
        <f>[2]ASB!DM67</f>
        <v>0</v>
      </c>
      <c r="AJ418" s="64">
        <f>[2]ASB!DN67</f>
        <v>0</v>
      </c>
      <c r="AK418" s="64">
        <f>[2]ASB!DO67</f>
        <v>0</v>
      </c>
      <c r="AL418" s="64">
        <f>[2]ASB!DP67</f>
        <v>0</v>
      </c>
      <c r="AM418" s="64">
        <f>[2]ASB!DQ67</f>
        <v>0</v>
      </c>
      <c r="AN418" s="64">
        <f>[2]ASB!DR67</f>
        <v>0</v>
      </c>
      <c r="AO418" s="64">
        <f>[2]ASB!DS67</f>
        <v>0</v>
      </c>
      <c r="AP418" s="64">
        <f>[2]ASB!DT67</f>
        <v>0</v>
      </c>
      <c r="AQ418" s="64">
        <f>[2]ASB!DU67</f>
        <v>0</v>
      </c>
      <c r="AR418" s="64">
        <f>[2]ASB!DV67</f>
        <v>0</v>
      </c>
      <c r="AS418" s="64">
        <f>[2]ASB!DW67</f>
        <v>0</v>
      </c>
      <c r="AT418" s="64">
        <f>[2]ASB!DX67</f>
        <v>0</v>
      </c>
      <c r="AU418" s="64">
        <f>[2]ASB!DY67</f>
        <v>0</v>
      </c>
      <c r="AV418" s="64">
        <f>[2]ASB!DZ67</f>
        <v>0</v>
      </c>
      <c r="AW418" s="64">
        <f>[2]ASB!EA67</f>
        <v>0</v>
      </c>
      <c r="AX418" s="64">
        <f>[2]ASB!EB67</f>
        <v>0</v>
      </c>
      <c r="AY418" s="64">
        <f>[2]ASB!EC67</f>
        <v>0</v>
      </c>
    </row>
    <row r="419" spans="3:51" x14ac:dyDescent="0.35">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row>
    <row r="420" spans="3:51" s="64" customFormat="1" x14ac:dyDescent="0.35">
      <c r="D420" s="41">
        <v>44287</v>
      </c>
      <c r="E420" s="41">
        <v>44317</v>
      </c>
      <c r="F420" s="41">
        <v>44348</v>
      </c>
      <c r="G420" s="41">
        <v>44378</v>
      </c>
      <c r="H420" s="41">
        <v>44409</v>
      </c>
      <c r="I420" s="41">
        <v>44440</v>
      </c>
      <c r="J420" s="41">
        <v>44470</v>
      </c>
      <c r="K420" s="41">
        <v>44501</v>
      </c>
      <c r="L420" s="41">
        <v>44531</v>
      </c>
      <c r="M420" s="41">
        <v>44562</v>
      </c>
      <c r="N420" s="41">
        <v>44593</v>
      </c>
      <c r="O420" s="41">
        <v>44621</v>
      </c>
      <c r="P420" s="39">
        <v>44652</v>
      </c>
      <c r="Q420" s="39">
        <v>44682</v>
      </c>
      <c r="R420" s="39">
        <v>44713</v>
      </c>
      <c r="S420" s="39">
        <v>44743</v>
      </c>
      <c r="T420" s="39">
        <v>44774</v>
      </c>
      <c r="U420" s="39">
        <v>44805</v>
      </c>
      <c r="V420" s="39">
        <v>44835</v>
      </c>
      <c r="W420" s="39">
        <v>44866</v>
      </c>
      <c r="X420" s="39">
        <v>44896</v>
      </c>
      <c r="Y420" s="39">
        <v>44927</v>
      </c>
      <c r="Z420" s="39">
        <v>44958</v>
      </c>
      <c r="AA420" s="39">
        <v>44986</v>
      </c>
      <c r="AB420" s="39">
        <v>45017</v>
      </c>
      <c r="AC420" s="39">
        <v>45047</v>
      </c>
      <c r="AD420" s="39">
        <v>45078</v>
      </c>
      <c r="AE420" s="39">
        <v>45108</v>
      </c>
      <c r="AF420" s="39">
        <v>45139</v>
      </c>
      <c r="AG420" s="39">
        <v>45170</v>
      </c>
      <c r="AH420" s="39">
        <v>45200</v>
      </c>
      <c r="AI420" s="39">
        <v>45231</v>
      </c>
      <c r="AJ420" s="39">
        <v>45261</v>
      </c>
      <c r="AK420" s="39">
        <v>45292</v>
      </c>
      <c r="AL420" s="39">
        <v>45323</v>
      </c>
      <c r="AM420" s="39">
        <v>45352</v>
      </c>
      <c r="AN420" s="39">
        <v>45383</v>
      </c>
      <c r="AO420" s="39">
        <v>45413</v>
      </c>
      <c r="AP420" s="39">
        <v>45444</v>
      </c>
      <c r="AQ420" s="39">
        <v>45474</v>
      </c>
      <c r="AR420" s="39">
        <v>45505</v>
      </c>
      <c r="AS420" s="39">
        <v>45536</v>
      </c>
      <c r="AT420" s="39">
        <v>45566</v>
      </c>
      <c r="AU420" s="39">
        <v>45597</v>
      </c>
      <c r="AV420" s="39">
        <v>45627</v>
      </c>
      <c r="AW420" s="39">
        <v>45658</v>
      </c>
      <c r="AX420" s="39">
        <v>45689</v>
      </c>
      <c r="AY420" s="39">
        <v>45717</v>
      </c>
    </row>
    <row r="421" spans="3:51" x14ac:dyDescent="0.35">
      <c r="C421" s="371" t="s">
        <v>115</v>
      </c>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row>
    <row r="422" spans="3:51" x14ac:dyDescent="0.35">
      <c r="C422" s="372"/>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row>
    <row r="423" spans="3:51" x14ac:dyDescent="0.35">
      <c r="C423" s="373" t="s">
        <v>128</v>
      </c>
      <c r="D423" s="64">
        <f>[2]ASB!CH72</f>
        <v>14</v>
      </c>
      <c r="E423" s="64">
        <f>[2]ASB!CI72</f>
        <v>5</v>
      </c>
      <c r="F423" s="64">
        <f>[2]ASB!CJ72</f>
        <v>4</v>
      </c>
      <c r="G423" s="64">
        <f>[2]ASB!CK72</f>
        <v>4</v>
      </c>
      <c r="H423" s="64">
        <f>[2]ASB!CL72</f>
        <v>0</v>
      </c>
      <c r="I423" s="64">
        <f>[2]ASB!CM72</f>
        <v>0</v>
      </c>
      <c r="J423" s="64">
        <f>[2]ASB!CN72</f>
        <v>1</v>
      </c>
      <c r="K423" s="64">
        <f>[2]ASB!CO72</f>
        <v>1</v>
      </c>
      <c r="L423" s="64">
        <f>[2]ASB!CP72</f>
        <v>0</v>
      </c>
      <c r="M423" s="64">
        <f>[2]ASB!CQ72</f>
        <v>0</v>
      </c>
      <c r="N423" s="64">
        <f>[2]ASB!CR72</f>
        <v>0</v>
      </c>
      <c r="O423" s="64">
        <f>[2]ASB!CS72</f>
        <v>0</v>
      </c>
      <c r="P423" s="64">
        <f>[2]ASB!CT72</f>
        <v>0</v>
      </c>
      <c r="Q423" s="64">
        <f>[2]ASB!CU72</f>
        <v>0</v>
      </c>
      <c r="R423" s="64">
        <f>[2]ASB!CV72</f>
        <v>0</v>
      </c>
      <c r="S423" s="64">
        <f>[2]ASB!CW72</f>
        <v>0</v>
      </c>
      <c r="T423" s="64">
        <f>[2]ASB!CX72</f>
        <v>0</v>
      </c>
      <c r="U423" s="64">
        <f>[2]ASB!CY72</f>
        <v>0</v>
      </c>
      <c r="V423" s="64">
        <f>[2]ASB!CZ72</f>
        <v>0</v>
      </c>
      <c r="W423" s="64">
        <f>[2]ASB!DA72</f>
        <v>0</v>
      </c>
      <c r="X423" s="64">
        <f>[2]ASB!DB72</f>
        <v>0</v>
      </c>
      <c r="Y423" s="64">
        <f>[2]ASB!DC72</f>
        <v>0</v>
      </c>
      <c r="Z423" s="64">
        <f>[2]ASB!DD72</f>
        <v>0</v>
      </c>
      <c r="AA423" s="64">
        <f>[2]ASB!DE72</f>
        <v>0</v>
      </c>
      <c r="AB423" s="64">
        <f>[2]ASB!DF72</f>
        <v>0</v>
      </c>
      <c r="AC423" s="64">
        <f>[2]ASB!DG72</f>
        <v>0</v>
      </c>
      <c r="AD423" s="64">
        <f>[2]ASB!DH72</f>
        <v>0</v>
      </c>
      <c r="AE423" s="64">
        <f>[2]ASB!DI72</f>
        <v>0</v>
      </c>
      <c r="AF423" s="64">
        <f>[2]ASB!DJ72</f>
        <v>0</v>
      </c>
      <c r="AG423" s="64">
        <f>[2]ASB!DK72</f>
        <v>0</v>
      </c>
      <c r="AH423" s="64">
        <f>[2]ASB!DL72</f>
        <v>0</v>
      </c>
      <c r="AI423" s="64">
        <f>[2]ASB!DM72</f>
        <v>0</v>
      </c>
      <c r="AJ423" s="64">
        <f>[2]ASB!DN72</f>
        <v>0</v>
      </c>
      <c r="AK423" s="64">
        <f>[2]ASB!DO72</f>
        <v>0</v>
      </c>
      <c r="AL423" s="64">
        <f>[2]ASB!DP72</f>
        <v>0</v>
      </c>
      <c r="AM423" s="64">
        <f>[2]ASB!DQ72</f>
        <v>0</v>
      </c>
      <c r="AN423" s="64">
        <f>[2]ASB!DR72</f>
        <v>0</v>
      </c>
      <c r="AO423" s="64">
        <f>[2]ASB!DS72</f>
        <v>0</v>
      </c>
      <c r="AP423" s="64">
        <f>[2]ASB!DT72</f>
        <v>0</v>
      </c>
      <c r="AQ423" s="64">
        <f>[2]ASB!DU72</f>
        <v>0</v>
      </c>
      <c r="AR423" s="64">
        <f>[2]ASB!DV72</f>
        <v>0</v>
      </c>
      <c r="AS423" s="64">
        <f>[2]ASB!DW72</f>
        <v>0</v>
      </c>
      <c r="AT423" s="64">
        <f>[2]ASB!DX72</f>
        <v>0</v>
      </c>
      <c r="AU423" s="64">
        <f>[2]ASB!DY72</f>
        <v>0</v>
      </c>
      <c r="AV423" s="64">
        <f>[2]ASB!DZ72</f>
        <v>0</v>
      </c>
      <c r="AW423" s="64">
        <f>[2]ASB!EA72</f>
        <v>0</v>
      </c>
      <c r="AX423" s="64">
        <f>[2]ASB!EB72</f>
        <v>0</v>
      </c>
      <c r="AY423" s="64">
        <f>[2]ASB!EC72</f>
        <v>0</v>
      </c>
    </row>
    <row r="424" spans="3:51" x14ac:dyDescent="0.35">
      <c r="C424" s="373" t="s">
        <v>11</v>
      </c>
      <c r="D424" s="64">
        <f>[2]ASB!CH73</f>
        <v>0</v>
      </c>
      <c r="E424" s="64">
        <f>[2]ASB!CI73</f>
        <v>0</v>
      </c>
      <c r="F424" s="64">
        <f>[2]ASB!CJ73</f>
        <v>0</v>
      </c>
      <c r="G424" s="64">
        <f>[2]ASB!CK73</f>
        <v>0</v>
      </c>
      <c r="H424" s="64">
        <f>[2]ASB!CL73</f>
        <v>0</v>
      </c>
      <c r="I424" s="64">
        <f>[2]ASB!CM73</f>
        <v>0</v>
      </c>
      <c r="J424" s="64">
        <f>[2]ASB!CN73</f>
        <v>0</v>
      </c>
      <c r="K424" s="64">
        <f>[2]ASB!CO73</f>
        <v>0</v>
      </c>
      <c r="L424" s="64">
        <f>[2]ASB!CP73</f>
        <v>0</v>
      </c>
      <c r="M424" s="64">
        <f>[2]ASB!CQ73</f>
        <v>0</v>
      </c>
      <c r="N424" s="64">
        <f>[2]ASB!CR73</f>
        <v>0</v>
      </c>
      <c r="O424" s="64">
        <f>[2]ASB!CS73</f>
        <v>0</v>
      </c>
      <c r="P424" s="64">
        <f>[2]ASB!CT73</f>
        <v>0</v>
      </c>
      <c r="Q424" s="64">
        <f>[2]ASB!CU73</f>
        <v>0</v>
      </c>
      <c r="R424" s="64">
        <f>[2]ASB!CV73</f>
        <v>0</v>
      </c>
      <c r="S424" s="64">
        <f>[2]ASB!CW73</f>
        <v>0</v>
      </c>
      <c r="T424" s="64">
        <f>[2]ASB!CX73</f>
        <v>0</v>
      </c>
      <c r="U424" s="64">
        <f>[2]ASB!CY73</f>
        <v>0</v>
      </c>
      <c r="V424" s="64">
        <f>[2]ASB!CZ73</f>
        <v>0</v>
      </c>
      <c r="W424" s="64">
        <f>[2]ASB!DA73</f>
        <v>0</v>
      </c>
      <c r="X424" s="64">
        <f>[2]ASB!DB73</f>
        <v>0</v>
      </c>
      <c r="Y424" s="64">
        <f>[2]ASB!DC73</f>
        <v>0</v>
      </c>
      <c r="Z424" s="64">
        <f>[2]ASB!DD73</f>
        <v>0</v>
      </c>
      <c r="AA424" s="64">
        <f>[2]ASB!DE73</f>
        <v>0</v>
      </c>
      <c r="AB424" s="64">
        <f>[2]ASB!DF73</f>
        <v>0</v>
      </c>
      <c r="AC424" s="64">
        <f>[2]ASB!DG73</f>
        <v>0</v>
      </c>
      <c r="AD424" s="64">
        <f>[2]ASB!DH73</f>
        <v>0</v>
      </c>
      <c r="AE424" s="64">
        <f>[2]ASB!DI73</f>
        <v>0</v>
      </c>
      <c r="AF424" s="64">
        <f>[2]ASB!DJ73</f>
        <v>0</v>
      </c>
      <c r="AG424" s="64">
        <f>[2]ASB!DK73</f>
        <v>0</v>
      </c>
      <c r="AH424" s="64">
        <f>[2]ASB!DL73</f>
        <v>0</v>
      </c>
      <c r="AI424" s="64">
        <f>[2]ASB!DM73</f>
        <v>0</v>
      </c>
      <c r="AJ424" s="64">
        <f>[2]ASB!DN73</f>
        <v>0</v>
      </c>
      <c r="AK424" s="64">
        <f>[2]ASB!DO73</f>
        <v>0</v>
      </c>
      <c r="AL424" s="64">
        <f>[2]ASB!DP73</f>
        <v>0</v>
      </c>
      <c r="AM424" s="64">
        <f>[2]ASB!DQ73</f>
        <v>0</v>
      </c>
      <c r="AN424" s="64">
        <f>[2]ASB!DR73</f>
        <v>0</v>
      </c>
      <c r="AO424" s="64">
        <f>[2]ASB!DS73</f>
        <v>0</v>
      </c>
      <c r="AP424" s="64">
        <f>[2]ASB!DT73</f>
        <v>0</v>
      </c>
      <c r="AQ424" s="64">
        <f>[2]ASB!DU73</f>
        <v>0</v>
      </c>
      <c r="AR424" s="64">
        <f>[2]ASB!DV73</f>
        <v>0</v>
      </c>
      <c r="AS424" s="64">
        <f>[2]ASB!DW73</f>
        <v>0</v>
      </c>
      <c r="AT424" s="64">
        <f>[2]ASB!DX73</f>
        <v>0</v>
      </c>
      <c r="AU424" s="64">
        <f>[2]ASB!DY73</f>
        <v>0</v>
      </c>
      <c r="AV424" s="64">
        <f>[2]ASB!DZ73</f>
        <v>0</v>
      </c>
      <c r="AW424" s="64">
        <f>[2]ASB!EA73</f>
        <v>0</v>
      </c>
      <c r="AX424" s="64">
        <f>[2]ASB!EB73</f>
        <v>0</v>
      </c>
      <c r="AY424" s="64">
        <f>[2]ASB!EC73</f>
        <v>0</v>
      </c>
    </row>
    <row r="425" spans="3:51" x14ac:dyDescent="0.35">
      <c r="C425" s="373" t="s">
        <v>129</v>
      </c>
      <c r="D425" s="64">
        <f>[2]ASB!CH74</f>
        <v>10</v>
      </c>
      <c r="E425" s="64">
        <f>[2]ASB!CI74</f>
        <v>4</v>
      </c>
      <c r="F425" s="64">
        <f>[2]ASB!CJ74</f>
        <v>2</v>
      </c>
      <c r="G425" s="64">
        <f>[2]ASB!CK74</f>
        <v>1</v>
      </c>
      <c r="H425" s="64">
        <f>[2]ASB!CL74</f>
        <v>0</v>
      </c>
      <c r="I425" s="64">
        <f>[2]ASB!CM74</f>
        <v>0</v>
      </c>
      <c r="J425" s="64">
        <f>[2]ASB!CN74</f>
        <v>0</v>
      </c>
      <c r="K425" s="64">
        <f>[2]ASB!CO74</f>
        <v>0</v>
      </c>
      <c r="L425" s="64">
        <f>[2]ASB!CP74</f>
        <v>0</v>
      </c>
      <c r="M425" s="64">
        <f>[2]ASB!CQ74</f>
        <v>0</v>
      </c>
      <c r="N425" s="64">
        <f>[2]ASB!CR74</f>
        <v>0</v>
      </c>
      <c r="O425" s="64">
        <f>[2]ASB!CS74</f>
        <v>0</v>
      </c>
      <c r="P425" s="64">
        <f>[2]ASB!CT74</f>
        <v>0</v>
      </c>
      <c r="Q425" s="64">
        <f>[2]ASB!CU74</f>
        <v>0</v>
      </c>
      <c r="R425" s="64">
        <f>[2]ASB!CV74</f>
        <v>0</v>
      </c>
      <c r="S425" s="64">
        <f>[2]ASB!CW74</f>
        <v>0</v>
      </c>
      <c r="T425" s="64">
        <f>[2]ASB!CX74</f>
        <v>0</v>
      </c>
      <c r="U425" s="64">
        <f>[2]ASB!CY74</f>
        <v>0</v>
      </c>
      <c r="V425" s="64">
        <f>[2]ASB!CZ74</f>
        <v>0</v>
      </c>
      <c r="W425" s="64">
        <f>[2]ASB!DA74</f>
        <v>0</v>
      </c>
      <c r="X425" s="64">
        <f>[2]ASB!DB74</f>
        <v>0</v>
      </c>
      <c r="Y425" s="64">
        <f>[2]ASB!DC74</f>
        <v>0</v>
      </c>
      <c r="Z425" s="64">
        <f>[2]ASB!DD74</f>
        <v>0</v>
      </c>
      <c r="AA425" s="64">
        <f>[2]ASB!DE74</f>
        <v>0</v>
      </c>
      <c r="AB425" s="64">
        <f>[2]ASB!DF74</f>
        <v>0</v>
      </c>
      <c r="AC425" s="64">
        <f>[2]ASB!DG74</f>
        <v>0</v>
      </c>
      <c r="AD425" s="64">
        <f>[2]ASB!DH74</f>
        <v>0</v>
      </c>
      <c r="AE425" s="64">
        <f>[2]ASB!DI74</f>
        <v>0</v>
      </c>
      <c r="AF425" s="64">
        <f>[2]ASB!DJ74</f>
        <v>0</v>
      </c>
      <c r="AG425" s="64">
        <f>[2]ASB!DK74</f>
        <v>0</v>
      </c>
      <c r="AH425" s="64">
        <f>[2]ASB!DL74</f>
        <v>0</v>
      </c>
      <c r="AI425" s="64">
        <f>[2]ASB!DM74</f>
        <v>0</v>
      </c>
      <c r="AJ425" s="64">
        <f>[2]ASB!DN74</f>
        <v>0</v>
      </c>
      <c r="AK425" s="64">
        <f>[2]ASB!DO74</f>
        <v>0</v>
      </c>
      <c r="AL425" s="64">
        <f>[2]ASB!DP74</f>
        <v>0</v>
      </c>
      <c r="AM425" s="64">
        <f>[2]ASB!DQ74</f>
        <v>0</v>
      </c>
      <c r="AN425" s="64">
        <f>[2]ASB!DR74</f>
        <v>0</v>
      </c>
      <c r="AO425" s="64">
        <f>[2]ASB!DS74</f>
        <v>0</v>
      </c>
      <c r="AP425" s="64">
        <f>[2]ASB!DT74</f>
        <v>0</v>
      </c>
      <c r="AQ425" s="64">
        <f>[2]ASB!DU74</f>
        <v>0</v>
      </c>
      <c r="AR425" s="64">
        <f>[2]ASB!DV74</f>
        <v>0</v>
      </c>
      <c r="AS425" s="64">
        <f>[2]ASB!DW74</f>
        <v>0</v>
      </c>
      <c r="AT425" s="64">
        <f>[2]ASB!DX74</f>
        <v>0</v>
      </c>
      <c r="AU425" s="64">
        <f>[2]ASB!DY74</f>
        <v>0</v>
      </c>
      <c r="AV425" s="64">
        <f>[2]ASB!DZ74</f>
        <v>0</v>
      </c>
      <c r="AW425" s="64">
        <f>[2]ASB!EA74</f>
        <v>0</v>
      </c>
      <c r="AX425" s="64">
        <f>[2]ASB!EB74</f>
        <v>0</v>
      </c>
      <c r="AY425" s="64">
        <f>[2]ASB!EC74</f>
        <v>0</v>
      </c>
    </row>
    <row r="426" spans="3:51" x14ac:dyDescent="0.35">
      <c r="C426" s="373" t="s">
        <v>13</v>
      </c>
      <c r="D426" s="64">
        <f>[2]ASB!CH75</f>
        <v>4</v>
      </c>
      <c r="E426" s="64">
        <f>[2]ASB!CI75</f>
        <v>1</v>
      </c>
      <c r="F426" s="64">
        <f>[2]ASB!CJ75</f>
        <v>2</v>
      </c>
      <c r="G426" s="64">
        <f>[2]ASB!CK75</f>
        <v>3</v>
      </c>
      <c r="H426" s="64">
        <f>[2]ASB!CL75</f>
        <v>0</v>
      </c>
      <c r="I426" s="64">
        <f>[2]ASB!CM75</f>
        <v>0</v>
      </c>
      <c r="J426" s="64">
        <f>[2]ASB!CN75</f>
        <v>1</v>
      </c>
      <c r="K426" s="64">
        <f>[2]ASB!CO75</f>
        <v>1</v>
      </c>
      <c r="L426" s="64">
        <f>[2]ASB!CP75</f>
        <v>0</v>
      </c>
      <c r="M426" s="64">
        <f>[2]ASB!CQ75</f>
        <v>0</v>
      </c>
      <c r="N426" s="64">
        <f>[2]ASB!CR75</f>
        <v>0</v>
      </c>
      <c r="O426" s="64">
        <f>[2]ASB!CS75</f>
        <v>0</v>
      </c>
      <c r="P426" s="64">
        <f>[2]ASB!CT75</f>
        <v>0</v>
      </c>
      <c r="Q426" s="64">
        <f>[2]ASB!CU75</f>
        <v>0</v>
      </c>
      <c r="R426" s="64">
        <f>[2]ASB!CV75</f>
        <v>0</v>
      </c>
      <c r="S426" s="64">
        <f>[2]ASB!CW75</f>
        <v>0</v>
      </c>
      <c r="T426" s="64">
        <f>[2]ASB!CX75</f>
        <v>0</v>
      </c>
      <c r="U426" s="64">
        <f>[2]ASB!CY75</f>
        <v>0</v>
      </c>
      <c r="V426" s="64">
        <f>[2]ASB!CZ75</f>
        <v>0</v>
      </c>
      <c r="W426" s="64">
        <f>[2]ASB!DA75</f>
        <v>0</v>
      </c>
      <c r="X426" s="64">
        <f>[2]ASB!DB75</f>
        <v>0</v>
      </c>
      <c r="Y426" s="64">
        <f>[2]ASB!DC75</f>
        <v>0</v>
      </c>
      <c r="Z426" s="64">
        <f>[2]ASB!DD75</f>
        <v>0</v>
      </c>
      <c r="AA426" s="64">
        <f>[2]ASB!DE75</f>
        <v>0</v>
      </c>
      <c r="AB426" s="64">
        <f>[2]ASB!DF75</f>
        <v>0</v>
      </c>
      <c r="AC426" s="64">
        <f>[2]ASB!DG75</f>
        <v>0</v>
      </c>
      <c r="AD426" s="64">
        <f>[2]ASB!DH75</f>
        <v>0</v>
      </c>
      <c r="AE426" s="64">
        <f>[2]ASB!DI75</f>
        <v>0</v>
      </c>
      <c r="AF426" s="64">
        <f>[2]ASB!DJ75</f>
        <v>0</v>
      </c>
      <c r="AG426" s="64">
        <f>[2]ASB!DK75</f>
        <v>0</v>
      </c>
      <c r="AH426" s="64">
        <f>[2]ASB!DL75</f>
        <v>0</v>
      </c>
      <c r="AI426" s="64">
        <f>[2]ASB!DM75</f>
        <v>0</v>
      </c>
      <c r="AJ426" s="64">
        <f>[2]ASB!DN75</f>
        <v>0</v>
      </c>
      <c r="AK426" s="64">
        <f>[2]ASB!DO75</f>
        <v>0</v>
      </c>
      <c r="AL426" s="64">
        <f>[2]ASB!DP75</f>
        <v>0</v>
      </c>
      <c r="AM426" s="64">
        <f>[2]ASB!DQ75</f>
        <v>0</v>
      </c>
      <c r="AN426" s="64">
        <f>[2]ASB!DR75</f>
        <v>0</v>
      </c>
      <c r="AO426" s="64">
        <f>[2]ASB!DS75</f>
        <v>0</v>
      </c>
      <c r="AP426" s="64">
        <f>[2]ASB!DT75</f>
        <v>0</v>
      </c>
      <c r="AQ426" s="64">
        <f>[2]ASB!DU75</f>
        <v>0</v>
      </c>
      <c r="AR426" s="64">
        <f>[2]ASB!DV75</f>
        <v>0</v>
      </c>
      <c r="AS426" s="64">
        <f>[2]ASB!DW75</f>
        <v>0</v>
      </c>
      <c r="AT426" s="64">
        <f>[2]ASB!DX75</f>
        <v>0</v>
      </c>
      <c r="AU426" s="64">
        <f>[2]ASB!DY75</f>
        <v>0</v>
      </c>
      <c r="AV426" s="64">
        <f>[2]ASB!DZ75</f>
        <v>0</v>
      </c>
      <c r="AW426" s="64">
        <f>[2]ASB!EA75</f>
        <v>0</v>
      </c>
      <c r="AX426" s="64">
        <f>[2]ASB!EB75</f>
        <v>0</v>
      </c>
      <c r="AY426" s="64">
        <f>[2]ASB!EC75</f>
        <v>0</v>
      </c>
    </row>
    <row r="427" spans="3:51" x14ac:dyDescent="0.35">
      <c r="C427" s="60"/>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row>
    <row r="428" spans="3:51" s="64" customFormat="1" x14ac:dyDescent="0.35">
      <c r="D428" s="41">
        <v>44287</v>
      </c>
      <c r="E428" s="41">
        <v>44317</v>
      </c>
      <c r="F428" s="41">
        <v>44348</v>
      </c>
      <c r="G428" s="41">
        <v>44378</v>
      </c>
      <c r="H428" s="41">
        <v>44409</v>
      </c>
      <c r="I428" s="41">
        <v>44440</v>
      </c>
      <c r="J428" s="41">
        <v>44470</v>
      </c>
      <c r="K428" s="41">
        <v>44501</v>
      </c>
      <c r="L428" s="41">
        <v>44531</v>
      </c>
      <c r="M428" s="41">
        <v>44562</v>
      </c>
      <c r="N428" s="41">
        <v>44593</v>
      </c>
      <c r="O428" s="41">
        <v>44621</v>
      </c>
      <c r="P428" s="39">
        <v>44652</v>
      </c>
      <c r="Q428" s="39">
        <v>44682</v>
      </c>
      <c r="R428" s="39">
        <v>44713</v>
      </c>
      <c r="S428" s="39">
        <v>44743</v>
      </c>
      <c r="T428" s="39">
        <v>44774</v>
      </c>
      <c r="U428" s="39">
        <v>44805</v>
      </c>
      <c r="V428" s="39">
        <v>44835</v>
      </c>
      <c r="W428" s="39">
        <v>44866</v>
      </c>
      <c r="X428" s="39">
        <v>44896</v>
      </c>
      <c r="Y428" s="39">
        <v>44927</v>
      </c>
      <c r="Z428" s="39">
        <v>44958</v>
      </c>
      <c r="AA428" s="39">
        <v>44986</v>
      </c>
      <c r="AB428" s="39">
        <v>45017</v>
      </c>
      <c r="AC428" s="39">
        <v>45047</v>
      </c>
      <c r="AD428" s="39">
        <v>45078</v>
      </c>
      <c r="AE428" s="39">
        <v>45108</v>
      </c>
      <c r="AF428" s="39">
        <v>45139</v>
      </c>
      <c r="AG428" s="39">
        <v>45170</v>
      </c>
      <c r="AH428" s="39">
        <v>45200</v>
      </c>
      <c r="AI428" s="39">
        <v>45231</v>
      </c>
      <c r="AJ428" s="39">
        <v>45261</v>
      </c>
      <c r="AK428" s="39">
        <v>45292</v>
      </c>
      <c r="AL428" s="39">
        <v>45323</v>
      </c>
      <c r="AM428" s="39">
        <v>45352</v>
      </c>
      <c r="AN428" s="39">
        <v>45383</v>
      </c>
      <c r="AO428" s="39">
        <v>45413</v>
      </c>
      <c r="AP428" s="39">
        <v>45444</v>
      </c>
      <c r="AQ428" s="39">
        <v>45474</v>
      </c>
      <c r="AR428" s="39">
        <v>45505</v>
      </c>
      <c r="AS428" s="39">
        <v>45536</v>
      </c>
      <c r="AT428" s="39">
        <v>45566</v>
      </c>
      <c r="AU428" s="39">
        <v>45597</v>
      </c>
      <c r="AV428" s="39">
        <v>45627</v>
      </c>
      <c r="AW428" s="39">
        <v>45658</v>
      </c>
      <c r="AX428" s="39">
        <v>45689</v>
      </c>
      <c r="AY428" s="39">
        <v>45717</v>
      </c>
    </row>
    <row r="429" spans="3:51" x14ac:dyDescent="0.35">
      <c r="C429" s="374" t="s">
        <v>130</v>
      </c>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row>
    <row r="430" spans="3:51" x14ac:dyDescent="0.35">
      <c r="C430" s="375"/>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row>
    <row r="431" spans="3:51" x14ac:dyDescent="0.35">
      <c r="C431" s="362" t="s">
        <v>128</v>
      </c>
      <c r="D431" s="64">
        <f>[2]ASB!CH80</f>
        <v>38</v>
      </c>
      <c r="E431" s="64">
        <f>[2]ASB!CI80</f>
        <v>10</v>
      </c>
      <c r="F431" s="64">
        <f>[2]ASB!CJ80</f>
        <v>10</v>
      </c>
      <c r="G431" s="64">
        <f>[2]ASB!CK80</f>
        <v>13</v>
      </c>
      <c r="H431" s="64">
        <f>[2]ASB!CL80</f>
        <v>0</v>
      </c>
      <c r="I431" s="64">
        <f>[2]ASB!CM80</f>
        <v>0</v>
      </c>
      <c r="J431" s="64">
        <f>[2]ASB!CN80</f>
        <v>0</v>
      </c>
      <c r="K431" s="64">
        <f>[2]ASB!CO80</f>
        <v>0</v>
      </c>
      <c r="L431" s="64">
        <f>[2]ASB!CP80</f>
        <v>0</v>
      </c>
      <c r="M431" s="64">
        <f>[2]ASB!CQ80</f>
        <v>0</v>
      </c>
      <c r="N431" s="64">
        <f>[2]ASB!CR80</f>
        <v>0</v>
      </c>
      <c r="O431" s="64">
        <f>[2]ASB!CS80</f>
        <v>0</v>
      </c>
      <c r="P431" s="64">
        <f>[2]ASB!CT80</f>
        <v>0</v>
      </c>
      <c r="Q431" s="64">
        <f>[2]ASB!CU80</f>
        <v>0</v>
      </c>
      <c r="R431" s="64">
        <f>[2]ASB!CV80</f>
        <v>0</v>
      </c>
      <c r="S431" s="64">
        <f>[2]ASB!CW80</f>
        <v>0</v>
      </c>
      <c r="T431" s="64">
        <f>[2]ASB!CX80</f>
        <v>0</v>
      </c>
      <c r="U431" s="64">
        <f>[2]ASB!CY80</f>
        <v>0</v>
      </c>
      <c r="V431" s="64">
        <f>[2]ASB!CZ80</f>
        <v>0</v>
      </c>
      <c r="W431" s="64">
        <f>[2]ASB!DA80</f>
        <v>0</v>
      </c>
      <c r="X431" s="64">
        <f>[2]ASB!DB80</f>
        <v>0</v>
      </c>
      <c r="Y431" s="64">
        <f>[2]ASB!DC80</f>
        <v>0</v>
      </c>
      <c r="Z431" s="64">
        <f>[2]ASB!DD80</f>
        <v>0</v>
      </c>
      <c r="AA431" s="64">
        <f>[2]ASB!DE80</f>
        <v>0</v>
      </c>
      <c r="AB431" s="64">
        <f>[2]ASB!DF80</f>
        <v>0</v>
      </c>
      <c r="AC431" s="64">
        <f>[2]ASB!DG80</f>
        <v>0</v>
      </c>
      <c r="AD431" s="64">
        <f>[2]ASB!DH80</f>
        <v>0</v>
      </c>
      <c r="AE431" s="64">
        <f>[2]ASB!DI80</f>
        <v>0</v>
      </c>
      <c r="AF431" s="64">
        <f>[2]ASB!DJ80</f>
        <v>0</v>
      </c>
      <c r="AG431" s="64">
        <f>[2]ASB!DK80</f>
        <v>0</v>
      </c>
      <c r="AH431" s="64">
        <f>[2]ASB!DL80</f>
        <v>0</v>
      </c>
      <c r="AI431" s="64">
        <f>[2]ASB!DM80</f>
        <v>0</v>
      </c>
      <c r="AJ431" s="64">
        <f>[2]ASB!DN80</f>
        <v>0</v>
      </c>
      <c r="AK431" s="64">
        <f>[2]ASB!DO80</f>
        <v>0</v>
      </c>
      <c r="AL431" s="64">
        <f>[2]ASB!DP80</f>
        <v>0</v>
      </c>
      <c r="AM431" s="64">
        <f>[2]ASB!DQ80</f>
        <v>0</v>
      </c>
      <c r="AN431" s="64">
        <f>[2]ASB!DR80</f>
        <v>0</v>
      </c>
      <c r="AO431" s="64">
        <f>[2]ASB!DS80</f>
        <v>0</v>
      </c>
      <c r="AP431" s="64">
        <f>[2]ASB!DT80</f>
        <v>0</v>
      </c>
      <c r="AQ431" s="64">
        <f>[2]ASB!DU80</f>
        <v>0</v>
      </c>
      <c r="AR431" s="64">
        <f>[2]ASB!DV80</f>
        <v>0</v>
      </c>
      <c r="AS431" s="64">
        <f>[2]ASB!DW80</f>
        <v>0</v>
      </c>
      <c r="AT431" s="64">
        <f>[2]ASB!DX80</f>
        <v>0</v>
      </c>
      <c r="AU431" s="64">
        <f>[2]ASB!DY80</f>
        <v>0</v>
      </c>
      <c r="AV431" s="64">
        <f>[2]ASB!DZ80</f>
        <v>0</v>
      </c>
      <c r="AW431" s="64">
        <f>[2]ASB!EA80</f>
        <v>0</v>
      </c>
      <c r="AX431" s="64">
        <f>[2]ASB!EB80</f>
        <v>0</v>
      </c>
      <c r="AY431" s="64">
        <f>[2]ASB!EC80</f>
        <v>0</v>
      </c>
    </row>
    <row r="432" spans="3:51" x14ac:dyDescent="0.35">
      <c r="C432" s="362" t="s">
        <v>11</v>
      </c>
      <c r="D432" s="64">
        <f>[2]ASB!CH81</f>
        <v>0</v>
      </c>
      <c r="E432" s="64">
        <f>[2]ASB!CI81</f>
        <v>0</v>
      </c>
      <c r="F432" s="64">
        <f>[2]ASB!CJ81</f>
        <v>0</v>
      </c>
      <c r="G432" s="64">
        <f>[2]ASB!CK81</f>
        <v>0</v>
      </c>
      <c r="H432" s="64">
        <f>[2]ASB!CL81</f>
        <v>0</v>
      </c>
      <c r="I432" s="64">
        <f>[2]ASB!CM81</f>
        <v>0</v>
      </c>
      <c r="J432" s="64">
        <f>[2]ASB!CN81</f>
        <v>0</v>
      </c>
      <c r="K432" s="64">
        <f>[2]ASB!CO81</f>
        <v>0</v>
      </c>
      <c r="L432" s="64">
        <f>[2]ASB!CP81</f>
        <v>0</v>
      </c>
      <c r="M432" s="64">
        <f>[2]ASB!CQ81</f>
        <v>0</v>
      </c>
      <c r="N432" s="64">
        <f>[2]ASB!CR81</f>
        <v>0</v>
      </c>
      <c r="O432" s="64">
        <f>[2]ASB!CS81</f>
        <v>0</v>
      </c>
      <c r="P432" s="64">
        <f>[2]ASB!CT81</f>
        <v>0</v>
      </c>
      <c r="Q432" s="64">
        <f>[2]ASB!CU81</f>
        <v>0</v>
      </c>
      <c r="R432" s="64">
        <f>[2]ASB!CV81</f>
        <v>0</v>
      </c>
      <c r="S432" s="64">
        <f>[2]ASB!CW81</f>
        <v>0</v>
      </c>
      <c r="T432" s="64">
        <f>[2]ASB!CX81</f>
        <v>0</v>
      </c>
      <c r="U432" s="64">
        <f>[2]ASB!CY81</f>
        <v>0</v>
      </c>
      <c r="V432" s="64">
        <f>[2]ASB!CZ81</f>
        <v>0</v>
      </c>
      <c r="W432" s="64">
        <f>[2]ASB!DA81</f>
        <v>0</v>
      </c>
      <c r="X432" s="64">
        <f>[2]ASB!DB81</f>
        <v>0</v>
      </c>
      <c r="Y432" s="64">
        <f>[2]ASB!DC81</f>
        <v>0</v>
      </c>
      <c r="Z432" s="64">
        <f>[2]ASB!DD81</f>
        <v>0</v>
      </c>
      <c r="AA432" s="64">
        <f>[2]ASB!DE81</f>
        <v>0</v>
      </c>
      <c r="AB432" s="64">
        <f>[2]ASB!DF81</f>
        <v>0</v>
      </c>
      <c r="AC432" s="64">
        <f>[2]ASB!DG81</f>
        <v>0</v>
      </c>
      <c r="AD432" s="64">
        <f>[2]ASB!DH81</f>
        <v>0</v>
      </c>
      <c r="AE432" s="64">
        <f>[2]ASB!DI81</f>
        <v>0</v>
      </c>
      <c r="AF432" s="64">
        <f>[2]ASB!DJ81</f>
        <v>0</v>
      </c>
      <c r="AG432" s="64">
        <f>[2]ASB!DK81</f>
        <v>0</v>
      </c>
      <c r="AH432" s="64">
        <f>[2]ASB!DL81</f>
        <v>0</v>
      </c>
      <c r="AI432" s="64">
        <f>[2]ASB!DM81</f>
        <v>0</v>
      </c>
      <c r="AJ432" s="64">
        <f>[2]ASB!DN81</f>
        <v>0</v>
      </c>
      <c r="AK432" s="64">
        <f>[2]ASB!DO81</f>
        <v>0</v>
      </c>
      <c r="AL432" s="64">
        <f>[2]ASB!DP81</f>
        <v>0</v>
      </c>
      <c r="AM432" s="64">
        <f>[2]ASB!DQ81</f>
        <v>0</v>
      </c>
      <c r="AN432" s="64">
        <f>[2]ASB!DR81</f>
        <v>0</v>
      </c>
      <c r="AO432" s="64">
        <f>[2]ASB!DS81</f>
        <v>0</v>
      </c>
      <c r="AP432" s="64">
        <f>[2]ASB!DT81</f>
        <v>0</v>
      </c>
      <c r="AQ432" s="64">
        <f>[2]ASB!DU81</f>
        <v>0</v>
      </c>
      <c r="AR432" s="64">
        <f>[2]ASB!DV81</f>
        <v>0</v>
      </c>
      <c r="AS432" s="64">
        <f>[2]ASB!DW81</f>
        <v>0</v>
      </c>
      <c r="AT432" s="64">
        <f>[2]ASB!DX81</f>
        <v>0</v>
      </c>
      <c r="AU432" s="64">
        <f>[2]ASB!DY81</f>
        <v>0</v>
      </c>
      <c r="AV432" s="64">
        <f>[2]ASB!DZ81</f>
        <v>0</v>
      </c>
      <c r="AW432" s="64">
        <f>[2]ASB!EA81</f>
        <v>0</v>
      </c>
      <c r="AX432" s="64">
        <f>[2]ASB!EB81</f>
        <v>0</v>
      </c>
      <c r="AY432" s="64">
        <f>[2]ASB!EC81</f>
        <v>0</v>
      </c>
    </row>
    <row r="433" spans="3:51" x14ac:dyDescent="0.35">
      <c r="C433" s="362" t="s">
        <v>129</v>
      </c>
      <c r="D433" s="64">
        <f>[2]ASB!CH82</f>
        <v>20</v>
      </c>
      <c r="E433" s="64">
        <f>[2]ASB!CI82</f>
        <v>6</v>
      </c>
      <c r="F433" s="64">
        <f>[2]ASB!CJ82</f>
        <v>6</v>
      </c>
      <c r="G433" s="64">
        <f>[2]ASB!CK82</f>
        <v>9</v>
      </c>
      <c r="H433" s="64">
        <f>[2]ASB!CL82</f>
        <v>0</v>
      </c>
      <c r="I433" s="64">
        <f>[2]ASB!CM82</f>
        <v>0</v>
      </c>
      <c r="J433" s="64">
        <f>[2]ASB!CN82</f>
        <v>0</v>
      </c>
      <c r="K433" s="64">
        <f>[2]ASB!CO82</f>
        <v>0</v>
      </c>
      <c r="L433" s="64">
        <f>[2]ASB!CP82</f>
        <v>0</v>
      </c>
      <c r="M433" s="64">
        <f>[2]ASB!CQ82</f>
        <v>0</v>
      </c>
      <c r="N433" s="64">
        <f>[2]ASB!CR82</f>
        <v>0</v>
      </c>
      <c r="O433" s="64">
        <f>[2]ASB!CS82</f>
        <v>0</v>
      </c>
      <c r="P433" s="64">
        <f>[2]ASB!CT82</f>
        <v>0</v>
      </c>
      <c r="Q433" s="64">
        <f>[2]ASB!CU82</f>
        <v>0</v>
      </c>
      <c r="R433" s="64">
        <f>[2]ASB!CV82</f>
        <v>0</v>
      </c>
      <c r="S433" s="64">
        <f>[2]ASB!CW82</f>
        <v>0</v>
      </c>
      <c r="T433" s="64">
        <f>[2]ASB!CX82</f>
        <v>0</v>
      </c>
      <c r="U433" s="64">
        <f>[2]ASB!CY82</f>
        <v>0</v>
      </c>
      <c r="V433" s="64">
        <f>[2]ASB!CZ82</f>
        <v>0</v>
      </c>
      <c r="W433" s="64">
        <f>[2]ASB!DA82</f>
        <v>0</v>
      </c>
      <c r="X433" s="64">
        <f>[2]ASB!DB82</f>
        <v>0</v>
      </c>
      <c r="Y433" s="64">
        <f>[2]ASB!DC82</f>
        <v>0</v>
      </c>
      <c r="Z433" s="64">
        <f>[2]ASB!DD82</f>
        <v>0</v>
      </c>
      <c r="AA433" s="64">
        <f>[2]ASB!DE82</f>
        <v>0</v>
      </c>
      <c r="AB433" s="64">
        <f>[2]ASB!DF82</f>
        <v>0</v>
      </c>
      <c r="AC433" s="64">
        <f>[2]ASB!DG82</f>
        <v>0</v>
      </c>
      <c r="AD433" s="64">
        <f>[2]ASB!DH82</f>
        <v>0</v>
      </c>
      <c r="AE433" s="64">
        <f>[2]ASB!DI82</f>
        <v>0</v>
      </c>
      <c r="AF433" s="64">
        <f>[2]ASB!DJ82</f>
        <v>0</v>
      </c>
      <c r="AG433" s="64">
        <f>[2]ASB!DK82</f>
        <v>0</v>
      </c>
      <c r="AH433" s="64">
        <f>[2]ASB!DL82</f>
        <v>0</v>
      </c>
      <c r="AI433" s="64">
        <f>[2]ASB!DM82</f>
        <v>0</v>
      </c>
      <c r="AJ433" s="64">
        <f>[2]ASB!DN82</f>
        <v>0</v>
      </c>
      <c r="AK433" s="64">
        <f>[2]ASB!DO82</f>
        <v>0</v>
      </c>
      <c r="AL433" s="64">
        <f>[2]ASB!DP82</f>
        <v>0</v>
      </c>
      <c r="AM433" s="64">
        <f>[2]ASB!DQ82</f>
        <v>0</v>
      </c>
      <c r="AN433" s="64">
        <f>[2]ASB!DR82</f>
        <v>0</v>
      </c>
      <c r="AO433" s="64">
        <f>[2]ASB!DS82</f>
        <v>0</v>
      </c>
      <c r="AP433" s="64">
        <f>[2]ASB!DT82</f>
        <v>0</v>
      </c>
      <c r="AQ433" s="64">
        <f>[2]ASB!DU82</f>
        <v>0</v>
      </c>
      <c r="AR433" s="64">
        <f>[2]ASB!DV82</f>
        <v>0</v>
      </c>
      <c r="AS433" s="64">
        <f>[2]ASB!DW82</f>
        <v>0</v>
      </c>
      <c r="AT433" s="64">
        <f>[2]ASB!DX82</f>
        <v>0</v>
      </c>
      <c r="AU433" s="64">
        <f>[2]ASB!DY82</f>
        <v>0</v>
      </c>
      <c r="AV433" s="64">
        <f>[2]ASB!DZ82</f>
        <v>0</v>
      </c>
      <c r="AW433" s="64">
        <f>[2]ASB!EA82</f>
        <v>0</v>
      </c>
      <c r="AX433" s="64">
        <f>[2]ASB!EB82</f>
        <v>0</v>
      </c>
      <c r="AY433" s="64">
        <f>[2]ASB!EC82</f>
        <v>0</v>
      </c>
    </row>
    <row r="434" spans="3:51" x14ac:dyDescent="0.35">
      <c r="C434" s="362" t="s">
        <v>13</v>
      </c>
      <c r="D434" s="64">
        <f>[2]ASB!CH83</f>
        <v>18</v>
      </c>
      <c r="E434" s="64">
        <f>[2]ASB!CI83</f>
        <v>4</v>
      </c>
      <c r="F434" s="64">
        <f>[2]ASB!CJ83</f>
        <v>4</v>
      </c>
      <c r="G434" s="64">
        <f>[2]ASB!CK83</f>
        <v>4</v>
      </c>
      <c r="H434" s="64">
        <f>[2]ASB!CL83</f>
        <v>0</v>
      </c>
      <c r="I434" s="64">
        <f>[2]ASB!CM83</f>
        <v>0</v>
      </c>
      <c r="J434" s="64">
        <f>[2]ASB!CN83</f>
        <v>0</v>
      </c>
      <c r="K434" s="64">
        <f>[2]ASB!CO83</f>
        <v>0</v>
      </c>
      <c r="L434" s="64">
        <f>[2]ASB!CP83</f>
        <v>0</v>
      </c>
      <c r="M434" s="64">
        <f>[2]ASB!CQ83</f>
        <v>0</v>
      </c>
      <c r="N434" s="64">
        <f>[2]ASB!CR83</f>
        <v>0</v>
      </c>
      <c r="O434" s="64">
        <f>[2]ASB!CS83</f>
        <v>0</v>
      </c>
      <c r="P434" s="64">
        <f>[2]ASB!CT83</f>
        <v>0</v>
      </c>
      <c r="Q434" s="64">
        <f>[2]ASB!CU83</f>
        <v>0</v>
      </c>
      <c r="R434" s="64">
        <f>[2]ASB!CV83</f>
        <v>0</v>
      </c>
      <c r="S434" s="64">
        <f>[2]ASB!CW83</f>
        <v>0</v>
      </c>
      <c r="T434" s="64">
        <f>[2]ASB!CX83</f>
        <v>0</v>
      </c>
      <c r="U434" s="64">
        <f>[2]ASB!CY83</f>
        <v>0</v>
      </c>
      <c r="V434" s="64">
        <f>[2]ASB!CZ83</f>
        <v>0</v>
      </c>
      <c r="W434" s="64">
        <f>[2]ASB!DA83</f>
        <v>0</v>
      </c>
      <c r="X434" s="64">
        <f>[2]ASB!DB83</f>
        <v>0</v>
      </c>
      <c r="Y434" s="64">
        <f>[2]ASB!DC83</f>
        <v>0</v>
      </c>
      <c r="Z434" s="64">
        <f>[2]ASB!DD83</f>
        <v>0</v>
      </c>
      <c r="AA434" s="64">
        <f>[2]ASB!DE83</f>
        <v>0</v>
      </c>
      <c r="AB434" s="64">
        <f>[2]ASB!DF83</f>
        <v>0</v>
      </c>
      <c r="AC434" s="64">
        <f>[2]ASB!DG83</f>
        <v>0</v>
      </c>
      <c r="AD434" s="64">
        <f>[2]ASB!DH83</f>
        <v>0</v>
      </c>
      <c r="AE434" s="64">
        <f>[2]ASB!DI83</f>
        <v>0</v>
      </c>
      <c r="AF434" s="64">
        <f>[2]ASB!DJ83</f>
        <v>0</v>
      </c>
      <c r="AG434" s="64">
        <f>[2]ASB!DK83</f>
        <v>0</v>
      </c>
      <c r="AH434" s="64">
        <f>[2]ASB!DL83</f>
        <v>0</v>
      </c>
      <c r="AI434" s="64">
        <f>[2]ASB!DM83</f>
        <v>0</v>
      </c>
      <c r="AJ434" s="64">
        <f>[2]ASB!DN83</f>
        <v>0</v>
      </c>
      <c r="AK434" s="64">
        <f>[2]ASB!DO83</f>
        <v>0</v>
      </c>
      <c r="AL434" s="64">
        <f>[2]ASB!DP83</f>
        <v>0</v>
      </c>
      <c r="AM434" s="64">
        <f>[2]ASB!DQ83</f>
        <v>0</v>
      </c>
      <c r="AN434" s="64">
        <f>[2]ASB!DR83</f>
        <v>0</v>
      </c>
      <c r="AO434" s="64">
        <f>[2]ASB!DS83</f>
        <v>0</v>
      </c>
      <c r="AP434" s="64">
        <f>[2]ASB!DT83</f>
        <v>0</v>
      </c>
      <c r="AQ434" s="64">
        <f>[2]ASB!DU83</f>
        <v>0</v>
      </c>
      <c r="AR434" s="64">
        <f>[2]ASB!DV83</f>
        <v>0</v>
      </c>
      <c r="AS434" s="64">
        <f>[2]ASB!DW83</f>
        <v>0</v>
      </c>
      <c r="AT434" s="64">
        <f>[2]ASB!DX83</f>
        <v>0</v>
      </c>
      <c r="AU434" s="64">
        <f>[2]ASB!DY83</f>
        <v>0</v>
      </c>
      <c r="AV434" s="64">
        <f>[2]ASB!DZ83</f>
        <v>0</v>
      </c>
      <c r="AW434" s="64">
        <f>[2]ASB!EA83</f>
        <v>0</v>
      </c>
      <c r="AX434" s="64">
        <f>[2]ASB!EB83</f>
        <v>0</v>
      </c>
      <c r="AY434" s="64">
        <f>[2]ASB!EC83</f>
        <v>0</v>
      </c>
    </row>
    <row r="435" spans="3:51" x14ac:dyDescent="0.35">
      <c r="C435" s="63"/>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row>
    <row r="436" spans="3:51" s="64" customFormat="1" x14ac:dyDescent="0.35">
      <c r="D436" s="41">
        <v>44287</v>
      </c>
      <c r="E436" s="41">
        <v>44317</v>
      </c>
      <c r="F436" s="41">
        <v>44348</v>
      </c>
      <c r="G436" s="41">
        <v>44378</v>
      </c>
      <c r="H436" s="41">
        <v>44409</v>
      </c>
      <c r="I436" s="41">
        <v>44440</v>
      </c>
      <c r="J436" s="41">
        <v>44470</v>
      </c>
      <c r="K436" s="41">
        <v>44501</v>
      </c>
      <c r="L436" s="41">
        <v>44531</v>
      </c>
      <c r="M436" s="41">
        <v>44562</v>
      </c>
      <c r="N436" s="41">
        <v>44593</v>
      </c>
      <c r="O436" s="41">
        <v>44621</v>
      </c>
      <c r="P436" s="39">
        <v>44652</v>
      </c>
      <c r="Q436" s="39">
        <v>44682</v>
      </c>
      <c r="R436" s="39">
        <v>44713</v>
      </c>
      <c r="S436" s="39">
        <v>44743</v>
      </c>
      <c r="T436" s="39">
        <v>44774</v>
      </c>
      <c r="U436" s="39">
        <v>44805</v>
      </c>
      <c r="V436" s="39">
        <v>44835</v>
      </c>
      <c r="W436" s="39">
        <v>44866</v>
      </c>
      <c r="X436" s="39">
        <v>44896</v>
      </c>
      <c r="Y436" s="39">
        <v>44927</v>
      </c>
      <c r="Z436" s="39">
        <v>44958</v>
      </c>
      <c r="AA436" s="39">
        <v>44986</v>
      </c>
      <c r="AB436" s="39">
        <v>45017</v>
      </c>
      <c r="AC436" s="39">
        <v>45047</v>
      </c>
      <c r="AD436" s="39">
        <v>45078</v>
      </c>
      <c r="AE436" s="39">
        <v>45108</v>
      </c>
      <c r="AF436" s="39">
        <v>45139</v>
      </c>
      <c r="AG436" s="39">
        <v>45170</v>
      </c>
      <c r="AH436" s="39">
        <v>45200</v>
      </c>
      <c r="AI436" s="39">
        <v>45231</v>
      </c>
      <c r="AJ436" s="39">
        <v>45261</v>
      </c>
      <c r="AK436" s="39">
        <v>45292</v>
      </c>
      <c r="AL436" s="39">
        <v>45323</v>
      </c>
      <c r="AM436" s="39">
        <v>45352</v>
      </c>
      <c r="AN436" s="39">
        <v>45383</v>
      </c>
      <c r="AO436" s="39">
        <v>45413</v>
      </c>
      <c r="AP436" s="39">
        <v>45444</v>
      </c>
      <c r="AQ436" s="39">
        <v>45474</v>
      </c>
      <c r="AR436" s="39">
        <v>45505</v>
      </c>
      <c r="AS436" s="39">
        <v>45536</v>
      </c>
      <c r="AT436" s="39">
        <v>45566</v>
      </c>
      <c r="AU436" s="39">
        <v>45597</v>
      </c>
      <c r="AV436" s="39">
        <v>45627</v>
      </c>
      <c r="AW436" s="39">
        <v>45658</v>
      </c>
      <c r="AX436" s="39">
        <v>45689</v>
      </c>
      <c r="AY436" s="39">
        <v>45717</v>
      </c>
    </row>
    <row r="437" spans="3:51" x14ac:dyDescent="0.35">
      <c r="C437" s="376" t="s">
        <v>59</v>
      </c>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row>
    <row r="438" spans="3:51" x14ac:dyDescent="0.35">
      <c r="C438" s="377"/>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row>
    <row r="439" spans="3:51" x14ac:dyDescent="0.35">
      <c r="C439" s="359" t="s">
        <v>128</v>
      </c>
      <c r="D439" s="64">
        <f>[2]ASB!CH88</f>
        <v>15</v>
      </c>
      <c r="E439" s="64">
        <f>[2]ASB!CI88</f>
        <v>9</v>
      </c>
      <c r="F439" s="64">
        <f>[2]ASB!CJ88</f>
        <v>3</v>
      </c>
      <c r="G439" s="64">
        <f>[2]ASB!CK88</f>
        <v>5</v>
      </c>
      <c r="H439" s="64">
        <f>[2]ASB!CL88</f>
        <v>1</v>
      </c>
      <c r="I439" s="64">
        <f>[2]ASB!CM88</f>
        <v>2</v>
      </c>
      <c r="J439" s="64">
        <f>[2]ASB!CN88</f>
        <v>0</v>
      </c>
      <c r="K439" s="64">
        <f>[2]ASB!CO88</f>
        <v>0</v>
      </c>
      <c r="L439" s="64">
        <f>[2]ASB!CP88</f>
        <v>0</v>
      </c>
      <c r="M439" s="64">
        <f>[2]ASB!CQ88</f>
        <v>1</v>
      </c>
      <c r="N439" s="64">
        <f>[2]ASB!CR88</f>
        <v>0</v>
      </c>
      <c r="O439" s="64">
        <f>[2]ASB!CS88</f>
        <v>0</v>
      </c>
      <c r="P439" s="64">
        <f>[2]ASB!CT88</f>
        <v>0</v>
      </c>
      <c r="Q439" s="64">
        <f>[2]ASB!CU88</f>
        <v>0</v>
      </c>
      <c r="R439" s="64">
        <f>[2]ASB!CV88</f>
        <v>0</v>
      </c>
      <c r="S439" s="64">
        <f>[2]ASB!CW88</f>
        <v>0</v>
      </c>
      <c r="T439" s="64">
        <f>[2]ASB!CX88</f>
        <v>0</v>
      </c>
      <c r="U439" s="64">
        <f>[2]ASB!CY88</f>
        <v>0</v>
      </c>
      <c r="V439" s="64">
        <f>[2]ASB!CZ88</f>
        <v>0</v>
      </c>
      <c r="W439" s="64">
        <f>[2]ASB!DA88</f>
        <v>0</v>
      </c>
      <c r="X439" s="64">
        <f>[2]ASB!DB88</f>
        <v>0</v>
      </c>
      <c r="Y439" s="64">
        <f>[2]ASB!DC88</f>
        <v>0</v>
      </c>
      <c r="Z439" s="64">
        <f>[2]ASB!DD88</f>
        <v>0</v>
      </c>
      <c r="AA439" s="64">
        <f>[2]ASB!DE88</f>
        <v>0</v>
      </c>
      <c r="AB439" s="64">
        <f>[2]ASB!DF88</f>
        <v>0</v>
      </c>
      <c r="AC439" s="64">
        <f>[2]ASB!DG88</f>
        <v>0</v>
      </c>
      <c r="AD439" s="64">
        <f>[2]ASB!DH88</f>
        <v>0</v>
      </c>
      <c r="AE439" s="64">
        <f>[2]ASB!DI88</f>
        <v>0</v>
      </c>
      <c r="AF439" s="64">
        <f>[2]ASB!DJ88</f>
        <v>0</v>
      </c>
      <c r="AG439" s="64">
        <f>[2]ASB!DK88</f>
        <v>0</v>
      </c>
      <c r="AH439" s="64">
        <f>[2]ASB!DL88</f>
        <v>0</v>
      </c>
      <c r="AI439" s="64">
        <f>[2]ASB!DM88</f>
        <v>0</v>
      </c>
      <c r="AJ439" s="64">
        <f>[2]ASB!DN88</f>
        <v>0</v>
      </c>
      <c r="AK439" s="64">
        <f>[2]ASB!DO88</f>
        <v>0</v>
      </c>
      <c r="AL439" s="64">
        <f>[2]ASB!DP88</f>
        <v>0</v>
      </c>
      <c r="AM439" s="64">
        <f>[2]ASB!DQ88</f>
        <v>0</v>
      </c>
      <c r="AN439" s="64">
        <f>[2]ASB!DR88</f>
        <v>0</v>
      </c>
      <c r="AO439" s="64">
        <f>[2]ASB!DS88</f>
        <v>0</v>
      </c>
      <c r="AP439" s="64">
        <f>[2]ASB!DT88</f>
        <v>0</v>
      </c>
      <c r="AQ439" s="64">
        <f>[2]ASB!DU88</f>
        <v>0</v>
      </c>
      <c r="AR439" s="64">
        <f>[2]ASB!DV88</f>
        <v>0</v>
      </c>
      <c r="AS439" s="64">
        <f>[2]ASB!DW88</f>
        <v>0</v>
      </c>
      <c r="AT439" s="64">
        <f>[2]ASB!DX88</f>
        <v>0</v>
      </c>
      <c r="AU439" s="64">
        <f>[2]ASB!DY88</f>
        <v>0</v>
      </c>
      <c r="AV439" s="64">
        <f>[2]ASB!DZ88</f>
        <v>0</v>
      </c>
      <c r="AW439" s="64">
        <f>[2]ASB!EA88</f>
        <v>0</v>
      </c>
      <c r="AX439" s="64">
        <f>[2]ASB!EB88</f>
        <v>0</v>
      </c>
      <c r="AY439" s="64">
        <f>[2]ASB!EC88</f>
        <v>0</v>
      </c>
    </row>
    <row r="440" spans="3:51" x14ac:dyDescent="0.35">
      <c r="C440" s="359" t="s">
        <v>11</v>
      </c>
      <c r="D440" s="64">
        <f>[2]ASB!CH89</f>
        <v>0</v>
      </c>
      <c r="E440" s="64">
        <f>[2]ASB!CI89</f>
        <v>0</v>
      </c>
      <c r="F440" s="64">
        <f>[2]ASB!CJ89</f>
        <v>0</v>
      </c>
      <c r="G440" s="64">
        <f>[2]ASB!CK89</f>
        <v>0</v>
      </c>
      <c r="H440" s="64">
        <f>[2]ASB!CL89</f>
        <v>0</v>
      </c>
      <c r="I440" s="64">
        <f>[2]ASB!CM89</f>
        <v>0</v>
      </c>
      <c r="J440" s="64">
        <f>[2]ASB!CN89</f>
        <v>0</v>
      </c>
      <c r="K440" s="64">
        <f>[2]ASB!CO89</f>
        <v>0</v>
      </c>
      <c r="L440" s="64">
        <f>[2]ASB!CP89</f>
        <v>0</v>
      </c>
      <c r="M440" s="64">
        <f>[2]ASB!CQ89</f>
        <v>0</v>
      </c>
      <c r="N440" s="64">
        <f>[2]ASB!CR89</f>
        <v>0</v>
      </c>
      <c r="O440" s="64">
        <f>[2]ASB!CS89</f>
        <v>0</v>
      </c>
      <c r="P440" s="64">
        <f>[2]ASB!CT89</f>
        <v>0</v>
      </c>
      <c r="Q440" s="64">
        <f>[2]ASB!CU89</f>
        <v>0</v>
      </c>
      <c r="R440" s="64">
        <f>[2]ASB!CV89</f>
        <v>0</v>
      </c>
      <c r="S440" s="64">
        <f>[2]ASB!CW89</f>
        <v>0</v>
      </c>
      <c r="T440" s="64">
        <f>[2]ASB!CX89</f>
        <v>0</v>
      </c>
      <c r="U440" s="64">
        <f>[2]ASB!CY89</f>
        <v>0</v>
      </c>
      <c r="V440" s="64">
        <f>[2]ASB!CZ89</f>
        <v>0</v>
      </c>
      <c r="W440" s="64">
        <f>[2]ASB!DA89</f>
        <v>0</v>
      </c>
      <c r="X440" s="64">
        <f>[2]ASB!DB89</f>
        <v>0</v>
      </c>
      <c r="Y440" s="64">
        <f>[2]ASB!DC89</f>
        <v>0</v>
      </c>
      <c r="Z440" s="64">
        <f>[2]ASB!DD89</f>
        <v>0</v>
      </c>
      <c r="AA440" s="64">
        <f>[2]ASB!DE89</f>
        <v>0</v>
      </c>
      <c r="AB440" s="64">
        <f>[2]ASB!DF89</f>
        <v>0</v>
      </c>
      <c r="AC440" s="64">
        <f>[2]ASB!DG89</f>
        <v>0</v>
      </c>
      <c r="AD440" s="64">
        <f>[2]ASB!DH89</f>
        <v>0</v>
      </c>
      <c r="AE440" s="64">
        <f>[2]ASB!DI89</f>
        <v>0</v>
      </c>
      <c r="AF440" s="64">
        <f>[2]ASB!DJ89</f>
        <v>0</v>
      </c>
      <c r="AG440" s="64">
        <f>[2]ASB!DK89</f>
        <v>0</v>
      </c>
      <c r="AH440" s="64">
        <f>[2]ASB!DL89</f>
        <v>0</v>
      </c>
      <c r="AI440" s="64">
        <f>[2]ASB!DM89</f>
        <v>0</v>
      </c>
      <c r="AJ440" s="64">
        <f>[2]ASB!DN89</f>
        <v>0</v>
      </c>
      <c r="AK440" s="64">
        <f>[2]ASB!DO89</f>
        <v>0</v>
      </c>
      <c r="AL440" s="64">
        <f>[2]ASB!DP89</f>
        <v>0</v>
      </c>
      <c r="AM440" s="64">
        <f>[2]ASB!DQ89</f>
        <v>0</v>
      </c>
      <c r="AN440" s="64">
        <f>[2]ASB!DR89</f>
        <v>0</v>
      </c>
      <c r="AO440" s="64">
        <f>[2]ASB!DS89</f>
        <v>0</v>
      </c>
      <c r="AP440" s="64">
        <f>[2]ASB!DT89</f>
        <v>0</v>
      </c>
      <c r="AQ440" s="64">
        <f>[2]ASB!DU89</f>
        <v>0</v>
      </c>
      <c r="AR440" s="64">
        <f>[2]ASB!DV89</f>
        <v>0</v>
      </c>
      <c r="AS440" s="64">
        <f>[2]ASB!DW89</f>
        <v>0</v>
      </c>
      <c r="AT440" s="64">
        <f>[2]ASB!DX89</f>
        <v>0</v>
      </c>
      <c r="AU440" s="64">
        <f>[2]ASB!DY89</f>
        <v>0</v>
      </c>
      <c r="AV440" s="64">
        <f>[2]ASB!DZ89</f>
        <v>0</v>
      </c>
      <c r="AW440" s="64">
        <f>[2]ASB!EA89</f>
        <v>0</v>
      </c>
      <c r="AX440" s="64">
        <f>[2]ASB!EB89</f>
        <v>0</v>
      </c>
      <c r="AY440" s="64">
        <f>[2]ASB!EC89</f>
        <v>0</v>
      </c>
    </row>
    <row r="441" spans="3:51" x14ac:dyDescent="0.35">
      <c r="C441" s="359" t="s">
        <v>129</v>
      </c>
      <c r="D441" s="64">
        <f>[2]ASB!CH90</f>
        <v>8</v>
      </c>
      <c r="E441" s="64">
        <f>[2]ASB!CI90</f>
        <v>5</v>
      </c>
      <c r="F441" s="64">
        <f>[2]ASB!CJ90</f>
        <v>2</v>
      </c>
      <c r="G441" s="64">
        <f>[2]ASB!CK90</f>
        <v>2</v>
      </c>
      <c r="H441" s="64">
        <f>[2]ASB!CL90</f>
        <v>0</v>
      </c>
      <c r="I441" s="64">
        <f>[2]ASB!CM90</f>
        <v>1</v>
      </c>
      <c r="J441" s="64">
        <f>[2]ASB!CN90</f>
        <v>0</v>
      </c>
      <c r="K441" s="64">
        <f>[2]ASB!CO90</f>
        <v>0</v>
      </c>
      <c r="L441" s="64">
        <f>[2]ASB!CP90</f>
        <v>0</v>
      </c>
      <c r="M441" s="64">
        <f>[2]ASB!CQ90</f>
        <v>0</v>
      </c>
      <c r="N441" s="64">
        <f>[2]ASB!CR90</f>
        <v>0</v>
      </c>
      <c r="O441" s="64">
        <f>[2]ASB!CS90</f>
        <v>0</v>
      </c>
      <c r="P441" s="64">
        <f>[2]ASB!CT90</f>
        <v>0</v>
      </c>
      <c r="Q441" s="64">
        <f>[2]ASB!CU90</f>
        <v>0</v>
      </c>
      <c r="R441" s="64">
        <f>[2]ASB!CV90</f>
        <v>0</v>
      </c>
      <c r="S441" s="64">
        <f>[2]ASB!CW90</f>
        <v>0</v>
      </c>
      <c r="T441" s="64">
        <f>[2]ASB!CX90</f>
        <v>0</v>
      </c>
      <c r="U441" s="64">
        <f>[2]ASB!CY90</f>
        <v>0</v>
      </c>
      <c r="V441" s="64">
        <f>[2]ASB!CZ90</f>
        <v>0</v>
      </c>
      <c r="W441" s="64">
        <f>[2]ASB!DA90</f>
        <v>0</v>
      </c>
      <c r="X441" s="64">
        <f>[2]ASB!DB90</f>
        <v>0</v>
      </c>
      <c r="Y441" s="64">
        <f>[2]ASB!DC90</f>
        <v>0</v>
      </c>
      <c r="Z441" s="64">
        <f>[2]ASB!DD90</f>
        <v>0</v>
      </c>
      <c r="AA441" s="64">
        <f>[2]ASB!DE90</f>
        <v>0</v>
      </c>
      <c r="AB441" s="64">
        <f>[2]ASB!DF90</f>
        <v>0</v>
      </c>
      <c r="AC441" s="64">
        <f>[2]ASB!DG90</f>
        <v>0</v>
      </c>
      <c r="AD441" s="64">
        <f>[2]ASB!DH90</f>
        <v>0</v>
      </c>
      <c r="AE441" s="64">
        <f>[2]ASB!DI90</f>
        <v>0</v>
      </c>
      <c r="AF441" s="64">
        <f>[2]ASB!DJ90</f>
        <v>0</v>
      </c>
      <c r="AG441" s="64">
        <f>[2]ASB!DK90</f>
        <v>0</v>
      </c>
      <c r="AH441" s="64">
        <f>[2]ASB!DL90</f>
        <v>0</v>
      </c>
      <c r="AI441" s="64">
        <f>[2]ASB!DM90</f>
        <v>0</v>
      </c>
      <c r="AJ441" s="64">
        <f>[2]ASB!DN90</f>
        <v>0</v>
      </c>
      <c r="AK441" s="64">
        <f>[2]ASB!DO90</f>
        <v>0</v>
      </c>
      <c r="AL441" s="64">
        <f>[2]ASB!DP90</f>
        <v>0</v>
      </c>
      <c r="AM441" s="64">
        <f>[2]ASB!DQ90</f>
        <v>0</v>
      </c>
      <c r="AN441" s="64">
        <f>[2]ASB!DR90</f>
        <v>0</v>
      </c>
      <c r="AO441" s="64">
        <f>[2]ASB!DS90</f>
        <v>0</v>
      </c>
      <c r="AP441" s="64">
        <f>[2]ASB!DT90</f>
        <v>0</v>
      </c>
      <c r="AQ441" s="64">
        <f>[2]ASB!DU90</f>
        <v>0</v>
      </c>
      <c r="AR441" s="64">
        <f>[2]ASB!DV90</f>
        <v>0</v>
      </c>
      <c r="AS441" s="64">
        <f>[2]ASB!DW90</f>
        <v>0</v>
      </c>
      <c r="AT441" s="64">
        <f>[2]ASB!DX90</f>
        <v>0</v>
      </c>
      <c r="AU441" s="64">
        <f>[2]ASB!DY90</f>
        <v>0</v>
      </c>
      <c r="AV441" s="64">
        <f>[2]ASB!DZ90</f>
        <v>0</v>
      </c>
      <c r="AW441" s="64">
        <f>[2]ASB!EA90</f>
        <v>0</v>
      </c>
      <c r="AX441" s="64">
        <f>[2]ASB!EB90</f>
        <v>0</v>
      </c>
      <c r="AY441" s="64">
        <f>[2]ASB!EC90</f>
        <v>0</v>
      </c>
    </row>
    <row r="442" spans="3:51" x14ac:dyDescent="0.35">
      <c r="C442" s="359" t="s">
        <v>13</v>
      </c>
      <c r="D442" s="64">
        <f>[2]ASB!CH91</f>
        <v>7</v>
      </c>
      <c r="E442" s="64">
        <f>[2]ASB!CI91</f>
        <v>4</v>
      </c>
      <c r="F442" s="64">
        <f>[2]ASB!CJ91</f>
        <v>1</v>
      </c>
      <c r="G442" s="64">
        <f>[2]ASB!CK91</f>
        <v>3</v>
      </c>
      <c r="H442" s="64">
        <f>[2]ASB!CL91</f>
        <v>1</v>
      </c>
      <c r="I442" s="64">
        <f>[2]ASB!CM91</f>
        <v>1</v>
      </c>
      <c r="J442" s="64">
        <f>[2]ASB!CN91</f>
        <v>0</v>
      </c>
      <c r="K442" s="64">
        <f>[2]ASB!CO91</f>
        <v>0</v>
      </c>
      <c r="L442" s="64">
        <f>[2]ASB!CP91</f>
        <v>0</v>
      </c>
      <c r="M442" s="64">
        <f>[2]ASB!CQ91</f>
        <v>1</v>
      </c>
      <c r="N442" s="64">
        <f>[2]ASB!CR91</f>
        <v>0</v>
      </c>
      <c r="O442" s="64">
        <f>[2]ASB!CS91</f>
        <v>0</v>
      </c>
      <c r="P442" s="64">
        <f>[2]ASB!CT91</f>
        <v>0</v>
      </c>
      <c r="Q442" s="64">
        <f>[2]ASB!CU91</f>
        <v>0</v>
      </c>
      <c r="R442" s="64">
        <f>[2]ASB!CV91</f>
        <v>0</v>
      </c>
      <c r="S442" s="64">
        <f>[2]ASB!CW91</f>
        <v>0</v>
      </c>
      <c r="T442" s="64">
        <f>[2]ASB!CX91</f>
        <v>0</v>
      </c>
      <c r="U442" s="64">
        <f>[2]ASB!CY91</f>
        <v>0</v>
      </c>
      <c r="V442" s="64">
        <f>[2]ASB!CZ91</f>
        <v>0</v>
      </c>
      <c r="W442" s="64">
        <f>[2]ASB!DA91</f>
        <v>0</v>
      </c>
      <c r="X442" s="64">
        <f>[2]ASB!DB91</f>
        <v>0</v>
      </c>
      <c r="Y442" s="64">
        <f>[2]ASB!DC91</f>
        <v>0</v>
      </c>
      <c r="Z442" s="64">
        <f>[2]ASB!DD91</f>
        <v>0</v>
      </c>
      <c r="AA442" s="64">
        <f>[2]ASB!DE91</f>
        <v>0</v>
      </c>
      <c r="AB442" s="64">
        <f>[2]ASB!DF91</f>
        <v>0</v>
      </c>
      <c r="AC442" s="64">
        <f>[2]ASB!DG91</f>
        <v>0</v>
      </c>
      <c r="AD442" s="64">
        <f>[2]ASB!DH91</f>
        <v>0</v>
      </c>
      <c r="AE442" s="64">
        <f>[2]ASB!DI91</f>
        <v>0</v>
      </c>
      <c r="AF442" s="64">
        <f>[2]ASB!DJ91</f>
        <v>0</v>
      </c>
      <c r="AG442" s="64">
        <f>[2]ASB!DK91</f>
        <v>0</v>
      </c>
      <c r="AH442" s="64">
        <f>[2]ASB!DL91</f>
        <v>0</v>
      </c>
      <c r="AI442" s="64">
        <f>[2]ASB!DM91</f>
        <v>0</v>
      </c>
      <c r="AJ442" s="64">
        <f>[2]ASB!DN91</f>
        <v>0</v>
      </c>
      <c r="AK442" s="64">
        <f>[2]ASB!DO91</f>
        <v>0</v>
      </c>
      <c r="AL442" s="64">
        <f>[2]ASB!DP91</f>
        <v>0</v>
      </c>
      <c r="AM442" s="64">
        <f>[2]ASB!DQ91</f>
        <v>0</v>
      </c>
      <c r="AN442" s="64">
        <f>[2]ASB!DR91</f>
        <v>0</v>
      </c>
      <c r="AO442" s="64">
        <f>[2]ASB!DS91</f>
        <v>0</v>
      </c>
      <c r="AP442" s="64">
        <f>[2]ASB!DT91</f>
        <v>0</v>
      </c>
      <c r="AQ442" s="64">
        <f>[2]ASB!DU91</f>
        <v>0</v>
      </c>
      <c r="AR442" s="64">
        <f>[2]ASB!DV91</f>
        <v>0</v>
      </c>
      <c r="AS442" s="64">
        <f>[2]ASB!DW91</f>
        <v>0</v>
      </c>
      <c r="AT442" s="64">
        <f>[2]ASB!DX91</f>
        <v>0</v>
      </c>
      <c r="AU442" s="64">
        <f>[2]ASB!DY91</f>
        <v>0</v>
      </c>
      <c r="AV442" s="64">
        <f>[2]ASB!DZ91</f>
        <v>0</v>
      </c>
      <c r="AW442" s="64">
        <f>[2]ASB!EA91</f>
        <v>0</v>
      </c>
      <c r="AX442" s="64">
        <f>[2]ASB!EB91</f>
        <v>0</v>
      </c>
      <c r="AY442" s="64">
        <f>[2]ASB!EC91</f>
        <v>0</v>
      </c>
    </row>
    <row r="443" spans="3:51" x14ac:dyDescent="0.35">
      <c r="C443" s="60"/>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row>
    <row r="444" spans="3:51" s="64" customFormat="1" x14ac:dyDescent="0.35">
      <c r="D444" s="41">
        <v>44287</v>
      </c>
      <c r="E444" s="41">
        <v>44317</v>
      </c>
      <c r="F444" s="41">
        <v>44348</v>
      </c>
      <c r="G444" s="41">
        <v>44378</v>
      </c>
      <c r="H444" s="41">
        <v>44409</v>
      </c>
      <c r="I444" s="41">
        <v>44440</v>
      </c>
      <c r="J444" s="41">
        <v>44470</v>
      </c>
      <c r="K444" s="41">
        <v>44501</v>
      </c>
      <c r="L444" s="41">
        <v>44531</v>
      </c>
      <c r="M444" s="41">
        <v>44562</v>
      </c>
      <c r="N444" s="41">
        <v>44593</v>
      </c>
      <c r="O444" s="41">
        <v>44621</v>
      </c>
      <c r="P444" s="39">
        <v>44652</v>
      </c>
      <c r="Q444" s="39">
        <v>44682</v>
      </c>
      <c r="R444" s="39">
        <v>44713</v>
      </c>
      <c r="S444" s="39">
        <v>44743</v>
      </c>
      <c r="T444" s="39">
        <v>44774</v>
      </c>
      <c r="U444" s="39">
        <v>44805</v>
      </c>
      <c r="V444" s="39">
        <v>44835</v>
      </c>
      <c r="W444" s="39">
        <v>44866</v>
      </c>
      <c r="X444" s="39">
        <v>44896</v>
      </c>
      <c r="Y444" s="39">
        <v>44927</v>
      </c>
      <c r="Z444" s="39">
        <v>44958</v>
      </c>
      <c r="AA444" s="39">
        <v>44986</v>
      </c>
      <c r="AB444" s="39">
        <v>45017</v>
      </c>
      <c r="AC444" s="39">
        <v>45047</v>
      </c>
      <c r="AD444" s="39">
        <v>45078</v>
      </c>
      <c r="AE444" s="39">
        <v>45108</v>
      </c>
      <c r="AF444" s="39">
        <v>45139</v>
      </c>
      <c r="AG444" s="39">
        <v>45170</v>
      </c>
      <c r="AH444" s="39">
        <v>45200</v>
      </c>
      <c r="AI444" s="39">
        <v>45231</v>
      </c>
      <c r="AJ444" s="39">
        <v>45261</v>
      </c>
      <c r="AK444" s="39">
        <v>45292</v>
      </c>
      <c r="AL444" s="39">
        <v>45323</v>
      </c>
      <c r="AM444" s="39">
        <v>45352</v>
      </c>
      <c r="AN444" s="39">
        <v>45383</v>
      </c>
      <c r="AO444" s="39">
        <v>45413</v>
      </c>
      <c r="AP444" s="39">
        <v>45444</v>
      </c>
      <c r="AQ444" s="39">
        <v>45474</v>
      </c>
      <c r="AR444" s="39">
        <v>45505</v>
      </c>
      <c r="AS444" s="39">
        <v>45536</v>
      </c>
      <c r="AT444" s="39">
        <v>45566</v>
      </c>
      <c r="AU444" s="39">
        <v>45597</v>
      </c>
      <c r="AV444" s="39">
        <v>45627</v>
      </c>
      <c r="AW444" s="39">
        <v>45658</v>
      </c>
      <c r="AX444" s="39">
        <v>45689</v>
      </c>
      <c r="AY444" s="39">
        <v>45717</v>
      </c>
    </row>
    <row r="445" spans="3:51" x14ac:dyDescent="0.35">
      <c r="C445" s="378" t="s">
        <v>60</v>
      </c>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row>
    <row r="446" spans="3:51" x14ac:dyDescent="0.35">
      <c r="C446" s="379"/>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row>
    <row r="447" spans="3:51" x14ac:dyDescent="0.35">
      <c r="C447" s="361" t="s">
        <v>128</v>
      </c>
      <c r="D447" s="64">
        <f>[2]ASB!CH96</f>
        <v>30</v>
      </c>
      <c r="E447" s="64">
        <f>[2]ASB!CI96</f>
        <v>10</v>
      </c>
      <c r="F447" s="64">
        <f>[2]ASB!CJ96</f>
        <v>10</v>
      </c>
      <c r="G447" s="64">
        <f>[2]ASB!CK96</f>
        <v>11</v>
      </c>
      <c r="H447" s="64">
        <f>[2]ASB!CL96</f>
        <v>0</v>
      </c>
      <c r="I447" s="64">
        <f>[2]ASB!CM96</f>
        <v>0</v>
      </c>
      <c r="J447" s="64">
        <f>[2]ASB!CN96</f>
        <v>2</v>
      </c>
      <c r="K447" s="64">
        <f>[2]ASB!CO96</f>
        <v>0</v>
      </c>
      <c r="L447" s="64">
        <f>[2]ASB!CP96</f>
        <v>1</v>
      </c>
      <c r="M447" s="64">
        <f>[2]ASB!CQ96</f>
        <v>0</v>
      </c>
      <c r="N447" s="64">
        <f>[2]ASB!CR96</f>
        <v>0</v>
      </c>
      <c r="O447" s="64">
        <f>[2]ASB!CS96</f>
        <v>0</v>
      </c>
      <c r="P447" s="64">
        <f>[2]ASB!CT96</f>
        <v>0</v>
      </c>
      <c r="Q447" s="64">
        <f>[2]ASB!CU96</f>
        <v>0</v>
      </c>
      <c r="R447" s="64">
        <f>[2]ASB!CV96</f>
        <v>0</v>
      </c>
      <c r="S447" s="64">
        <f>[2]ASB!CW96</f>
        <v>0</v>
      </c>
      <c r="T447" s="64">
        <f>[2]ASB!CX96</f>
        <v>0</v>
      </c>
      <c r="U447" s="64">
        <f>[2]ASB!CY96</f>
        <v>0</v>
      </c>
      <c r="V447" s="64">
        <f>[2]ASB!CZ96</f>
        <v>0</v>
      </c>
      <c r="W447" s="64">
        <f>[2]ASB!DA96</f>
        <v>0</v>
      </c>
      <c r="X447" s="64">
        <f>[2]ASB!DB96</f>
        <v>0</v>
      </c>
      <c r="Y447" s="64">
        <f>[2]ASB!DC96</f>
        <v>0</v>
      </c>
      <c r="Z447" s="64">
        <f>[2]ASB!DD96</f>
        <v>0</v>
      </c>
      <c r="AA447" s="64">
        <f>[2]ASB!DE96</f>
        <v>0</v>
      </c>
      <c r="AB447" s="64">
        <f>[2]ASB!DF96</f>
        <v>0</v>
      </c>
      <c r="AC447" s="64">
        <f>[2]ASB!DG96</f>
        <v>0</v>
      </c>
      <c r="AD447" s="64">
        <f>[2]ASB!DH96</f>
        <v>0</v>
      </c>
      <c r="AE447" s="64">
        <f>[2]ASB!DI96</f>
        <v>0</v>
      </c>
      <c r="AF447" s="64">
        <f>[2]ASB!DJ96</f>
        <v>0</v>
      </c>
      <c r="AG447" s="64">
        <f>[2]ASB!DK96</f>
        <v>0</v>
      </c>
      <c r="AH447" s="64">
        <f>[2]ASB!DL96</f>
        <v>0</v>
      </c>
      <c r="AI447" s="64">
        <f>[2]ASB!DM96</f>
        <v>0</v>
      </c>
      <c r="AJ447" s="64">
        <f>[2]ASB!DN96</f>
        <v>0</v>
      </c>
      <c r="AK447" s="64">
        <f>[2]ASB!DO96</f>
        <v>0</v>
      </c>
      <c r="AL447" s="64">
        <f>[2]ASB!DP96</f>
        <v>0</v>
      </c>
      <c r="AM447" s="64">
        <f>[2]ASB!DQ96</f>
        <v>0</v>
      </c>
      <c r="AN447" s="64">
        <f>[2]ASB!DR96</f>
        <v>0</v>
      </c>
      <c r="AO447" s="64">
        <f>[2]ASB!DS96</f>
        <v>0</v>
      </c>
      <c r="AP447" s="64">
        <f>[2]ASB!DT96</f>
        <v>0</v>
      </c>
      <c r="AQ447" s="64">
        <f>[2]ASB!DU96</f>
        <v>0</v>
      </c>
      <c r="AR447" s="64">
        <f>[2]ASB!DV96</f>
        <v>0</v>
      </c>
      <c r="AS447" s="64">
        <f>[2]ASB!DW96</f>
        <v>0</v>
      </c>
      <c r="AT447" s="64">
        <f>[2]ASB!DX96</f>
        <v>0</v>
      </c>
      <c r="AU447" s="64">
        <f>[2]ASB!DY96</f>
        <v>0</v>
      </c>
      <c r="AV447" s="64">
        <f>[2]ASB!DZ96</f>
        <v>0</v>
      </c>
      <c r="AW447" s="64">
        <f>[2]ASB!EA96</f>
        <v>0</v>
      </c>
      <c r="AX447" s="64">
        <f>[2]ASB!EB96</f>
        <v>0</v>
      </c>
      <c r="AY447" s="64">
        <f>[2]ASB!EC96</f>
        <v>0</v>
      </c>
    </row>
    <row r="448" spans="3:51" x14ac:dyDescent="0.35">
      <c r="C448" s="361" t="s">
        <v>11</v>
      </c>
      <c r="D448" s="64">
        <f>[2]ASB!CH97</f>
        <v>0</v>
      </c>
      <c r="E448" s="64">
        <f>[2]ASB!CI97</f>
        <v>0</v>
      </c>
      <c r="F448" s="64">
        <f>[2]ASB!CJ97</f>
        <v>0</v>
      </c>
      <c r="G448" s="64">
        <f>[2]ASB!CK97</f>
        <v>0</v>
      </c>
      <c r="H448" s="64">
        <f>[2]ASB!CL97</f>
        <v>0</v>
      </c>
      <c r="I448" s="64">
        <f>[2]ASB!CM97</f>
        <v>0</v>
      </c>
      <c r="J448" s="64">
        <f>[2]ASB!CN97</f>
        <v>1</v>
      </c>
      <c r="K448" s="64">
        <f>[2]ASB!CO97</f>
        <v>0</v>
      </c>
      <c r="L448" s="64">
        <f>[2]ASB!CP97</f>
        <v>0</v>
      </c>
      <c r="M448" s="64">
        <f>[2]ASB!CQ97</f>
        <v>0</v>
      </c>
      <c r="N448" s="64">
        <f>[2]ASB!CR97</f>
        <v>0</v>
      </c>
      <c r="O448" s="64">
        <f>[2]ASB!CS97</f>
        <v>0</v>
      </c>
      <c r="P448" s="64">
        <f>[2]ASB!CT97</f>
        <v>0</v>
      </c>
      <c r="Q448" s="64">
        <f>[2]ASB!CU97</f>
        <v>0</v>
      </c>
      <c r="R448" s="64">
        <f>[2]ASB!CV97</f>
        <v>0</v>
      </c>
      <c r="S448" s="64">
        <f>[2]ASB!CW97</f>
        <v>0</v>
      </c>
      <c r="T448" s="64">
        <f>[2]ASB!CX97</f>
        <v>0</v>
      </c>
      <c r="U448" s="64">
        <f>[2]ASB!CY97</f>
        <v>0</v>
      </c>
      <c r="V448" s="64">
        <f>[2]ASB!CZ97</f>
        <v>0</v>
      </c>
      <c r="W448" s="64">
        <f>[2]ASB!DA97</f>
        <v>0</v>
      </c>
      <c r="X448" s="64">
        <f>[2]ASB!DB97</f>
        <v>0</v>
      </c>
      <c r="Y448" s="64">
        <f>[2]ASB!DC97</f>
        <v>0</v>
      </c>
      <c r="Z448" s="64">
        <f>[2]ASB!DD97</f>
        <v>0</v>
      </c>
      <c r="AA448" s="64">
        <f>[2]ASB!DE97</f>
        <v>0</v>
      </c>
      <c r="AB448" s="64">
        <f>[2]ASB!DF97</f>
        <v>0</v>
      </c>
      <c r="AC448" s="64">
        <f>[2]ASB!DG97</f>
        <v>0</v>
      </c>
      <c r="AD448" s="64">
        <f>[2]ASB!DH97</f>
        <v>0</v>
      </c>
      <c r="AE448" s="64">
        <f>[2]ASB!DI97</f>
        <v>0</v>
      </c>
      <c r="AF448" s="64">
        <f>[2]ASB!DJ97</f>
        <v>0</v>
      </c>
      <c r="AG448" s="64">
        <f>[2]ASB!DK97</f>
        <v>0</v>
      </c>
      <c r="AH448" s="64">
        <f>[2]ASB!DL97</f>
        <v>0</v>
      </c>
      <c r="AI448" s="64">
        <f>[2]ASB!DM97</f>
        <v>0</v>
      </c>
      <c r="AJ448" s="64">
        <f>[2]ASB!DN97</f>
        <v>0</v>
      </c>
      <c r="AK448" s="64">
        <f>[2]ASB!DO97</f>
        <v>0</v>
      </c>
      <c r="AL448" s="64">
        <f>[2]ASB!DP97</f>
        <v>0</v>
      </c>
      <c r="AM448" s="64">
        <f>[2]ASB!DQ97</f>
        <v>0</v>
      </c>
      <c r="AN448" s="64">
        <f>[2]ASB!DR97</f>
        <v>0</v>
      </c>
      <c r="AO448" s="64">
        <f>[2]ASB!DS97</f>
        <v>0</v>
      </c>
      <c r="AP448" s="64">
        <f>[2]ASB!DT97</f>
        <v>0</v>
      </c>
      <c r="AQ448" s="64">
        <f>[2]ASB!DU97</f>
        <v>0</v>
      </c>
      <c r="AR448" s="64">
        <f>[2]ASB!DV97</f>
        <v>0</v>
      </c>
      <c r="AS448" s="64">
        <f>[2]ASB!DW97</f>
        <v>0</v>
      </c>
      <c r="AT448" s="64">
        <f>[2]ASB!DX97</f>
        <v>0</v>
      </c>
      <c r="AU448" s="64">
        <f>[2]ASB!DY97</f>
        <v>0</v>
      </c>
      <c r="AV448" s="64">
        <f>[2]ASB!DZ97</f>
        <v>0</v>
      </c>
      <c r="AW448" s="64">
        <f>[2]ASB!EA97</f>
        <v>0</v>
      </c>
      <c r="AX448" s="64">
        <f>[2]ASB!EB97</f>
        <v>0</v>
      </c>
      <c r="AY448" s="64">
        <f>[2]ASB!EC97</f>
        <v>0</v>
      </c>
    </row>
    <row r="449" spans="3:51" x14ac:dyDescent="0.35">
      <c r="C449" s="361" t="s">
        <v>129</v>
      </c>
      <c r="D449" s="64">
        <f>[2]ASB!CH98</f>
        <v>15</v>
      </c>
      <c r="E449" s="64">
        <f>[2]ASB!CI98</f>
        <v>3</v>
      </c>
      <c r="F449" s="64">
        <f>[2]ASB!CJ98</f>
        <v>7</v>
      </c>
      <c r="G449" s="64">
        <f>[2]ASB!CK98</f>
        <v>10</v>
      </c>
      <c r="H449" s="64">
        <f>[2]ASB!CL98</f>
        <v>0</v>
      </c>
      <c r="I449" s="64">
        <f>[2]ASB!CM98</f>
        <v>0</v>
      </c>
      <c r="J449" s="64">
        <f>[2]ASB!CN98</f>
        <v>0</v>
      </c>
      <c r="K449" s="64">
        <f>[2]ASB!CO98</f>
        <v>0</v>
      </c>
      <c r="L449" s="64">
        <f>[2]ASB!CP98</f>
        <v>0</v>
      </c>
      <c r="M449" s="64">
        <f>[2]ASB!CQ98</f>
        <v>0</v>
      </c>
      <c r="N449" s="64">
        <f>[2]ASB!CR98</f>
        <v>0</v>
      </c>
      <c r="O449" s="64">
        <f>[2]ASB!CS98</f>
        <v>0</v>
      </c>
      <c r="P449" s="64">
        <f>[2]ASB!CT98</f>
        <v>0</v>
      </c>
      <c r="Q449" s="64">
        <f>[2]ASB!CU98</f>
        <v>0</v>
      </c>
      <c r="R449" s="64">
        <f>[2]ASB!CV98</f>
        <v>0</v>
      </c>
      <c r="S449" s="64">
        <f>[2]ASB!CW98</f>
        <v>0</v>
      </c>
      <c r="T449" s="64">
        <f>[2]ASB!CX98</f>
        <v>0</v>
      </c>
      <c r="U449" s="64">
        <f>[2]ASB!CY98</f>
        <v>0</v>
      </c>
      <c r="V449" s="64">
        <f>[2]ASB!CZ98</f>
        <v>0</v>
      </c>
      <c r="W449" s="64">
        <f>[2]ASB!DA98</f>
        <v>0</v>
      </c>
      <c r="X449" s="64">
        <f>[2]ASB!DB98</f>
        <v>0</v>
      </c>
      <c r="Y449" s="64">
        <f>[2]ASB!DC98</f>
        <v>0</v>
      </c>
      <c r="Z449" s="64">
        <f>[2]ASB!DD98</f>
        <v>0</v>
      </c>
      <c r="AA449" s="64">
        <f>[2]ASB!DE98</f>
        <v>0</v>
      </c>
      <c r="AB449" s="64">
        <f>[2]ASB!DF98</f>
        <v>0</v>
      </c>
      <c r="AC449" s="64">
        <f>[2]ASB!DG98</f>
        <v>0</v>
      </c>
      <c r="AD449" s="64">
        <f>[2]ASB!DH98</f>
        <v>0</v>
      </c>
      <c r="AE449" s="64">
        <f>[2]ASB!DI98</f>
        <v>0</v>
      </c>
      <c r="AF449" s="64">
        <f>[2]ASB!DJ98</f>
        <v>0</v>
      </c>
      <c r="AG449" s="64">
        <f>[2]ASB!DK98</f>
        <v>0</v>
      </c>
      <c r="AH449" s="64">
        <f>[2]ASB!DL98</f>
        <v>0</v>
      </c>
      <c r="AI449" s="64">
        <f>[2]ASB!DM98</f>
        <v>0</v>
      </c>
      <c r="AJ449" s="64">
        <f>[2]ASB!DN98</f>
        <v>0</v>
      </c>
      <c r="AK449" s="64">
        <f>[2]ASB!DO98</f>
        <v>0</v>
      </c>
      <c r="AL449" s="64">
        <f>[2]ASB!DP98</f>
        <v>0</v>
      </c>
      <c r="AM449" s="64">
        <f>[2]ASB!DQ98</f>
        <v>0</v>
      </c>
      <c r="AN449" s="64">
        <f>[2]ASB!DR98</f>
        <v>0</v>
      </c>
      <c r="AO449" s="64">
        <f>[2]ASB!DS98</f>
        <v>0</v>
      </c>
      <c r="AP449" s="64">
        <f>[2]ASB!DT98</f>
        <v>0</v>
      </c>
      <c r="AQ449" s="64">
        <f>[2]ASB!DU98</f>
        <v>0</v>
      </c>
      <c r="AR449" s="64">
        <f>[2]ASB!DV98</f>
        <v>0</v>
      </c>
      <c r="AS449" s="64">
        <f>[2]ASB!DW98</f>
        <v>0</v>
      </c>
      <c r="AT449" s="64">
        <f>[2]ASB!DX98</f>
        <v>0</v>
      </c>
      <c r="AU449" s="64">
        <f>[2]ASB!DY98</f>
        <v>0</v>
      </c>
      <c r="AV449" s="64">
        <f>[2]ASB!DZ98</f>
        <v>0</v>
      </c>
      <c r="AW449" s="64">
        <f>[2]ASB!EA98</f>
        <v>0</v>
      </c>
      <c r="AX449" s="64">
        <f>[2]ASB!EB98</f>
        <v>0</v>
      </c>
      <c r="AY449" s="64">
        <f>[2]ASB!EC98</f>
        <v>0</v>
      </c>
    </row>
    <row r="450" spans="3:51" x14ac:dyDescent="0.35">
      <c r="C450" s="361" t="s">
        <v>13</v>
      </c>
      <c r="D450" s="64">
        <f>[2]ASB!CH99</f>
        <v>15</v>
      </c>
      <c r="E450" s="64">
        <f>[2]ASB!CI99</f>
        <v>7</v>
      </c>
      <c r="F450" s="64">
        <f>[2]ASB!CJ99</f>
        <v>3</v>
      </c>
      <c r="G450" s="64">
        <f>[2]ASB!CK99</f>
        <v>1</v>
      </c>
      <c r="H450" s="64">
        <f>[2]ASB!CL99</f>
        <v>0</v>
      </c>
      <c r="I450" s="64">
        <f>[2]ASB!CM99</f>
        <v>0</v>
      </c>
      <c r="J450" s="64">
        <f>[2]ASB!CN99</f>
        <v>1</v>
      </c>
      <c r="K450" s="64">
        <f>[2]ASB!CO99</f>
        <v>0</v>
      </c>
      <c r="L450" s="64">
        <f>[2]ASB!CP99</f>
        <v>1</v>
      </c>
      <c r="M450" s="64">
        <f>[2]ASB!CQ99</f>
        <v>0</v>
      </c>
      <c r="N450" s="64">
        <f>[2]ASB!CR99</f>
        <v>0</v>
      </c>
      <c r="O450" s="64">
        <f>[2]ASB!CS99</f>
        <v>0</v>
      </c>
      <c r="P450" s="64">
        <f>[2]ASB!CT99</f>
        <v>0</v>
      </c>
      <c r="Q450" s="64">
        <f>[2]ASB!CU99</f>
        <v>0</v>
      </c>
      <c r="R450" s="64">
        <f>[2]ASB!CV99</f>
        <v>0</v>
      </c>
      <c r="S450" s="64">
        <f>[2]ASB!CW99</f>
        <v>0</v>
      </c>
      <c r="T450" s="64">
        <f>[2]ASB!CX99</f>
        <v>0</v>
      </c>
      <c r="U450" s="64">
        <f>[2]ASB!CY99</f>
        <v>0</v>
      </c>
      <c r="V450" s="64">
        <f>[2]ASB!CZ99</f>
        <v>0</v>
      </c>
      <c r="W450" s="64">
        <f>[2]ASB!DA99</f>
        <v>0</v>
      </c>
      <c r="X450" s="64">
        <f>[2]ASB!DB99</f>
        <v>0</v>
      </c>
      <c r="Y450" s="64">
        <f>[2]ASB!DC99</f>
        <v>0</v>
      </c>
      <c r="Z450" s="64">
        <f>[2]ASB!DD99</f>
        <v>0</v>
      </c>
      <c r="AA450" s="64">
        <f>[2]ASB!DE99</f>
        <v>0</v>
      </c>
      <c r="AB450" s="64">
        <f>[2]ASB!DF99</f>
        <v>0</v>
      </c>
      <c r="AC450" s="64">
        <f>[2]ASB!DG99</f>
        <v>0</v>
      </c>
      <c r="AD450" s="64">
        <f>[2]ASB!DH99</f>
        <v>0</v>
      </c>
      <c r="AE450" s="64">
        <f>[2]ASB!DI99</f>
        <v>0</v>
      </c>
      <c r="AF450" s="64">
        <f>[2]ASB!DJ99</f>
        <v>0</v>
      </c>
      <c r="AG450" s="64">
        <f>[2]ASB!DK99</f>
        <v>0</v>
      </c>
      <c r="AH450" s="64">
        <f>[2]ASB!DL99</f>
        <v>0</v>
      </c>
      <c r="AI450" s="64">
        <f>[2]ASB!DM99</f>
        <v>0</v>
      </c>
      <c r="AJ450" s="64">
        <f>[2]ASB!DN99</f>
        <v>0</v>
      </c>
      <c r="AK450" s="64">
        <f>[2]ASB!DO99</f>
        <v>0</v>
      </c>
      <c r="AL450" s="64">
        <f>[2]ASB!DP99</f>
        <v>0</v>
      </c>
      <c r="AM450" s="64">
        <f>[2]ASB!DQ99</f>
        <v>0</v>
      </c>
      <c r="AN450" s="64">
        <f>[2]ASB!DR99</f>
        <v>0</v>
      </c>
      <c r="AO450" s="64">
        <f>[2]ASB!DS99</f>
        <v>0</v>
      </c>
      <c r="AP450" s="64">
        <f>[2]ASB!DT99</f>
        <v>0</v>
      </c>
      <c r="AQ450" s="64">
        <f>[2]ASB!DU99</f>
        <v>0</v>
      </c>
      <c r="AR450" s="64">
        <f>[2]ASB!DV99</f>
        <v>0</v>
      </c>
      <c r="AS450" s="64">
        <f>[2]ASB!DW99</f>
        <v>0</v>
      </c>
      <c r="AT450" s="64">
        <f>[2]ASB!DX99</f>
        <v>0</v>
      </c>
      <c r="AU450" s="64">
        <f>[2]ASB!DY99</f>
        <v>0</v>
      </c>
      <c r="AV450" s="64">
        <f>[2]ASB!DZ99</f>
        <v>0</v>
      </c>
      <c r="AW450" s="64">
        <f>[2]ASB!EA99</f>
        <v>0</v>
      </c>
      <c r="AX450" s="64">
        <f>[2]ASB!EB99</f>
        <v>0</v>
      </c>
      <c r="AY450" s="64">
        <f>[2]ASB!EC99</f>
        <v>0</v>
      </c>
    </row>
    <row r="451" spans="3:51" x14ac:dyDescent="0.35">
      <c r="C451" s="60"/>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row>
    <row r="452" spans="3:51" s="64" customFormat="1" x14ac:dyDescent="0.35">
      <c r="D452" s="41">
        <v>44287</v>
      </c>
      <c r="E452" s="41">
        <v>44317</v>
      </c>
      <c r="F452" s="41">
        <v>44348</v>
      </c>
      <c r="G452" s="41">
        <v>44378</v>
      </c>
      <c r="H452" s="41">
        <v>44409</v>
      </c>
      <c r="I452" s="41">
        <v>44440</v>
      </c>
      <c r="J452" s="41">
        <v>44470</v>
      </c>
      <c r="K452" s="41">
        <v>44501</v>
      </c>
      <c r="L452" s="41">
        <v>44531</v>
      </c>
      <c r="M452" s="41">
        <v>44562</v>
      </c>
      <c r="N452" s="41">
        <v>44593</v>
      </c>
      <c r="O452" s="41">
        <v>44621</v>
      </c>
      <c r="P452" s="39">
        <v>44652</v>
      </c>
      <c r="Q452" s="39">
        <v>44682</v>
      </c>
      <c r="R452" s="39">
        <v>44713</v>
      </c>
      <c r="S452" s="39">
        <v>44743</v>
      </c>
      <c r="T452" s="39">
        <v>44774</v>
      </c>
      <c r="U452" s="39">
        <v>44805</v>
      </c>
      <c r="V452" s="39">
        <v>44835</v>
      </c>
      <c r="W452" s="39">
        <v>44866</v>
      </c>
      <c r="X452" s="39">
        <v>44896</v>
      </c>
      <c r="Y452" s="39">
        <v>44927</v>
      </c>
      <c r="Z452" s="39">
        <v>44958</v>
      </c>
      <c r="AA452" s="39">
        <v>44986</v>
      </c>
      <c r="AB452" s="39">
        <v>45017</v>
      </c>
      <c r="AC452" s="39">
        <v>45047</v>
      </c>
      <c r="AD452" s="39">
        <v>45078</v>
      </c>
      <c r="AE452" s="39">
        <v>45108</v>
      </c>
      <c r="AF452" s="39">
        <v>45139</v>
      </c>
      <c r="AG452" s="39">
        <v>45170</v>
      </c>
      <c r="AH452" s="39">
        <v>45200</v>
      </c>
      <c r="AI452" s="39">
        <v>45231</v>
      </c>
      <c r="AJ452" s="39">
        <v>45261</v>
      </c>
      <c r="AK452" s="39">
        <v>45292</v>
      </c>
      <c r="AL452" s="39">
        <v>45323</v>
      </c>
      <c r="AM452" s="39">
        <v>45352</v>
      </c>
      <c r="AN452" s="39">
        <v>45383</v>
      </c>
      <c r="AO452" s="39">
        <v>45413</v>
      </c>
      <c r="AP452" s="39">
        <v>45444</v>
      </c>
      <c r="AQ452" s="39">
        <v>45474</v>
      </c>
      <c r="AR452" s="39">
        <v>45505</v>
      </c>
      <c r="AS452" s="39">
        <v>45536</v>
      </c>
      <c r="AT452" s="39">
        <v>45566</v>
      </c>
      <c r="AU452" s="39">
        <v>45597</v>
      </c>
      <c r="AV452" s="39">
        <v>45627</v>
      </c>
      <c r="AW452" s="39">
        <v>45658</v>
      </c>
      <c r="AX452" s="39">
        <v>45689</v>
      </c>
      <c r="AY452" s="39">
        <v>45717</v>
      </c>
    </row>
    <row r="453" spans="3:51" x14ac:dyDescent="0.35">
      <c r="C453" s="380" t="s">
        <v>61</v>
      </c>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row>
    <row r="454" spans="3:51" x14ac:dyDescent="0.35">
      <c r="C454" s="381"/>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row>
    <row r="455" spans="3:51" x14ac:dyDescent="0.35">
      <c r="C455" s="382" t="s">
        <v>128</v>
      </c>
      <c r="D455" s="64">
        <f>[2]ASB!CH104</f>
        <v>35</v>
      </c>
      <c r="E455" s="64">
        <f>[2]ASB!CI104</f>
        <v>18</v>
      </c>
      <c r="F455" s="64">
        <f>[2]ASB!CJ104</f>
        <v>35</v>
      </c>
      <c r="G455" s="64">
        <f>[2]ASB!CK104</f>
        <v>10</v>
      </c>
      <c r="H455" s="64">
        <f>[2]ASB!CL104</f>
        <v>3</v>
      </c>
      <c r="I455" s="64">
        <f>[2]ASB!CM104</f>
        <v>1</v>
      </c>
      <c r="J455" s="64">
        <f>[2]ASB!CN104</f>
        <v>1</v>
      </c>
      <c r="K455" s="64">
        <f>[2]ASB!CO104</f>
        <v>0</v>
      </c>
      <c r="L455" s="64">
        <f>[2]ASB!CP104</f>
        <v>0</v>
      </c>
      <c r="M455" s="64">
        <f>[2]ASB!CQ104</f>
        <v>0</v>
      </c>
      <c r="N455" s="64">
        <f>[2]ASB!CR104</f>
        <v>0</v>
      </c>
      <c r="O455" s="64">
        <f>[2]ASB!CS104</f>
        <v>0</v>
      </c>
      <c r="P455" s="64">
        <f>[2]ASB!CT104</f>
        <v>0</v>
      </c>
      <c r="Q455" s="64">
        <f>[2]ASB!CU104</f>
        <v>0</v>
      </c>
      <c r="R455" s="64">
        <f>[2]ASB!CV104</f>
        <v>0</v>
      </c>
      <c r="S455" s="64">
        <f>[2]ASB!CW104</f>
        <v>0</v>
      </c>
      <c r="T455" s="64">
        <f>[2]ASB!CX104</f>
        <v>0</v>
      </c>
      <c r="U455" s="64">
        <f>[2]ASB!CY104</f>
        <v>0</v>
      </c>
      <c r="V455" s="64">
        <f>[2]ASB!CZ104</f>
        <v>0</v>
      </c>
      <c r="W455" s="64">
        <f>[2]ASB!DA104</f>
        <v>0</v>
      </c>
      <c r="X455" s="64">
        <f>[2]ASB!DB104</f>
        <v>0</v>
      </c>
      <c r="Y455" s="64">
        <f>[2]ASB!DC104</f>
        <v>0</v>
      </c>
      <c r="Z455" s="64">
        <f>[2]ASB!DD104</f>
        <v>0</v>
      </c>
      <c r="AA455" s="64">
        <f>[2]ASB!DE104</f>
        <v>0</v>
      </c>
      <c r="AB455" s="64">
        <f>[2]ASB!DF104</f>
        <v>0</v>
      </c>
      <c r="AC455" s="64">
        <f>[2]ASB!DG104</f>
        <v>0</v>
      </c>
      <c r="AD455" s="64">
        <f>[2]ASB!DH104</f>
        <v>0</v>
      </c>
      <c r="AE455" s="64">
        <f>[2]ASB!DI104</f>
        <v>0</v>
      </c>
      <c r="AF455" s="64">
        <f>[2]ASB!DJ104</f>
        <v>0</v>
      </c>
      <c r="AG455" s="64">
        <f>[2]ASB!DK104</f>
        <v>0</v>
      </c>
      <c r="AH455" s="64">
        <f>[2]ASB!DL104</f>
        <v>0</v>
      </c>
      <c r="AI455" s="64">
        <f>[2]ASB!DM104</f>
        <v>0</v>
      </c>
      <c r="AJ455" s="64">
        <f>[2]ASB!DN104</f>
        <v>0</v>
      </c>
      <c r="AK455" s="64">
        <f>[2]ASB!DO104</f>
        <v>0</v>
      </c>
      <c r="AL455" s="64">
        <f>[2]ASB!DP104</f>
        <v>0</v>
      </c>
      <c r="AM455" s="64">
        <f>[2]ASB!DQ104</f>
        <v>0</v>
      </c>
      <c r="AN455" s="64">
        <f>[2]ASB!DR104</f>
        <v>0</v>
      </c>
      <c r="AO455" s="64">
        <f>[2]ASB!DS104</f>
        <v>0</v>
      </c>
      <c r="AP455" s="64">
        <f>[2]ASB!DT104</f>
        <v>0</v>
      </c>
      <c r="AQ455" s="64">
        <f>[2]ASB!DU104</f>
        <v>0</v>
      </c>
      <c r="AR455" s="64">
        <f>[2]ASB!DV104</f>
        <v>0</v>
      </c>
      <c r="AS455" s="64">
        <f>[2]ASB!DW104</f>
        <v>0</v>
      </c>
      <c r="AT455" s="64">
        <f>[2]ASB!DX104</f>
        <v>0</v>
      </c>
      <c r="AU455" s="64">
        <f>[2]ASB!DY104</f>
        <v>0</v>
      </c>
      <c r="AV455" s="64">
        <f>[2]ASB!DZ104</f>
        <v>0</v>
      </c>
      <c r="AW455" s="64">
        <f>[2]ASB!EA104</f>
        <v>0</v>
      </c>
      <c r="AX455" s="64">
        <f>[2]ASB!EB104</f>
        <v>0</v>
      </c>
      <c r="AY455" s="64">
        <f>[2]ASB!EC104</f>
        <v>0</v>
      </c>
    </row>
    <row r="456" spans="3:51" x14ac:dyDescent="0.35">
      <c r="C456" s="382" t="s">
        <v>11</v>
      </c>
      <c r="D456" s="64">
        <f>[2]ASB!CH105</f>
        <v>0</v>
      </c>
      <c r="E456" s="64">
        <f>[2]ASB!CI105</f>
        <v>1</v>
      </c>
      <c r="F456" s="64">
        <f>[2]ASB!CJ105</f>
        <v>0</v>
      </c>
      <c r="G456" s="64">
        <f>[2]ASB!CK105</f>
        <v>0</v>
      </c>
      <c r="H456" s="64">
        <f>[2]ASB!CL105</f>
        <v>0</v>
      </c>
      <c r="I456" s="64">
        <f>[2]ASB!CM105</f>
        <v>0</v>
      </c>
      <c r="J456" s="64">
        <f>[2]ASB!CN105</f>
        <v>0</v>
      </c>
      <c r="K456" s="64">
        <f>[2]ASB!CO105</f>
        <v>0</v>
      </c>
      <c r="L456" s="64">
        <f>[2]ASB!CP105</f>
        <v>0</v>
      </c>
      <c r="M456" s="64">
        <f>[2]ASB!CQ105</f>
        <v>0</v>
      </c>
      <c r="N456" s="64">
        <f>[2]ASB!CR105</f>
        <v>0</v>
      </c>
      <c r="O456" s="64">
        <f>[2]ASB!CS105</f>
        <v>0</v>
      </c>
      <c r="P456" s="64">
        <f>[2]ASB!CT105</f>
        <v>0</v>
      </c>
      <c r="Q456" s="64">
        <f>[2]ASB!CU105</f>
        <v>0</v>
      </c>
      <c r="R456" s="64">
        <f>[2]ASB!CV105</f>
        <v>0</v>
      </c>
      <c r="S456" s="64">
        <f>[2]ASB!CW105</f>
        <v>0</v>
      </c>
      <c r="T456" s="64">
        <f>[2]ASB!CX105</f>
        <v>0</v>
      </c>
      <c r="U456" s="64">
        <f>[2]ASB!CY105</f>
        <v>0</v>
      </c>
      <c r="V456" s="64">
        <f>[2]ASB!CZ105</f>
        <v>0</v>
      </c>
      <c r="W456" s="64">
        <f>[2]ASB!DA105</f>
        <v>0</v>
      </c>
      <c r="X456" s="64">
        <f>[2]ASB!DB105</f>
        <v>0</v>
      </c>
      <c r="Y456" s="64">
        <f>[2]ASB!DC105</f>
        <v>0</v>
      </c>
      <c r="Z456" s="64">
        <f>[2]ASB!DD105</f>
        <v>0</v>
      </c>
      <c r="AA456" s="64">
        <f>[2]ASB!DE105</f>
        <v>0</v>
      </c>
      <c r="AB456" s="64">
        <f>[2]ASB!DF105</f>
        <v>0</v>
      </c>
      <c r="AC456" s="64">
        <f>[2]ASB!DG105</f>
        <v>0</v>
      </c>
      <c r="AD456" s="64">
        <f>[2]ASB!DH105</f>
        <v>0</v>
      </c>
      <c r="AE456" s="64">
        <f>[2]ASB!DI105</f>
        <v>0</v>
      </c>
      <c r="AF456" s="64">
        <f>[2]ASB!DJ105</f>
        <v>0</v>
      </c>
      <c r="AG456" s="64">
        <f>[2]ASB!DK105</f>
        <v>0</v>
      </c>
      <c r="AH456" s="64">
        <f>[2]ASB!DL105</f>
        <v>0</v>
      </c>
      <c r="AI456" s="64">
        <f>[2]ASB!DM105</f>
        <v>0</v>
      </c>
      <c r="AJ456" s="64">
        <f>[2]ASB!DN105</f>
        <v>0</v>
      </c>
      <c r="AK456" s="64">
        <f>[2]ASB!DO105</f>
        <v>0</v>
      </c>
      <c r="AL456" s="64">
        <f>[2]ASB!DP105</f>
        <v>0</v>
      </c>
      <c r="AM456" s="64">
        <f>[2]ASB!DQ105</f>
        <v>0</v>
      </c>
      <c r="AN456" s="64">
        <f>[2]ASB!DR105</f>
        <v>0</v>
      </c>
      <c r="AO456" s="64">
        <f>[2]ASB!DS105</f>
        <v>0</v>
      </c>
      <c r="AP456" s="64">
        <f>[2]ASB!DT105</f>
        <v>0</v>
      </c>
      <c r="AQ456" s="64">
        <f>[2]ASB!DU105</f>
        <v>0</v>
      </c>
      <c r="AR456" s="64">
        <f>[2]ASB!DV105</f>
        <v>0</v>
      </c>
      <c r="AS456" s="64">
        <f>[2]ASB!DW105</f>
        <v>0</v>
      </c>
      <c r="AT456" s="64">
        <f>[2]ASB!DX105</f>
        <v>0</v>
      </c>
      <c r="AU456" s="64">
        <f>[2]ASB!DY105</f>
        <v>0</v>
      </c>
      <c r="AV456" s="64">
        <f>[2]ASB!DZ105</f>
        <v>0</v>
      </c>
      <c r="AW456" s="64">
        <f>[2]ASB!EA105</f>
        <v>0</v>
      </c>
      <c r="AX456" s="64">
        <f>[2]ASB!EB105</f>
        <v>0</v>
      </c>
      <c r="AY456" s="64">
        <f>[2]ASB!EC105</f>
        <v>0</v>
      </c>
    </row>
    <row r="457" spans="3:51" x14ac:dyDescent="0.35">
      <c r="C457" s="382" t="s">
        <v>129</v>
      </c>
      <c r="D457" s="64">
        <f>[2]ASB!CH106</f>
        <v>24</v>
      </c>
      <c r="E457" s="64">
        <f>[2]ASB!CI106</f>
        <v>12</v>
      </c>
      <c r="F457" s="64">
        <f>[2]ASB!CJ106</f>
        <v>26</v>
      </c>
      <c r="G457" s="64">
        <f>[2]ASB!CK106</f>
        <v>5</v>
      </c>
      <c r="H457" s="64">
        <f>[2]ASB!CL106</f>
        <v>1</v>
      </c>
      <c r="I457" s="64">
        <f>[2]ASB!CM106</f>
        <v>0</v>
      </c>
      <c r="J457" s="64">
        <f>[2]ASB!CN106</f>
        <v>0</v>
      </c>
      <c r="K457" s="64">
        <f>[2]ASB!CO106</f>
        <v>0</v>
      </c>
      <c r="L457" s="64">
        <f>[2]ASB!CP106</f>
        <v>0</v>
      </c>
      <c r="M457" s="64">
        <f>[2]ASB!CQ106</f>
        <v>0</v>
      </c>
      <c r="N457" s="64">
        <f>[2]ASB!CR106</f>
        <v>0</v>
      </c>
      <c r="O457" s="64">
        <f>[2]ASB!CS106</f>
        <v>0</v>
      </c>
      <c r="P457" s="64">
        <f>[2]ASB!CT106</f>
        <v>0</v>
      </c>
      <c r="Q457" s="64">
        <f>[2]ASB!CU106</f>
        <v>0</v>
      </c>
      <c r="R457" s="64">
        <f>[2]ASB!CV106</f>
        <v>0</v>
      </c>
      <c r="S457" s="64">
        <f>[2]ASB!CW106</f>
        <v>0</v>
      </c>
      <c r="T457" s="64">
        <f>[2]ASB!CX106</f>
        <v>0</v>
      </c>
      <c r="U457" s="64">
        <f>[2]ASB!CY106</f>
        <v>0</v>
      </c>
      <c r="V457" s="64">
        <f>[2]ASB!CZ106</f>
        <v>0</v>
      </c>
      <c r="W457" s="64">
        <f>[2]ASB!DA106</f>
        <v>0</v>
      </c>
      <c r="X457" s="64">
        <f>[2]ASB!DB106</f>
        <v>0</v>
      </c>
      <c r="Y457" s="64">
        <f>[2]ASB!DC106</f>
        <v>0</v>
      </c>
      <c r="Z457" s="64">
        <f>[2]ASB!DD106</f>
        <v>0</v>
      </c>
      <c r="AA457" s="64">
        <f>[2]ASB!DE106</f>
        <v>0</v>
      </c>
      <c r="AB457" s="64">
        <f>[2]ASB!DF106</f>
        <v>0</v>
      </c>
      <c r="AC457" s="64">
        <f>[2]ASB!DG106</f>
        <v>0</v>
      </c>
      <c r="AD457" s="64">
        <f>[2]ASB!DH106</f>
        <v>0</v>
      </c>
      <c r="AE457" s="64">
        <f>[2]ASB!DI106</f>
        <v>0</v>
      </c>
      <c r="AF457" s="64">
        <f>[2]ASB!DJ106</f>
        <v>0</v>
      </c>
      <c r="AG457" s="64">
        <f>[2]ASB!DK106</f>
        <v>0</v>
      </c>
      <c r="AH457" s="64">
        <f>[2]ASB!DL106</f>
        <v>0</v>
      </c>
      <c r="AI457" s="64">
        <f>[2]ASB!DM106</f>
        <v>0</v>
      </c>
      <c r="AJ457" s="64">
        <f>[2]ASB!DN106</f>
        <v>0</v>
      </c>
      <c r="AK457" s="64">
        <f>[2]ASB!DO106</f>
        <v>0</v>
      </c>
      <c r="AL457" s="64">
        <f>[2]ASB!DP106</f>
        <v>0</v>
      </c>
      <c r="AM457" s="64">
        <f>[2]ASB!DQ106</f>
        <v>0</v>
      </c>
      <c r="AN457" s="64">
        <f>[2]ASB!DR106</f>
        <v>0</v>
      </c>
      <c r="AO457" s="64">
        <f>[2]ASB!DS106</f>
        <v>0</v>
      </c>
      <c r="AP457" s="64">
        <f>[2]ASB!DT106</f>
        <v>0</v>
      </c>
      <c r="AQ457" s="64">
        <f>[2]ASB!DU106</f>
        <v>0</v>
      </c>
      <c r="AR457" s="64">
        <f>[2]ASB!DV106</f>
        <v>0</v>
      </c>
      <c r="AS457" s="64">
        <f>[2]ASB!DW106</f>
        <v>0</v>
      </c>
      <c r="AT457" s="64">
        <f>[2]ASB!DX106</f>
        <v>0</v>
      </c>
      <c r="AU457" s="64">
        <f>[2]ASB!DY106</f>
        <v>0</v>
      </c>
      <c r="AV457" s="64">
        <f>[2]ASB!DZ106</f>
        <v>0</v>
      </c>
      <c r="AW457" s="64">
        <f>[2]ASB!EA106</f>
        <v>0</v>
      </c>
      <c r="AX457" s="64">
        <f>[2]ASB!EB106</f>
        <v>0</v>
      </c>
      <c r="AY457" s="64">
        <f>[2]ASB!EC106</f>
        <v>0</v>
      </c>
    </row>
    <row r="458" spans="3:51" x14ac:dyDescent="0.35">
      <c r="C458" s="382" t="s">
        <v>13</v>
      </c>
      <c r="D458" s="64">
        <f>[2]ASB!CH107</f>
        <v>11</v>
      </c>
      <c r="E458" s="64">
        <f>[2]ASB!CI107</f>
        <v>5</v>
      </c>
      <c r="F458" s="64">
        <f>[2]ASB!CJ107</f>
        <v>9</v>
      </c>
      <c r="G458" s="64">
        <f>[2]ASB!CK107</f>
        <v>5</v>
      </c>
      <c r="H458" s="64">
        <f>[2]ASB!CL107</f>
        <v>2</v>
      </c>
      <c r="I458" s="64">
        <f>[2]ASB!CM107</f>
        <v>1</v>
      </c>
      <c r="J458" s="64">
        <f>[2]ASB!CN107</f>
        <v>1</v>
      </c>
      <c r="K458" s="64">
        <f>[2]ASB!CO107</f>
        <v>0</v>
      </c>
      <c r="L458" s="64">
        <f>[2]ASB!CP107</f>
        <v>0</v>
      </c>
      <c r="M458" s="64">
        <f>[2]ASB!CQ107</f>
        <v>0</v>
      </c>
      <c r="N458" s="64">
        <f>[2]ASB!CR107</f>
        <v>0</v>
      </c>
      <c r="O458" s="64">
        <f>[2]ASB!CS107</f>
        <v>0</v>
      </c>
      <c r="P458" s="64">
        <f>[2]ASB!CT107</f>
        <v>0</v>
      </c>
      <c r="Q458" s="64">
        <f>[2]ASB!CU107</f>
        <v>0</v>
      </c>
      <c r="R458" s="64">
        <f>[2]ASB!CV107</f>
        <v>0</v>
      </c>
      <c r="S458" s="64">
        <f>[2]ASB!CW107</f>
        <v>0</v>
      </c>
      <c r="T458" s="64">
        <f>[2]ASB!CX107</f>
        <v>0</v>
      </c>
      <c r="U458" s="64">
        <f>[2]ASB!CY107</f>
        <v>0</v>
      </c>
      <c r="V458" s="64">
        <f>[2]ASB!CZ107</f>
        <v>0</v>
      </c>
      <c r="W458" s="64">
        <f>[2]ASB!DA107</f>
        <v>0</v>
      </c>
      <c r="X458" s="64">
        <f>[2]ASB!DB107</f>
        <v>0</v>
      </c>
      <c r="Y458" s="64">
        <f>[2]ASB!DC107</f>
        <v>0</v>
      </c>
      <c r="Z458" s="64">
        <f>[2]ASB!DD107</f>
        <v>0</v>
      </c>
      <c r="AA458" s="64">
        <f>[2]ASB!DE107</f>
        <v>0</v>
      </c>
      <c r="AB458" s="64">
        <f>[2]ASB!DF107</f>
        <v>0</v>
      </c>
      <c r="AC458" s="64">
        <f>[2]ASB!DG107</f>
        <v>0</v>
      </c>
      <c r="AD458" s="64">
        <f>[2]ASB!DH107</f>
        <v>0</v>
      </c>
      <c r="AE458" s="64">
        <f>[2]ASB!DI107</f>
        <v>0</v>
      </c>
      <c r="AF458" s="64">
        <f>[2]ASB!DJ107</f>
        <v>0</v>
      </c>
      <c r="AG458" s="64">
        <f>[2]ASB!DK107</f>
        <v>0</v>
      </c>
      <c r="AH458" s="64">
        <f>[2]ASB!DL107</f>
        <v>0</v>
      </c>
      <c r="AI458" s="64">
        <f>[2]ASB!DM107</f>
        <v>0</v>
      </c>
      <c r="AJ458" s="64">
        <f>[2]ASB!DN107</f>
        <v>0</v>
      </c>
      <c r="AK458" s="64">
        <f>[2]ASB!DO107</f>
        <v>0</v>
      </c>
      <c r="AL458" s="64">
        <f>[2]ASB!DP107</f>
        <v>0</v>
      </c>
      <c r="AM458" s="64">
        <f>[2]ASB!DQ107</f>
        <v>0</v>
      </c>
      <c r="AN458" s="64">
        <f>[2]ASB!DR107</f>
        <v>0</v>
      </c>
      <c r="AO458" s="64">
        <f>[2]ASB!DS107</f>
        <v>0</v>
      </c>
      <c r="AP458" s="64">
        <f>[2]ASB!DT107</f>
        <v>0</v>
      </c>
      <c r="AQ458" s="64">
        <f>[2]ASB!DU107</f>
        <v>0</v>
      </c>
      <c r="AR458" s="64">
        <f>[2]ASB!DV107</f>
        <v>0</v>
      </c>
      <c r="AS458" s="64">
        <f>[2]ASB!DW107</f>
        <v>0</v>
      </c>
      <c r="AT458" s="64">
        <f>[2]ASB!DX107</f>
        <v>0</v>
      </c>
      <c r="AU458" s="64">
        <f>[2]ASB!DY107</f>
        <v>0</v>
      </c>
      <c r="AV458" s="64">
        <f>[2]ASB!DZ107</f>
        <v>0</v>
      </c>
      <c r="AW458" s="64">
        <f>[2]ASB!EA107</f>
        <v>0</v>
      </c>
      <c r="AX458" s="64">
        <f>[2]ASB!EB107</f>
        <v>0</v>
      </c>
      <c r="AY458" s="64">
        <f>[2]ASB!EC107</f>
        <v>0</v>
      </c>
    </row>
    <row r="459" spans="3:51" x14ac:dyDescent="0.35">
      <c r="C459" s="62"/>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row>
    <row r="460" spans="3:51" s="64" customFormat="1" x14ac:dyDescent="0.35">
      <c r="D460" s="41">
        <v>44287</v>
      </c>
      <c r="E460" s="41">
        <v>44317</v>
      </c>
      <c r="F460" s="41">
        <v>44348</v>
      </c>
      <c r="G460" s="41">
        <v>44378</v>
      </c>
      <c r="H460" s="41">
        <v>44409</v>
      </c>
      <c r="I460" s="41">
        <v>44440</v>
      </c>
      <c r="J460" s="41">
        <v>44470</v>
      </c>
      <c r="K460" s="41">
        <v>44501</v>
      </c>
      <c r="L460" s="41">
        <v>44531</v>
      </c>
      <c r="M460" s="41">
        <v>44562</v>
      </c>
      <c r="N460" s="41">
        <v>44593</v>
      </c>
      <c r="O460" s="41">
        <v>44621</v>
      </c>
      <c r="P460" s="39">
        <v>44652</v>
      </c>
      <c r="Q460" s="39">
        <v>44682</v>
      </c>
      <c r="R460" s="39">
        <v>44713</v>
      </c>
      <c r="S460" s="39">
        <v>44743</v>
      </c>
      <c r="T460" s="39">
        <v>44774</v>
      </c>
      <c r="U460" s="39">
        <v>44805</v>
      </c>
      <c r="V460" s="39">
        <v>44835</v>
      </c>
      <c r="W460" s="39">
        <v>44866</v>
      </c>
      <c r="X460" s="39">
        <v>44896</v>
      </c>
      <c r="Y460" s="39">
        <v>44927</v>
      </c>
      <c r="Z460" s="39">
        <v>44958</v>
      </c>
      <c r="AA460" s="39">
        <v>44986</v>
      </c>
      <c r="AB460" s="39">
        <v>45017</v>
      </c>
      <c r="AC460" s="39">
        <v>45047</v>
      </c>
      <c r="AD460" s="39">
        <v>45078</v>
      </c>
      <c r="AE460" s="39">
        <v>45108</v>
      </c>
      <c r="AF460" s="39">
        <v>45139</v>
      </c>
      <c r="AG460" s="39">
        <v>45170</v>
      </c>
      <c r="AH460" s="39">
        <v>45200</v>
      </c>
      <c r="AI460" s="39">
        <v>45231</v>
      </c>
      <c r="AJ460" s="39">
        <v>45261</v>
      </c>
      <c r="AK460" s="39">
        <v>45292</v>
      </c>
      <c r="AL460" s="39">
        <v>45323</v>
      </c>
      <c r="AM460" s="39">
        <v>45352</v>
      </c>
      <c r="AN460" s="39">
        <v>45383</v>
      </c>
      <c r="AO460" s="39">
        <v>45413</v>
      </c>
      <c r="AP460" s="39">
        <v>45444</v>
      </c>
      <c r="AQ460" s="39">
        <v>45474</v>
      </c>
      <c r="AR460" s="39">
        <v>45505</v>
      </c>
      <c r="AS460" s="39">
        <v>45536</v>
      </c>
      <c r="AT460" s="39">
        <v>45566</v>
      </c>
      <c r="AU460" s="39">
        <v>45597</v>
      </c>
      <c r="AV460" s="39">
        <v>45627</v>
      </c>
      <c r="AW460" s="39">
        <v>45658</v>
      </c>
      <c r="AX460" s="39">
        <v>45689</v>
      </c>
      <c r="AY460" s="39">
        <v>45717</v>
      </c>
    </row>
    <row r="461" spans="3:51" x14ac:dyDescent="0.35">
      <c r="C461" s="384" t="s">
        <v>117</v>
      </c>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row>
    <row r="462" spans="3:51" x14ac:dyDescent="0.35">
      <c r="C462" s="38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row>
    <row r="463" spans="3:51" x14ac:dyDescent="0.35">
      <c r="C463" s="385" t="s">
        <v>128</v>
      </c>
      <c r="D463" s="64">
        <f>[2]ASB!CH112</f>
        <v>65</v>
      </c>
      <c r="E463" s="64">
        <f>[2]ASB!CI112</f>
        <v>28</v>
      </c>
      <c r="F463" s="64">
        <f>[2]ASB!CJ112</f>
        <v>45</v>
      </c>
      <c r="G463" s="64">
        <f>[2]ASB!CK112</f>
        <v>21</v>
      </c>
      <c r="H463" s="64">
        <f>[2]ASB!CL112</f>
        <v>3</v>
      </c>
      <c r="I463" s="64">
        <f>[2]ASB!CM112</f>
        <v>1</v>
      </c>
      <c r="J463" s="64">
        <f>[2]ASB!CN112</f>
        <v>3</v>
      </c>
      <c r="K463" s="64">
        <f>[2]ASB!CO112</f>
        <v>0</v>
      </c>
      <c r="L463" s="64">
        <f>[2]ASB!CP112</f>
        <v>1</v>
      </c>
      <c r="M463" s="64">
        <f>[2]ASB!CQ112</f>
        <v>0</v>
      </c>
      <c r="N463" s="64">
        <f>[2]ASB!CR112</f>
        <v>0</v>
      </c>
      <c r="O463" s="64">
        <f>[2]ASB!CS112</f>
        <v>0</v>
      </c>
      <c r="P463" s="64">
        <f>[2]ASB!CT112</f>
        <v>0</v>
      </c>
      <c r="Q463" s="64">
        <f>[2]ASB!CU112</f>
        <v>0</v>
      </c>
      <c r="R463" s="64">
        <f>[2]ASB!CV112</f>
        <v>0</v>
      </c>
      <c r="S463" s="64">
        <f>[2]ASB!CW112</f>
        <v>0</v>
      </c>
      <c r="T463" s="64">
        <f>[2]ASB!CX112</f>
        <v>0</v>
      </c>
      <c r="U463" s="64">
        <f>[2]ASB!CY112</f>
        <v>0</v>
      </c>
      <c r="V463" s="64">
        <f>[2]ASB!CZ112</f>
        <v>0</v>
      </c>
      <c r="W463" s="64">
        <f>[2]ASB!DA112</f>
        <v>0</v>
      </c>
      <c r="X463" s="64">
        <f>[2]ASB!DB112</f>
        <v>0</v>
      </c>
      <c r="Y463" s="64">
        <f>[2]ASB!DC112</f>
        <v>0</v>
      </c>
      <c r="Z463" s="64">
        <f>[2]ASB!DD112</f>
        <v>0</v>
      </c>
      <c r="AA463" s="64">
        <f>[2]ASB!DE112</f>
        <v>0</v>
      </c>
      <c r="AB463" s="64">
        <f>[2]ASB!DF112</f>
        <v>0</v>
      </c>
      <c r="AC463" s="64">
        <f>[2]ASB!DG112</f>
        <v>0</v>
      </c>
      <c r="AD463" s="64">
        <f>[2]ASB!DH112</f>
        <v>0</v>
      </c>
      <c r="AE463" s="64">
        <f>[2]ASB!DI112</f>
        <v>0</v>
      </c>
      <c r="AF463" s="64">
        <f>[2]ASB!DJ112</f>
        <v>0</v>
      </c>
      <c r="AG463" s="64">
        <f>[2]ASB!DK112</f>
        <v>0</v>
      </c>
      <c r="AH463" s="64">
        <f>[2]ASB!DL112</f>
        <v>0</v>
      </c>
      <c r="AI463" s="64">
        <f>[2]ASB!DM112</f>
        <v>0</v>
      </c>
      <c r="AJ463" s="64">
        <f>[2]ASB!DN112</f>
        <v>0</v>
      </c>
      <c r="AK463" s="64">
        <f>[2]ASB!DO112</f>
        <v>0</v>
      </c>
      <c r="AL463" s="64">
        <f>[2]ASB!DP112</f>
        <v>0</v>
      </c>
      <c r="AM463" s="64">
        <f>[2]ASB!DQ112</f>
        <v>0</v>
      </c>
      <c r="AN463" s="64">
        <f>[2]ASB!DR112</f>
        <v>0</v>
      </c>
      <c r="AO463" s="64">
        <f>[2]ASB!DS112</f>
        <v>0</v>
      </c>
      <c r="AP463" s="64">
        <f>[2]ASB!DT112</f>
        <v>0</v>
      </c>
      <c r="AQ463" s="64">
        <f>[2]ASB!DU112</f>
        <v>0</v>
      </c>
      <c r="AR463" s="64">
        <f>[2]ASB!DV112</f>
        <v>0</v>
      </c>
      <c r="AS463" s="64">
        <f>[2]ASB!DW112</f>
        <v>0</v>
      </c>
      <c r="AT463" s="64">
        <f>[2]ASB!DX112</f>
        <v>0</v>
      </c>
      <c r="AU463" s="64">
        <f>[2]ASB!DY112</f>
        <v>0</v>
      </c>
      <c r="AV463" s="64">
        <f>[2]ASB!DZ112</f>
        <v>0</v>
      </c>
      <c r="AW463" s="64">
        <f>[2]ASB!EA112</f>
        <v>0</v>
      </c>
      <c r="AX463" s="64">
        <f>[2]ASB!EB112</f>
        <v>0</v>
      </c>
      <c r="AY463" s="64">
        <f>[2]ASB!EC112</f>
        <v>0</v>
      </c>
    </row>
    <row r="464" spans="3:51" x14ac:dyDescent="0.35">
      <c r="C464" s="385" t="s">
        <v>11</v>
      </c>
      <c r="D464" s="64">
        <f>[2]ASB!CH113</f>
        <v>0</v>
      </c>
      <c r="E464" s="64">
        <f>[2]ASB!CI113</f>
        <v>1</v>
      </c>
      <c r="F464" s="64">
        <f>[2]ASB!CJ113</f>
        <v>0</v>
      </c>
      <c r="G464" s="64">
        <f>[2]ASB!CK113</f>
        <v>0</v>
      </c>
      <c r="H464" s="64">
        <f>[2]ASB!CL113</f>
        <v>0</v>
      </c>
      <c r="I464" s="64">
        <f>[2]ASB!CM113</f>
        <v>0</v>
      </c>
      <c r="J464" s="64">
        <f>[2]ASB!CN113</f>
        <v>1</v>
      </c>
      <c r="K464" s="64">
        <f>[2]ASB!CO113</f>
        <v>0</v>
      </c>
      <c r="L464" s="64">
        <f>[2]ASB!CP113</f>
        <v>0</v>
      </c>
      <c r="M464" s="64">
        <f>[2]ASB!CQ113</f>
        <v>0</v>
      </c>
      <c r="N464" s="64">
        <f>[2]ASB!CR113</f>
        <v>0</v>
      </c>
      <c r="O464" s="64">
        <f>[2]ASB!CS113</f>
        <v>0</v>
      </c>
      <c r="P464" s="64">
        <f>[2]ASB!CT113</f>
        <v>0</v>
      </c>
      <c r="Q464" s="64">
        <f>[2]ASB!CU113</f>
        <v>0</v>
      </c>
      <c r="R464" s="64">
        <f>[2]ASB!CV113</f>
        <v>0</v>
      </c>
      <c r="S464" s="64">
        <f>[2]ASB!CW113</f>
        <v>0</v>
      </c>
      <c r="T464" s="64">
        <f>[2]ASB!CX113</f>
        <v>0</v>
      </c>
      <c r="U464" s="64">
        <f>[2]ASB!CY113</f>
        <v>0</v>
      </c>
      <c r="V464" s="64">
        <f>[2]ASB!CZ113</f>
        <v>0</v>
      </c>
      <c r="W464" s="64">
        <f>[2]ASB!DA113</f>
        <v>0</v>
      </c>
      <c r="X464" s="64">
        <f>[2]ASB!DB113</f>
        <v>0</v>
      </c>
      <c r="Y464" s="64">
        <f>[2]ASB!DC113</f>
        <v>0</v>
      </c>
      <c r="Z464" s="64">
        <f>[2]ASB!DD113</f>
        <v>0</v>
      </c>
      <c r="AA464" s="64">
        <f>[2]ASB!DE113</f>
        <v>0</v>
      </c>
      <c r="AB464" s="64">
        <f>[2]ASB!DF113</f>
        <v>0</v>
      </c>
      <c r="AC464" s="64">
        <f>[2]ASB!DG113</f>
        <v>0</v>
      </c>
      <c r="AD464" s="64">
        <f>[2]ASB!DH113</f>
        <v>0</v>
      </c>
      <c r="AE464" s="64">
        <f>[2]ASB!DI113</f>
        <v>0</v>
      </c>
      <c r="AF464" s="64">
        <f>[2]ASB!DJ113</f>
        <v>0</v>
      </c>
      <c r="AG464" s="64">
        <f>[2]ASB!DK113</f>
        <v>0</v>
      </c>
      <c r="AH464" s="64">
        <f>[2]ASB!DL113</f>
        <v>0</v>
      </c>
      <c r="AI464" s="64">
        <f>[2]ASB!DM113</f>
        <v>0</v>
      </c>
      <c r="AJ464" s="64">
        <f>[2]ASB!DN113</f>
        <v>0</v>
      </c>
      <c r="AK464" s="64">
        <f>[2]ASB!DO113</f>
        <v>0</v>
      </c>
      <c r="AL464" s="64">
        <f>[2]ASB!DP113</f>
        <v>0</v>
      </c>
      <c r="AM464" s="64">
        <f>[2]ASB!DQ113</f>
        <v>0</v>
      </c>
      <c r="AN464" s="64">
        <f>[2]ASB!DR113</f>
        <v>0</v>
      </c>
      <c r="AO464" s="64">
        <f>[2]ASB!DS113</f>
        <v>0</v>
      </c>
      <c r="AP464" s="64">
        <f>[2]ASB!DT113</f>
        <v>0</v>
      </c>
      <c r="AQ464" s="64">
        <f>[2]ASB!DU113</f>
        <v>0</v>
      </c>
      <c r="AR464" s="64">
        <f>[2]ASB!DV113</f>
        <v>0</v>
      </c>
      <c r="AS464" s="64">
        <f>[2]ASB!DW113</f>
        <v>0</v>
      </c>
      <c r="AT464" s="64">
        <f>[2]ASB!DX113</f>
        <v>0</v>
      </c>
      <c r="AU464" s="64">
        <f>[2]ASB!DY113</f>
        <v>0</v>
      </c>
      <c r="AV464" s="64">
        <f>[2]ASB!DZ113</f>
        <v>0</v>
      </c>
      <c r="AW464" s="64">
        <f>[2]ASB!EA113</f>
        <v>0</v>
      </c>
      <c r="AX464" s="64">
        <f>[2]ASB!EB113</f>
        <v>0</v>
      </c>
      <c r="AY464" s="64">
        <f>[2]ASB!EC113</f>
        <v>0</v>
      </c>
    </row>
    <row r="465" spans="3:52" x14ac:dyDescent="0.35">
      <c r="C465" s="385" t="s">
        <v>129</v>
      </c>
      <c r="D465" s="64">
        <f>[2]ASB!CH114</f>
        <v>39</v>
      </c>
      <c r="E465" s="64">
        <f>[2]ASB!CI114</f>
        <v>15</v>
      </c>
      <c r="F465" s="64">
        <f>[2]ASB!CJ114</f>
        <v>33</v>
      </c>
      <c r="G465" s="64">
        <f>[2]ASB!CK114</f>
        <v>15</v>
      </c>
      <c r="H465" s="64">
        <f>[2]ASB!CL114</f>
        <v>1</v>
      </c>
      <c r="I465" s="64">
        <f>[2]ASB!CM114</f>
        <v>0</v>
      </c>
      <c r="J465" s="64">
        <f>[2]ASB!CN114</f>
        <v>0</v>
      </c>
      <c r="K465" s="64">
        <f>[2]ASB!CO114</f>
        <v>0</v>
      </c>
      <c r="L465" s="64">
        <f>[2]ASB!CP114</f>
        <v>0</v>
      </c>
      <c r="M465" s="64">
        <f>[2]ASB!CQ114</f>
        <v>0</v>
      </c>
      <c r="N465" s="64">
        <f>[2]ASB!CR114</f>
        <v>0</v>
      </c>
      <c r="O465" s="64">
        <f>[2]ASB!CS114</f>
        <v>0</v>
      </c>
      <c r="P465" s="64">
        <f>[2]ASB!CT114</f>
        <v>0</v>
      </c>
      <c r="Q465" s="64">
        <f>[2]ASB!CU114</f>
        <v>0</v>
      </c>
      <c r="R465" s="64">
        <f>[2]ASB!CV114</f>
        <v>0</v>
      </c>
      <c r="S465" s="64">
        <f>[2]ASB!CW114</f>
        <v>0</v>
      </c>
      <c r="T465" s="64">
        <f>[2]ASB!CX114</f>
        <v>0</v>
      </c>
      <c r="U465" s="64">
        <f>[2]ASB!CY114</f>
        <v>0</v>
      </c>
      <c r="V465" s="64">
        <f>[2]ASB!CZ114</f>
        <v>0</v>
      </c>
      <c r="W465" s="64">
        <f>[2]ASB!DA114</f>
        <v>0</v>
      </c>
      <c r="X465" s="64">
        <f>[2]ASB!DB114</f>
        <v>0</v>
      </c>
      <c r="Y465" s="64">
        <f>[2]ASB!DC114</f>
        <v>0</v>
      </c>
      <c r="Z465" s="64">
        <f>[2]ASB!DD114</f>
        <v>0</v>
      </c>
      <c r="AA465" s="64">
        <f>[2]ASB!DE114</f>
        <v>0</v>
      </c>
      <c r="AB465" s="64">
        <f>[2]ASB!DF114</f>
        <v>0</v>
      </c>
      <c r="AC465" s="64">
        <f>[2]ASB!DG114</f>
        <v>0</v>
      </c>
      <c r="AD465" s="64">
        <f>[2]ASB!DH114</f>
        <v>0</v>
      </c>
      <c r="AE465" s="64">
        <f>[2]ASB!DI114</f>
        <v>0</v>
      </c>
      <c r="AF465" s="64">
        <f>[2]ASB!DJ114</f>
        <v>0</v>
      </c>
      <c r="AG465" s="64">
        <f>[2]ASB!DK114</f>
        <v>0</v>
      </c>
      <c r="AH465" s="64">
        <f>[2]ASB!DL114</f>
        <v>0</v>
      </c>
      <c r="AI465" s="64">
        <f>[2]ASB!DM114</f>
        <v>0</v>
      </c>
      <c r="AJ465" s="64">
        <f>[2]ASB!DN114</f>
        <v>0</v>
      </c>
      <c r="AK465" s="64">
        <f>[2]ASB!DO114</f>
        <v>0</v>
      </c>
      <c r="AL465" s="64">
        <f>[2]ASB!DP114</f>
        <v>0</v>
      </c>
      <c r="AM465" s="64">
        <f>[2]ASB!DQ114</f>
        <v>0</v>
      </c>
      <c r="AN465" s="64">
        <f>[2]ASB!DR114</f>
        <v>0</v>
      </c>
      <c r="AO465" s="64">
        <f>[2]ASB!DS114</f>
        <v>0</v>
      </c>
      <c r="AP465" s="64">
        <f>[2]ASB!DT114</f>
        <v>0</v>
      </c>
      <c r="AQ465" s="64">
        <f>[2]ASB!DU114</f>
        <v>0</v>
      </c>
      <c r="AR465" s="64">
        <f>[2]ASB!DV114</f>
        <v>0</v>
      </c>
      <c r="AS465" s="64">
        <f>[2]ASB!DW114</f>
        <v>0</v>
      </c>
      <c r="AT465" s="64">
        <f>[2]ASB!DX114</f>
        <v>0</v>
      </c>
      <c r="AU465" s="64">
        <f>[2]ASB!DY114</f>
        <v>0</v>
      </c>
      <c r="AV465" s="64">
        <f>[2]ASB!DZ114</f>
        <v>0</v>
      </c>
      <c r="AW465" s="64">
        <f>[2]ASB!EA114</f>
        <v>0</v>
      </c>
      <c r="AX465" s="64">
        <f>[2]ASB!EB114</f>
        <v>0</v>
      </c>
      <c r="AY465" s="64">
        <f>[2]ASB!EC114</f>
        <v>0</v>
      </c>
    </row>
    <row r="466" spans="3:52" x14ac:dyDescent="0.35">
      <c r="C466" s="385" t="s">
        <v>13</v>
      </c>
      <c r="D466" s="64">
        <f>[2]ASB!CH115</f>
        <v>26</v>
      </c>
      <c r="E466" s="64">
        <f>[2]ASB!CI115</f>
        <v>12</v>
      </c>
      <c r="F466" s="64">
        <f>[2]ASB!CJ115</f>
        <v>12</v>
      </c>
      <c r="G466" s="64">
        <f>[2]ASB!CK115</f>
        <v>6</v>
      </c>
      <c r="H466" s="64">
        <f>[2]ASB!CL115</f>
        <v>2</v>
      </c>
      <c r="I466" s="64">
        <f>[2]ASB!CM115</f>
        <v>1</v>
      </c>
      <c r="J466" s="64">
        <f>[2]ASB!CN115</f>
        <v>2</v>
      </c>
      <c r="K466" s="64">
        <f>[2]ASB!CO115</f>
        <v>0</v>
      </c>
      <c r="L466" s="64">
        <f>[2]ASB!CP115</f>
        <v>1</v>
      </c>
      <c r="M466" s="64">
        <f>[2]ASB!CQ115</f>
        <v>0</v>
      </c>
      <c r="N466" s="64">
        <f>[2]ASB!CR115</f>
        <v>0</v>
      </c>
      <c r="O466" s="64">
        <f>[2]ASB!CS115</f>
        <v>0</v>
      </c>
      <c r="P466" s="64">
        <f>[2]ASB!CT115</f>
        <v>0</v>
      </c>
      <c r="Q466" s="64">
        <f>[2]ASB!CU115</f>
        <v>0</v>
      </c>
      <c r="R466" s="64">
        <f>[2]ASB!CV115</f>
        <v>0</v>
      </c>
      <c r="S466" s="64">
        <f>[2]ASB!CW115</f>
        <v>0</v>
      </c>
      <c r="T466" s="64">
        <f>[2]ASB!CX115</f>
        <v>0</v>
      </c>
      <c r="U466" s="64">
        <f>[2]ASB!CY115</f>
        <v>0</v>
      </c>
      <c r="V466" s="64">
        <f>[2]ASB!CZ115</f>
        <v>0</v>
      </c>
      <c r="W466" s="64">
        <f>[2]ASB!DA115</f>
        <v>0</v>
      </c>
      <c r="X466" s="64">
        <f>[2]ASB!DB115</f>
        <v>0</v>
      </c>
      <c r="Y466" s="64">
        <f>[2]ASB!DC115</f>
        <v>0</v>
      </c>
      <c r="Z466" s="64">
        <f>[2]ASB!DD115</f>
        <v>0</v>
      </c>
      <c r="AA466" s="64">
        <f>[2]ASB!DE115</f>
        <v>0</v>
      </c>
      <c r="AB466" s="64">
        <f>[2]ASB!DF115</f>
        <v>0</v>
      </c>
      <c r="AC466" s="64">
        <f>[2]ASB!DG115</f>
        <v>0</v>
      </c>
      <c r="AD466" s="64">
        <f>[2]ASB!DH115</f>
        <v>0</v>
      </c>
      <c r="AE466" s="64">
        <f>[2]ASB!DI115</f>
        <v>0</v>
      </c>
      <c r="AF466" s="64">
        <f>[2]ASB!DJ115</f>
        <v>0</v>
      </c>
      <c r="AG466" s="64">
        <f>[2]ASB!DK115</f>
        <v>0</v>
      </c>
      <c r="AH466" s="64">
        <f>[2]ASB!DL115</f>
        <v>0</v>
      </c>
      <c r="AI466" s="64">
        <f>[2]ASB!DM115</f>
        <v>0</v>
      </c>
      <c r="AJ466" s="64">
        <f>[2]ASB!DN115</f>
        <v>0</v>
      </c>
      <c r="AK466" s="64">
        <f>[2]ASB!DO115</f>
        <v>0</v>
      </c>
      <c r="AL466" s="64">
        <f>[2]ASB!DP115</f>
        <v>0</v>
      </c>
      <c r="AM466" s="64">
        <f>[2]ASB!DQ115</f>
        <v>0</v>
      </c>
      <c r="AN466" s="64">
        <f>[2]ASB!DR115</f>
        <v>0</v>
      </c>
      <c r="AO466" s="64">
        <f>[2]ASB!DS115</f>
        <v>0</v>
      </c>
      <c r="AP466" s="64">
        <f>[2]ASB!DT115</f>
        <v>0</v>
      </c>
      <c r="AQ466" s="64">
        <f>[2]ASB!DU115</f>
        <v>0</v>
      </c>
      <c r="AR466" s="64">
        <f>[2]ASB!DV115</f>
        <v>0</v>
      </c>
      <c r="AS466" s="64">
        <f>[2]ASB!DW115</f>
        <v>0</v>
      </c>
      <c r="AT466" s="64">
        <f>[2]ASB!DX115</f>
        <v>0</v>
      </c>
      <c r="AU466" s="64">
        <f>[2]ASB!DY115</f>
        <v>0</v>
      </c>
      <c r="AV466" s="64">
        <f>[2]ASB!DZ115</f>
        <v>0</v>
      </c>
      <c r="AW466" s="64">
        <f>[2]ASB!EA115</f>
        <v>0</v>
      </c>
      <c r="AX466" s="64">
        <f>[2]ASB!EB115</f>
        <v>0</v>
      </c>
      <c r="AY466" s="64">
        <f>[2]ASB!EC115</f>
        <v>0</v>
      </c>
    </row>
    <row r="467" spans="3:52" x14ac:dyDescent="0.35">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row>
    <row r="468" spans="3:52" x14ac:dyDescent="0.35">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row>
    <row r="469" spans="3:52" x14ac:dyDescent="0.35">
      <c r="C469" s="424" t="s">
        <v>254</v>
      </c>
      <c r="D469" s="39">
        <v>44287</v>
      </c>
      <c r="E469" s="39">
        <v>44317</v>
      </c>
      <c r="F469" s="39">
        <v>44348</v>
      </c>
      <c r="G469" s="39">
        <v>44378</v>
      </c>
      <c r="H469" s="39">
        <v>44409</v>
      </c>
      <c r="I469" s="39">
        <v>44440</v>
      </c>
      <c r="J469" s="39">
        <v>44470</v>
      </c>
      <c r="K469" s="39">
        <v>44501</v>
      </c>
      <c r="L469" s="39">
        <v>44531</v>
      </c>
      <c r="M469" s="39">
        <v>44562</v>
      </c>
      <c r="N469" s="39">
        <v>44593</v>
      </c>
      <c r="O469" s="39">
        <v>44621</v>
      </c>
      <c r="P469" s="39">
        <v>44652</v>
      </c>
      <c r="Q469" s="39">
        <v>44682</v>
      </c>
      <c r="R469" s="39">
        <v>44713</v>
      </c>
      <c r="S469" s="39">
        <v>44743</v>
      </c>
      <c r="T469" s="39">
        <v>44774</v>
      </c>
      <c r="U469" s="39">
        <v>44805</v>
      </c>
      <c r="V469" s="39">
        <v>44835</v>
      </c>
      <c r="W469" s="39">
        <v>44866</v>
      </c>
      <c r="X469" s="39">
        <v>44896</v>
      </c>
      <c r="Y469" s="39">
        <v>44927</v>
      </c>
      <c r="Z469" s="39">
        <v>44958</v>
      </c>
      <c r="AA469" s="39">
        <v>44986</v>
      </c>
      <c r="AB469" s="39">
        <v>45017</v>
      </c>
      <c r="AC469" s="39">
        <v>45047</v>
      </c>
      <c r="AD469" s="39">
        <v>45078</v>
      </c>
      <c r="AE469" s="39">
        <v>45108</v>
      </c>
      <c r="AF469" s="39">
        <v>45139</v>
      </c>
      <c r="AG469" s="39">
        <v>45170</v>
      </c>
      <c r="AH469" s="39">
        <v>45200</v>
      </c>
      <c r="AI469" s="39">
        <v>45231</v>
      </c>
      <c r="AJ469" s="39">
        <v>45261</v>
      </c>
      <c r="AK469" s="39">
        <v>45292</v>
      </c>
      <c r="AL469" s="39">
        <v>45323</v>
      </c>
      <c r="AM469" s="39">
        <v>45352</v>
      </c>
      <c r="AN469" s="39">
        <v>45383</v>
      </c>
      <c r="AO469" s="39">
        <v>45413</v>
      </c>
      <c r="AP469" s="39">
        <v>45444</v>
      </c>
      <c r="AQ469" s="39">
        <v>45474</v>
      </c>
      <c r="AR469" s="39">
        <v>45505</v>
      </c>
      <c r="AS469" s="39">
        <v>45536</v>
      </c>
      <c r="AT469" s="39">
        <v>45566</v>
      </c>
      <c r="AU469" s="39">
        <v>45597</v>
      </c>
      <c r="AV469" s="39">
        <v>45627</v>
      </c>
      <c r="AW469" s="39">
        <v>45658</v>
      </c>
      <c r="AX469" s="39">
        <v>45689</v>
      </c>
      <c r="AY469" s="39">
        <v>45717</v>
      </c>
    </row>
    <row r="470" spans="3:52" x14ac:dyDescent="0.35">
      <c r="C470" s="419" t="s">
        <v>212</v>
      </c>
      <c r="D470" s="64">
        <f>'[2]VAP Knife Crime'!Z3</f>
        <v>1</v>
      </c>
      <c r="E470" s="64">
        <f>'[2]VAP Knife Crime'!AA3</f>
        <v>0</v>
      </c>
      <c r="F470" s="64">
        <f>'[2]VAP Knife Crime'!AB3</f>
        <v>4</v>
      </c>
      <c r="G470" s="64">
        <f>'[2]VAP Knife Crime'!AC3</f>
        <v>5</v>
      </c>
      <c r="H470" s="64">
        <f>'[2]VAP Knife Crime'!AD3</f>
        <v>0</v>
      </c>
      <c r="I470" s="64">
        <f>'[2]VAP Knife Crime'!AE3</f>
        <v>3</v>
      </c>
      <c r="J470" s="64">
        <f>'[2]VAP Knife Crime'!AF3</f>
        <v>1</v>
      </c>
      <c r="K470" s="64">
        <f>'[2]VAP Knife Crime'!AG3</f>
        <v>2</v>
      </c>
      <c r="L470" s="64">
        <f>'[2]VAP Knife Crime'!AH3</f>
        <v>0</v>
      </c>
      <c r="M470" s="64">
        <f>'[2]VAP Knife Crime'!AI3</f>
        <v>0</v>
      </c>
      <c r="N470" s="64">
        <f>'[2]VAP Knife Crime'!AJ3</f>
        <v>4</v>
      </c>
      <c r="O470" s="64">
        <f>'[2]VAP Knife Crime'!AK3</f>
        <v>1</v>
      </c>
      <c r="P470" s="64">
        <f>'[2]VAP Knife Crime'!AL3</f>
        <v>2</v>
      </c>
      <c r="Q470" s="64">
        <f>'[2]VAP Knife Crime'!AM3</f>
        <v>3</v>
      </c>
      <c r="R470" s="64">
        <f>'[2]VAP Knife Crime'!AN3</f>
        <v>2</v>
      </c>
      <c r="S470" s="64">
        <f>'[2]VAP Knife Crime'!AO3</f>
        <v>0</v>
      </c>
      <c r="T470" s="64">
        <f>'[2]VAP Knife Crime'!AP3</f>
        <v>6</v>
      </c>
      <c r="U470" s="64">
        <f>'[2]VAP Knife Crime'!AQ3</f>
        <v>2</v>
      </c>
      <c r="V470" s="64">
        <f>'[2]VAP Knife Crime'!AR3</f>
        <v>1</v>
      </c>
      <c r="W470" s="64">
        <f>'[2]VAP Knife Crime'!AS3</f>
        <v>3</v>
      </c>
      <c r="X470" s="64">
        <f>'[2]VAP Knife Crime'!AT3</f>
        <v>2</v>
      </c>
      <c r="Y470" s="64">
        <f>'[2]VAP Knife Crime'!AU3</f>
        <v>2</v>
      </c>
      <c r="Z470" s="64">
        <f>'[2]VAP Knife Crime'!AV3</f>
        <v>4</v>
      </c>
      <c r="AA470" s="64">
        <f>'[2]VAP Knife Crime'!AW3</f>
        <v>2</v>
      </c>
      <c r="AB470" s="64">
        <f>'[2]VAP Knife Crime'!AX3</f>
        <v>4</v>
      </c>
      <c r="AC470" s="64">
        <f>'[2]VAP Knife Crime'!AY3</f>
        <v>8</v>
      </c>
      <c r="AD470" s="64">
        <f>'[2]VAP Knife Crime'!AZ3</f>
        <v>2</v>
      </c>
      <c r="AE470" s="64">
        <f>'[2]VAP Knife Crime'!BA3</f>
        <v>2</v>
      </c>
      <c r="AF470" s="64">
        <f>'[2]VAP Knife Crime'!BB3</f>
        <v>1</v>
      </c>
      <c r="AG470" s="64">
        <f>'[2]VAP Knife Crime'!BC3</f>
        <v>0</v>
      </c>
      <c r="AH470" s="64">
        <f>'[2]VAP Knife Crime'!BD3</f>
        <v>1</v>
      </c>
      <c r="AI470" s="64">
        <f>'[2]VAP Knife Crime'!BE3</f>
        <v>1</v>
      </c>
      <c r="AJ470" s="64">
        <f>'[2]VAP Knife Crime'!BF3</f>
        <v>2</v>
      </c>
      <c r="AK470" s="64">
        <f>'[2]VAP Knife Crime'!BG3</f>
        <v>2</v>
      </c>
      <c r="AL470" s="64">
        <f>'[2]VAP Knife Crime'!BH3</f>
        <v>0</v>
      </c>
      <c r="AM470" s="64">
        <f>'[2]VAP Knife Crime'!BI3</f>
        <v>2</v>
      </c>
      <c r="AN470" s="64">
        <f>'[2]VAP Knife Crime'!BJ3</f>
        <v>1</v>
      </c>
      <c r="AO470" s="64">
        <f>'[2]VAP Knife Crime'!BK3</f>
        <v>2</v>
      </c>
      <c r="AP470" s="64">
        <f>'[2]VAP Knife Crime'!BL3</f>
        <v>1</v>
      </c>
      <c r="AQ470" s="64">
        <f>'[2]VAP Knife Crime'!BM3</f>
        <v>1</v>
      </c>
      <c r="AR470" s="64">
        <f>'[2]VAP Knife Crime'!BN3</f>
        <v>1</v>
      </c>
      <c r="AS470" s="64">
        <f>'[2]VAP Knife Crime'!BO3</f>
        <v>1</v>
      </c>
      <c r="AT470" s="64">
        <f>'[2]VAP Knife Crime'!BP3</f>
        <v>3</v>
      </c>
      <c r="AU470" s="64">
        <f>'[2]VAP Knife Crime'!BQ3</f>
        <v>1</v>
      </c>
      <c r="AV470" s="64">
        <f>'[2]VAP Knife Crime'!BR3</f>
        <v>2</v>
      </c>
      <c r="AW470" s="64">
        <f>'[2]VAP Knife Crime'!BS3</f>
        <v>3</v>
      </c>
      <c r="AX470" s="64">
        <f>'[2]VAP Knife Crime'!BT3</f>
        <v>2</v>
      </c>
      <c r="AY470" s="64">
        <f>'[2]VAP Knife Crime'!BU3</f>
        <v>0</v>
      </c>
    </row>
    <row r="471" spans="3:52" x14ac:dyDescent="0.35">
      <c r="C471" s="419" t="s">
        <v>213</v>
      </c>
      <c r="D471" s="64">
        <f>'[2]VAP Knife Crime'!Z4</f>
        <v>5</v>
      </c>
      <c r="E471" s="64">
        <f>'[2]VAP Knife Crime'!AA4</f>
        <v>7</v>
      </c>
      <c r="F471" s="64">
        <f>'[2]VAP Knife Crime'!AB4</f>
        <v>12</v>
      </c>
      <c r="G471" s="64">
        <f>'[2]VAP Knife Crime'!AC4</f>
        <v>14</v>
      </c>
      <c r="H471" s="64">
        <f>'[2]VAP Knife Crime'!AD4</f>
        <v>7</v>
      </c>
      <c r="I471" s="64">
        <f>'[2]VAP Knife Crime'!AE4</f>
        <v>5</v>
      </c>
      <c r="J471" s="64">
        <f>'[2]VAP Knife Crime'!AF4</f>
        <v>9</v>
      </c>
      <c r="K471" s="64">
        <f>'[2]VAP Knife Crime'!AG4</f>
        <v>14</v>
      </c>
      <c r="L471" s="64">
        <f>'[2]VAP Knife Crime'!AH4</f>
        <v>5</v>
      </c>
      <c r="M471" s="64">
        <f>'[2]VAP Knife Crime'!AI4</f>
        <v>9</v>
      </c>
      <c r="N471" s="64">
        <f>'[2]VAP Knife Crime'!AJ4</f>
        <v>5</v>
      </c>
      <c r="O471" s="64">
        <f>'[2]VAP Knife Crime'!AK4</f>
        <v>7</v>
      </c>
      <c r="P471" s="64">
        <f>'[2]VAP Knife Crime'!AL4</f>
        <v>12</v>
      </c>
      <c r="Q471" s="64">
        <f>'[2]VAP Knife Crime'!AM4</f>
        <v>10</v>
      </c>
      <c r="R471" s="64">
        <f>'[2]VAP Knife Crime'!AN4</f>
        <v>18</v>
      </c>
      <c r="S471" s="64">
        <f>'[2]VAP Knife Crime'!AO4</f>
        <v>9</v>
      </c>
      <c r="T471" s="64">
        <f>'[2]VAP Knife Crime'!AP4</f>
        <v>11</v>
      </c>
      <c r="U471" s="64">
        <f>'[2]VAP Knife Crime'!AQ4</f>
        <v>7</v>
      </c>
      <c r="V471" s="64">
        <f>'[2]VAP Knife Crime'!AR4</f>
        <v>7</v>
      </c>
      <c r="W471" s="64">
        <f>'[2]VAP Knife Crime'!AS4</f>
        <v>12</v>
      </c>
      <c r="X471" s="64">
        <f>'[2]VAP Knife Crime'!AT4</f>
        <v>8</v>
      </c>
      <c r="Y471" s="64">
        <f>'[2]VAP Knife Crime'!AU4</f>
        <v>10</v>
      </c>
      <c r="Z471" s="64">
        <f>'[2]VAP Knife Crime'!AV4</f>
        <v>4</v>
      </c>
      <c r="AA471" s="64">
        <f>'[2]VAP Knife Crime'!AW4</f>
        <v>10</v>
      </c>
      <c r="AB471" s="64">
        <f>'[2]VAP Knife Crime'!AX4</f>
        <v>8</v>
      </c>
      <c r="AC471" s="64">
        <f>'[2]VAP Knife Crime'!AY4</f>
        <v>6</v>
      </c>
      <c r="AD471" s="64">
        <f>'[2]VAP Knife Crime'!AZ4</f>
        <v>5</v>
      </c>
      <c r="AE471" s="64">
        <f>'[2]VAP Knife Crime'!BA4</f>
        <v>9</v>
      </c>
      <c r="AF471" s="64">
        <f>'[2]VAP Knife Crime'!BB4</f>
        <v>7</v>
      </c>
      <c r="AG471" s="64">
        <f>'[2]VAP Knife Crime'!BC4</f>
        <v>8</v>
      </c>
      <c r="AH471" s="64">
        <f>'[2]VAP Knife Crime'!BD4</f>
        <v>8</v>
      </c>
      <c r="AI471" s="64">
        <f>'[2]VAP Knife Crime'!BE4</f>
        <v>5</v>
      </c>
      <c r="AJ471" s="64">
        <f>'[2]VAP Knife Crime'!BF4</f>
        <v>4</v>
      </c>
      <c r="AK471" s="64">
        <f>'[2]VAP Knife Crime'!BG4</f>
        <v>2</v>
      </c>
      <c r="AL471" s="64">
        <f>'[2]VAP Knife Crime'!BH4</f>
        <v>9</v>
      </c>
      <c r="AM471" s="64">
        <f>'[2]VAP Knife Crime'!BI4</f>
        <v>6</v>
      </c>
      <c r="AN471" s="64">
        <f>'[2]VAP Knife Crime'!BJ4</f>
        <v>9</v>
      </c>
      <c r="AO471" s="64">
        <f>'[2]VAP Knife Crime'!BK4</f>
        <v>7</v>
      </c>
      <c r="AP471" s="64">
        <f>'[2]VAP Knife Crime'!BL4</f>
        <v>8</v>
      </c>
      <c r="AQ471" s="64">
        <f>'[2]VAP Knife Crime'!BM4</f>
        <v>10</v>
      </c>
      <c r="AR471" s="64">
        <f>'[2]VAP Knife Crime'!BN4</f>
        <v>5</v>
      </c>
      <c r="AS471" s="64">
        <f>'[2]VAP Knife Crime'!BO4</f>
        <v>9</v>
      </c>
      <c r="AT471" s="64">
        <f>'[2]VAP Knife Crime'!BP4</f>
        <v>5</v>
      </c>
      <c r="AU471" s="64">
        <f>'[2]VAP Knife Crime'!BQ4</f>
        <v>4</v>
      </c>
      <c r="AV471" s="64">
        <f>'[2]VAP Knife Crime'!BR4</f>
        <v>3</v>
      </c>
      <c r="AW471" s="64">
        <f>'[2]VAP Knife Crime'!BS4</f>
        <v>9</v>
      </c>
      <c r="AX471" s="64">
        <f>'[2]VAP Knife Crime'!BT4</f>
        <v>5</v>
      </c>
      <c r="AY471" s="64">
        <f>'[2]VAP Knife Crime'!BU4</f>
        <v>3</v>
      </c>
    </row>
    <row r="472" spans="3:52" x14ac:dyDescent="0.35">
      <c r="C472" s="419" t="s">
        <v>214</v>
      </c>
      <c r="D472" s="64">
        <f>'[2]VAP Knife Crime'!Z5</f>
        <v>2</v>
      </c>
      <c r="E472" s="64">
        <f>'[2]VAP Knife Crime'!AA5</f>
        <v>7</v>
      </c>
      <c r="F472" s="64">
        <f>'[2]VAP Knife Crime'!AB5</f>
        <v>8</v>
      </c>
      <c r="G472" s="64">
        <f>'[2]VAP Knife Crime'!AC5</f>
        <v>9</v>
      </c>
      <c r="H472" s="64">
        <f>'[2]VAP Knife Crime'!AD5</f>
        <v>6</v>
      </c>
      <c r="I472" s="64">
        <f>'[2]VAP Knife Crime'!AE5</f>
        <v>3</v>
      </c>
      <c r="J472" s="64">
        <f>'[2]VAP Knife Crime'!AF5</f>
        <v>12</v>
      </c>
      <c r="K472" s="64">
        <f>'[2]VAP Knife Crime'!AG5</f>
        <v>3</v>
      </c>
      <c r="L472" s="64">
        <f>'[2]VAP Knife Crime'!AH5</f>
        <v>4</v>
      </c>
      <c r="M472" s="64">
        <f>'[2]VAP Knife Crime'!AI5</f>
        <v>3</v>
      </c>
      <c r="N472" s="64">
        <f>'[2]VAP Knife Crime'!AJ5</f>
        <v>2</v>
      </c>
      <c r="O472" s="64">
        <f>'[2]VAP Knife Crime'!AK5</f>
        <v>4</v>
      </c>
      <c r="P472" s="64">
        <f>'[2]VAP Knife Crime'!AL5</f>
        <v>5</v>
      </c>
      <c r="Q472" s="64">
        <f>'[2]VAP Knife Crime'!AM5</f>
        <v>7</v>
      </c>
      <c r="R472" s="64">
        <f>'[2]VAP Knife Crime'!AN5</f>
        <v>6</v>
      </c>
      <c r="S472" s="64">
        <f>'[2]VAP Knife Crime'!AO5</f>
        <v>9</v>
      </c>
      <c r="T472" s="64">
        <f>'[2]VAP Knife Crime'!AP5</f>
        <v>2</v>
      </c>
      <c r="U472" s="64">
        <f>'[2]VAP Knife Crime'!AQ5</f>
        <v>5</v>
      </c>
      <c r="V472" s="64">
        <f>'[2]VAP Knife Crime'!AR5</f>
        <v>3</v>
      </c>
      <c r="W472" s="64">
        <f>'[2]VAP Knife Crime'!AS5</f>
        <v>2</v>
      </c>
      <c r="X472" s="64">
        <f>'[2]VAP Knife Crime'!AT5</f>
        <v>6</v>
      </c>
      <c r="Y472" s="64">
        <f>'[2]VAP Knife Crime'!AU5</f>
        <v>4</v>
      </c>
      <c r="Z472" s="64">
        <f>'[2]VAP Knife Crime'!AV5</f>
        <v>6</v>
      </c>
      <c r="AA472" s="64">
        <f>'[2]VAP Knife Crime'!AW5</f>
        <v>8</v>
      </c>
      <c r="AB472" s="64">
        <f>'[2]VAP Knife Crime'!AX5</f>
        <v>2</v>
      </c>
      <c r="AC472" s="64">
        <f>'[2]VAP Knife Crime'!AY5</f>
        <v>9</v>
      </c>
      <c r="AD472" s="64">
        <f>'[2]VAP Knife Crime'!AZ5</f>
        <v>4</v>
      </c>
      <c r="AE472" s="64">
        <f>'[2]VAP Knife Crime'!BA5</f>
        <v>7</v>
      </c>
      <c r="AF472" s="64">
        <f>'[2]VAP Knife Crime'!BB5</f>
        <v>4</v>
      </c>
      <c r="AG472" s="64">
        <f>'[2]VAP Knife Crime'!BC5</f>
        <v>5</v>
      </c>
      <c r="AH472" s="64">
        <f>'[2]VAP Knife Crime'!BD5</f>
        <v>6</v>
      </c>
      <c r="AI472" s="64">
        <f>'[2]VAP Knife Crime'!BE5</f>
        <v>3</v>
      </c>
      <c r="AJ472" s="64">
        <f>'[2]VAP Knife Crime'!BF5</f>
        <v>2</v>
      </c>
      <c r="AK472" s="64">
        <f>'[2]VAP Knife Crime'!BG5</f>
        <v>6</v>
      </c>
      <c r="AL472" s="64">
        <f>'[2]VAP Knife Crime'!BH5</f>
        <v>7</v>
      </c>
      <c r="AM472" s="64">
        <f>'[2]VAP Knife Crime'!BI5</f>
        <v>2</v>
      </c>
      <c r="AN472" s="64">
        <f>'[2]VAP Knife Crime'!BJ5</f>
        <v>3</v>
      </c>
      <c r="AO472" s="64">
        <f>'[2]VAP Knife Crime'!BK5</f>
        <v>5</v>
      </c>
      <c r="AP472" s="64">
        <f>'[2]VAP Knife Crime'!BL5</f>
        <v>5</v>
      </c>
      <c r="AQ472" s="64">
        <f>'[2]VAP Knife Crime'!BM5</f>
        <v>11</v>
      </c>
      <c r="AR472" s="64">
        <f>'[2]VAP Knife Crime'!BN5</f>
        <v>5</v>
      </c>
      <c r="AS472" s="64">
        <f>'[2]VAP Knife Crime'!BO5</f>
        <v>5</v>
      </c>
      <c r="AT472" s="64">
        <f>'[2]VAP Knife Crime'!BP5</f>
        <v>5</v>
      </c>
      <c r="AU472" s="64">
        <f>'[2]VAP Knife Crime'!BQ5</f>
        <v>8</v>
      </c>
      <c r="AV472" s="64">
        <f>'[2]VAP Knife Crime'!BR5</f>
        <v>5</v>
      </c>
      <c r="AW472" s="64">
        <f>'[2]VAP Knife Crime'!BS5</f>
        <v>6</v>
      </c>
      <c r="AX472" s="64">
        <f>'[2]VAP Knife Crime'!BT5</f>
        <v>2</v>
      </c>
      <c r="AY472" s="64">
        <f>'[2]VAP Knife Crime'!BU5</f>
        <v>7</v>
      </c>
    </row>
    <row r="473" spans="3:52" x14ac:dyDescent="0.35">
      <c r="C473" s="419" t="s">
        <v>146</v>
      </c>
      <c r="D473" s="64">
        <f>'[2]VAP Knife Crime'!Z6</f>
        <v>4</v>
      </c>
      <c r="E473" s="64">
        <f>'[2]VAP Knife Crime'!AA6</f>
        <v>7</v>
      </c>
      <c r="F473" s="64">
        <f>'[2]VAP Knife Crime'!AB6</f>
        <v>5</v>
      </c>
      <c r="G473" s="64">
        <f>'[2]VAP Knife Crime'!AC6</f>
        <v>5</v>
      </c>
      <c r="H473" s="64">
        <f>'[2]VAP Knife Crime'!AD6</f>
        <v>4</v>
      </c>
      <c r="I473" s="64">
        <f>'[2]VAP Knife Crime'!AE6</f>
        <v>1</v>
      </c>
      <c r="J473" s="64">
        <f>'[2]VAP Knife Crime'!AF6</f>
        <v>4</v>
      </c>
      <c r="K473" s="64">
        <f>'[2]VAP Knife Crime'!AG6</f>
        <v>3</v>
      </c>
      <c r="L473" s="64">
        <f>'[2]VAP Knife Crime'!AH6</f>
        <v>3</v>
      </c>
      <c r="M473" s="64">
        <f>'[2]VAP Knife Crime'!AI6</f>
        <v>3</v>
      </c>
      <c r="N473" s="64">
        <f>'[2]VAP Knife Crime'!AJ6</f>
        <v>1</v>
      </c>
      <c r="O473" s="64">
        <f>'[2]VAP Knife Crime'!AK6</f>
        <v>2</v>
      </c>
      <c r="P473" s="64">
        <f>'[2]VAP Knife Crime'!AL6</f>
        <v>5</v>
      </c>
      <c r="Q473" s="64">
        <f>'[2]VAP Knife Crime'!AM6</f>
        <v>0</v>
      </c>
      <c r="R473" s="64">
        <f>'[2]VAP Knife Crime'!AN6</f>
        <v>4</v>
      </c>
      <c r="S473" s="64">
        <f>'[2]VAP Knife Crime'!AO6</f>
        <v>2</v>
      </c>
      <c r="T473" s="64">
        <f>'[2]VAP Knife Crime'!AP6</f>
        <v>1</v>
      </c>
      <c r="U473" s="64">
        <f>'[2]VAP Knife Crime'!AQ6</f>
        <v>1</v>
      </c>
      <c r="V473" s="64">
        <f>'[2]VAP Knife Crime'!AR6</f>
        <v>3</v>
      </c>
      <c r="W473" s="64">
        <f>'[2]VAP Knife Crime'!AS6</f>
        <v>2</v>
      </c>
      <c r="X473" s="64">
        <f>'[2]VAP Knife Crime'!AT6</f>
        <v>1</v>
      </c>
      <c r="Y473" s="64">
        <f>'[2]VAP Knife Crime'!AU6</f>
        <v>3</v>
      </c>
      <c r="Z473" s="64">
        <f>'[2]VAP Knife Crime'!AV6</f>
        <v>3</v>
      </c>
      <c r="AA473" s="64">
        <f>'[2]VAP Knife Crime'!AW6</f>
        <v>2</v>
      </c>
      <c r="AB473" s="64">
        <f>'[2]VAP Knife Crime'!AX6</f>
        <v>1</v>
      </c>
      <c r="AC473" s="64">
        <f>'[2]VAP Knife Crime'!AY6</f>
        <v>1</v>
      </c>
      <c r="AD473" s="64">
        <f>'[2]VAP Knife Crime'!AZ6</f>
        <v>3</v>
      </c>
      <c r="AE473" s="64">
        <f>'[2]VAP Knife Crime'!BA6</f>
        <v>6</v>
      </c>
      <c r="AF473" s="64">
        <f>'[2]VAP Knife Crime'!BB6</f>
        <v>5</v>
      </c>
      <c r="AG473" s="64">
        <f>'[2]VAP Knife Crime'!BC6</f>
        <v>5</v>
      </c>
      <c r="AH473" s="64">
        <f>'[2]VAP Knife Crime'!BD6</f>
        <v>1</v>
      </c>
      <c r="AI473" s="64">
        <f>'[2]VAP Knife Crime'!BE6</f>
        <v>4</v>
      </c>
      <c r="AJ473" s="64">
        <f>'[2]VAP Knife Crime'!BF6</f>
        <v>3</v>
      </c>
      <c r="AK473" s="64">
        <f>'[2]VAP Knife Crime'!BG6</f>
        <v>8</v>
      </c>
      <c r="AL473" s="64">
        <f>'[2]VAP Knife Crime'!BH6</f>
        <v>7</v>
      </c>
      <c r="AM473" s="64">
        <f>'[2]VAP Knife Crime'!BI6</f>
        <v>1</v>
      </c>
      <c r="AN473" s="64">
        <f>'[2]VAP Knife Crime'!BJ6</f>
        <v>5</v>
      </c>
      <c r="AO473" s="64">
        <f>'[2]VAP Knife Crime'!BK6</f>
        <v>2</v>
      </c>
      <c r="AP473" s="64">
        <f>'[2]VAP Knife Crime'!BL6</f>
        <v>3</v>
      </c>
      <c r="AQ473" s="64">
        <f>'[2]VAP Knife Crime'!BM6</f>
        <v>3</v>
      </c>
      <c r="AR473" s="64">
        <f>'[2]VAP Knife Crime'!BN6</f>
        <v>2</v>
      </c>
      <c r="AS473" s="64">
        <f>'[2]VAP Knife Crime'!BO6</f>
        <v>2</v>
      </c>
      <c r="AT473" s="64">
        <f>'[2]VAP Knife Crime'!BP6</f>
        <v>3</v>
      </c>
      <c r="AU473" s="64">
        <f>'[2]VAP Knife Crime'!BQ6</f>
        <v>4</v>
      </c>
      <c r="AV473" s="64">
        <f>'[2]VAP Knife Crime'!BR6</f>
        <v>2</v>
      </c>
      <c r="AW473" s="64">
        <f>'[2]VAP Knife Crime'!BS6</f>
        <v>2</v>
      </c>
      <c r="AX473" s="64">
        <f>'[2]VAP Knife Crime'!BT6</f>
        <v>4</v>
      </c>
      <c r="AY473" s="64">
        <f>'[2]VAP Knife Crime'!BU6</f>
        <v>2</v>
      </c>
    </row>
    <row r="474" spans="3:52" x14ac:dyDescent="0.35">
      <c r="C474" s="419" t="s">
        <v>147</v>
      </c>
      <c r="D474" s="64">
        <f>'[2]VAP Knife Crime'!Z7</f>
        <v>2</v>
      </c>
      <c r="E474" s="64">
        <f>'[2]VAP Knife Crime'!AA7</f>
        <v>5</v>
      </c>
      <c r="F474" s="64">
        <f>'[2]VAP Knife Crime'!AB7</f>
        <v>10</v>
      </c>
      <c r="G474" s="64">
        <f>'[2]VAP Knife Crime'!AC7</f>
        <v>2</v>
      </c>
      <c r="H474" s="64">
        <f>'[2]VAP Knife Crime'!AD7</f>
        <v>5</v>
      </c>
      <c r="I474" s="64">
        <f>'[2]VAP Knife Crime'!AE7</f>
        <v>4</v>
      </c>
      <c r="J474" s="64">
        <f>'[2]VAP Knife Crime'!AF7</f>
        <v>4</v>
      </c>
      <c r="K474" s="64">
        <f>'[2]VAP Knife Crime'!AG7</f>
        <v>11</v>
      </c>
      <c r="L474" s="64">
        <f>'[2]VAP Knife Crime'!AH7</f>
        <v>8</v>
      </c>
      <c r="M474" s="64">
        <f>'[2]VAP Knife Crime'!AI7</f>
        <v>4</v>
      </c>
      <c r="N474" s="64">
        <f>'[2]VAP Knife Crime'!AJ7</f>
        <v>4</v>
      </c>
      <c r="O474" s="64">
        <f>'[2]VAP Knife Crime'!AK7</f>
        <v>5</v>
      </c>
      <c r="P474" s="64">
        <f>'[2]VAP Knife Crime'!AL7</f>
        <v>7</v>
      </c>
      <c r="Q474" s="64">
        <f>'[2]VAP Knife Crime'!AM7</f>
        <v>7</v>
      </c>
      <c r="R474" s="64">
        <f>'[2]VAP Knife Crime'!AN7</f>
        <v>9</v>
      </c>
      <c r="S474" s="64">
        <f>'[2]VAP Knife Crime'!AO7</f>
        <v>9</v>
      </c>
      <c r="T474" s="64">
        <f>'[2]VAP Knife Crime'!AP7</f>
        <v>9</v>
      </c>
      <c r="U474" s="64">
        <f>'[2]VAP Knife Crime'!AQ7</f>
        <v>5</v>
      </c>
      <c r="V474" s="64">
        <f>'[2]VAP Knife Crime'!AR7</f>
        <v>2</v>
      </c>
      <c r="W474" s="64">
        <f>'[2]VAP Knife Crime'!AS7</f>
        <v>5</v>
      </c>
      <c r="X474" s="64">
        <f>'[2]VAP Knife Crime'!AT7</f>
        <v>4</v>
      </c>
      <c r="Y474" s="64">
        <f>'[2]VAP Knife Crime'!AU7</f>
        <v>4</v>
      </c>
      <c r="Z474" s="64">
        <f>'[2]VAP Knife Crime'!AV7</f>
        <v>8</v>
      </c>
      <c r="AA474" s="64">
        <f>'[2]VAP Knife Crime'!AW7</f>
        <v>6</v>
      </c>
      <c r="AB474" s="64">
        <f>'[2]VAP Knife Crime'!AX7</f>
        <v>5</v>
      </c>
      <c r="AC474" s="64">
        <f>'[2]VAP Knife Crime'!AY7</f>
        <v>3</v>
      </c>
      <c r="AD474" s="64">
        <f>'[2]VAP Knife Crime'!AZ7</f>
        <v>6</v>
      </c>
      <c r="AE474" s="64">
        <f>'[2]VAP Knife Crime'!BA7</f>
        <v>13</v>
      </c>
      <c r="AF474" s="64">
        <f>'[2]VAP Knife Crime'!BB7</f>
        <v>5</v>
      </c>
      <c r="AG474" s="64">
        <f>'[2]VAP Knife Crime'!BC7</f>
        <v>6</v>
      </c>
      <c r="AH474" s="64">
        <f>'[2]VAP Knife Crime'!BD7</f>
        <v>6</v>
      </c>
      <c r="AI474" s="64">
        <f>'[2]VAP Knife Crime'!BE7</f>
        <v>10</v>
      </c>
      <c r="AJ474" s="64">
        <f>'[2]VAP Knife Crime'!BF7</f>
        <v>2</v>
      </c>
      <c r="AK474" s="64">
        <f>'[2]VAP Knife Crime'!BG7</f>
        <v>7</v>
      </c>
      <c r="AL474" s="64">
        <f>'[2]VAP Knife Crime'!BH7</f>
        <v>8</v>
      </c>
      <c r="AM474" s="64">
        <f>'[2]VAP Knife Crime'!BI7</f>
        <v>2</v>
      </c>
      <c r="AN474" s="64">
        <f>'[2]VAP Knife Crime'!BJ7</f>
        <v>3</v>
      </c>
      <c r="AO474" s="64">
        <f>'[2]VAP Knife Crime'!BK7</f>
        <v>4</v>
      </c>
      <c r="AP474" s="64">
        <f>'[2]VAP Knife Crime'!BL7</f>
        <v>3</v>
      </c>
      <c r="AQ474" s="64">
        <f>'[2]VAP Knife Crime'!BM7</f>
        <v>4</v>
      </c>
      <c r="AR474" s="64">
        <f>'[2]VAP Knife Crime'!BN7</f>
        <v>6</v>
      </c>
      <c r="AS474" s="64">
        <f>'[2]VAP Knife Crime'!BO7</f>
        <v>3</v>
      </c>
      <c r="AT474" s="64">
        <f>'[2]VAP Knife Crime'!BP7</f>
        <v>3</v>
      </c>
      <c r="AU474" s="64">
        <f>'[2]VAP Knife Crime'!BQ7</f>
        <v>3</v>
      </c>
      <c r="AV474" s="64">
        <f>'[2]VAP Knife Crime'!BR7</f>
        <v>7</v>
      </c>
      <c r="AW474" s="64">
        <f>'[2]VAP Knife Crime'!BS7</f>
        <v>4</v>
      </c>
      <c r="AX474" s="64">
        <f>'[2]VAP Knife Crime'!BT7</f>
        <v>3</v>
      </c>
      <c r="AY474" s="64">
        <f>'[2]VAP Knife Crime'!BU7</f>
        <v>3</v>
      </c>
    </row>
    <row r="475" spans="3:52" s="64" customFormat="1" x14ac:dyDescent="0.35">
      <c r="C475" s="419" t="s">
        <v>62</v>
      </c>
      <c r="D475" s="64">
        <f t="shared" ref="D475" si="28">SUM(D473:D474)</f>
        <v>6</v>
      </c>
      <c r="E475" s="64">
        <f t="shared" ref="E475:AY475" si="29">SUM(E473:E474)</f>
        <v>12</v>
      </c>
      <c r="F475" s="64">
        <f t="shared" si="29"/>
        <v>15</v>
      </c>
      <c r="G475" s="64">
        <f t="shared" si="29"/>
        <v>7</v>
      </c>
      <c r="H475" s="64">
        <f t="shared" si="29"/>
        <v>9</v>
      </c>
      <c r="I475" s="64">
        <f t="shared" si="29"/>
        <v>5</v>
      </c>
      <c r="J475" s="64">
        <f t="shared" si="29"/>
        <v>8</v>
      </c>
      <c r="K475" s="64">
        <f t="shared" si="29"/>
        <v>14</v>
      </c>
      <c r="L475" s="64">
        <f t="shared" si="29"/>
        <v>11</v>
      </c>
      <c r="M475" s="64">
        <f t="shared" si="29"/>
        <v>7</v>
      </c>
      <c r="N475" s="64">
        <f t="shared" si="29"/>
        <v>5</v>
      </c>
      <c r="O475" s="64">
        <f t="shared" si="29"/>
        <v>7</v>
      </c>
      <c r="P475" s="64">
        <f t="shared" si="29"/>
        <v>12</v>
      </c>
      <c r="Q475" s="64">
        <f t="shared" si="29"/>
        <v>7</v>
      </c>
      <c r="R475" s="64">
        <f t="shared" si="29"/>
        <v>13</v>
      </c>
      <c r="S475" s="64">
        <f t="shared" si="29"/>
        <v>11</v>
      </c>
      <c r="T475" s="64">
        <f t="shared" si="29"/>
        <v>10</v>
      </c>
      <c r="U475" s="64">
        <f t="shared" si="29"/>
        <v>6</v>
      </c>
      <c r="V475" s="64">
        <f t="shared" si="29"/>
        <v>5</v>
      </c>
      <c r="W475" s="64">
        <f t="shared" si="29"/>
        <v>7</v>
      </c>
      <c r="X475" s="64">
        <f t="shared" si="29"/>
        <v>5</v>
      </c>
      <c r="Y475" s="64">
        <f t="shared" si="29"/>
        <v>7</v>
      </c>
      <c r="Z475" s="64">
        <f t="shared" si="29"/>
        <v>11</v>
      </c>
      <c r="AA475" s="64">
        <f t="shared" si="29"/>
        <v>8</v>
      </c>
      <c r="AB475" s="64">
        <f t="shared" si="29"/>
        <v>6</v>
      </c>
      <c r="AC475" s="64">
        <f t="shared" si="29"/>
        <v>4</v>
      </c>
      <c r="AD475" s="64">
        <f t="shared" si="29"/>
        <v>9</v>
      </c>
      <c r="AE475" s="64">
        <f t="shared" si="29"/>
        <v>19</v>
      </c>
      <c r="AF475" s="64">
        <f t="shared" si="29"/>
        <v>10</v>
      </c>
      <c r="AG475" s="64">
        <f t="shared" si="29"/>
        <v>11</v>
      </c>
      <c r="AH475" s="64">
        <f t="shared" si="29"/>
        <v>7</v>
      </c>
      <c r="AI475" s="64">
        <f t="shared" si="29"/>
        <v>14</v>
      </c>
      <c r="AJ475" s="64">
        <f t="shared" si="29"/>
        <v>5</v>
      </c>
      <c r="AK475" s="64">
        <f t="shared" si="29"/>
        <v>15</v>
      </c>
      <c r="AL475" s="64">
        <f t="shared" si="29"/>
        <v>15</v>
      </c>
      <c r="AM475" s="64">
        <f t="shared" si="29"/>
        <v>3</v>
      </c>
      <c r="AN475" s="64">
        <f t="shared" si="29"/>
        <v>8</v>
      </c>
      <c r="AO475" s="64">
        <f t="shared" si="29"/>
        <v>6</v>
      </c>
      <c r="AP475" s="64">
        <f t="shared" si="29"/>
        <v>6</v>
      </c>
      <c r="AQ475" s="64">
        <f t="shared" si="29"/>
        <v>7</v>
      </c>
      <c r="AR475" s="64">
        <f t="shared" si="29"/>
        <v>8</v>
      </c>
      <c r="AS475" s="64">
        <f t="shared" si="29"/>
        <v>5</v>
      </c>
      <c r="AT475" s="64">
        <f t="shared" si="29"/>
        <v>6</v>
      </c>
      <c r="AU475" s="64">
        <f t="shared" si="29"/>
        <v>7</v>
      </c>
      <c r="AV475" s="64">
        <f t="shared" si="29"/>
        <v>9</v>
      </c>
      <c r="AW475" s="64">
        <f t="shared" si="29"/>
        <v>6</v>
      </c>
      <c r="AX475" s="64">
        <f t="shared" si="29"/>
        <v>7</v>
      </c>
      <c r="AY475" s="64">
        <f t="shared" si="29"/>
        <v>5</v>
      </c>
    </row>
    <row r="476" spans="3:52" x14ac:dyDescent="0.35">
      <c r="C476" s="419" t="s">
        <v>0</v>
      </c>
      <c r="D476" s="64">
        <f t="shared" ref="D476" si="30">SUM(D470:D474)</f>
        <v>14</v>
      </c>
      <c r="E476" s="64">
        <f t="shared" ref="E476:AY476" si="31">SUM(E470:E474)</f>
        <v>26</v>
      </c>
      <c r="F476" s="64">
        <f t="shared" si="31"/>
        <v>39</v>
      </c>
      <c r="G476" s="64">
        <f t="shared" si="31"/>
        <v>35</v>
      </c>
      <c r="H476" s="64">
        <f t="shared" si="31"/>
        <v>22</v>
      </c>
      <c r="I476" s="64">
        <f t="shared" si="31"/>
        <v>16</v>
      </c>
      <c r="J476" s="64">
        <f t="shared" si="31"/>
        <v>30</v>
      </c>
      <c r="K476" s="64">
        <f t="shared" si="31"/>
        <v>33</v>
      </c>
      <c r="L476" s="64">
        <f t="shared" si="31"/>
        <v>20</v>
      </c>
      <c r="M476" s="64">
        <f t="shared" si="31"/>
        <v>19</v>
      </c>
      <c r="N476" s="64">
        <f t="shared" si="31"/>
        <v>16</v>
      </c>
      <c r="O476" s="64">
        <f t="shared" si="31"/>
        <v>19</v>
      </c>
      <c r="P476" s="64">
        <f t="shared" si="31"/>
        <v>31</v>
      </c>
      <c r="Q476" s="64">
        <f t="shared" si="31"/>
        <v>27</v>
      </c>
      <c r="R476" s="64">
        <f t="shared" si="31"/>
        <v>39</v>
      </c>
      <c r="S476" s="64">
        <f t="shared" si="31"/>
        <v>29</v>
      </c>
      <c r="T476" s="64">
        <f t="shared" si="31"/>
        <v>29</v>
      </c>
      <c r="U476" s="64">
        <f t="shared" si="31"/>
        <v>20</v>
      </c>
      <c r="V476" s="64">
        <f t="shared" si="31"/>
        <v>16</v>
      </c>
      <c r="W476" s="64">
        <f t="shared" si="31"/>
        <v>24</v>
      </c>
      <c r="X476" s="64">
        <f t="shared" si="31"/>
        <v>21</v>
      </c>
      <c r="Y476" s="64">
        <f t="shared" si="31"/>
        <v>23</v>
      </c>
      <c r="Z476" s="64">
        <f t="shared" si="31"/>
        <v>25</v>
      </c>
      <c r="AA476" s="64">
        <f t="shared" si="31"/>
        <v>28</v>
      </c>
      <c r="AB476" s="64">
        <f t="shared" si="31"/>
        <v>20</v>
      </c>
      <c r="AC476" s="64">
        <f t="shared" si="31"/>
        <v>27</v>
      </c>
      <c r="AD476" s="64">
        <f t="shared" si="31"/>
        <v>20</v>
      </c>
      <c r="AE476" s="64">
        <f t="shared" si="31"/>
        <v>37</v>
      </c>
      <c r="AF476" s="64">
        <f t="shared" si="31"/>
        <v>22</v>
      </c>
      <c r="AG476" s="64">
        <f t="shared" si="31"/>
        <v>24</v>
      </c>
      <c r="AH476" s="64">
        <f t="shared" si="31"/>
        <v>22</v>
      </c>
      <c r="AI476" s="64">
        <f t="shared" si="31"/>
        <v>23</v>
      </c>
      <c r="AJ476" s="64">
        <f t="shared" si="31"/>
        <v>13</v>
      </c>
      <c r="AK476" s="64">
        <f t="shared" si="31"/>
        <v>25</v>
      </c>
      <c r="AL476" s="64">
        <f t="shared" si="31"/>
        <v>31</v>
      </c>
      <c r="AM476" s="64">
        <f t="shared" si="31"/>
        <v>13</v>
      </c>
      <c r="AN476" s="64">
        <f t="shared" si="31"/>
        <v>21</v>
      </c>
      <c r="AO476" s="64">
        <f t="shared" si="31"/>
        <v>20</v>
      </c>
      <c r="AP476" s="64">
        <f t="shared" si="31"/>
        <v>20</v>
      </c>
      <c r="AQ476" s="64">
        <f t="shared" si="31"/>
        <v>29</v>
      </c>
      <c r="AR476" s="64">
        <f t="shared" si="31"/>
        <v>19</v>
      </c>
      <c r="AS476" s="64">
        <f t="shared" si="31"/>
        <v>20</v>
      </c>
      <c r="AT476" s="64">
        <f t="shared" si="31"/>
        <v>19</v>
      </c>
      <c r="AU476" s="64">
        <f t="shared" si="31"/>
        <v>20</v>
      </c>
      <c r="AV476" s="64">
        <f t="shared" si="31"/>
        <v>19</v>
      </c>
      <c r="AW476" s="64">
        <f t="shared" si="31"/>
        <v>24</v>
      </c>
      <c r="AX476" s="64">
        <f t="shared" si="31"/>
        <v>16</v>
      </c>
      <c r="AY476" s="64">
        <f t="shared" si="31"/>
        <v>15</v>
      </c>
    </row>
    <row r="477" spans="3:52" x14ac:dyDescent="0.35">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row>
    <row r="478" spans="3:52" x14ac:dyDescent="0.35">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row>
    <row r="479" spans="3:52" x14ac:dyDescent="0.35">
      <c r="C479" s="444" t="s">
        <v>262</v>
      </c>
      <c r="D479" s="39">
        <v>44287</v>
      </c>
      <c r="E479" s="39">
        <v>44317</v>
      </c>
      <c r="F479" s="39">
        <v>44348</v>
      </c>
      <c r="G479" s="39">
        <v>44378</v>
      </c>
      <c r="H479" s="39">
        <v>44409</v>
      </c>
      <c r="I479" s="39">
        <v>44440</v>
      </c>
      <c r="J479" s="39">
        <v>44470</v>
      </c>
      <c r="K479" s="39">
        <v>44501</v>
      </c>
      <c r="L479" s="39">
        <v>44531</v>
      </c>
      <c r="M479" s="39">
        <v>44562</v>
      </c>
      <c r="N479" s="39">
        <v>44593</v>
      </c>
      <c r="O479" s="39">
        <v>44621</v>
      </c>
      <c r="P479" s="39">
        <v>44652</v>
      </c>
      <c r="Q479" s="39">
        <v>44682</v>
      </c>
      <c r="R479" s="39">
        <v>44713</v>
      </c>
      <c r="S479" s="39">
        <v>44743</v>
      </c>
      <c r="T479" s="39">
        <v>44774</v>
      </c>
      <c r="U479" s="39">
        <v>44805</v>
      </c>
      <c r="V479" s="39">
        <v>44835</v>
      </c>
      <c r="W479" s="39">
        <v>44866</v>
      </c>
      <c r="X479" s="39">
        <v>44896</v>
      </c>
      <c r="Y479" s="39">
        <v>44927</v>
      </c>
      <c r="Z479" s="39">
        <v>44958</v>
      </c>
      <c r="AA479" s="39">
        <v>44986</v>
      </c>
      <c r="AB479" s="39">
        <v>45017</v>
      </c>
      <c r="AC479" s="39">
        <v>45047</v>
      </c>
      <c r="AD479" s="39">
        <v>45078</v>
      </c>
      <c r="AE479" s="39">
        <v>45108</v>
      </c>
      <c r="AF479" s="39">
        <v>45139</v>
      </c>
      <c r="AG479" s="39">
        <v>45170</v>
      </c>
      <c r="AH479" s="39">
        <v>45200</v>
      </c>
      <c r="AI479" s="39">
        <v>45231</v>
      </c>
      <c r="AJ479" s="39">
        <v>45261</v>
      </c>
      <c r="AK479" s="39">
        <v>45292</v>
      </c>
      <c r="AL479" s="39">
        <v>45323</v>
      </c>
      <c r="AM479" s="39">
        <v>45352</v>
      </c>
      <c r="AN479" s="39">
        <v>45383</v>
      </c>
      <c r="AO479" s="39">
        <v>45413</v>
      </c>
      <c r="AP479" s="39">
        <v>45444</v>
      </c>
      <c r="AQ479" s="39">
        <v>45474</v>
      </c>
      <c r="AR479" s="39">
        <v>45505</v>
      </c>
      <c r="AS479" s="39">
        <v>45536</v>
      </c>
      <c r="AT479" s="39">
        <v>45566</v>
      </c>
      <c r="AU479" s="39">
        <v>45597</v>
      </c>
      <c r="AV479" s="39">
        <v>45627</v>
      </c>
      <c r="AW479" s="39">
        <v>45658</v>
      </c>
      <c r="AX479" s="39">
        <v>45689</v>
      </c>
      <c r="AY479" s="39">
        <v>45717</v>
      </c>
      <c r="AZ479" s="39"/>
    </row>
    <row r="480" spans="3:52" x14ac:dyDescent="0.35">
      <c r="C480" s="444" t="s">
        <v>212</v>
      </c>
      <c r="D480" s="64">
        <f>'[2]Cyber Fraud'!N3</f>
        <v>1</v>
      </c>
      <c r="E480" s="64">
        <f>'[2]Cyber Fraud'!O3</f>
        <v>1</v>
      </c>
      <c r="F480" s="64">
        <f>'[2]Cyber Fraud'!P3</f>
        <v>1</v>
      </c>
      <c r="G480" s="64">
        <f>'[2]Cyber Fraud'!Q3</f>
        <v>1</v>
      </c>
      <c r="H480" s="64">
        <f>'[2]Cyber Fraud'!R3</f>
        <v>0</v>
      </c>
      <c r="I480" s="64">
        <f>'[2]Cyber Fraud'!S3</f>
        <v>0</v>
      </c>
      <c r="J480" s="64">
        <f>'[2]Cyber Fraud'!T3</f>
        <v>4</v>
      </c>
      <c r="K480" s="64">
        <f>'[2]Cyber Fraud'!U3</f>
        <v>0</v>
      </c>
      <c r="L480" s="64">
        <f>'[2]Cyber Fraud'!V3</f>
        <v>0</v>
      </c>
      <c r="M480" s="64">
        <f>'[2]Cyber Fraud'!W3</f>
        <v>0</v>
      </c>
      <c r="N480" s="64">
        <f>'[2]Cyber Fraud'!X3</f>
        <v>2</v>
      </c>
      <c r="O480" s="64">
        <f>'[2]Cyber Fraud'!Y3</f>
        <v>0</v>
      </c>
      <c r="P480" s="64">
        <f>'[2]Cyber Fraud'!Z3</f>
        <v>1</v>
      </c>
      <c r="Q480" s="64">
        <f>'[2]Cyber Fraud'!AA3</f>
        <v>1</v>
      </c>
      <c r="R480" s="64">
        <f>'[2]Cyber Fraud'!AB3</f>
        <v>2</v>
      </c>
      <c r="S480" s="64">
        <f>'[2]Cyber Fraud'!AC3</f>
        <v>2</v>
      </c>
      <c r="T480" s="64">
        <f>'[2]Cyber Fraud'!AD3</f>
        <v>1</v>
      </c>
      <c r="U480" s="64">
        <f>'[2]Cyber Fraud'!AE3</f>
        <v>0</v>
      </c>
      <c r="V480" s="64">
        <f>'[2]Cyber Fraud'!AF3</f>
        <v>3</v>
      </c>
      <c r="W480" s="64">
        <f>'[2]Cyber Fraud'!AG3</f>
        <v>1</v>
      </c>
      <c r="X480" s="64">
        <f>'[2]Cyber Fraud'!AH3</f>
        <v>1</v>
      </c>
      <c r="Y480" s="64">
        <f>'[2]Cyber Fraud'!AI3</f>
        <v>3</v>
      </c>
      <c r="Z480" s="64">
        <f>'[2]Cyber Fraud'!AJ3</f>
        <v>2</v>
      </c>
      <c r="AA480" s="64">
        <f>'[2]Cyber Fraud'!AK3</f>
        <v>2</v>
      </c>
      <c r="AB480" s="64">
        <f>'[2]Cyber Fraud'!AL3</f>
        <v>3</v>
      </c>
      <c r="AC480" s="64">
        <f>'[2]Cyber Fraud'!AM3</f>
        <v>2</v>
      </c>
      <c r="AD480" s="64">
        <f>'[2]Cyber Fraud'!AN3</f>
        <v>0</v>
      </c>
      <c r="AE480" s="64">
        <f>'[2]Cyber Fraud'!AO3</f>
        <v>4</v>
      </c>
      <c r="AF480" s="64">
        <f>'[2]Cyber Fraud'!AP3</f>
        <v>2</v>
      </c>
      <c r="AG480" s="64">
        <f>'[2]Cyber Fraud'!AQ3</f>
        <v>4</v>
      </c>
      <c r="AH480" s="64">
        <f>'[2]Cyber Fraud'!AR3</f>
        <v>3</v>
      </c>
      <c r="AI480" s="64">
        <f>'[2]Cyber Fraud'!AS3</f>
        <v>0</v>
      </c>
      <c r="AJ480" s="64">
        <f>'[2]Cyber Fraud'!AT3</f>
        <v>1</v>
      </c>
      <c r="AK480" s="64">
        <f>'[2]Cyber Fraud'!AU3</f>
        <v>1</v>
      </c>
      <c r="AL480" s="64">
        <f>'[2]Cyber Fraud'!AV3</f>
        <v>3</v>
      </c>
      <c r="AM480" s="64">
        <f>'[2]Cyber Fraud'!AW3</f>
        <v>1</v>
      </c>
      <c r="AN480" s="64">
        <f>'[2]Cyber Fraud'!AX3</f>
        <v>2</v>
      </c>
      <c r="AO480" s="64">
        <f>'[2]Cyber Fraud'!AY3</f>
        <v>1</v>
      </c>
      <c r="AP480" s="64">
        <f>'[2]Cyber Fraud'!AZ3</f>
        <v>2</v>
      </c>
      <c r="AQ480" s="64">
        <f>'[2]Cyber Fraud'!BA3</f>
        <v>1</v>
      </c>
      <c r="AR480" s="64">
        <f>'[2]Cyber Fraud'!BB3</f>
        <v>1</v>
      </c>
      <c r="AS480" s="64">
        <f>'[2]Cyber Fraud'!BC3</f>
        <v>3</v>
      </c>
      <c r="AT480" s="64">
        <f>'[2]Cyber Fraud'!BD3</f>
        <v>4</v>
      </c>
      <c r="AU480" s="64">
        <f>'[2]Cyber Fraud'!BE3</f>
        <v>1</v>
      </c>
      <c r="AV480" s="64">
        <f>'[2]Cyber Fraud'!BF3</f>
        <v>6</v>
      </c>
      <c r="AW480" s="64">
        <f>'[2]Cyber Fraud'!BG3</f>
        <v>1</v>
      </c>
      <c r="AX480" s="64">
        <f>'[2]Cyber Fraud'!BH3</f>
        <v>0</v>
      </c>
      <c r="AY480" s="64">
        <f>'[2]Cyber Fraud'!BI3</f>
        <v>2</v>
      </c>
      <c r="AZ480" s="64"/>
    </row>
    <row r="481" spans="3:52" x14ac:dyDescent="0.35">
      <c r="C481" s="444" t="s">
        <v>213</v>
      </c>
      <c r="D481" s="64">
        <f>'[2]Cyber Fraud'!N4</f>
        <v>2</v>
      </c>
      <c r="E481" s="64">
        <f>'[2]Cyber Fraud'!O4</f>
        <v>3</v>
      </c>
      <c r="F481" s="64">
        <f>'[2]Cyber Fraud'!P4</f>
        <v>0</v>
      </c>
      <c r="G481" s="64">
        <f>'[2]Cyber Fraud'!Q4</f>
        <v>2</v>
      </c>
      <c r="H481" s="64">
        <f>'[2]Cyber Fraud'!R4</f>
        <v>1</v>
      </c>
      <c r="I481" s="64">
        <f>'[2]Cyber Fraud'!S4</f>
        <v>4</v>
      </c>
      <c r="J481" s="64">
        <f>'[2]Cyber Fraud'!T4</f>
        <v>2</v>
      </c>
      <c r="K481" s="64">
        <f>'[2]Cyber Fraud'!U4</f>
        <v>1</v>
      </c>
      <c r="L481" s="64">
        <f>'[2]Cyber Fraud'!V4</f>
        <v>1</v>
      </c>
      <c r="M481" s="64">
        <f>'[2]Cyber Fraud'!W4</f>
        <v>4</v>
      </c>
      <c r="N481" s="64">
        <f>'[2]Cyber Fraud'!X4</f>
        <v>4</v>
      </c>
      <c r="O481" s="64">
        <f>'[2]Cyber Fraud'!Y4</f>
        <v>6</v>
      </c>
      <c r="P481" s="64">
        <f>'[2]Cyber Fraud'!Z4</f>
        <v>6</v>
      </c>
      <c r="Q481" s="64">
        <f>'[2]Cyber Fraud'!AA4</f>
        <v>1</v>
      </c>
      <c r="R481" s="64">
        <f>'[2]Cyber Fraud'!AB4</f>
        <v>5</v>
      </c>
      <c r="S481" s="64">
        <f>'[2]Cyber Fraud'!AC4</f>
        <v>6</v>
      </c>
      <c r="T481" s="64">
        <f>'[2]Cyber Fraud'!AD4</f>
        <v>4</v>
      </c>
      <c r="U481" s="64">
        <f>'[2]Cyber Fraud'!AE4</f>
        <v>3</v>
      </c>
      <c r="V481" s="64">
        <f>'[2]Cyber Fraud'!AF4</f>
        <v>7</v>
      </c>
      <c r="W481" s="64">
        <f>'[2]Cyber Fraud'!AG4</f>
        <v>1</v>
      </c>
      <c r="X481" s="64">
        <f>'[2]Cyber Fraud'!AH4</f>
        <v>9</v>
      </c>
      <c r="Y481" s="64">
        <f>'[2]Cyber Fraud'!AI4</f>
        <v>6</v>
      </c>
      <c r="Z481" s="64">
        <f>'[2]Cyber Fraud'!AJ4</f>
        <v>1</v>
      </c>
      <c r="AA481" s="64">
        <f>'[2]Cyber Fraud'!AK4</f>
        <v>4</v>
      </c>
      <c r="AB481" s="64">
        <f>'[2]Cyber Fraud'!AL4</f>
        <v>7</v>
      </c>
      <c r="AC481" s="64">
        <f>'[2]Cyber Fraud'!AM4</f>
        <v>6</v>
      </c>
      <c r="AD481" s="64">
        <f>'[2]Cyber Fraud'!AN4</f>
        <v>11</v>
      </c>
      <c r="AE481" s="64">
        <f>'[2]Cyber Fraud'!AO4</f>
        <v>9</v>
      </c>
      <c r="AF481" s="64">
        <f>'[2]Cyber Fraud'!AP4</f>
        <v>4</v>
      </c>
      <c r="AG481" s="64">
        <f>'[2]Cyber Fraud'!AQ4</f>
        <v>4</v>
      </c>
      <c r="AH481" s="64">
        <f>'[2]Cyber Fraud'!AR4</f>
        <v>4</v>
      </c>
      <c r="AI481" s="64">
        <f>'[2]Cyber Fraud'!AS4</f>
        <v>6</v>
      </c>
      <c r="AJ481" s="64">
        <f>'[2]Cyber Fraud'!AT4</f>
        <v>7</v>
      </c>
      <c r="AK481" s="64">
        <f>'[2]Cyber Fraud'!AU4</f>
        <v>7</v>
      </c>
      <c r="AL481" s="64">
        <f>'[2]Cyber Fraud'!AV4</f>
        <v>4</v>
      </c>
      <c r="AM481" s="64">
        <f>'[2]Cyber Fraud'!AW4</f>
        <v>1</v>
      </c>
      <c r="AN481" s="64">
        <f>'[2]Cyber Fraud'!AX4</f>
        <v>5</v>
      </c>
      <c r="AO481" s="64">
        <f>'[2]Cyber Fraud'!AY4</f>
        <v>4</v>
      </c>
      <c r="AP481" s="64">
        <f>'[2]Cyber Fraud'!AZ4</f>
        <v>6</v>
      </c>
      <c r="AQ481" s="64">
        <f>'[2]Cyber Fraud'!BA4</f>
        <v>6</v>
      </c>
      <c r="AR481" s="64">
        <f>'[2]Cyber Fraud'!BB4</f>
        <v>3</v>
      </c>
      <c r="AS481" s="64">
        <f>'[2]Cyber Fraud'!BC4</f>
        <v>6</v>
      </c>
      <c r="AT481" s="64">
        <f>'[2]Cyber Fraud'!BD4</f>
        <v>5</v>
      </c>
      <c r="AU481" s="64">
        <f>'[2]Cyber Fraud'!BE4</f>
        <v>3</v>
      </c>
      <c r="AV481" s="64">
        <f>'[2]Cyber Fraud'!BF4</f>
        <v>7</v>
      </c>
      <c r="AW481" s="64">
        <f>'[2]Cyber Fraud'!BG4</f>
        <v>1</v>
      </c>
      <c r="AX481" s="64">
        <f>'[2]Cyber Fraud'!BH4</f>
        <v>1</v>
      </c>
      <c r="AY481" s="64">
        <f>'[2]Cyber Fraud'!BI4</f>
        <v>5</v>
      </c>
      <c r="AZ481" s="64"/>
    </row>
    <row r="482" spans="3:52" x14ac:dyDescent="0.35">
      <c r="C482" s="444" t="s">
        <v>214</v>
      </c>
      <c r="D482" s="64">
        <f>'[2]Cyber Fraud'!N5</f>
        <v>3</v>
      </c>
      <c r="E482" s="64">
        <f>'[2]Cyber Fraud'!O5</f>
        <v>3</v>
      </c>
      <c r="F482" s="64">
        <f>'[2]Cyber Fraud'!P5</f>
        <v>4</v>
      </c>
      <c r="G482" s="64">
        <f>'[2]Cyber Fraud'!Q5</f>
        <v>3</v>
      </c>
      <c r="H482" s="64">
        <f>'[2]Cyber Fraud'!R5</f>
        <v>2</v>
      </c>
      <c r="I482" s="64">
        <f>'[2]Cyber Fraud'!S5</f>
        <v>2</v>
      </c>
      <c r="J482" s="64">
        <f>'[2]Cyber Fraud'!T5</f>
        <v>1</v>
      </c>
      <c r="K482" s="64">
        <f>'[2]Cyber Fraud'!U5</f>
        <v>2</v>
      </c>
      <c r="L482" s="64">
        <f>'[2]Cyber Fraud'!V5</f>
        <v>2</v>
      </c>
      <c r="M482" s="64">
        <f>'[2]Cyber Fraud'!W5</f>
        <v>3</v>
      </c>
      <c r="N482" s="64">
        <f>'[2]Cyber Fraud'!X5</f>
        <v>5</v>
      </c>
      <c r="O482" s="64">
        <f>'[2]Cyber Fraud'!Y5</f>
        <v>3</v>
      </c>
      <c r="P482" s="64">
        <f>'[2]Cyber Fraud'!Z5</f>
        <v>3</v>
      </c>
      <c r="Q482" s="64">
        <f>'[2]Cyber Fraud'!AA5</f>
        <v>6</v>
      </c>
      <c r="R482" s="64">
        <f>'[2]Cyber Fraud'!AB5</f>
        <v>4</v>
      </c>
      <c r="S482" s="64">
        <f>'[2]Cyber Fraud'!AC5</f>
        <v>3</v>
      </c>
      <c r="T482" s="64">
        <f>'[2]Cyber Fraud'!AD5</f>
        <v>7</v>
      </c>
      <c r="U482" s="64">
        <f>'[2]Cyber Fraud'!AE5</f>
        <v>4</v>
      </c>
      <c r="V482" s="64">
        <f>'[2]Cyber Fraud'!AF5</f>
        <v>1</v>
      </c>
      <c r="W482" s="64">
        <f>'[2]Cyber Fraud'!AG5</f>
        <v>5</v>
      </c>
      <c r="X482" s="64">
        <f>'[2]Cyber Fraud'!AH5</f>
        <v>2</v>
      </c>
      <c r="Y482" s="64">
        <f>'[2]Cyber Fraud'!AI5</f>
        <v>6</v>
      </c>
      <c r="Z482" s="64">
        <f>'[2]Cyber Fraud'!AJ5</f>
        <v>5</v>
      </c>
      <c r="AA482" s="64">
        <f>'[2]Cyber Fraud'!AK5</f>
        <v>6</v>
      </c>
      <c r="AB482" s="64">
        <f>'[2]Cyber Fraud'!AL5</f>
        <v>2</v>
      </c>
      <c r="AC482" s="64">
        <f>'[2]Cyber Fraud'!AM5</f>
        <v>3</v>
      </c>
      <c r="AD482" s="64">
        <f>'[2]Cyber Fraud'!AN5</f>
        <v>10</v>
      </c>
      <c r="AE482" s="64">
        <f>'[2]Cyber Fraud'!AO5</f>
        <v>3</v>
      </c>
      <c r="AF482" s="64">
        <f>'[2]Cyber Fraud'!AP5</f>
        <v>8</v>
      </c>
      <c r="AG482" s="64">
        <f>'[2]Cyber Fraud'!AQ5</f>
        <v>4</v>
      </c>
      <c r="AH482" s="64">
        <f>'[2]Cyber Fraud'!AR5</f>
        <v>3</v>
      </c>
      <c r="AI482" s="64">
        <f>'[2]Cyber Fraud'!AS5</f>
        <v>3</v>
      </c>
      <c r="AJ482" s="64">
        <f>'[2]Cyber Fraud'!AT5</f>
        <v>4</v>
      </c>
      <c r="AK482" s="64">
        <f>'[2]Cyber Fraud'!AU5</f>
        <v>3</v>
      </c>
      <c r="AL482" s="64">
        <f>'[2]Cyber Fraud'!AV5</f>
        <v>2</v>
      </c>
      <c r="AM482" s="64">
        <f>'[2]Cyber Fraud'!AW5</f>
        <v>6</v>
      </c>
      <c r="AN482" s="64">
        <f>'[2]Cyber Fraud'!AX5</f>
        <v>3</v>
      </c>
      <c r="AO482" s="64">
        <f>'[2]Cyber Fraud'!AY5</f>
        <v>6</v>
      </c>
      <c r="AP482" s="64">
        <f>'[2]Cyber Fraud'!AZ5</f>
        <v>1</v>
      </c>
      <c r="AQ482" s="64">
        <f>'[2]Cyber Fraud'!BA5</f>
        <v>3</v>
      </c>
      <c r="AR482" s="64">
        <f>'[2]Cyber Fraud'!BB5</f>
        <v>4</v>
      </c>
      <c r="AS482" s="64">
        <f>'[2]Cyber Fraud'!BC5</f>
        <v>4</v>
      </c>
      <c r="AT482" s="64">
        <f>'[2]Cyber Fraud'!BD5</f>
        <v>0</v>
      </c>
      <c r="AU482" s="64">
        <f>'[2]Cyber Fraud'!BE5</f>
        <v>6</v>
      </c>
      <c r="AV482" s="64">
        <f>'[2]Cyber Fraud'!BF5</f>
        <v>3</v>
      </c>
      <c r="AW482" s="64">
        <f>'[2]Cyber Fraud'!BG5</f>
        <v>1</v>
      </c>
      <c r="AX482" s="64">
        <f>'[2]Cyber Fraud'!BH5</f>
        <v>3</v>
      </c>
      <c r="AY482" s="64">
        <f>'[2]Cyber Fraud'!BI5</f>
        <v>2</v>
      </c>
      <c r="AZ482" s="64"/>
    </row>
    <row r="483" spans="3:52" x14ac:dyDescent="0.35">
      <c r="C483" s="444" t="s">
        <v>146</v>
      </c>
      <c r="D483" s="64">
        <f>'[2]Cyber Fraud'!N6</f>
        <v>4</v>
      </c>
      <c r="E483" s="64">
        <f>'[2]Cyber Fraud'!O6</f>
        <v>2</v>
      </c>
      <c r="F483" s="64">
        <f>'[2]Cyber Fraud'!P6</f>
        <v>5</v>
      </c>
      <c r="G483" s="64">
        <f>'[2]Cyber Fraud'!Q6</f>
        <v>1</v>
      </c>
      <c r="H483" s="64">
        <f>'[2]Cyber Fraud'!R6</f>
        <v>3</v>
      </c>
      <c r="I483" s="64">
        <f>'[2]Cyber Fraud'!S6</f>
        <v>1</v>
      </c>
      <c r="J483" s="64">
        <f>'[2]Cyber Fraud'!T6</f>
        <v>4</v>
      </c>
      <c r="K483" s="64">
        <f>'[2]Cyber Fraud'!U6</f>
        <v>1</v>
      </c>
      <c r="L483" s="64">
        <f>'[2]Cyber Fraud'!V6</f>
        <v>1</v>
      </c>
      <c r="M483" s="64">
        <f>'[2]Cyber Fraud'!W6</f>
        <v>2</v>
      </c>
      <c r="N483" s="64">
        <f>'[2]Cyber Fraud'!X6</f>
        <v>2</v>
      </c>
      <c r="O483" s="64">
        <f>'[2]Cyber Fraud'!Y6</f>
        <v>4</v>
      </c>
      <c r="P483" s="64">
        <f>'[2]Cyber Fraud'!Z6</f>
        <v>2</v>
      </c>
      <c r="Q483" s="64">
        <f>'[2]Cyber Fraud'!AA6</f>
        <v>6</v>
      </c>
      <c r="R483" s="64">
        <f>'[2]Cyber Fraud'!AB6</f>
        <v>2</v>
      </c>
      <c r="S483" s="64">
        <f>'[2]Cyber Fraud'!AC6</f>
        <v>4</v>
      </c>
      <c r="T483" s="64">
        <f>'[2]Cyber Fraud'!AD6</f>
        <v>0</v>
      </c>
      <c r="U483" s="64">
        <f>'[2]Cyber Fraud'!AE6</f>
        <v>1</v>
      </c>
      <c r="V483" s="64">
        <f>'[2]Cyber Fraud'!AF6</f>
        <v>1</v>
      </c>
      <c r="W483" s="64">
        <f>'[2]Cyber Fraud'!AG6</f>
        <v>9</v>
      </c>
      <c r="X483" s="64">
        <f>'[2]Cyber Fraud'!AH6</f>
        <v>4</v>
      </c>
      <c r="Y483" s="64">
        <f>'[2]Cyber Fraud'!AI6</f>
        <v>5</v>
      </c>
      <c r="Z483" s="64">
        <f>'[2]Cyber Fraud'!AJ6</f>
        <v>3</v>
      </c>
      <c r="AA483" s="64">
        <f>'[2]Cyber Fraud'!AK6</f>
        <v>3</v>
      </c>
      <c r="AB483" s="64">
        <f>'[2]Cyber Fraud'!AL6</f>
        <v>3</v>
      </c>
      <c r="AC483" s="64">
        <f>'[2]Cyber Fraud'!AM6</f>
        <v>6</v>
      </c>
      <c r="AD483" s="64">
        <f>'[2]Cyber Fraud'!AN6</f>
        <v>6</v>
      </c>
      <c r="AE483" s="64">
        <f>'[2]Cyber Fraud'!AO6</f>
        <v>7</v>
      </c>
      <c r="AF483" s="64">
        <f>'[2]Cyber Fraud'!AP6</f>
        <v>8</v>
      </c>
      <c r="AG483" s="64">
        <f>'[2]Cyber Fraud'!AQ6</f>
        <v>6</v>
      </c>
      <c r="AH483" s="64">
        <f>'[2]Cyber Fraud'!AR6</f>
        <v>2</v>
      </c>
      <c r="AI483" s="64">
        <f>'[2]Cyber Fraud'!AS6</f>
        <v>3</v>
      </c>
      <c r="AJ483" s="64">
        <f>'[2]Cyber Fraud'!AT6</f>
        <v>4</v>
      </c>
      <c r="AK483" s="64">
        <f>'[2]Cyber Fraud'!AU6</f>
        <v>3</v>
      </c>
      <c r="AL483" s="64">
        <f>'[2]Cyber Fraud'!AV6</f>
        <v>3</v>
      </c>
      <c r="AM483" s="64">
        <f>'[2]Cyber Fraud'!AW6</f>
        <v>6</v>
      </c>
      <c r="AN483" s="64">
        <f>'[2]Cyber Fraud'!AX6</f>
        <v>1</v>
      </c>
      <c r="AO483" s="64">
        <f>'[2]Cyber Fraud'!AY6</f>
        <v>3</v>
      </c>
      <c r="AP483" s="64">
        <f>'[2]Cyber Fraud'!AZ6</f>
        <v>3</v>
      </c>
      <c r="AQ483" s="64">
        <f>'[2]Cyber Fraud'!BA6</f>
        <v>2</v>
      </c>
      <c r="AR483" s="64">
        <f>'[2]Cyber Fraud'!BB6</f>
        <v>3</v>
      </c>
      <c r="AS483" s="64">
        <f>'[2]Cyber Fraud'!BC6</f>
        <v>2</v>
      </c>
      <c r="AT483" s="64">
        <f>'[2]Cyber Fraud'!BD6</f>
        <v>4</v>
      </c>
      <c r="AU483" s="64">
        <f>'[2]Cyber Fraud'!BE6</f>
        <v>4</v>
      </c>
      <c r="AV483" s="64">
        <f>'[2]Cyber Fraud'!BF6</f>
        <v>4</v>
      </c>
      <c r="AW483" s="64">
        <f>'[2]Cyber Fraud'!BG6</f>
        <v>6</v>
      </c>
      <c r="AX483" s="64">
        <f>'[2]Cyber Fraud'!BH6</f>
        <v>0</v>
      </c>
      <c r="AY483" s="64">
        <f>'[2]Cyber Fraud'!BI6</f>
        <v>4</v>
      </c>
      <c r="AZ483" s="64"/>
    </row>
    <row r="484" spans="3:52" x14ac:dyDescent="0.35">
      <c r="C484" s="444" t="s">
        <v>147</v>
      </c>
      <c r="D484" s="64">
        <f>'[2]Cyber Fraud'!N7</f>
        <v>4</v>
      </c>
      <c r="E484" s="64">
        <f>'[2]Cyber Fraud'!O7</f>
        <v>5</v>
      </c>
      <c r="F484" s="64">
        <f>'[2]Cyber Fraud'!P7</f>
        <v>5</v>
      </c>
      <c r="G484" s="64">
        <f>'[2]Cyber Fraud'!Q7</f>
        <v>3</v>
      </c>
      <c r="H484" s="64">
        <f>'[2]Cyber Fraud'!R7</f>
        <v>2</v>
      </c>
      <c r="I484" s="64">
        <f>'[2]Cyber Fraud'!S7</f>
        <v>1</v>
      </c>
      <c r="J484" s="64">
        <f>'[2]Cyber Fraud'!T7</f>
        <v>3</v>
      </c>
      <c r="K484" s="64">
        <f>'[2]Cyber Fraud'!U7</f>
        <v>1</v>
      </c>
      <c r="L484" s="64">
        <f>'[2]Cyber Fraud'!V7</f>
        <v>2</v>
      </c>
      <c r="M484" s="64">
        <f>'[2]Cyber Fraud'!W7</f>
        <v>3</v>
      </c>
      <c r="N484" s="64">
        <f>'[2]Cyber Fraud'!X7</f>
        <v>3</v>
      </c>
      <c r="O484" s="64">
        <f>'[2]Cyber Fraud'!Y7</f>
        <v>3</v>
      </c>
      <c r="P484" s="64">
        <f>'[2]Cyber Fraud'!Z7</f>
        <v>2</v>
      </c>
      <c r="Q484" s="64">
        <f>'[2]Cyber Fraud'!AA7</f>
        <v>5</v>
      </c>
      <c r="R484" s="64">
        <f>'[2]Cyber Fraud'!AB7</f>
        <v>6</v>
      </c>
      <c r="S484" s="64">
        <f>'[2]Cyber Fraud'!AC7</f>
        <v>2</v>
      </c>
      <c r="T484" s="64">
        <f>'[2]Cyber Fraud'!AD7</f>
        <v>6</v>
      </c>
      <c r="U484" s="64">
        <f>'[2]Cyber Fraud'!AE7</f>
        <v>4</v>
      </c>
      <c r="V484" s="64">
        <f>'[2]Cyber Fraud'!AF7</f>
        <v>10</v>
      </c>
      <c r="W484" s="64">
        <f>'[2]Cyber Fraud'!AG7</f>
        <v>8</v>
      </c>
      <c r="X484" s="64">
        <f>'[2]Cyber Fraud'!AH7</f>
        <v>12</v>
      </c>
      <c r="Y484" s="64">
        <f>'[2]Cyber Fraud'!AI7</f>
        <v>5</v>
      </c>
      <c r="Z484" s="64">
        <f>'[2]Cyber Fraud'!AJ7</f>
        <v>8</v>
      </c>
      <c r="AA484" s="64">
        <f>'[2]Cyber Fraud'!AK7</f>
        <v>5</v>
      </c>
      <c r="AB484" s="64">
        <f>'[2]Cyber Fraud'!AL7</f>
        <v>5</v>
      </c>
      <c r="AC484" s="64">
        <f>'[2]Cyber Fraud'!AM7</f>
        <v>5</v>
      </c>
      <c r="AD484" s="64">
        <f>'[2]Cyber Fraud'!AN7</f>
        <v>6</v>
      </c>
      <c r="AE484" s="64">
        <f>'[2]Cyber Fraud'!AO7</f>
        <v>4</v>
      </c>
      <c r="AF484" s="64">
        <f>'[2]Cyber Fraud'!AP7</f>
        <v>3</v>
      </c>
      <c r="AG484" s="64">
        <f>'[2]Cyber Fraud'!AQ7</f>
        <v>6</v>
      </c>
      <c r="AH484" s="64">
        <f>'[2]Cyber Fraud'!AR7</f>
        <v>5</v>
      </c>
      <c r="AI484" s="64">
        <f>'[2]Cyber Fraud'!AS7</f>
        <v>5</v>
      </c>
      <c r="AJ484" s="64">
        <f>'[2]Cyber Fraud'!AT7</f>
        <v>10</v>
      </c>
      <c r="AK484" s="64">
        <f>'[2]Cyber Fraud'!AU7</f>
        <v>4</v>
      </c>
      <c r="AL484" s="64">
        <f>'[2]Cyber Fraud'!AV7</f>
        <v>4</v>
      </c>
      <c r="AM484" s="64">
        <f>'[2]Cyber Fraud'!AW7</f>
        <v>2</v>
      </c>
      <c r="AN484" s="64">
        <f>'[2]Cyber Fraud'!AX7</f>
        <v>1</v>
      </c>
      <c r="AO484" s="64">
        <f>'[2]Cyber Fraud'!AY7</f>
        <v>3</v>
      </c>
      <c r="AP484" s="64">
        <f>'[2]Cyber Fraud'!AZ7</f>
        <v>0</v>
      </c>
      <c r="AQ484" s="64">
        <f>'[2]Cyber Fraud'!BA7</f>
        <v>3</v>
      </c>
      <c r="AR484" s="64">
        <f>'[2]Cyber Fraud'!BB7</f>
        <v>7</v>
      </c>
      <c r="AS484" s="64">
        <f>'[2]Cyber Fraud'!BC7</f>
        <v>7</v>
      </c>
      <c r="AT484" s="64">
        <f>'[2]Cyber Fraud'!BD7</f>
        <v>5</v>
      </c>
      <c r="AU484" s="64">
        <f>'[2]Cyber Fraud'!BE7</f>
        <v>4</v>
      </c>
      <c r="AV484" s="64">
        <f>'[2]Cyber Fraud'!BF7</f>
        <v>3</v>
      </c>
      <c r="AW484" s="64">
        <f>'[2]Cyber Fraud'!BG7</f>
        <v>3</v>
      </c>
      <c r="AX484" s="64">
        <f>'[2]Cyber Fraud'!BH7</f>
        <v>3</v>
      </c>
      <c r="AY484" s="64">
        <f>'[2]Cyber Fraud'!BI7</f>
        <v>4</v>
      </c>
      <c r="AZ484" s="64"/>
    </row>
    <row r="485" spans="3:52" x14ac:dyDescent="0.35">
      <c r="C485" s="444" t="s">
        <v>62</v>
      </c>
      <c r="D485" s="64">
        <f>'[2]Cyber Fraud'!N8</f>
        <v>8</v>
      </c>
      <c r="E485" s="64">
        <f>'[2]Cyber Fraud'!O8</f>
        <v>7</v>
      </c>
      <c r="F485" s="64">
        <f>'[2]Cyber Fraud'!P8</f>
        <v>10</v>
      </c>
      <c r="G485" s="64">
        <f>'[2]Cyber Fraud'!Q8</f>
        <v>4</v>
      </c>
      <c r="H485" s="64">
        <f>'[2]Cyber Fraud'!R8</f>
        <v>5</v>
      </c>
      <c r="I485" s="64">
        <f>'[2]Cyber Fraud'!S8</f>
        <v>2</v>
      </c>
      <c r="J485" s="64">
        <f>'[2]Cyber Fraud'!T8</f>
        <v>7</v>
      </c>
      <c r="K485" s="64">
        <f>'[2]Cyber Fraud'!U8</f>
        <v>2</v>
      </c>
      <c r="L485" s="64">
        <f>'[2]Cyber Fraud'!V8</f>
        <v>3</v>
      </c>
      <c r="M485" s="64">
        <f>'[2]Cyber Fraud'!W8</f>
        <v>5</v>
      </c>
      <c r="N485" s="64">
        <f>'[2]Cyber Fraud'!X8</f>
        <v>5</v>
      </c>
      <c r="O485" s="64">
        <f>'[2]Cyber Fraud'!Y8</f>
        <v>7</v>
      </c>
      <c r="P485" s="64">
        <f>'[2]Cyber Fraud'!Z8</f>
        <v>4</v>
      </c>
      <c r="Q485" s="64">
        <f>'[2]Cyber Fraud'!AA8</f>
        <v>11</v>
      </c>
      <c r="R485" s="64">
        <f>'[2]Cyber Fraud'!AB8</f>
        <v>8</v>
      </c>
      <c r="S485" s="64">
        <f>'[2]Cyber Fraud'!AC8</f>
        <v>6</v>
      </c>
      <c r="T485" s="64">
        <f>'[2]Cyber Fraud'!AD8</f>
        <v>6</v>
      </c>
      <c r="U485" s="64">
        <f>'[2]Cyber Fraud'!AE8</f>
        <v>5</v>
      </c>
      <c r="V485" s="64">
        <f>'[2]Cyber Fraud'!AF8</f>
        <v>11</v>
      </c>
      <c r="W485" s="64">
        <f>'[2]Cyber Fraud'!AG8</f>
        <v>17</v>
      </c>
      <c r="X485" s="64">
        <f>'[2]Cyber Fraud'!AH8</f>
        <v>16</v>
      </c>
      <c r="Y485" s="64">
        <f>'[2]Cyber Fraud'!AI8</f>
        <v>10</v>
      </c>
      <c r="Z485" s="64">
        <f>'[2]Cyber Fraud'!AJ8</f>
        <v>11</v>
      </c>
      <c r="AA485" s="64">
        <f>'[2]Cyber Fraud'!AK8</f>
        <v>8</v>
      </c>
      <c r="AB485" s="64">
        <f>'[2]Cyber Fraud'!AL8</f>
        <v>8</v>
      </c>
      <c r="AC485" s="64">
        <f>'[2]Cyber Fraud'!AM8</f>
        <v>11</v>
      </c>
      <c r="AD485" s="64">
        <f>'[2]Cyber Fraud'!AN8</f>
        <v>12</v>
      </c>
      <c r="AE485" s="64">
        <f>'[2]Cyber Fraud'!AO8</f>
        <v>11</v>
      </c>
      <c r="AF485" s="64">
        <f>'[2]Cyber Fraud'!AP8</f>
        <v>11</v>
      </c>
      <c r="AG485" s="64">
        <f>'[2]Cyber Fraud'!AQ8</f>
        <v>12</v>
      </c>
      <c r="AH485" s="64">
        <f>'[2]Cyber Fraud'!AR8</f>
        <v>7</v>
      </c>
      <c r="AI485" s="64">
        <f>'[2]Cyber Fraud'!AS8</f>
        <v>8</v>
      </c>
      <c r="AJ485" s="64">
        <f>'[2]Cyber Fraud'!AT8</f>
        <v>14</v>
      </c>
      <c r="AK485" s="64">
        <f>'[2]Cyber Fraud'!AU8</f>
        <v>7</v>
      </c>
      <c r="AL485" s="64">
        <f>'[2]Cyber Fraud'!AV8</f>
        <v>7</v>
      </c>
      <c r="AM485" s="64">
        <f>'[2]Cyber Fraud'!AW8</f>
        <v>8</v>
      </c>
      <c r="AN485" s="64">
        <f>'[2]Cyber Fraud'!AX8</f>
        <v>2</v>
      </c>
      <c r="AO485" s="64">
        <f>'[2]Cyber Fraud'!AY8</f>
        <v>6</v>
      </c>
      <c r="AP485" s="64">
        <f>'[2]Cyber Fraud'!AZ8</f>
        <v>3</v>
      </c>
      <c r="AQ485" s="64">
        <f>'[2]Cyber Fraud'!BA8</f>
        <v>5</v>
      </c>
      <c r="AR485" s="64">
        <f>'[2]Cyber Fraud'!BB8</f>
        <v>10</v>
      </c>
      <c r="AS485" s="64">
        <f>'[2]Cyber Fraud'!BC8</f>
        <v>9</v>
      </c>
      <c r="AT485" s="64">
        <f>'[2]Cyber Fraud'!BD8</f>
        <v>9</v>
      </c>
      <c r="AU485" s="64">
        <f>'[2]Cyber Fraud'!BE8</f>
        <v>8</v>
      </c>
      <c r="AV485" s="64">
        <f>'[2]Cyber Fraud'!BF8</f>
        <v>7</v>
      </c>
      <c r="AW485" s="64">
        <f>'[2]Cyber Fraud'!BG8</f>
        <v>9</v>
      </c>
      <c r="AX485" s="64">
        <f>'[2]Cyber Fraud'!BH8</f>
        <v>3</v>
      </c>
      <c r="AY485" s="64">
        <f>'[2]Cyber Fraud'!BI8</f>
        <v>8</v>
      </c>
      <c r="AZ485" s="64"/>
    </row>
    <row r="486" spans="3:52" x14ac:dyDescent="0.35">
      <c r="C486" s="444" t="s">
        <v>0</v>
      </c>
      <c r="D486" s="64">
        <f>'[2]Cyber Fraud'!N9</f>
        <v>14</v>
      </c>
      <c r="E486" s="64">
        <f>'[2]Cyber Fraud'!O9</f>
        <v>14</v>
      </c>
      <c r="F486" s="64">
        <f>'[2]Cyber Fraud'!P9</f>
        <v>15</v>
      </c>
      <c r="G486" s="64">
        <f>'[2]Cyber Fraud'!Q9</f>
        <v>10</v>
      </c>
      <c r="H486" s="64">
        <f>'[2]Cyber Fraud'!R9</f>
        <v>8</v>
      </c>
      <c r="I486" s="64">
        <f>'[2]Cyber Fraud'!S9</f>
        <v>8</v>
      </c>
      <c r="J486" s="64">
        <f>'[2]Cyber Fraud'!T9</f>
        <v>14</v>
      </c>
      <c r="K486" s="64">
        <f>'[2]Cyber Fraud'!U9</f>
        <v>5</v>
      </c>
      <c r="L486" s="64">
        <f>'[2]Cyber Fraud'!V9</f>
        <v>6</v>
      </c>
      <c r="M486" s="64">
        <f>'[2]Cyber Fraud'!W9</f>
        <v>12</v>
      </c>
      <c r="N486" s="64">
        <f>'[2]Cyber Fraud'!X9</f>
        <v>16</v>
      </c>
      <c r="O486" s="64">
        <f>'[2]Cyber Fraud'!Y9</f>
        <v>16</v>
      </c>
      <c r="P486" s="64">
        <f>'[2]Cyber Fraud'!Z9</f>
        <v>14</v>
      </c>
      <c r="Q486" s="64">
        <f>'[2]Cyber Fraud'!AA9</f>
        <v>19</v>
      </c>
      <c r="R486" s="64">
        <f>'[2]Cyber Fraud'!AB9</f>
        <v>19</v>
      </c>
      <c r="S486" s="64">
        <f>'[2]Cyber Fraud'!AC9</f>
        <v>17</v>
      </c>
      <c r="T486" s="64">
        <f>'[2]Cyber Fraud'!AD9</f>
        <v>18</v>
      </c>
      <c r="U486" s="64">
        <f>'[2]Cyber Fraud'!AE9</f>
        <v>12</v>
      </c>
      <c r="V486" s="64">
        <f>'[2]Cyber Fraud'!AF9</f>
        <v>22</v>
      </c>
      <c r="W486" s="64">
        <f>'[2]Cyber Fraud'!AG9</f>
        <v>24</v>
      </c>
      <c r="X486" s="64">
        <f>'[2]Cyber Fraud'!AH9</f>
        <v>28</v>
      </c>
      <c r="Y486" s="64">
        <f>'[2]Cyber Fraud'!AI9</f>
        <v>25</v>
      </c>
      <c r="Z486" s="64">
        <f>'[2]Cyber Fraud'!AJ9</f>
        <v>19</v>
      </c>
      <c r="AA486" s="64">
        <f>'[2]Cyber Fraud'!AK9</f>
        <v>20</v>
      </c>
      <c r="AB486" s="64">
        <f>'[2]Cyber Fraud'!AL9</f>
        <v>20</v>
      </c>
      <c r="AC486" s="64">
        <f>'[2]Cyber Fraud'!AM9</f>
        <v>22</v>
      </c>
      <c r="AD486" s="64">
        <f>'[2]Cyber Fraud'!AN9</f>
        <v>33</v>
      </c>
      <c r="AE486" s="64">
        <f>'[2]Cyber Fraud'!AO9</f>
        <v>27</v>
      </c>
      <c r="AF486" s="64">
        <f>'[2]Cyber Fraud'!AP9</f>
        <v>25</v>
      </c>
      <c r="AG486" s="64">
        <f>'[2]Cyber Fraud'!AQ9</f>
        <v>24</v>
      </c>
      <c r="AH486" s="64">
        <f>'[2]Cyber Fraud'!AR9</f>
        <v>17</v>
      </c>
      <c r="AI486" s="64">
        <f>'[2]Cyber Fraud'!AS9</f>
        <v>17</v>
      </c>
      <c r="AJ486" s="64">
        <f>'[2]Cyber Fraud'!AT9</f>
        <v>26</v>
      </c>
      <c r="AK486" s="64">
        <f>'[2]Cyber Fraud'!AU9</f>
        <v>18</v>
      </c>
      <c r="AL486" s="64">
        <f>'[2]Cyber Fraud'!AV9</f>
        <v>16</v>
      </c>
      <c r="AM486" s="64">
        <f>'[2]Cyber Fraud'!AW9</f>
        <v>16</v>
      </c>
      <c r="AN486" s="64">
        <f>'[2]Cyber Fraud'!AX9</f>
        <v>12</v>
      </c>
      <c r="AO486" s="64">
        <f>'[2]Cyber Fraud'!AY9</f>
        <v>17</v>
      </c>
      <c r="AP486" s="64">
        <f>'[2]Cyber Fraud'!AZ9</f>
        <v>12</v>
      </c>
      <c r="AQ486" s="64">
        <f>'[2]Cyber Fraud'!BA9</f>
        <v>15</v>
      </c>
      <c r="AR486" s="64">
        <f>'[2]Cyber Fraud'!BB9</f>
        <v>18</v>
      </c>
      <c r="AS486" s="64">
        <f>'[2]Cyber Fraud'!BC9</f>
        <v>22</v>
      </c>
      <c r="AT486" s="64">
        <f>'[2]Cyber Fraud'!BD9</f>
        <v>18</v>
      </c>
      <c r="AU486" s="64">
        <f>'[2]Cyber Fraud'!BE9</f>
        <v>18</v>
      </c>
      <c r="AV486" s="64">
        <f>'[2]Cyber Fraud'!BF9</f>
        <v>23</v>
      </c>
      <c r="AW486" s="64">
        <f>'[2]Cyber Fraud'!BG9</f>
        <v>12</v>
      </c>
      <c r="AX486" s="64">
        <f>'[2]Cyber Fraud'!BH9</f>
        <v>7</v>
      </c>
      <c r="AY486" s="64">
        <f>'[2]Cyber Fraud'!BI9</f>
        <v>17</v>
      </c>
      <c r="AZ486" s="64"/>
    </row>
    <row r="487" spans="3:52" x14ac:dyDescent="0.35">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row>
    <row r="488" spans="3:52" x14ac:dyDescent="0.35">
      <c r="C488" s="660" t="s">
        <v>366</v>
      </c>
      <c r="D488" s="39">
        <v>44287</v>
      </c>
      <c r="E488" s="39">
        <v>44317</v>
      </c>
      <c r="F488" s="39">
        <v>44348</v>
      </c>
      <c r="G488" s="39">
        <v>44378</v>
      </c>
      <c r="H488" s="39">
        <v>44409</v>
      </c>
      <c r="I488" s="39">
        <v>44440</v>
      </c>
      <c r="J488" s="39">
        <v>44470</v>
      </c>
      <c r="K488" s="39">
        <v>44501</v>
      </c>
      <c r="L488" s="39">
        <v>44531</v>
      </c>
      <c r="M488" s="39">
        <v>44562</v>
      </c>
      <c r="N488" s="39">
        <v>44593</v>
      </c>
      <c r="O488" s="39">
        <v>44621</v>
      </c>
      <c r="P488" s="39">
        <v>44652</v>
      </c>
      <c r="Q488" s="39">
        <v>44682</v>
      </c>
      <c r="R488" s="39">
        <v>44713</v>
      </c>
      <c r="S488" s="39">
        <v>44743</v>
      </c>
      <c r="T488" s="39">
        <v>44774</v>
      </c>
      <c r="U488" s="39">
        <v>44805</v>
      </c>
      <c r="V488" s="39">
        <v>44835</v>
      </c>
      <c r="W488" s="39">
        <v>44866</v>
      </c>
      <c r="X488" s="39">
        <v>44896</v>
      </c>
      <c r="Y488" s="39">
        <v>44927</v>
      </c>
      <c r="Z488" s="39">
        <v>44958</v>
      </c>
      <c r="AA488" s="39">
        <v>44986</v>
      </c>
      <c r="AB488" s="39">
        <v>45017</v>
      </c>
      <c r="AC488" s="39">
        <v>45047</v>
      </c>
      <c r="AD488" s="39">
        <v>45078</v>
      </c>
      <c r="AE488" s="39">
        <v>45108</v>
      </c>
      <c r="AF488" s="39">
        <v>45139</v>
      </c>
      <c r="AG488" s="39">
        <v>45170</v>
      </c>
      <c r="AH488" s="39">
        <v>45200</v>
      </c>
      <c r="AI488" s="39">
        <v>45231</v>
      </c>
      <c r="AJ488" s="39">
        <v>45261</v>
      </c>
      <c r="AK488" s="39">
        <v>45292</v>
      </c>
      <c r="AL488" s="39">
        <v>45323</v>
      </c>
      <c r="AM488" s="39">
        <v>45352</v>
      </c>
      <c r="AN488" s="39">
        <v>45383</v>
      </c>
      <c r="AO488" s="39">
        <v>45413</v>
      </c>
      <c r="AP488" s="39">
        <v>45444</v>
      </c>
      <c r="AQ488" s="39">
        <v>45474</v>
      </c>
      <c r="AR488" s="39">
        <v>45505</v>
      </c>
      <c r="AS488" s="39">
        <v>45536</v>
      </c>
      <c r="AT488" s="39">
        <v>45566</v>
      </c>
      <c r="AU488" s="39">
        <v>45597</v>
      </c>
      <c r="AV488" s="39">
        <v>45627</v>
      </c>
      <c r="AW488" s="39">
        <v>45658</v>
      </c>
      <c r="AX488" s="39">
        <v>45689</v>
      </c>
      <c r="AY488" s="39">
        <v>45717</v>
      </c>
    </row>
    <row r="489" spans="3:52" x14ac:dyDescent="0.35">
      <c r="C489" s="660" t="s">
        <v>365</v>
      </c>
      <c r="D489" s="64">
        <f>'[2]Rug - MOWP'!Z2</f>
        <v>7</v>
      </c>
      <c r="E489" s="64">
        <f>'[2]Rug - MOWP'!AA2</f>
        <v>9</v>
      </c>
      <c r="F489" s="64">
        <f>'[2]Rug - MOWP'!AB2</f>
        <v>10</v>
      </c>
      <c r="G489" s="64">
        <f>'[2]Rug - MOWP'!AC2</f>
        <v>7</v>
      </c>
      <c r="H489" s="64">
        <f>'[2]Rug - MOWP'!AD2</f>
        <v>7</v>
      </c>
      <c r="I489" s="64">
        <f>'[2]Rug - MOWP'!AE2</f>
        <v>8</v>
      </c>
      <c r="J489" s="64">
        <f>'[2]Rug - MOWP'!AF2</f>
        <v>3</v>
      </c>
      <c r="K489" s="64">
        <f>'[2]Rug - MOWP'!AG2</f>
        <v>16</v>
      </c>
      <c r="L489" s="64">
        <f>'[2]Rug - MOWP'!AH2</f>
        <v>7</v>
      </c>
      <c r="M489" s="64">
        <f>'[2]Rug - MOWP'!AI2</f>
        <v>12</v>
      </c>
      <c r="N489" s="64">
        <f>'[2]Rug - MOWP'!AJ2</f>
        <v>7</v>
      </c>
      <c r="O489" s="64">
        <f>'[2]Rug - MOWP'!AK2</f>
        <v>3</v>
      </c>
      <c r="P489" s="64">
        <f>'[2]Rug - MOWP'!AL2</f>
        <v>9</v>
      </c>
      <c r="Q489" s="64">
        <f>'[2]Rug - MOWP'!AM2</f>
        <v>9</v>
      </c>
      <c r="R489" s="64">
        <f>'[2]Rug - MOWP'!AN2</f>
        <v>15</v>
      </c>
      <c r="S489" s="64">
        <f>'[2]Rug - MOWP'!AO2</f>
        <v>13</v>
      </c>
      <c r="T489" s="64">
        <f>'[2]Rug - MOWP'!AP2</f>
        <v>9</v>
      </c>
      <c r="U489" s="64">
        <f>'[2]Rug - MOWP'!AQ2</f>
        <v>12</v>
      </c>
      <c r="V489" s="64">
        <f>'[2]Rug - MOWP'!AR2</f>
        <v>13</v>
      </c>
      <c r="W489" s="64">
        <f>'[2]Rug - MOWP'!AS2</f>
        <v>5</v>
      </c>
      <c r="X489" s="64">
        <f>'[2]Rug - MOWP'!AT2</f>
        <v>5</v>
      </c>
      <c r="Y489" s="64">
        <f>'[2]Rug - MOWP'!AU2</f>
        <v>3</v>
      </c>
      <c r="Z489" s="64">
        <f>'[2]Rug - MOWP'!AV2</f>
        <v>1</v>
      </c>
      <c r="AA489" s="64">
        <f>'[2]Rug - MOWP'!AW2</f>
        <v>10</v>
      </c>
      <c r="AB489" s="64">
        <f>'[2]Rug - MOWP'!AX2</f>
        <v>3</v>
      </c>
      <c r="AC489" s="64">
        <f>'[2]Rug - MOWP'!AY2</f>
        <v>5</v>
      </c>
      <c r="AD489" s="64">
        <f>'[2]Rug - MOWP'!AZ2</f>
        <v>3</v>
      </c>
      <c r="AE489" s="64">
        <f>'[2]Rug - MOWP'!BA2</f>
        <v>5</v>
      </c>
      <c r="AF489" s="64">
        <f>'[2]Rug - MOWP'!BB2</f>
        <v>1</v>
      </c>
      <c r="AG489" s="64">
        <f>'[2]Rug - MOWP'!BC2</f>
        <v>13</v>
      </c>
      <c r="AH489" s="64">
        <f>'[2]Rug - MOWP'!BD2</f>
        <v>6</v>
      </c>
      <c r="AI489" s="64">
        <f>'[2]Rug - MOWP'!BE2</f>
        <v>6</v>
      </c>
      <c r="AJ489" s="64">
        <f>'[2]Rug - MOWP'!BF2</f>
        <v>8</v>
      </c>
      <c r="AK489" s="64">
        <f>'[2]Rug - MOWP'!BG2</f>
        <v>7</v>
      </c>
      <c r="AL489" s="64">
        <f>'[2]Rug - MOWP'!BH2</f>
        <v>0</v>
      </c>
      <c r="AM489" s="64">
        <f>'[2]Rug - MOWP'!BI2</f>
        <v>3</v>
      </c>
      <c r="AN489" s="64">
        <f>'[2]Rug - MOWP'!BJ2</f>
        <v>5</v>
      </c>
      <c r="AO489" s="64">
        <f>'[2]Rug - MOWP'!BK2</f>
        <v>5</v>
      </c>
      <c r="AP489" s="64">
        <f>'[2]Rug - MOWP'!BL2</f>
        <v>7</v>
      </c>
      <c r="AQ489" s="64">
        <f>'[2]Rug - MOWP'!BM2</f>
        <v>9</v>
      </c>
      <c r="AR489" s="64">
        <f>'[2]Rug - MOWP'!BN2</f>
        <v>4</v>
      </c>
      <c r="AS489" s="64">
        <f>'[2]Rug - MOWP'!BO2</f>
        <v>8</v>
      </c>
      <c r="AT489" s="64">
        <f>'[2]Rug - MOWP'!BP2</f>
        <v>6</v>
      </c>
      <c r="AU489" s="64">
        <f>'[2]Rug - MOWP'!BQ2</f>
        <v>4</v>
      </c>
      <c r="AV489" s="64">
        <f>'[2]Rug - MOWP'!BR2</f>
        <v>5</v>
      </c>
      <c r="AW489" s="64">
        <f>'[2]Rug - MOWP'!BS2</f>
        <v>2</v>
      </c>
      <c r="AX489" s="64">
        <f>'[2]Rug - MOWP'!BT2</f>
        <v>5</v>
      </c>
      <c r="AY489" s="64">
        <f>'[2]Rug - MOWP'!BU2</f>
        <v>4</v>
      </c>
    </row>
    <row r="490" spans="3:52" s="36" customFormat="1" x14ac:dyDescent="0.35">
      <c r="C490" s="676"/>
    </row>
    <row r="491" spans="3:52" ht="37" x14ac:dyDescent="0.35">
      <c r="C491" s="669" t="s">
        <v>373</v>
      </c>
      <c r="D491" s="39">
        <v>44287</v>
      </c>
      <c r="E491" s="39">
        <v>44317</v>
      </c>
      <c r="F491" s="39">
        <v>44348</v>
      </c>
      <c r="G491" s="39">
        <v>44378</v>
      </c>
      <c r="H491" s="39">
        <v>44409</v>
      </c>
      <c r="I491" s="39">
        <v>44440</v>
      </c>
      <c r="J491" s="39">
        <v>44470</v>
      </c>
      <c r="K491" s="39">
        <v>44501</v>
      </c>
      <c r="L491" s="39">
        <v>44531</v>
      </c>
      <c r="M491" s="39">
        <v>44562</v>
      </c>
      <c r="N491" s="39">
        <v>44593</v>
      </c>
      <c r="O491" s="39">
        <v>44621</v>
      </c>
      <c r="P491" s="39">
        <v>44652</v>
      </c>
      <c r="Q491" s="39">
        <v>44682</v>
      </c>
      <c r="R491" s="39">
        <v>44713</v>
      </c>
      <c r="S491" s="39">
        <v>44743</v>
      </c>
      <c r="T491" s="39">
        <v>44774</v>
      </c>
      <c r="U491" s="39">
        <v>44805</v>
      </c>
      <c r="V491" s="39">
        <v>44835</v>
      </c>
      <c r="W491" s="39">
        <v>44866</v>
      </c>
      <c r="X491" s="39">
        <v>44896</v>
      </c>
      <c r="Y491" s="39">
        <v>44927</v>
      </c>
      <c r="Z491" s="39">
        <v>44958</v>
      </c>
      <c r="AA491" s="39">
        <v>44986</v>
      </c>
      <c r="AB491" s="39">
        <v>45017</v>
      </c>
      <c r="AC491" s="39">
        <v>45047</v>
      </c>
      <c r="AD491" s="39">
        <v>45078</v>
      </c>
      <c r="AE491" s="39">
        <v>45108</v>
      </c>
      <c r="AF491" s="39">
        <v>45139</v>
      </c>
      <c r="AG491" s="39">
        <v>45170</v>
      </c>
      <c r="AH491" s="39">
        <v>45200</v>
      </c>
      <c r="AI491" s="39">
        <v>45231</v>
      </c>
      <c r="AJ491" s="39">
        <v>45261</v>
      </c>
      <c r="AK491" s="39">
        <v>45292</v>
      </c>
      <c r="AL491" s="39">
        <v>45323</v>
      </c>
      <c r="AM491" s="39">
        <v>45352</v>
      </c>
      <c r="AN491" s="39">
        <v>45383</v>
      </c>
      <c r="AO491" s="39">
        <v>45413</v>
      </c>
      <c r="AP491" s="39">
        <v>45444</v>
      </c>
      <c r="AQ491" s="39">
        <v>45474</v>
      </c>
      <c r="AR491" s="39">
        <v>45505</v>
      </c>
      <c r="AS491" s="39">
        <v>45536</v>
      </c>
      <c r="AT491" s="39">
        <v>45566</v>
      </c>
      <c r="AU491" s="39">
        <v>45597</v>
      </c>
      <c r="AV491" s="39">
        <v>45627</v>
      </c>
      <c r="AW491" s="39">
        <v>45658</v>
      </c>
      <c r="AX491" s="39">
        <v>45689</v>
      </c>
      <c r="AY491" s="39">
        <v>45717</v>
      </c>
    </row>
    <row r="492" spans="3:52" x14ac:dyDescent="0.35">
      <c r="C492" s="661" t="s">
        <v>212</v>
      </c>
      <c r="D492" s="609">
        <f>'[2]Weapon Offences'!Z3</f>
        <v>1</v>
      </c>
      <c r="E492" s="609">
        <f>'[2]Weapon Offences'!AA3</f>
        <v>3</v>
      </c>
      <c r="F492" s="609">
        <f>'[2]Weapon Offences'!AB3</f>
        <v>1</v>
      </c>
      <c r="G492" s="609">
        <f>'[2]Weapon Offences'!AC3</f>
        <v>3</v>
      </c>
      <c r="H492" s="609">
        <f>'[2]Weapon Offences'!AD3</f>
        <v>1</v>
      </c>
      <c r="I492" s="609">
        <f>'[2]Weapon Offences'!AE3</f>
        <v>0</v>
      </c>
      <c r="J492" s="609">
        <f>'[2]Weapon Offences'!AF3</f>
        <v>3</v>
      </c>
      <c r="K492" s="609">
        <f>'[2]Weapon Offences'!AG3</f>
        <v>4</v>
      </c>
      <c r="L492" s="609">
        <f>'[2]Weapon Offences'!AH3</f>
        <v>3</v>
      </c>
      <c r="M492" s="609">
        <f>'[2]Weapon Offences'!AI3</f>
        <v>0</v>
      </c>
      <c r="N492" s="609">
        <f>'[2]Weapon Offences'!AJ3</f>
        <v>4</v>
      </c>
      <c r="O492" s="609">
        <f>'[2]Weapon Offences'!AK3</f>
        <v>1</v>
      </c>
      <c r="P492" s="609">
        <f>'[2]Weapon Offences'!AL3</f>
        <v>3</v>
      </c>
      <c r="Q492" s="609">
        <f>'[2]Weapon Offences'!AM3</f>
        <v>5</v>
      </c>
      <c r="R492" s="609">
        <f>'[2]Weapon Offences'!AN3</f>
        <v>1</v>
      </c>
      <c r="S492" s="609">
        <f>'[2]Weapon Offences'!AO3</f>
        <v>2</v>
      </c>
      <c r="T492" s="609">
        <f>'[2]Weapon Offences'!AP3</f>
        <v>2</v>
      </c>
      <c r="U492" s="609">
        <f>'[2]Weapon Offences'!AQ3</f>
        <v>0</v>
      </c>
      <c r="V492" s="609">
        <f>'[2]Weapon Offences'!AR3</f>
        <v>3</v>
      </c>
      <c r="W492" s="609">
        <f>'[2]Weapon Offences'!AS3</f>
        <v>2</v>
      </c>
      <c r="X492" s="609">
        <f>'[2]Weapon Offences'!AT3</f>
        <v>1</v>
      </c>
      <c r="Y492" s="609">
        <f>'[2]Weapon Offences'!AU3</f>
        <v>3</v>
      </c>
      <c r="Z492" s="609">
        <f>'[2]Weapon Offences'!AV3</f>
        <v>4</v>
      </c>
      <c r="AA492" s="609">
        <f>'[2]Weapon Offences'!AW3</f>
        <v>3</v>
      </c>
      <c r="AB492" s="609">
        <f>'[2]Weapon Offences'!AX3</f>
        <v>2</v>
      </c>
      <c r="AC492" s="609">
        <f>'[2]Weapon Offences'!AY3</f>
        <v>2</v>
      </c>
      <c r="AD492" s="609">
        <f>'[2]Weapon Offences'!AZ3</f>
        <v>0</v>
      </c>
      <c r="AE492" s="609">
        <f>'[2]Weapon Offences'!BA3</f>
        <v>1</v>
      </c>
      <c r="AF492" s="609">
        <f>'[2]Weapon Offences'!BB3</f>
        <v>3</v>
      </c>
      <c r="AG492" s="609">
        <f>'[2]Weapon Offences'!BC3</f>
        <v>1</v>
      </c>
      <c r="AH492" s="609">
        <f>'[2]Weapon Offences'!BD3</f>
        <v>2</v>
      </c>
      <c r="AI492" s="609">
        <f>'[2]Weapon Offences'!BE3</f>
        <v>2</v>
      </c>
      <c r="AJ492" s="609">
        <f>'[2]Weapon Offences'!BF3</f>
        <v>1</v>
      </c>
      <c r="AK492" s="609">
        <f>'[2]Weapon Offences'!BG3</f>
        <v>3</v>
      </c>
      <c r="AL492" s="609">
        <f>'[2]Weapon Offences'!BH3</f>
        <v>0</v>
      </c>
      <c r="AM492" s="609">
        <f>'[2]Weapon Offences'!BI3</f>
        <v>2</v>
      </c>
      <c r="AN492" s="609">
        <f>'[2]Weapon Offences'!BJ3</f>
        <v>1</v>
      </c>
      <c r="AO492" s="609">
        <f>'[2]Weapon Offences'!BK3</f>
        <v>0</v>
      </c>
      <c r="AP492" s="609">
        <f>'[2]Weapon Offences'!BL3</f>
        <v>2</v>
      </c>
      <c r="AQ492" s="609">
        <f>'[2]Weapon Offences'!BM3</f>
        <v>1</v>
      </c>
      <c r="AR492" s="609">
        <f>'[2]Weapon Offences'!BN3</f>
        <v>0</v>
      </c>
      <c r="AS492" s="609">
        <f>'[2]Weapon Offences'!BO3</f>
        <v>1</v>
      </c>
      <c r="AT492" s="609">
        <f>'[2]Weapon Offences'!BP3</f>
        <v>0</v>
      </c>
      <c r="AU492" s="609">
        <f>'[2]Weapon Offences'!BQ3</f>
        <v>1</v>
      </c>
      <c r="AV492" s="609">
        <f>'[2]Weapon Offences'!BR3</f>
        <v>0</v>
      </c>
      <c r="AW492" s="609">
        <f>'[2]Weapon Offences'!BS3</f>
        <v>1</v>
      </c>
      <c r="AX492" s="609">
        <f>'[2]Weapon Offences'!BT3</f>
        <v>0</v>
      </c>
      <c r="AY492" s="609">
        <f>'[2]Weapon Offences'!BU3</f>
        <v>1</v>
      </c>
    </row>
    <row r="493" spans="3:52" x14ac:dyDescent="0.35">
      <c r="C493" s="661" t="s">
        <v>213</v>
      </c>
      <c r="D493" s="609">
        <f>'[2]Weapon Offences'!Z4</f>
        <v>7</v>
      </c>
      <c r="E493" s="609">
        <f>'[2]Weapon Offences'!AA4</f>
        <v>8</v>
      </c>
      <c r="F493" s="609">
        <f>'[2]Weapon Offences'!AB4</f>
        <v>6</v>
      </c>
      <c r="G493" s="609">
        <f>'[2]Weapon Offences'!AC4</f>
        <v>6</v>
      </c>
      <c r="H493" s="609">
        <f>'[2]Weapon Offences'!AD4</f>
        <v>7</v>
      </c>
      <c r="I493" s="609">
        <f>'[2]Weapon Offences'!AE4</f>
        <v>6</v>
      </c>
      <c r="J493" s="609">
        <f>'[2]Weapon Offences'!AF4</f>
        <v>10</v>
      </c>
      <c r="K493" s="609">
        <f>'[2]Weapon Offences'!AG4</f>
        <v>11</v>
      </c>
      <c r="L493" s="609">
        <f>'[2]Weapon Offences'!AH4</f>
        <v>5</v>
      </c>
      <c r="M493" s="609">
        <f>'[2]Weapon Offences'!AI4</f>
        <v>2</v>
      </c>
      <c r="N493" s="609">
        <f>'[2]Weapon Offences'!AJ4</f>
        <v>8</v>
      </c>
      <c r="O493" s="609">
        <f>'[2]Weapon Offences'!AK4</f>
        <v>13</v>
      </c>
      <c r="P493" s="609">
        <f>'[2]Weapon Offences'!AL4</f>
        <v>6</v>
      </c>
      <c r="Q493" s="609">
        <f>'[2]Weapon Offences'!AM4</f>
        <v>6</v>
      </c>
      <c r="R493" s="609">
        <f>'[2]Weapon Offences'!AN4</f>
        <v>6</v>
      </c>
      <c r="S493" s="609">
        <f>'[2]Weapon Offences'!AO4</f>
        <v>13</v>
      </c>
      <c r="T493" s="609">
        <f>'[2]Weapon Offences'!AP4</f>
        <v>8</v>
      </c>
      <c r="U493" s="609">
        <f>'[2]Weapon Offences'!AQ4</f>
        <v>7</v>
      </c>
      <c r="V493" s="609">
        <f>'[2]Weapon Offences'!AR4</f>
        <v>9</v>
      </c>
      <c r="W493" s="609">
        <f>'[2]Weapon Offences'!AS4</f>
        <v>12</v>
      </c>
      <c r="X493" s="609">
        <f>'[2]Weapon Offences'!AT4</f>
        <v>4</v>
      </c>
      <c r="Y493" s="609">
        <f>'[2]Weapon Offences'!AU4</f>
        <v>7</v>
      </c>
      <c r="Z493" s="609">
        <f>'[2]Weapon Offences'!AV4</f>
        <v>8</v>
      </c>
      <c r="AA493" s="609">
        <f>'[2]Weapon Offences'!AW4</f>
        <v>17</v>
      </c>
      <c r="AB493" s="609">
        <f>'[2]Weapon Offences'!AX4</f>
        <v>10</v>
      </c>
      <c r="AC493" s="609">
        <f>'[2]Weapon Offences'!AY4</f>
        <v>3</v>
      </c>
      <c r="AD493" s="609">
        <f>'[2]Weapon Offences'!AZ4</f>
        <v>8</v>
      </c>
      <c r="AE493" s="609">
        <f>'[2]Weapon Offences'!BA4</f>
        <v>11</v>
      </c>
      <c r="AF493" s="609">
        <f>'[2]Weapon Offences'!BB4</f>
        <v>6</v>
      </c>
      <c r="AG493" s="609">
        <f>'[2]Weapon Offences'!BC4</f>
        <v>10</v>
      </c>
      <c r="AH493" s="609">
        <f>'[2]Weapon Offences'!BD4</f>
        <v>5</v>
      </c>
      <c r="AI493" s="609">
        <f>'[2]Weapon Offences'!BE4</f>
        <v>6</v>
      </c>
      <c r="AJ493" s="609">
        <f>'[2]Weapon Offences'!BF4</f>
        <v>9</v>
      </c>
      <c r="AK493" s="609">
        <f>'[2]Weapon Offences'!BG4</f>
        <v>4</v>
      </c>
      <c r="AL493" s="609">
        <f>'[2]Weapon Offences'!BH4</f>
        <v>7</v>
      </c>
      <c r="AM493" s="609">
        <f>'[2]Weapon Offences'!BI4</f>
        <v>6</v>
      </c>
      <c r="AN493" s="609">
        <f>'[2]Weapon Offences'!BJ4</f>
        <v>2</v>
      </c>
      <c r="AO493" s="609">
        <f>'[2]Weapon Offences'!BK4</f>
        <v>2</v>
      </c>
      <c r="AP493" s="609">
        <f>'[2]Weapon Offences'!BL4</f>
        <v>4</v>
      </c>
      <c r="AQ493" s="609">
        <f>'[2]Weapon Offences'!BM4</f>
        <v>5</v>
      </c>
      <c r="AR493" s="609">
        <f>'[2]Weapon Offences'!BN4</f>
        <v>1</v>
      </c>
      <c r="AS493" s="609">
        <f>'[2]Weapon Offences'!BO4</f>
        <v>1</v>
      </c>
      <c r="AT493" s="609">
        <f>'[2]Weapon Offences'!BP4</f>
        <v>4</v>
      </c>
      <c r="AU493" s="609">
        <f>'[2]Weapon Offences'!BQ4</f>
        <v>1</v>
      </c>
      <c r="AV493" s="609">
        <f>'[2]Weapon Offences'!BR4</f>
        <v>3</v>
      </c>
      <c r="AW493" s="609">
        <f>'[2]Weapon Offences'!BS4</f>
        <v>1</v>
      </c>
      <c r="AX493" s="609">
        <f>'[2]Weapon Offences'!BT4</f>
        <v>0</v>
      </c>
      <c r="AY493" s="609">
        <f>'[2]Weapon Offences'!BU4</f>
        <v>2</v>
      </c>
    </row>
    <row r="494" spans="3:52" x14ac:dyDescent="0.35">
      <c r="C494" s="661" t="s">
        <v>214</v>
      </c>
      <c r="D494" s="609">
        <f>'[2]Weapon Offences'!Z5</f>
        <v>4</v>
      </c>
      <c r="E494" s="609">
        <f>'[2]Weapon Offences'!AA5</f>
        <v>2</v>
      </c>
      <c r="F494" s="609">
        <f>'[2]Weapon Offences'!AB5</f>
        <v>6</v>
      </c>
      <c r="G494" s="609">
        <f>'[2]Weapon Offences'!AC5</f>
        <v>1</v>
      </c>
      <c r="H494" s="609">
        <f>'[2]Weapon Offences'!AD5</f>
        <v>5</v>
      </c>
      <c r="I494" s="609">
        <f>'[2]Weapon Offences'!AE5</f>
        <v>2</v>
      </c>
      <c r="J494" s="609">
        <f>'[2]Weapon Offences'!AF5</f>
        <v>1</v>
      </c>
      <c r="K494" s="609">
        <f>'[2]Weapon Offences'!AG5</f>
        <v>2</v>
      </c>
      <c r="L494" s="609">
        <f>'[2]Weapon Offences'!AH5</f>
        <v>0</v>
      </c>
      <c r="M494" s="609">
        <f>'[2]Weapon Offences'!AI5</f>
        <v>3</v>
      </c>
      <c r="N494" s="609">
        <f>'[2]Weapon Offences'!AJ5</f>
        <v>4</v>
      </c>
      <c r="O494" s="609">
        <f>'[2]Weapon Offences'!AK5</f>
        <v>4</v>
      </c>
      <c r="P494" s="609">
        <f>'[2]Weapon Offences'!AL5</f>
        <v>7</v>
      </c>
      <c r="Q494" s="609">
        <f>'[2]Weapon Offences'!AM5</f>
        <v>4</v>
      </c>
      <c r="R494" s="609">
        <f>'[2]Weapon Offences'!AN5</f>
        <v>9</v>
      </c>
      <c r="S494" s="609">
        <f>'[2]Weapon Offences'!AO5</f>
        <v>4</v>
      </c>
      <c r="T494" s="609">
        <f>'[2]Weapon Offences'!AP5</f>
        <v>2</v>
      </c>
      <c r="U494" s="609">
        <f>'[2]Weapon Offences'!AQ5</f>
        <v>4</v>
      </c>
      <c r="V494" s="609">
        <f>'[2]Weapon Offences'!AR5</f>
        <v>1</v>
      </c>
      <c r="W494" s="609">
        <f>'[2]Weapon Offences'!AS5</f>
        <v>3</v>
      </c>
      <c r="X494" s="609">
        <f>'[2]Weapon Offences'!AT5</f>
        <v>1</v>
      </c>
      <c r="Y494" s="609">
        <f>'[2]Weapon Offences'!AU5</f>
        <v>2</v>
      </c>
      <c r="Z494" s="609">
        <f>'[2]Weapon Offences'!AV5</f>
        <v>3</v>
      </c>
      <c r="AA494" s="609">
        <f>'[2]Weapon Offences'!AW5</f>
        <v>7</v>
      </c>
      <c r="AB494" s="609">
        <f>'[2]Weapon Offences'!AX5</f>
        <v>0</v>
      </c>
      <c r="AC494" s="609">
        <f>'[2]Weapon Offences'!AY5</f>
        <v>3</v>
      </c>
      <c r="AD494" s="609">
        <f>'[2]Weapon Offences'!AZ5</f>
        <v>1</v>
      </c>
      <c r="AE494" s="609">
        <f>'[2]Weapon Offences'!BA5</f>
        <v>2</v>
      </c>
      <c r="AF494" s="609">
        <f>'[2]Weapon Offences'!BB5</f>
        <v>4</v>
      </c>
      <c r="AG494" s="609">
        <f>'[2]Weapon Offences'!BC5</f>
        <v>1</v>
      </c>
      <c r="AH494" s="609">
        <f>'[2]Weapon Offences'!BD5</f>
        <v>1</v>
      </c>
      <c r="AI494" s="609">
        <f>'[2]Weapon Offences'!BE5</f>
        <v>2</v>
      </c>
      <c r="AJ494" s="609">
        <f>'[2]Weapon Offences'!BF5</f>
        <v>2</v>
      </c>
      <c r="AK494" s="609">
        <f>'[2]Weapon Offences'!BG5</f>
        <v>4</v>
      </c>
      <c r="AL494" s="609">
        <f>'[2]Weapon Offences'!BH5</f>
        <v>1</v>
      </c>
      <c r="AM494" s="609">
        <f>'[2]Weapon Offences'!BI5</f>
        <v>5</v>
      </c>
      <c r="AN494" s="609">
        <f>'[2]Weapon Offences'!BJ5</f>
        <v>2</v>
      </c>
      <c r="AO494" s="609">
        <f>'[2]Weapon Offences'!BK5</f>
        <v>2</v>
      </c>
      <c r="AP494" s="609">
        <f>'[2]Weapon Offences'!BL5</f>
        <v>2</v>
      </c>
      <c r="AQ494" s="609">
        <f>'[2]Weapon Offences'!BM5</f>
        <v>2</v>
      </c>
      <c r="AR494" s="609">
        <f>'[2]Weapon Offences'!BN5</f>
        <v>2</v>
      </c>
      <c r="AS494" s="609">
        <f>'[2]Weapon Offences'!BO5</f>
        <v>2</v>
      </c>
      <c r="AT494" s="609">
        <f>'[2]Weapon Offences'!BP5</f>
        <v>3</v>
      </c>
      <c r="AU494" s="609">
        <f>'[2]Weapon Offences'!BQ5</f>
        <v>0</v>
      </c>
      <c r="AV494" s="609">
        <f>'[2]Weapon Offences'!BR5</f>
        <v>1</v>
      </c>
      <c r="AW494" s="609">
        <f>'[2]Weapon Offences'!BS5</f>
        <v>0</v>
      </c>
      <c r="AX494" s="609">
        <f>'[2]Weapon Offences'!BT5</f>
        <v>1</v>
      </c>
      <c r="AY494" s="609">
        <f>'[2]Weapon Offences'!BU5</f>
        <v>0</v>
      </c>
    </row>
    <row r="495" spans="3:52" x14ac:dyDescent="0.35">
      <c r="C495" s="661" t="s">
        <v>146</v>
      </c>
      <c r="D495" s="609">
        <f>'[2]Weapon Offences'!Z6</f>
        <v>2</v>
      </c>
      <c r="E495" s="609">
        <f>'[2]Weapon Offences'!AA6</f>
        <v>2</v>
      </c>
      <c r="F495" s="609">
        <f>'[2]Weapon Offences'!AB6</f>
        <v>6</v>
      </c>
      <c r="G495" s="609">
        <f>'[2]Weapon Offences'!AC6</f>
        <v>1</v>
      </c>
      <c r="H495" s="609">
        <f>'[2]Weapon Offences'!AD6</f>
        <v>3</v>
      </c>
      <c r="I495" s="609">
        <f>'[2]Weapon Offences'!AE6</f>
        <v>5</v>
      </c>
      <c r="J495" s="609">
        <f>'[2]Weapon Offences'!AF6</f>
        <v>5</v>
      </c>
      <c r="K495" s="609">
        <f>'[2]Weapon Offences'!AG6</f>
        <v>3</v>
      </c>
      <c r="L495" s="609">
        <f>'[2]Weapon Offences'!AH6</f>
        <v>1</v>
      </c>
      <c r="M495" s="609">
        <f>'[2]Weapon Offences'!AI6</f>
        <v>1</v>
      </c>
      <c r="N495" s="609">
        <f>'[2]Weapon Offences'!AJ6</f>
        <v>3</v>
      </c>
      <c r="O495" s="609">
        <f>'[2]Weapon Offences'!AK6</f>
        <v>3</v>
      </c>
      <c r="P495" s="609">
        <f>'[2]Weapon Offences'!AL6</f>
        <v>2</v>
      </c>
      <c r="Q495" s="609">
        <f>'[2]Weapon Offences'!AM6</f>
        <v>2</v>
      </c>
      <c r="R495" s="609">
        <f>'[2]Weapon Offences'!AN6</f>
        <v>1</v>
      </c>
      <c r="S495" s="609">
        <f>'[2]Weapon Offences'!AO6</f>
        <v>3</v>
      </c>
      <c r="T495" s="609">
        <f>'[2]Weapon Offences'!AP6</f>
        <v>2</v>
      </c>
      <c r="U495" s="609">
        <f>'[2]Weapon Offences'!AQ6</f>
        <v>1</v>
      </c>
      <c r="V495" s="609">
        <f>'[2]Weapon Offences'!AR6</f>
        <v>2</v>
      </c>
      <c r="W495" s="609">
        <f>'[2]Weapon Offences'!AS6</f>
        <v>3</v>
      </c>
      <c r="X495" s="609">
        <f>'[2]Weapon Offences'!AT6</f>
        <v>3</v>
      </c>
      <c r="Y495" s="609">
        <f>'[2]Weapon Offences'!AU6</f>
        <v>2</v>
      </c>
      <c r="Z495" s="609">
        <f>'[2]Weapon Offences'!AV6</f>
        <v>3</v>
      </c>
      <c r="AA495" s="609">
        <f>'[2]Weapon Offences'!AW6</f>
        <v>7</v>
      </c>
      <c r="AB495" s="609">
        <f>'[2]Weapon Offences'!AX6</f>
        <v>5</v>
      </c>
      <c r="AC495" s="609">
        <f>'[2]Weapon Offences'!AY6</f>
        <v>3</v>
      </c>
      <c r="AD495" s="609">
        <f>'[2]Weapon Offences'!AZ6</f>
        <v>3</v>
      </c>
      <c r="AE495" s="609">
        <f>'[2]Weapon Offences'!BA6</f>
        <v>8</v>
      </c>
      <c r="AF495" s="609">
        <f>'[2]Weapon Offences'!BB6</f>
        <v>0</v>
      </c>
      <c r="AG495" s="609">
        <f>'[2]Weapon Offences'!BC6</f>
        <v>2</v>
      </c>
      <c r="AH495" s="609">
        <f>'[2]Weapon Offences'!BD6</f>
        <v>1</v>
      </c>
      <c r="AI495" s="609">
        <f>'[2]Weapon Offences'!BE6</f>
        <v>4</v>
      </c>
      <c r="AJ495" s="609">
        <f>'[2]Weapon Offences'!BF6</f>
        <v>4</v>
      </c>
      <c r="AK495" s="609">
        <f>'[2]Weapon Offences'!BG6</f>
        <v>4</v>
      </c>
      <c r="AL495" s="609">
        <f>'[2]Weapon Offences'!BH6</f>
        <v>5</v>
      </c>
      <c r="AM495" s="609">
        <f>'[2]Weapon Offences'!BI6</f>
        <v>4</v>
      </c>
      <c r="AN495" s="609">
        <f>'[2]Weapon Offences'!BJ6</f>
        <v>3</v>
      </c>
      <c r="AO495" s="609">
        <f>'[2]Weapon Offences'!BK6</f>
        <v>1</v>
      </c>
      <c r="AP495" s="609">
        <f>'[2]Weapon Offences'!BL6</f>
        <v>2</v>
      </c>
      <c r="AQ495" s="609">
        <f>'[2]Weapon Offences'!BM6</f>
        <v>3</v>
      </c>
      <c r="AR495" s="609">
        <f>'[2]Weapon Offences'!BN6</f>
        <v>2</v>
      </c>
      <c r="AS495" s="609">
        <f>'[2]Weapon Offences'!BO6</f>
        <v>3</v>
      </c>
      <c r="AT495" s="609">
        <f>'[2]Weapon Offences'!BP6</f>
        <v>1</v>
      </c>
      <c r="AU495" s="609">
        <f>'[2]Weapon Offences'!BQ6</f>
        <v>1</v>
      </c>
      <c r="AV495" s="609">
        <f>'[2]Weapon Offences'!BR6</f>
        <v>1</v>
      </c>
      <c r="AW495" s="609">
        <f>'[2]Weapon Offences'!BS6</f>
        <v>1</v>
      </c>
      <c r="AX495" s="609">
        <f>'[2]Weapon Offences'!BT6</f>
        <v>2</v>
      </c>
      <c r="AY495" s="609">
        <f>'[2]Weapon Offences'!BU6</f>
        <v>1</v>
      </c>
    </row>
    <row r="496" spans="3:52" x14ac:dyDescent="0.35">
      <c r="C496" s="661" t="s">
        <v>147</v>
      </c>
      <c r="D496" s="609">
        <f>'[2]Weapon Offences'!Z7</f>
        <v>4</v>
      </c>
      <c r="E496" s="609">
        <f>'[2]Weapon Offences'!AA7</f>
        <v>6</v>
      </c>
      <c r="F496" s="609">
        <f>'[2]Weapon Offences'!AB7</f>
        <v>3</v>
      </c>
      <c r="G496" s="609">
        <f>'[2]Weapon Offences'!AC7</f>
        <v>6</v>
      </c>
      <c r="H496" s="609">
        <f>'[2]Weapon Offences'!AD7</f>
        <v>8</v>
      </c>
      <c r="I496" s="609">
        <f>'[2]Weapon Offences'!AE7</f>
        <v>6</v>
      </c>
      <c r="J496" s="609">
        <f>'[2]Weapon Offences'!AF7</f>
        <v>5</v>
      </c>
      <c r="K496" s="609">
        <f>'[2]Weapon Offences'!AG7</f>
        <v>4</v>
      </c>
      <c r="L496" s="609">
        <f>'[2]Weapon Offences'!AH7</f>
        <v>5</v>
      </c>
      <c r="M496" s="609">
        <f>'[2]Weapon Offences'!AI7</f>
        <v>8</v>
      </c>
      <c r="N496" s="609">
        <f>'[2]Weapon Offences'!AJ7</f>
        <v>7</v>
      </c>
      <c r="O496" s="609">
        <f>'[2]Weapon Offences'!AK7</f>
        <v>3</v>
      </c>
      <c r="P496" s="609">
        <f>'[2]Weapon Offences'!AL7</f>
        <v>4</v>
      </c>
      <c r="Q496" s="609">
        <f>'[2]Weapon Offences'!AM7</f>
        <v>6</v>
      </c>
      <c r="R496" s="609">
        <f>'[2]Weapon Offences'!AN7</f>
        <v>3</v>
      </c>
      <c r="S496" s="609">
        <f>'[2]Weapon Offences'!AO7</f>
        <v>4</v>
      </c>
      <c r="T496" s="609">
        <f>'[2]Weapon Offences'!AP7</f>
        <v>7</v>
      </c>
      <c r="U496" s="609">
        <f>'[2]Weapon Offences'!AQ7</f>
        <v>6</v>
      </c>
      <c r="V496" s="609">
        <f>'[2]Weapon Offences'!AR7</f>
        <v>5</v>
      </c>
      <c r="W496" s="609">
        <f>'[2]Weapon Offences'!AS7</f>
        <v>4</v>
      </c>
      <c r="X496" s="609">
        <f>'[2]Weapon Offences'!AT7</f>
        <v>1</v>
      </c>
      <c r="Y496" s="609">
        <f>'[2]Weapon Offences'!AU7</f>
        <v>8</v>
      </c>
      <c r="Z496" s="609">
        <f>'[2]Weapon Offences'!AV7</f>
        <v>7</v>
      </c>
      <c r="AA496" s="609">
        <f>'[2]Weapon Offences'!AW7</f>
        <v>3</v>
      </c>
      <c r="AB496" s="609">
        <f>'[2]Weapon Offences'!AX7</f>
        <v>3</v>
      </c>
      <c r="AC496" s="609">
        <f>'[2]Weapon Offences'!AY7</f>
        <v>6</v>
      </c>
      <c r="AD496" s="609">
        <f>'[2]Weapon Offences'!AZ7</f>
        <v>4</v>
      </c>
      <c r="AE496" s="609">
        <f>'[2]Weapon Offences'!BA7</f>
        <v>6</v>
      </c>
      <c r="AF496" s="609">
        <f>'[2]Weapon Offences'!BB7</f>
        <v>8</v>
      </c>
      <c r="AG496" s="609">
        <f>'[2]Weapon Offences'!BC7</f>
        <v>5</v>
      </c>
      <c r="AH496" s="609">
        <f>'[2]Weapon Offences'!BD7</f>
        <v>2</v>
      </c>
      <c r="AI496" s="609">
        <f>'[2]Weapon Offences'!BE7</f>
        <v>7</v>
      </c>
      <c r="AJ496" s="609">
        <f>'[2]Weapon Offences'!BF7</f>
        <v>3</v>
      </c>
      <c r="AK496" s="609">
        <f>'[2]Weapon Offences'!BG7</f>
        <v>6</v>
      </c>
      <c r="AL496" s="609">
        <f>'[2]Weapon Offences'!BH7</f>
        <v>5</v>
      </c>
      <c r="AM496" s="609">
        <f>'[2]Weapon Offences'!BI7</f>
        <v>1</v>
      </c>
      <c r="AN496" s="609">
        <f>'[2]Weapon Offences'!BJ7</f>
        <v>2</v>
      </c>
      <c r="AO496" s="609">
        <f>'[2]Weapon Offences'!BK7</f>
        <v>3</v>
      </c>
      <c r="AP496" s="609">
        <f>'[2]Weapon Offences'!BL7</f>
        <v>0</v>
      </c>
      <c r="AQ496" s="609">
        <f>'[2]Weapon Offences'!BM7</f>
        <v>3</v>
      </c>
      <c r="AR496" s="609">
        <f>'[2]Weapon Offences'!BN7</f>
        <v>4</v>
      </c>
      <c r="AS496" s="609">
        <f>'[2]Weapon Offences'!BO7</f>
        <v>1</v>
      </c>
      <c r="AT496" s="609">
        <f>'[2]Weapon Offences'!BP7</f>
        <v>1</v>
      </c>
      <c r="AU496" s="609">
        <f>'[2]Weapon Offences'!BQ7</f>
        <v>1</v>
      </c>
      <c r="AV496" s="609">
        <f>'[2]Weapon Offences'!BR7</f>
        <v>2</v>
      </c>
      <c r="AW496" s="609">
        <f>'[2]Weapon Offences'!BS7</f>
        <v>0</v>
      </c>
      <c r="AX496" s="609">
        <f>'[2]Weapon Offences'!BT7</f>
        <v>2</v>
      </c>
      <c r="AY496" s="609">
        <f>'[2]Weapon Offences'!BU7</f>
        <v>3</v>
      </c>
    </row>
    <row r="497" spans="3:51" x14ac:dyDescent="0.35">
      <c r="C497" s="661" t="s">
        <v>62</v>
      </c>
      <c r="D497" s="609">
        <f>'[2]Weapon Offences'!Z8</f>
        <v>6</v>
      </c>
      <c r="E497" s="609">
        <f>'[2]Weapon Offences'!AA8</f>
        <v>8</v>
      </c>
      <c r="F497" s="609">
        <f>'[2]Weapon Offences'!AB8</f>
        <v>9</v>
      </c>
      <c r="G497" s="609">
        <f>'[2]Weapon Offences'!AC8</f>
        <v>7</v>
      </c>
      <c r="H497" s="609">
        <f>'[2]Weapon Offences'!AD8</f>
        <v>11</v>
      </c>
      <c r="I497" s="609">
        <f>'[2]Weapon Offences'!AE8</f>
        <v>11</v>
      </c>
      <c r="J497" s="609">
        <f>'[2]Weapon Offences'!AF8</f>
        <v>10</v>
      </c>
      <c r="K497" s="609">
        <f>'[2]Weapon Offences'!AG8</f>
        <v>7</v>
      </c>
      <c r="L497" s="609">
        <f>'[2]Weapon Offences'!AH8</f>
        <v>6</v>
      </c>
      <c r="M497" s="609">
        <f>'[2]Weapon Offences'!AI8</f>
        <v>9</v>
      </c>
      <c r="N497" s="609">
        <f>'[2]Weapon Offences'!AJ8</f>
        <v>10</v>
      </c>
      <c r="O497" s="609">
        <f>'[2]Weapon Offences'!AK8</f>
        <v>6</v>
      </c>
      <c r="P497" s="609">
        <f>'[2]Weapon Offences'!AL8</f>
        <v>6</v>
      </c>
      <c r="Q497" s="609">
        <f>'[2]Weapon Offences'!AM8</f>
        <v>8</v>
      </c>
      <c r="R497" s="609">
        <f>'[2]Weapon Offences'!AN8</f>
        <v>4</v>
      </c>
      <c r="S497" s="609">
        <f>'[2]Weapon Offences'!AO8</f>
        <v>7</v>
      </c>
      <c r="T497" s="609">
        <f>'[2]Weapon Offences'!AP8</f>
        <v>9</v>
      </c>
      <c r="U497" s="609">
        <f>'[2]Weapon Offences'!AQ8</f>
        <v>7</v>
      </c>
      <c r="V497" s="609">
        <f>'[2]Weapon Offences'!AR8</f>
        <v>7</v>
      </c>
      <c r="W497" s="609">
        <f>'[2]Weapon Offences'!AS8</f>
        <v>7</v>
      </c>
      <c r="X497" s="609">
        <f>'[2]Weapon Offences'!AT8</f>
        <v>1</v>
      </c>
      <c r="Y497" s="609">
        <f>'[2]Weapon Offences'!AU8</f>
        <v>10</v>
      </c>
      <c r="Z497" s="609">
        <f>'[2]Weapon Offences'!AV8</f>
        <v>10</v>
      </c>
      <c r="AA497" s="609">
        <f>'[2]Weapon Offences'!AW8</f>
        <v>10</v>
      </c>
      <c r="AB497" s="609">
        <f>'[2]Weapon Offences'!AX8</f>
        <v>8</v>
      </c>
      <c r="AC497" s="609">
        <f>'[2]Weapon Offences'!AY8</f>
        <v>9</v>
      </c>
      <c r="AD497" s="609">
        <f>'[2]Weapon Offences'!AZ8</f>
        <v>7</v>
      </c>
      <c r="AE497" s="609">
        <f>'[2]Weapon Offences'!BA8</f>
        <v>14</v>
      </c>
      <c r="AF497" s="609">
        <f>'[2]Weapon Offences'!BB8</f>
        <v>8</v>
      </c>
      <c r="AG497" s="609">
        <f>'[2]Weapon Offences'!BC8</f>
        <v>7</v>
      </c>
      <c r="AH497" s="609">
        <f>'[2]Weapon Offences'!BD8</f>
        <v>3</v>
      </c>
      <c r="AI497" s="609">
        <f>'[2]Weapon Offences'!BE8</f>
        <v>11</v>
      </c>
      <c r="AJ497" s="609">
        <f>'[2]Weapon Offences'!BF8</f>
        <v>7</v>
      </c>
      <c r="AK497" s="609">
        <f>'[2]Weapon Offences'!BG8</f>
        <v>10</v>
      </c>
      <c r="AL497" s="609">
        <f>'[2]Weapon Offences'!BH8</f>
        <v>10</v>
      </c>
      <c r="AM497" s="609">
        <f>'[2]Weapon Offences'!BI8</f>
        <v>5</v>
      </c>
      <c r="AN497" s="609">
        <f>'[2]Weapon Offences'!BJ8</f>
        <v>5</v>
      </c>
      <c r="AO497" s="609">
        <f>'[2]Weapon Offences'!BK8</f>
        <v>4</v>
      </c>
      <c r="AP497" s="609">
        <f>'[2]Weapon Offences'!BL8</f>
        <v>2</v>
      </c>
      <c r="AQ497" s="609">
        <f>'[2]Weapon Offences'!BM8</f>
        <v>6</v>
      </c>
      <c r="AR497" s="609">
        <f>'[2]Weapon Offences'!BN8</f>
        <v>6</v>
      </c>
      <c r="AS497" s="609">
        <f>'[2]Weapon Offences'!BO8</f>
        <v>4</v>
      </c>
      <c r="AT497" s="609">
        <f>'[2]Weapon Offences'!BP8</f>
        <v>2</v>
      </c>
      <c r="AU497" s="609">
        <f>'[2]Weapon Offences'!BQ8</f>
        <v>2</v>
      </c>
      <c r="AV497" s="609">
        <f>'[2]Weapon Offences'!BR8</f>
        <v>3</v>
      </c>
      <c r="AW497" s="609">
        <f>'[2]Weapon Offences'!BS8</f>
        <v>1</v>
      </c>
      <c r="AX497" s="609">
        <f>'[2]Weapon Offences'!BT8</f>
        <v>4</v>
      </c>
      <c r="AY497" s="609">
        <f>'[2]Weapon Offences'!BU8</f>
        <v>4</v>
      </c>
    </row>
    <row r="498" spans="3:51" x14ac:dyDescent="0.35">
      <c r="C498" s="661" t="s">
        <v>0</v>
      </c>
      <c r="D498" s="609">
        <f>'[2]Weapon Offences'!Z9</f>
        <v>18</v>
      </c>
      <c r="E498" s="609">
        <f>'[2]Weapon Offences'!AA9</f>
        <v>21</v>
      </c>
      <c r="F498" s="609">
        <f>'[2]Weapon Offences'!AB9</f>
        <v>22</v>
      </c>
      <c r="G498" s="609">
        <f>'[2]Weapon Offences'!AC9</f>
        <v>17</v>
      </c>
      <c r="H498" s="609">
        <f>'[2]Weapon Offences'!AD9</f>
        <v>24</v>
      </c>
      <c r="I498" s="609">
        <f>'[2]Weapon Offences'!AE9</f>
        <v>19</v>
      </c>
      <c r="J498" s="609">
        <f>'[2]Weapon Offences'!AF9</f>
        <v>24</v>
      </c>
      <c r="K498" s="609">
        <f>'[2]Weapon Offences'!AG9</f>
        <v>24</v>
      </c>
      <c r="L498" s="609">
        <f>'[2]Weapon Offences'!AH9</f>
        <v>14</v>
      </c>
      <c r="M498" s="609">
        <f>'[2]Weapon Offences'!AI9</f>
        <v>14</v>
      </c>
      <c r="N498" s="609">
        <f>'[2]Weapon Offences'!AJ9</f>
        <v>26</v>
      </c>
      <c r="O498" s="609">
        <f>'[2]Weapon Offences'!AK9</f>
        <v>24</v>
      </c>
      <c r="P498" s="609">
        <f>'[2]Weapon Offences'!AL9</f>
        <v>22</v>
      </c>
      <c r="Q498" s="609">
        <f>'[2]Weapon Offences'!AM9</f>
        <v>23</v>
      </c>
      <c r="R498" s="609">
        <f>'[2]Weapon Offences'!AN9</f>
        <v>20</v>
      </c>
      <c r="S498" s="609">
        <f>'[2]Weapon Offences'!AO9</f>
        <v>26</v>
      </c>
      <c r="T498" s="609">
        <f>'[2]Weapon Offences'!AP9</f>
        <v>21</v>
      </c>
      <c r="U498" s="609">
        <f>'[2]Weapon Offences'!AQ9</f>
        <v>18</v>
      </c>
      <c r="V498" s="609">
        <f>'[2]Weapon Offences'!AR9</f>
        <v>20</v>
      </c>
      <c r="W498" s="609">
        <f>'[2]Weapon Offences'!AS9</f>
        <v>24</v>
      </c>
      <c r="X498" s="609">
        <f>'[2]Weapon Offences'!AT9</f>
        <v>10</v>
      </c>
      <c r="Y498" s="609">
        <f>'[2]Weapon Offences'!AU9</f>
        <v>22</v>
      </c>
      <c r="Z498" s="609">
        <f>'[2]Weapon Offences'!AV9</f>
        <v>25</v>
      </c>
      <c r="AA498" s="609">
        <f>'[2]Weapon Offences'!AW9</f>
        <v>37</v>
      </c>
      <c r="AB498" s="609">
        <f>'[2]Weapon Offences'!AX9</f>
        <v>20</v>
      </c>
      <c r="AC498" s="609">
        <f>'[2]Weapon Offences'!AY9</f>
        <v>17</v>
      </c>
      <c r="AD498" s="609">
        <f>'[2]Weapon Offences'!AZ9</f>
        <v>16</v>
      </c>
      <c r="AE498" s="609">
        <f>'[2]Weapon Offences'!BA9</f>
        <v>28</v>
      </c>
      <c r="AF498" s="609">
        <f>'[2]Weapon Offences'!BB9</f>
        <v>21</v>
      </c>
      <c r="AG498" s="609">
        <f>'[2]Weapon Offences'!BC9</f>
        <v>19</v>
      </c>
      <c r="AH498" s="609">
        <f>'[2]Weapon Offences'!BD9</f>
        <v>11</v>
      </c>
      <c r="AI498" s="609">
        <f>'[2]Weapon Offences'!BE9</f>
        <v>21</v>
      </c>
      <c r="AJ498" s="609">
        <f>'[2]Weapon Offences'!BF9</f>
        <v>19</v>
      </c>
      <c r="AK498" s="609">
        <f>'[2]Weapon Offences'!BG9</f>
        <v>21</v>
      </c>
      <c r="AL498" s="609">
        <f>'[2]Weapon Offences'!BH9</f>
        <v>18</v>
      </c>
      <c r="AM498" s="609">
        <f>'[2]Weapon Offences'!BI9</f>
        <v>18</v>
      </c>
      <c r="AN498" s="609">
        <f>'[2]Weapon Offences'!BJ9</f>
        <v>10</v>
      </c>
      <c r="AO498" s="609">
        <f>'[2]Weapon Offences'!BK9</f>
        <v>8</v>
      </c>
      <c r="AP498" s="609">
        <f>'[2]Weapon Offences'!BL9</f>
        <v>10</v>
      </c>
      <c r="AQ498" s="609">
        <f>'[2]Weapon Offences'!BM9</f>
        <v>14</v>
      </c>
      <c r="AR498" s="609">
        <f>'[2]Weapon Offences'!BN9</f>
        <v>9</v>
      </c>
      <c r="AS498" s="609">
        <f>'[2]Weapon Offences'!BO9</f>
        <v>8</v>
      </c>
      <c r="AT498" s="609">
        <f>'[2]Weapon Offences'!BP9</f>
        <v>9</v>
      </c>
      <c r="AU498" s="609">
        <f>'[2]Weapon Offences'!BQ9</f>
        <v>4</v>
      </c>
      <c r="AV498" s="609">
        <f>'[2]Weapon Offences'!BR9</f>
        <v>7</v>
      </c>
      <c r="AW498" s="609">
        <f>'[2]Weapon Offences'!BS9</f>
        <v>3</v>
      </c>
      <c r="AX498" s="609">
        <f>'[2]Weapon Offences'!BT9</f>
        <v>5</v>
      </c>
      <c r="AY498" s="609">
        <f>'[2]Weapon Offences'!BU9</f>
        <v>7</v>
      </c>
    </row>
    <row r="499" spans="3:51" s="36" customFormat="1" x14ac:dyDescent="0.35">
      <c r="C499" s="677"/>
    </row>
    <row r="500" spans="3:51" ht="18.5" x14ac:dyDescent="0.35">
      <c r="C500" s="668" t="s">
        <v>372</v>
      </c>
      <c r="D500" s="39">
        <v>44287</v>
      </c>
      <c r="E500" s="39">
        <v>44317</v>
      </c>
      <c r="F500" s="39">
        <v>44348</v>
      </c>
      <c r="G500" s="39">
        <v>44378</v>
      </c>
      <c r="H500" s="39">
        <v>44409</v>
      </c>
      <c r="I500" s="39">
        <v>44440</v>
      </c>
      <c r="J500" s="39">
        <v>44470</v>
      </c>
      <c r="K500" s="39">
        <v>44501</v>
      </c>
      <c r="L500" s="39">
        <v>44531</v>
      </c>
      <c r="M500" s="39">
        <v>44562</v>
      </c>
      <c r="N500" s="39">
        <v>44593</v>
      </c>
      <c r="O500" s="39">
        <v>44621</v>
      </c>
      <c r="P500" s="39">
        <v>44652</v>
      </c>
      <c r="Q500" s="39">
        <v>44682</v>
      </c>
      <c r="R500" s="39">
        <v>44713</v>
      </c>
      <c r="S500" s="39">
        <v>44743</v>
      </c>
      <c r="T500" s="39">
        <v>44774</v>
      </c>
      <c r="U500" s="39">
        <v>44805</v>
      </c>
      <c r="V500" s="39">
        <v>44835</v>
      </c>
      <c r="W500" s="39">
        <v>44866</v>
      </c>
      <c r="X500" s="39">
        <v>44896</v>
      </c>
      <c r="Y500" s="39">
        <v>44927</v>
      </c>
      <c r="Z500" s="39">
        <v>44958</v>
      </c>
      <c r="AA500" s="39">
        <v>44986</v>
      </c>
      <c r="AB500" s="39">
        <v>45017</v>
      </c>
      <c r="AC500" s="39">
        <v>45047</v>
      </c>
      <c r="AD500" s="39">
        <v>45078</v>
      </c>
      <c r="AE500" s="39">
        <v>45108</v>
      </c>
      <c r="AF500" s="39">
        <v>45139</v>
      </c>
      <c r="AG500" s="39">
        <v>45170</v>
      </c>
      <c r="AH500" s="39">
        <v>45200</v>
      </c>
      <c r="AI500" s="39">
        <v>45231</v>
      </c>
      <c r="AJ500" s="39">
        <v>45261</v>
      </c>
      <c r="AK500" s="39">
        <v>45292</v>
      </c>
      <c r="AL500" s="39">
        <v>45323</v>
      </c>
      <c r="AM500" s="39">
        <v>45352</v>
      </c>
      <c r="AN500" s="39">
        <v>45383</v>
      </c>
      <c r="AO500" s="39">
        <v>45413</v>
      </c>
      <c r="AP500" s="39">
        <v>45444</v>
      </c>
      <c r="AQ500" s="39">
        <v>45474</v>
      </c>
      <c r="AR500" s="39">
        <v>45505</v>
      </c>
      <c r="AS500" s="39">
        <v>45536</v>
      </c>
      <c r="AT500" s="39">
        <v>45566</v>
      </c>
      <c r="AU500" s="39">
        <v>45597</v>
      </c>
      <c r="AV500" s="39">
        <v>45627</v>
      </c>
      <c r="AW500" s="39">
        <v>45658</v>
      </c>
      <c r="AX500" s="39">
        <v>45689</v>
      </c>
      <c r="AY500" s="39">
        <v>45717</v>
      </c>
    </row>
    <row r="501" spans="3:51" x14ac:dyDescent="0.35">
      <c r="C501" s="661" t="s">
        <v>212</v>
      </c>
      <c r="D501" s="609">
        <f>'[2]Weapon Offences'!Z11</f>
        <v>2</v>
      </c>
      <c r="E501" s="609">
        <f>'[2]Weapon Offences'!AA11</f>
        <v>4</v>
      </c>
      <c r="F501" s="609">
        <f>'[2]Weapon Offences'!AB11</f>
        <v>0</v>
      </c>
      <c r="G501" s="609">
        <f>'[2]Weapon Offences'!AC11</f>
        <v>1</v>
      </c>
      <c r="H501" s="609">
        <f>'[2]Weapon Offences'!AD11</f>
        <v>2</v>
      </c>
      <c r="I501" s="609">
        <f>'[2]Weapon Offences'!AE11</f>
        <v>0</v>
      </c>
      <c r="J501" s="609">
        <f>'[2]Weapon Offences'!AF11</f>
        <v>8</v>
      </c>
      <c r="K501" s="609">
        <f>'[2]Weapon Offences'!AG11</f>
        <v>5</v>
      </c>
      <c r="L501" s="609">
        <f>'[2]Weapon Offences'!AH11</f>
        <v>2</v>
      </c>
      <c r="M501" s="609">
        <f>'[2]Weapon Offences'!AI11</f>
        <v>1</v>
      </c>
      <c r="N501" s="609">
        <f>'[2]Weapon Offences'!AJ11</f>
        <v>1</v>
      </c>
      <c r="O501" s="609">
        <f>'[2]Weapon Offences'!AK11</f>
        <v>3</v>
      </c>
      <c r="P501" s="609">
        <f>'[2]Weapon Offences'!AL11</f>
        <v>4</v>
      </c>
      <c r="Q501" s="609">
        <f>'[2]Weapon Offences'!AM11</f>
        <v>2</v>
      </c>
      <c r="R501" s="609">
        <f>'[2]Weapon Offences'!AN11</f>
        <v>2</v>
      </c>
      <c r="S501" s="609">
        <f>'[2]Weapon Offences'!AO11</f>
        <v>3</v>
      </c>
      <c r="T501" s="609">
        <f>'[2]Weapon Offences'!AP11</f>
        <v>5</v>
      </c>
      <c r="U501" s="609">
        <f>'[2]Weapon Offences'!AQ11</f>
        <v>2</v>
      </c>
      <c r="V501" s="609">
        <f>'[2]Weapon Offences'!AR11</f>
        <v>3</v>
      </c>
      <c r="W501" s="609">
        <f>'[2]Weapon Offences'!AS11</f>
        <v>1</v>
      </c>
      <c r="X501" s="609">
        <f>'[2]Weapon Offences'!AT11</f>
        <v>3</v>
      </c>
      <c r="Y501" s="609">
        <f>'[2]Weapon Offences'!AU11</f>
        <v>1</v>
      </c>
      <c r="Z501" s="609">
        <f>'[2]Weapon Offences'!AV11</f>
        <v>1</v>
      </c>
      <c r="AA501" s="609">
        <f>'[2]Weapon Offences'!AW11</f>
        <v>4</v>
      </c>
      <c r="AB501" s="609">
        <f>'[2]Weapon Offences'!AX11</f>
        <v>3</v>
      </c>
      <c r="AC501" s="609">
        <f>'[2]Weapon Offences'!AY11</f>
        <v>2</v>
      </c>
      <c r="AD501" s="609">
        <f>'[2]Weapon Offences'!AZ11</f>
        <v>8</v>
      </c>
      <c r="AE501" s="609">
        <f>'[2]Weapon Offences'!BA11</f>
        <v>6</v>
      </c>
      <c r="AF501" s="609">
        <f>'[2]Weapon Offences'!BB11</f>
        <v>3</v>
      </c>
      <c r="AG501" s="609">
        <f>'[2]Weapon Offences'!BC11</f>
        <v>2</v>
      </c>
      <c r="AH501" s="609">
        <f>'[2]Weapon Offences'!BD11</f>
        <v>1</v>
      </c>
      <c r="AI501" s="609">
        <f>'[2]Weapon Offences'!BE11</f>
        <v>1</v>
      </c>
      <c r="AJ501" s="609">
        <f>'[2]Weapon Offences'!BF11</f>
        <v>1</v>
      </c>
      <c r="AK501" s="609">
        <f>'[2]Weapon Offences'!BG11</f>
        <v>2</v>
      </c>
      <c r="AL501" s="609">
        <f>'[2]Weapon Offences'!BH11</f>
        <v>5</v>
      </c>
      <c r="AM501" s="609">
        <f>'[2]Weapon Offences'!BI11</f>
        <v>2</v>
      </c>
      <c r="AN501" s="609">
        <f>'[2]Weapon Offences'!BJ11</f>
        <v>4</v>
      </c>
      <c r="AO501" s="609">
        <f>'[2]Weapon Offences'!BK11</f>
        <v>3</v>
      </c>
      <c r="AP501" s="609">
        <f>'[2]Weapon Offences'!BL11</f>
        <v>2</v>
      </c>
      <c r="AQ501" s="609">
        <f>'[2]Weapon Offences'!BM11</f>
        <v>4</v>
      </c>
      <c r="AR501" s="609">
        <f>'[2]Weapon Offences'!BN11</f>
        <v>4</v>
      </c>
      <c r="AS501" s="609">
        <f>'[2]Weapon Offences'!BO11</f>
        <v>2</v>
      </c>
      <c r="AT501" s="609">
        <f>'[2]Weapon Offences'!BP11</f>
        <v>0</v>
      </c>
      <c r="AU501" s="609">
        <f>'[2]Weapon Offences'!BQ11</f>
        <v>3</v>
      </c>
      <c r="AV501" s="609">
        <f>'[2]Weapon Offences'!BR11</f>
        <v>2</v>
      </c>
      <c r="AW501" s="609">
        <f>'[2]Weapon Offences'!BS11</f>
        <v>3</v>
      </c>
      <c r="AX501" s="609">
        <f>'[2]Weapon Offences'!BT11</f>
        <v>1</v>
      </c>
      <c r="AY501" s="609">
        <f>'[2]Weapon Offences'!BU11</f>
        <v>0</v>
      </c>
    </row>
    <row r="502" spans="3:51" x14ac:dyDescent="0.35">
      <c r="C502" s="661" t="s">
        <v>213</v>
      </c>
      <c r="D502" s="609">
        <f>'[2]Weapon Offences'!Z12</f>
        <v>3</v>
      </c>
      <c r="E502" s="609">
        <f>'[2]Weapon Offences'!AA12</f>
        <v>7</v>
      </c>
      <c r="F502" s="609">
        <f>'[2]Weapon Offences'!AB12</f>
        <v>4</v>
      </c>
      <c r="G502" s="609">
        <f>'[2]Weapon Offences'!AC12</f>
        <v>2</v>
      </c>
      <c r="H502" s="609">
        <f>'[2]Weapon Offences'!AD12</f>
        <v>2</v>
      </c>
      <c r="I502" s="609">
        <f>'[2]Weapon Offences'!AE12</f>
        <v>6</v>
      </c>
      <c r="J502" s="609">
        <f>'[2]Weapon Offences'!AF12</f>
        <v>6</v>
      </c>
      <c r="K502" s="609">
        <f>'[2]Weapon Offences'!AG12</f>
        <v>4</v>
      </c>
      <c r="L502" s="609">
        <f>'[2]Weapon Offences'!AH12</f>
        <v>4</v>
      </c>
      <c r="M502" s="609">
        <f>'[2]Weapon Offences'!AI12</f>
        <v>5</v>
      </c>
      <c r="N502" s="609">
        <f>'[2]Weapon Offences'!AJ12</f>
        <v>6</v>
      </c>
      <c r="O502" s="609">
        <f>'[2]Weapon Offences'!AK12</f>
        <v>6</v>
      </c>
      <c r="P502" s="609">
        <f>'[2]Weapon Offences'!AL12</f>
        <v>7</v>
      </c>
      <c r="Q502" s="609">
        <f>'[2]Weapon Offences'!AM12</f>
        <v>5</v>
      </c>
      <c r="R502" s="609">
        <f>'[2]Weapon Offences'!AN12</f>
        <v>10</v>
      </c>
      <c r="S502" s="609">
        <f>'[2]Weapon Offences'!AO12</f>
        <v>8</v>
      </c>
      <c r="T502" s="609">
        <f>'[2]Weapon Offences'!AP12</f>
        <v>3</v>
      </c>
      <c r="U502" s="609">
        <f>'[2]Weapon Offences'!AQ12</f>
        <v>4</v>
      </c>
      <c r="V502" s="609">
        <f>'[2]Weapon Offences'!AR12</f>
        <v>9</v>
      </c>
      <c r="W502" s="609">
        <f>'[2]Weapon Offences'!AS12</f>
        <v>5</v>
      </c>
      <c r="X502" s="609">
        <f>'[2]Weapon Offences'!AT12</f>
        <v>4</v>
      </c>
      <c r="Y502" s="609">
        <f>'[2]Weapon Offences'!AU12</f>
        <v>9</v>
      </c>
      <c r="Z502" s="609">
        <f>'[2]Weapon Offences'!AV12</f>
        <v>7</v>
      </c>
      <c r="AA502" s="609">
        <f>'[2]Weapon Offences'!AW12</f>
        <v>13</v>
      </c>
      <c r="AB502" s="609">
        <f>'[2]Weapon Offences'!AX12</f>
        <v>10</v>
      </c>
      <c r="AC502" s="609">
        <f>'[2]Weapon Offences'!AY12</f>
        <v>7</v>
      </c>
      <c r="AD502" s="609">
        <f>'[2]Weapon Offences'!AZ12</f>
        <v>6</v>
      </c>
      <c r="AE502" s="609">
        <f>'[2]Weapon Offences'!BA12</f>
        <v>5</v>
      </c>
      <c r="AF502" s="609">
        <f>'[2]Weapon Offences'!BB12</f>
        <v>10</v>
      </c>
      <c r="AG502" s="609">
        <f>'[2]Weapon Offences'!BC12</f>
        <v>8</v>
      </c>
      <c r="AH502" s="609">
        <f>'[2]Weapon Offences'!BD12</f>
        <v>9</v>
      </c>
      <c r="AI502" s="609">
        <f>'[2]Weapon Offences'!BE12</f>
        <v>7</v>
      </c>
      <c r="AJ502" s="609">
        <f>'[2]Weapon Offences'!BF12</f>
        <v>8</v>
      </c>
      <c r="AK502" s="609">
        <f>'[2]Weapon Offences'!BG12</f>
        <v>8</v>
      </c>
      <c r="AL502" s="609">
        <f>'[2]Weapon Offences'!BH12</f>
        <v>8</v>
      </c>
      <c r="AM502" s="609">
        <f>'[2]Weapon Offences'!BI12</f>
        <v>8</v>
      </c>
      <c r="AN502" s="609">
        <f>'[2]Weapon Offences'!BJ12</f>
        <v>4</v>
      </c>
      <c r="AO502" s="609">
        <f>'[2]Weapon Offences'!BK12</f>
        <v>4</v>
      </c>
      <c r="AP502" s="609">
        <f>'[2]Weapon Offences'!BL12</f>
        <v>5</v>
      </c>
      <c r="AQ502" s="609">
        <f>'[2]Weapon Offences'!BM12</f>
        <v>12</v>
      </c>
      <c r="AR502" s="609">
        <f>'[2]Weapon Offences'!BN12</f>
        <v>4</v>
      </c>
      <c r="AS502" s="609">
        <f>'[2]Weapon Offences'!BO12</f>
        <v>4</v>
      </c>
      <c r="AT502" s="609">
        <f>'[2]Weapon Offences'!BP12</f>
        <v>3</v>
      </c>
      <c r="AU502" s="609">
        <f>'[2]Weapon Offences'!BQ12</f>
        <v>5</v>
      </c>
      <c r="AV502" s="609">
        <f>'[2]Weapon Offences'!BR12</f>
        <v>7</v>
      </c>
      <c r="AW502" s="609">
        <f>'[2]Weapon Offences'!BS12</f>
        <v>4</v>
      </c>
      <c r="AX502" s="609">
        <f>'[2]Weapon Offences'!BT12</f>
        <v>2</v>
      </c>
      <c r="AY502" s="609">
        <f>'[2]Weapon Offences'!BU12</f>
        <v>5</v>
      </c>
    </row>
    <row r="503" spans="3:51" x14ac:dyDescent="0.35">
      <c r="C503" s="661" t="s">
        <v>214</v>
      </c>
      <c r="D503" s="609">
        <f>'[2]Weapon Offences'!Z13</f>
        <v>1</v>
      </c>
      <c r="E503" s="609">
        <f>'[2]Weapon Offences'!AA13</f>
        <v>2</v>
      </c>
      <c r="F503" s="609">
        <f>'[2]Weapon Offences'!AB13</f>
        <v>2</v>
      </c>
      <c r="G503" s="609">
        <f>'[2]Weapon Offences'!AC13</f>
        <v>3</v>
      </c>
      <c r="H503" s="609">
        <f>'[2]Weapon Offences'!AD13</f>
        <v>4</v>
      </c>
      <c r="I503" s="609">
        <f>'[2]Weapon Offences'!AE13</f>
        <v>6</v>
      </c>
      <c r="J503" s="609">
        <f>'[2]Weapon Offences'!AF13</f>
        <v>9</v>
      </c>
      <c r="K503" s="609">
        <f>'[2]Weapon Offences'!AG13</f>
        <v>9</v>
      </c>
      <c r="L503" s="609">
        <f>'[2]Weapon Offences'!AH13</f>
        <v>5</v>
      </c>
      <c r="M503" s="609">
        <f>'[2]Weapon Offences'!AI13</f>
        <v>1</v>
      </c>
      <c r="N503" s="609">
        <f>'[2]Weapon Offences'!AJ13</f>
        <v>2</v>
      </c>
      <c r="O503" s="609">
        <f>'[2]Weapon Offences'!AK13</f>
        <v>0</v>
      </c>
      <c r="P503" s="609">
        <f>'[2]Weapon Offences'!AL13</f>
        <v>4</v>
      </c>
      <c r="Q503" s="609">
        <f>'[2]Weapon Offences'!AM13</f>
        <v>5</v>
      </c>
      <c r="R503" s="609">
        <f>'[2]Weapon Offences'!AN13</f>
        <v>5</v>
      </c>
      <c r="S503" s="609">
        <f>'[2]Weapon Offences'!AO13</f>
        <v>5</v>
      </c>
      <c r="T503" s="609">
        <f>'[2]Weapon Offences'!AP13</f>
        <v>5</v>
      </c>
      <c r="U503" s="609">
        <f>'[2]Weapon Offences'!AQ13</f>
        <v>2</v>
      </c>
      <c r="V503" s="609">
        <f>'[2]Weapon Offences'!AR13</f>
        <v>4</v>
      </c>
      <c r="W503" s="609">
        <f>'[2]Weapon Offences'!AS13</f>
        <v>7</v>
      </c>
      <c r="X503" s="609">
        <f>'[2]Weapon Offences'!AT13</f>
        <v>6</v>
      </c>
      <c r="Y503" s="609">
        <f>'[2]Weapon Offences'!AU13</f>
        <v>2</v>
      </c>
      <c r="Z503" s="609">
        <f>'[2]Weapon Offences'!AV13</f>
        <v>4</v>
      </c>
      <c r="AA503" s="609">
        <f>'[2]Weapon Offences'!AW13</f>
        <v>4</v>
      </c>
      <c r="AB503" s="609">
        <f>'[2]Weapon Offences'!AX13</f>
        <v>1</v>
      </c>
      <c r="AC503" s="609">
        <f>'[2]Weapon Offences'!AY13</f>
        <v>8</v>
      </c>
      <c r="AD503" s="609">
        <f>'[2]Weapon Offences'!AZ13</f>
        <v>10</v>
      </c>
      <c r="AE503" s="609">
        <f>'[2]Weapon Offences'!BA13</f>
        <v>9</v>
      </c>
      <c r="AF503" s="609">
        <f>'[2]Weapon Offences'!BB13</f>
        <v>3</v>
      </c>
      <c r="AG503" s="609">
        <f>'[2]Weapon Offences'!BC13</f>
        <v>9</v>
      </c>
      <c r="AH503" s="609">
        <f>'[2]Weapon Offences'!BD13</f>
        <v>3</v>
      </c>
      <c r="AI503" s="609">
        <f>'[2]Weapon Offences'!BE13</f>
        <v>6</v>
      </c>
      <c r="AJ503" s="609">
        <f>'[2]Weapon Offences'!BF13</f>
        <v>4</v>
      </c>
      <c r="AK503" s="609">
        <f>'[2]Weapon Offences'!BG13</f>
        <v>5</v>
      </c>
      <c r="AL503" s="609">
        <f>'[2]Weapon Offences'!BH13</f>
        <v>2</v>
      </c>
      <c r="AM503" s="609">
        <f>'[2]Weapon Offences'!BI13</f>
        <v>9</v>
      </c>
      <c r="AN503" s="609">
        <f>'[2]Weapon Offences'!BJ13</f>
        <v>4</v>
      </c>
      <c r="AO503" s="609">
        <f>'[2]Weapon Offences'!BK13</f>
        <v>6</v>
      </c>
      <c r="AP503" s="609">
        <f>'[2]Weapon Offences'!BL13</f>
        <v>3</v>
      </c>
      <c r="AQ503" s="609">
        <f>'[2]Weapon Offences'!BM13</f>
        <v>3</v>
      </c>
      <c r="AR503" s="609">
        <f>'[2]Weapon Offences'!BN13</f>
        <v>4</v>
      </c>
      <c r="AS503" s="609">
        <f>'[2]Weapon Offences'!BO13</f>
        <v>1</v>
      </c>
      <c r="AT503" s="609">
        <f>'[2]Weapon Offences'!BP13</f>
        <v>2</v>
      </c>
      <c r="AU503" s="609">
        <f>'[2]Weapon Offences'!BQ13</f>
        <v>3</v>
      </c>
      <c r="AV503" s="609">
        <f>'[2]Weapon Offences'!BR13</f>
        <v>7</v>
      </c>
      <c r="AW503" s="609">
        <f>'[2]Weapon Offences'!BS13</f>
        <v>7</v>
      </c>
      <c r="AX503" s="609">
        <f>'[2]Weapon Offences'!BT13</f>
        <v>5</v>
      </c>
      <c r="AY503" s="609">
        <f>'[2]Weapon Offences'!BU13</f>
        <v>5</v>
      </c>
    </row>
    <row r="504" spans="3:51" x14ac:dyDescent="0.35">
      <c r="C504" s="661" t="s">
        <v>146</v>
      </c>
      <c r="D504" s="609">
        <f>'[2]Weapon Offences'!Z14</f>
        <v>1</v>
      </c>
      <c r="E504" s="609">
        <f>'[2]Weapon Offences'!AA14</f>
        <v>1</v>
      </c>
      <c r="F504" s="609">
        <f>'[2]Weapon Offences'!AB14</f>
        <v>1</v>
      </c>
      <c r="G504" s="609">
        <f>'[2]Weapon Offences'!AC14</f>
        <v>0</v>
      </c>
      <c r="H504" s="609">
        <f>'[2]Weapon Offences'!AD14</f>
        <v>2</v>
      </c>
      <c r="I504" s="609">
        <f>'[2]Weapon Offences'!AE14</f>
        <v>7</v>
      </c>
      <c r="J504" s="609">
        <f>'[2]Weapon Offences'!AF14</f>
        <v>1</v>
      </c>
      <c r="K504" s="609">
        <f>'[2]Weapon Offences'!AG14</f>
        <v>4</v>
      </c>
      <c r="L504" s="609">
        <f>'[2]Weapon Offences'!AH14</f>
        <v>3</v>
      </c>
      <c r="M504" s="609">
        <f>'[2]Weapon Offences'!AI14</f>
        <v>1</v>
      </c>
      <c r="N504" s="609">
        <f>'[2]Weapon Offences'!AJ14</f>
        <v>0</v>
      </c>
      <c r="O504" s="609">
        <f>'[2]Weapon Offences'!AK14</f>
        <v>3</v>
      </c>
      <c r="P504" s="609">
        <f>'[2]Weapon Offences'!AL14</f>
        <v>3</v>
      </c>
      <c r="Q504" s="609">
        <f>'[2]Weapon Offences'!AM14</f>
        <v>2</v>
      </c>
      <c r="R504" s="609">
        <f>'[2]Weapon Offences'!AN14</f>
        <v>4</v>
      </c>
      <c r="S504" s="609">
        <f>'[2]Weapon Offences'!AO14</f>
        <v>5</v>
      </c>
      <c r="T504" s="609">
        <f>'[2]Weapon Offences'!AP14</f>
        <v>0</v>
      </c>
      <c r="U504" s="609">
        <f>'[2]Weapon Offences'!AQ14</f>
        <v>2</v>
      </c>
      <c r="V504" s="609">
        <f>'[2]Weapon Offences'!AR14</f>
        <v>4</v>
      </c>
      <c r="W504" s="609">
        <f>'[2]Weapon Offences'!AS14</f>
        <v>1</v>
      </c>
      <c r="X504" s="609">
        <f>'[2]Weapon Offences'!AT14</f>
        <v>2</v>
      </c>
      <c r="Y504" s="609">
        <f>'[2]Weapon Offences'!AU14</f>
        <v>6</v>
      </c>
      <c r="Z504" s="609">
        <f>'[2]Weapon Offences'!AV14</f>
        <v>1</v>
      </c>
      <c r="AA504" s="609">
        <f>'[2]Weapon Offences'!AW14</f>
        <v>12</v>
      </c>
      <c r="AB504" s="609">
        <f>'[2]Weapon Offences'!AX14</f>
        <v>4</v>
      </c>
      <c r="AC504" s="609">
        <f>'[2]Weapon Offences'!AY14</f>
        <v>4</v>
      </c>
      <c r="AD504" s="609">
        <f>'[2]Weapon Offences'!AZ14</f>
        <v>10</v>
      </c>
      <c r="AE504" s="609">
        <f>'[2]Weapon Offences'!BA14</f>
        <v>6</v>
      </c>
      <c r="AF504" s="609">
        <f>'[2]Weapon Offences'!BB14</f>
        <v>6</v>
      </c>
      <c r="AG504" s="609">
        <f>'[2]Weapon Offences'!BC14</f>
        <v>5</v>
      </c>
      <c r="AH504" s="609">
        <f>'[2]Weapon Offences'!BD14</f>
        <v>1</v>
      </c>
      <c r="AI504" s="609">
        <f>'[2]Weapon Offences'!BE14</f>
        <v>3</v>
      </c>
      <c r="AJ504" s="609">
        <f>'[2]Weapon Offences'!BF14</f>
        <v>1</v>
      </c>
      <c r="AK504" s="609">
        <f>'[2]Weapon Offences'!BG14</f>
        <v>3</v>
      </c>
      <c r="AL504" s="609">
        <f>'[2]Weapon Offences'!BH14</f>
        <v>5</v>
      </c>
      <c r="AM504" s="609">
        <f>'[2]Weapon Offences'!BI14</f>
        <v>3</v>
      </c>
      <c r="AN504" s="609">
        <f>'[2]Weapon Offences'!BJ14</f>
        <v>6</v>
      </c>
      <c r="AO504" s="609">
        <f>'[2]Weapon Offences'!BK14</f>
        <v>4</v>
      </c>
      <c r="AP504" s="609">
        <f>'[2]Weapon Offences'!BL14</f>
        <v>2</v>
      </c>
      <c r="AQ504" s="609">
        <f>'[2]Weapon Offences'!BM14</f>
        <v>5</v>
      </c>
      <c r="AR504" s="609">
        <f>'[2]Weapon Offences'!BN14</f>
        <v>4</v>
      </c>
      <c r="AS504" s="609">
        <f>'[2]Weapon Offences'!BO14</f>
        <v>5</v>
      </c>
      <c r="AT504" s="609">
        <f>'[2]Weapon Offences'!BP14</f>
        <v>3</v>
      </c>
      <c r="AU504" s="609">
        <f>'[2]Weapon Offences'!BQ14</f>
        <v>4</v>
      </c>
      <c r="AV504" s="609">
        <f>'[2]Weapon Offences'!BR14</f>
        <v>4</v>
      </c>
      <c r="AW504" s="609">
        <f>'[2]Weapon Offences'!BS14</f>
        <v>4</v>
      </c>
      <c r="AX504" s="609">
        <f>'[2]Weapon Offences'!BT14</f>
        <v>3</v>
      </c>
      <c r="AY504" s="609">
        <f>'[2]Weapon Offences'!BU14</f>
        <v>0</v>
      </c>
    </row>
    <row r="505" spans="3:51" x14ac:dyDescent="0.35">
      <c r="C505" s="661" t="s">
        <v>147</v>
      </c>
      <c r="D505" s="609">
        <f>'[2]Weapon Offences'!Z15</f>
        <v>5</v>
      </c>
      <c r="E505" s="609">
        <f>'[2]Weapon Offences'!AA15</f>
        <v>1</v>
      </c>
      <c r="F505" s="609">
        <f>'[2]Weapon Offences'!AB15</f>
        <v>3</v>
      </c>
      <c r="G505" s="609">
        <f>'[2]Weapon Offences'!AC15</f>
        <v>5</v>
      </c>
      <c r="H505" s="609">
        <f>'[2]Weapon Offences'!AD15</f>
        <v>5</v>
      </c>
      <c r="I505" s="609">
        <f>'[2]Weapon Offences'!AE15</f>
        <v>7</v>
      </c>
      <c r="J505" s="609">
        <f>'[2]Weapon Offences'!AF15</f>
        <v>5</v>
      </c>
      <c r="K505" s="609">
        <f>'[2]Weapon Offences'!AG15</f>
        <v>6</v>
      </c>
      <c r="L505" s="609">
        <f>'[2]Weapon Offences'!AH15</f>
        <v>4</v>
      </c>
      <c r="M505" s="609">
        <f>'[2]Weapon Offences'!AI15</f>
        <v>1</v>
      </c>
      <c r="N505" s="609">
        <f>'[2]Weapon Offences'!AJ15</f>
        <v>4</v>
      </c>
      <c r="O505" s="609">
        <f>'[2]Weapon Offences'!AK15</f>
        <v>4</v>
      </c>
      <c r="P505" s="609">
        <f>'[2]Weapon Offences'!AL15</f>
        <v>1</v>
      </c>
      <c r="Q505" s="609">
        <f>'[2]Weapon Offences'!AM15</f>
        <v>4</v>
      </c>
      <c r="R505" s="609">
        <f>'[2]Weapon Offences'!AN15</f>
        <v>4</v>
      </c>
      <c r="S505" s="609">
        <f>'[2]Weapon Offences'!AO15</f>
        <v>6</v>
      </c>
      <c r="T505" s="609">
        <f>'[2]Weapon Offences'!AP15</f>
        <v>4</v>
      </c>
      <c r="U505" s="609">
        <f>'[2]Weapon Offences'!AQ15</f>
        <v>4</v>
      </c>
      <c r="V505" s="609">
        <f>'[2]Weapon Offences'!AR15</f>
        <v>4</v>
      </c>
      <c r="W505" s="609">
        <f>'[2]Weapon Offences'!AS15</f>
        <v>4</v>
      </c>
      <c r="X505" s="609">
        <f>'[2]Weapon Offences'!AT15</f>
        <v>4</v>
      </c>
      <c r="Y505" s="609">
        <f>'[2]Weapon Offences'!AU15</f>
        <v>3</v>
      </c>
      <c r="Z505" s="609">
        <f>'[2]Weapon Offences'!AV15</f>
        <v>4</v>
      </c>
      <c r="AA505" s="609">
        <f>'[2]Weapon Offences'!AW15</f>
        <v>3</v>
      </c>
      <c r="AB505" s="609">
        <f>'[2]Weapon Offences'!AX15</f>
        <v>4</v>
      </c>
      <c r="AC505" s="609">
        <f>'[2]Weapon Offences'!AY15</f>
        <v>7</v>
      </c>
      <c r="AD505" s="609">
        <f>'[2]Weapon Offences'!AZ15</f>
        <v>9</v>
      </c>
      <c r="AE505" s="609">
        <f>'[2]Weapon Offences'!BA15</f>
        <v>6</v>
      </c>
      <c r="AF505" s="609">
        <f>'[2]Weapon Offences'!BB15</f>
        <v>7</v>
      </c>
      <c r="AG505" s="609">
        <f>'[2]Weapon Offences'!BC15</f>
        <v>7</v>
      </c>
      <c r="AH505" s="609">
        <f>'[2]Weapon Offences'!BD15</f>
        <v>4</v>
      </c>
      <c r="AI505" s="609">
        <f>'[2]Weapon Offences'!BE15</f>
        <v>2</v>
      </c>
      <c r="AJ505" s="609">
        <f>'[2]Weapon Offences'!BF15</f>
        <v>4</v>
      </c>
      <c r="AK505" s="609">
        <f>'[2]Weapon Offences'!BG15</f>
        <v>6</v>
      </c>
      <c r="AL505" s="609">
        <f>'[2]Weapon Offences'!BH15</f>
        <v>5</v>
      </c>
      <c r="AM505" s="609">
        <f>'[2]Weapon Offences'!BI15</f>
        <v>3</v>
      </c>
      <c r="AN505" s="609">
        <f>'[2]Weapon Offences'!BJ15</f>
        <v>4</v>
      </c>
      <c r="AO505" s="609">
        <f>'[2]Weapon Offences'!BK15</f>
        <v>5</v>
      </c>
      <c r="AP505" s="609">
        <f>'[2]Weapon Offences'!BL15</f>
        <v>2</v>
      </c>
      <c r="AQ505" s="609">
        <f>'[2]Weapon Offences'!BM15</f>
        <v>7</v>
      </c>
      <c r="AR505" s="609">
        <f>'[2]Weapon Offences'!BN15</f>
        <v>7</v>
      </c>
      <c r="AS505" s="609">
        <f>'[2]Weapon Offences'!BO15</f>
        <v>3</v>
      </c>
      <c r="AT505" s="609">
        <f>'[2]Weapon Offences'!BP15</f>
        <v>2</v>
      </c>
      <c r="AU505" s="609">
        <f>'[2]Weapon Offences'!BQ15</f>
        <v>4</v>
      </c>
      <c r="AV505" s="609">
        <f>'[2]Weapon Offences'!BR15</f>
        <v>2</v>
      </c>
      <c r="AW505" s="609">
        <f>'[2]Weapon Offences'!BS15</f>
        <v>4</v>
      </c>
      <c r="AX505" s="609">
        <f>'[2]Weapon Offences'!BT15</f>
        <v>4</v>
      </c>
      <c r="AY505" s="609">
        <f>'[2]Weapon Offences'!BU15</f>
        <v>7</v>
      </c>
    </row>
    <row r="506" spans="3:51" x14ac:dyDescent="0.35">
      <c r="C506" s="661" t="s">
        <v>62</v>
      </c>
      <c r="D506" s="609">
        <f>'[2]Weapon Offences'!Z16</f>
        <v>6</v>
      </c>
      <c r="E506" s="609">
        <f>'[2]Weapon Offences'!AA16</f>
        <v>2</v>
      </c>
      <c r="F506" s="609">
        <f>'[2]Weapon Offences'!AB16</f>
        <v>4</v>
      </c>
      <c r="G506" s="609">
        <f>'[2]Weapon Offences'!AC16</f>
        <v>5</v>
      </c>
      <c r="H506" s="609">
        <f>'[2]Weapon Offences'!AD16</f>
        <v>7</v>
      </c>
      <c r="I506" s="609">
        <f>'[2]Weapon Offences'!AE16</f>
        <v>14</v>
      </c>
      <c r="J506" s="609">
        <f>'[2]Weapon Offences'!AF16</f>
        <v>6</v>
      </c>
      <c r="K506" s="609">
        <f>'[2]Weapon Offences'!AG16</f>
        <v>10</v>
      </c>
      <c r="L506" s="609">
        <f>'[2]Weapon Offences'!AH16</f>
        <v>7</v>
      </c>
      <c r="M506" s="609">
        <f>'[2]Weapon Offences'!AI16</f>
        <v>2</v>
      </c>
      <c r="N506" s="609">
        <f>'[2]Weapon Offences'!AJ16</f>
        <v>4</v>
      </c>
      <c r="O506" s="609">
        <f>'[2]Weapon Offences'!AK16</f>
        <v>7</v>
      </c>
      <c r="P506" s="609">
        <f>'[2]Weapon Offences'!AL16</f>
        <v>4</v>
      </c>
      <c r="Q506" s="609">
        <f>'[2]Weapon Offences'!AM16</f>
        <v>6</v>
      </c>
      <c r="R506" s="609">
        <f>'[2]Weapon Offences'!AN16</f>
        <v>8</v>
      </c>
      <c r="S506" s="609">
        <f>'[2]Weapon Offences'!AO16</f>
        <v>11</v>
      </c>
      <c r="T506" s="609">
        <f>'[2]Weapon Offences'!AP16</f>
        <v>4</v>
      </c>
      <c r="U506" s="609">
        <f>'[2]Weapon Offences'!AQ16</f>
        <v>6</v>
      </c>
      <c r="V506" s="609">
        <f>'[2]Weapon Offences'!AR16</f>
        <v>8</v>
      </c>
      <c r="W506" s="609">
        <f>'[2]Weapon Offences'!AS16</f>
        <v>5</v>
      </c>
      <c r="X506" s="609">
        <f>'[2]Weapon Offences'!AT16</f>
        <v>6</v>
      </c>
      <c r="Y506" s="609">
        <f>'[2]Weapon Offences'!AU16</f>
        <v>9</v>
      </c>
      <c r="Z506" s="609">
        <f>'[2]Weapon Offences'!AV16</f>
        <v>5</v>
      </c>
      <c r="AA506" s="609">
        <f>'[2]Weapon Offences'!AW16</f>
        <v>15</v>
      </c>
      <c r="AB506" s="609">
        <f>'[2]Weapon Offences'!AX16</f>
        <v>8</v>
      </c>
      <c r="AC506" s="609">
        <f>'[2]Weapon Offences'!AY16</f>
        <v>11</v>
      </c>
      <c r="AD506" s="609">
        <f>'[2]Weapon Offences'!AZ16</f>
        <v>19</v>
      </c>
      <c r="AE506" s="609">
        <f>'[2]Weapon Offences'!BA16</f>
        <v>12</v>
      </c>
      <c r="AF506" s="609">
        <f>'[2]Weapon Offences'!BB16</f>
        <v>13</v>
      </c>
      <c r="AG506" s="609">
        <f>'[2]Weapon Offences'!BC16</f>
        <v>12</v>
      </c>
      <c r="AH506" s="609">
        <f>'[2]Weapon Offences'!BD16</f>
        <v>5</v>
      </c>
      <c r="AI506" s="609">
        <f>'[2]Weapon Offences'!BE16</f>
        <v>5</v>
      </c>
      <c r="AJ506" s="609">
        <f>'[2]Weapon Offences'!BF16</f>
        <v>5</v>
      </c>
      <c r="AK506" s="609">
        <f>'[2]Weapon Offences'!BG16</f>
        <v>9</v>
      </c>
      <c r="AL506" s="609">
        <f>'[2]Weapon Offences'!BH16</f>
        <v>10</v>
      </c>
      <c r="AM506" s="609">
        <f>'[2]Weapon Offences'!BI16</f>
        <v>6</v>
      </c>
      <c r="AN506" s="609">
        <f>'[2]Weapon Offences'!BJ16</f>
        <v>10</v>
      </c>
      <c r="AO506" s="609">
        <f>'[2]Weapon Offences'!BK16</f>
        <v>9</v>
      </c>
      <c r="AP506" s="609">
        <f>'[2]Weapon Offences'!BL16</f>
        <v>4</v>
      </c>
      <c r="AQ506" s="609">
        <f>'[2]Weapon Offences'!BM16</f>
        <v>12</v>
      </c>
      <c r="AR506" s="609">
        <f>'[2]Weapon Offences'!BN16</f>
        <v>11</v>
      </c>
      <c r="AS506" s="609">
        <f>'[2]Weapon Offences'!BO16</f>
        <v>8</v>
      </c>
      <c r="AT506" s="609">
        <f>'[2]Weapon Offences'!BP16</f>
        <v>5</v>
      </c>
      <c r="AU506" s="609">
        <f>'[2]Weapon Offences'!BQ16</f>
        <v>8</v>
      </c>
      <c r="AV506" s="609">
        <f>'[2]Weapon Offences'!BR16</f>
        <v>6</v>
      </c>
      <c r="AW506" s="609">
        <f>'[2]Weapon Offences'!BS16</f>
        <v>8</v>
      </c>
      <c r="AX506" s="609">
        <f>'[2]Weapon Offences'!BT16</f>
        <v>7</v>
      </c>
      <c r="AY506" s="609">
        <f>'[2]Weapon Offences'!BU16</f>
        <v>7</v>
      </c>
    </row>
    <row r="507" spans="3:51" x14ac:dyDescent="0.35">
      <c r="C507" s="661" t="s">
        <v>0</v>
      </c>
      <c r="D507" s="609">
        <f>'[2]Weapon Offences'!Z17</f>
        <v>12</v>
      </c>
      <c r="E507" s="609">
        <f>'[2]Weapon Offences'!AA17</f>
        <v>15</v>
      </c>
      <c r="F507" s="609">
        <f>'[2]Weapon Offences'!AB17</f>
        <v>10</v>
      </c>
      <c r="G507" s="609">
        <f>'[2]Weapon Offences'!AC17</f>
        <v>11</v>
      </c>
      <c r="H507" s="609">
        <f>'[2]Weapon Offences'!AD17</f>
        <v>15</v>
      </c>
      <c r="I507" s="609">
        <f>'[2]Weapon Offences'!AE17</f>
        <v>26</v>
      </c>
      <c r="J507" s="609">
        <f>'[2]Weapon Offences'!AF17</f>
        <v>29</v>
      </c>
      <c r="K507" s="609">
        <f>'[2]Weapon Offences'!AG17</f>
        <v>28</v>
      </c>
      <c r="L507" s="609">
        <f>'[2]Weapon Offences'!AH17</f>
        <v>18</v>
      </c>
      <c r="M507" s="609">
        <f>'[2]Weapon Offences'!AI17</f>
        <v>9</v>
      </c>
      <c r="N507" s="609">
        <f>'[2]Weapon Offences'!AJ17</f>
        <v>13</v>
      </c>
      <c r="O507" s="609">
        <f>'[2]Weapon Offences'!AK17</f>
        <v>16</v>
      </c>
      <c r="P507" s="609">
        <f>'[2]Weapon Offences'!AL17</f>
        <v>19</v>
      </c>
      <c r="Q507" s="609">
        <f>'[2]Weapon Offences'!AM17</f>
        <v>18</v>
      </c>
      <c r="R507" s="609">
        <f>'[2]Weapon Offences'!AN17</f>
        <v>25</v>
      </c>
      <c r="S507" s="609">
        <f>'[2]Weapon Offences'!AO17</f>
        <v>27</v>
      </c>
      <c r="T507" s="609">
        <f>'[2]Weapon Offences'!AP17</f>
        <v>17</v>
      </c>
      <c r="U507" s="609">
        <f>'[2]Weapon Offences'!AQ17</f>
        <v>14</v>
      </c>
      <c r="V507" s="609">
        <f>'[2]Weapon Offences'!AR17</f>
        <v>24</v>
      </c>
      <c r="W507" s="609">
        <f>'[2]Weapon Offences'!AS17</f>
        <v>18</v>
      </c>
      <c r="X507" s="609">
        <f>'[2]Weapon Offences'!AT17</f>
        <v>19</v>
      </c>
      <c r="Y507" s="609">
        <f>'[2]Weapon Offences'!AU17</f>
        <v>21</v>
      </c>
      <c r="Z507" s="609">
        <f>'[2]Weapon Offences'!AV17</f>
        <v>17</v>
      </c>
      <c r="AA507" s="609">
        <f>'[2]Weapon Offences'!AW17</f>
        <v>36</v>
      </c>
      <c r="AB507" s="609">
        <f>'[2]Weapon Offences'!AX17</f>
        <v>22</v>
      </c>
      <c r="AC507" s="609">
        <f>'[2]Weapon Offences'!AY17</f>
        <v>28</v>
      </c>
      <c r="AD507" s="609">
        <f>'[2]Weapon Offences'!AZ17</f>
        <v>43</v>
      </c>
      <c r="AE507" s="609">
        <f>'[2]Weapon Offences'!BA17</f>
        <v>32</v>
      </c>
      <c r="AF507" s="609">
        <f>'[2]Weapon Offences'!BB17</f>
        <v>29</v>
      </c>
      <c r="AG507" s="609">
        <f>'[2]Weapon Offences'!BC17</f>
        <v>31</v>
      </c>
      <c r="AH507" s="609">
        <f>'[2]Weapon Offences'!BD17</f>
        <v>18</v>
      </c>
      <c r="AI507" s="609">
        <f>'[2]Weapon Offences'!BE17</f>
        <v>19</v>
      </c>
      <c r="AJ507" s="609">
        <f>'[2]Weapon Offences'!BF17</f>
        <v>18</v>
      </c>
      <c r="AK507" s="609">
        <f>'[2]Weapon Offences'!BG17</f>
        <v>24</v>
      </c>
      <c r="AL507" s="609">
        <f>'[2]Weapon Offences'!BH17</f>
        <v>25</v>
      </c>
      <c r="AM507" s="609">
        <f>'[2]Weapon Offences'!BI17</f>
        <v>25</v>
      </c>
      <c r="AN507" s="609">
        <f>'[2]Weapon Offences'!BJ17</f>
        <v>22</v>
      </c>
      <c r="AO507" s="609">
        <f>'[2]Weapon Offences'!BK17</f>
        <v>22</v>
      </c>
      <c r="AP507" s="609">
        <f>'[2]Weapon Offences'!BL17</f>
        <v>14</v>
      </c>
      <c r="AQ507" s="609">
        <f>'[2]Weapon Offences'!BM17</f>
        <v>31</v>
      </c>
      <c r="AR507" s="609">
        <f>'[2]Weapon Offences'!BN17</f>
        <v>23</v>
      </c>
      <c r="AS507" s="609">
        <f>'[2]Weapon Offences'!BO17</f>
        <v>15</v>
      </c>
      <c r="AT507" s="609">
        <f>'[2]Weapon Offences'!BP17</f>
        <v>10</v>
      </c>
      <c r="AU507" s="609">
        <f>'[2]Weapon Offences'!BQ17</f>
        <v>19</v>
      </c>
      <c r="AV507" s="609">
        <f>'[2]Weapon Offences'!BR17</f>
        <v>22</v>
      </c>
      <c r="AW507" s="609">
        <f>'[2]Weapon Offences'!BS17</f>
        <v>22</v>
      </c>
      <c r="AX507" s="609">
        <f>'[2]Weapon Offences'!BT17</f>
        <v>15</v>
      </c>
      <c r="AY507" s="609">
        <f>'[2]Weapon Offences'!BU17</f>
        <v>17</v>
      </c>
    </row>
    <row r="508" spans="3:51" s="36" customFormat="1" x14ac:dyDescent="0.35">
      <c r="C508" s="678"/>
    </row>
    <row r="509" spans="3:51" ht="37" x14ac:dyDescent="0.35">
      <c r="C509" s="667" t="s">
        <v>368</v>
      </c>
      <c r="D509" s="39">
        <v>44287</v>
      </c>
      <c r="E509" s="39">
        <v>44317</v>
      </c>
      <c r="F509" s="39">
        <v>44348</v>
      </c>
      <c r="G509" s="39">
        <v>44378</v>
      </c>
      <c r="H509" s="39">
        <v>44409</v>
      </c>
      <c r="I509" s="39">
        <v>44440</v>
      </c>
      <c r="J509" s="39">
        <v>44470</v>
      </c>
      <c r="K509" s="39">
        <v>44501</v>
      </c>
      <c r="L509" s="39">
        <v>44531</v>
      </c>
      <c r="M509" s="39">
        <v>44562</v>
      </c>
      <c r="N509" s="39">
        <v>44593</v>
      </c>
      <c r="O509" s="39">
        <v>44621</v>
      </c>
      <c r="P509" s="39">
        <v>44652</v>
      </c>
      <c r="Q509" s="39">
        <v>44682</v>
      </c>
      <c r="R509" s="39">
        <v>44713</v>
      </c>
      <c r="S509" s="39">
        <v>44743</v>
      </c>
      <c r="T509" s="39">
        <v>44774</v>
      </c>
      <c r="U509" s="39">
        <v>44805</v>
      </c>
      <c r="V509" s="39">
        <v>44835</v>
      </c>
      <c r="W509" s="39">
        <v>44866</v>
      </c>
      <c r="X509" s="39">
        <v>44896</v>
      </c>
      <c r="Y509" s="39">
        <v>44927</v>
      </c>
      <c r="Z509" s="39">
        <v>44958</v>
      </c>
      <c r="AA509" s="39">
        <v>44986</v>
      </c>
      <c r="AB509" s="39">
        <v>45017</v>
      </c>
      <c r="AC509" s="39">
        <v>45047</v>
      </c>
      <c r="AD509" s="39">
        <v>45078</v>
      </c>
      <c r="AE509" s="39">
        <v>45108</v>
      </c>
      <c r="AF509" s="39">
        <v>45139</v>
      </c>
      <c r="AG509" s="39">
        <v>45170</v>
      </c>
      <c r="AH509" s="39">
        <v>45200</v>
      </c>
      <c r="AI509" s="39">
        <v>45231</v>
      </c>
      <c r="AJ509" s="39">
        <v>45261</v>
      </c>
      <c r="AK509" s="39">
        <v>45292</v>
      </c>
      <c r="AL509" s="39">
        <v>45323</v>
      </c>
      <c r="AM509" s="39">
        <v>45352</v>
      </c>
      <c r="AN509" s="39">
        <v>45383</v>
      </c>
      <c r="AO509" s="39">
        <v>45413</v>
      </c>
      <c r="AP509" s="39">
        <v>45444</v>
      </c>
      <c r="AQ509" s="39">
        <v>45474</v>
      </c>
      <c r="AR509" s="39">
        <v>45505</v>
      </c>
      <c r="AS509" s="39">
        <v>45536</v>
      </c>
      <c r="AT509" s="39">
        <v>45566</v>
      </c>
      <c r="AU509" s="39">
        <v>45597</v>
      </c>
      <c r="AV509" s="39">
        <v>45627</v>
      </c>
      <c r="AW509" s="39">
        <v>45658</v>
      </c>
      <c r="AX509" s="39">
        <v>45689</v>
      </c>
      <c r="AY509" s="39">
        <v>45717</v>
      </c>
    </row>
    <row r="510" spans="3:51" x14ac:dyDescent="0.35">
      <c r="C510" s="662" t="s">
        <v>212</v>
      </c>
      <c r="D510" s="609">
        <f>[2]Vulnerability!Z3</f>
        <v>0</v>
      </c>
      <c r="E510" s="609">
        <f>[2]Vulnerability!AA3</f>
        <v>0</v>
      </c>
      <c r="F510" s="609">
        <f>[2]Vulnerability!AB3</f>
        <v>0</v>
      </c>
      <c r="G510" s="609">
        <f>[2]Vulnerability!AC3</f>
        <v>0</v>
      </c>
      <c r="H510" s="609">
        <f>[2]Vulnerability!AD3</f>
        <v>0</v>
      </c>
      <c r="I510" s="609">
        <f>[2]Vulnerability!AE3</f>
        <v>0</v>
      </c>
      <c r="J510" s="609">
        <f>[2]Vulnerability!AF3</f>
        <v>0</v>
      </c>
      <c r="K510" s="609">
        <f>[2]Vulnerability!AG3</f>
        <v>0</v>
      </c>
      <c r="L510" s="609">
        <f>[2]Vulnerability!AH3</f>
        <v>0</v>
      </c>
      <c r="M510" s="609">
        <f>[2]Vulnerability!AI3</f>
        <v>0</v>
      </c>
      <c r="N510" s="609">
        <f>[2]Vulnerability!AJ3</f>
        <v>0</v>
      </c>
      <c r="O510" s="609">
        <f>[2]Vulnerability!AK3</f>
        <v>0</v>
      </c>
      <c r="P510" s="609">
        <f>[2]Vulnerability!AL3</f>
        <v>0</v>
      </c>
      <c r="Q510" s="609">
        <f>[2]Vulnerability!AM3</f>
        <v>0</v>
      </c>
      <c r="R510" s="609">
        <f>[2]Vulnerability!AN3</f>
        <v>0</v>
      </c>
      <c r="S510" s="609">
        <f>[2]Vulnerability!AO3</f>
        <v>0</v>
      </c>
      <c r="T510" s="609">
        <f>[2]Vulnerability!AP3</f>
        <v>0</v>
      </c>
      <c r="U510" s="609">
        <f>[2]Vulnerability!AQ3</f>
        <v>0</v>
      </c>
      <c r="V510" s="609">
        <f>[2]Vulnerability!AR3</f>
        <v>0</v>
      </c>
      <c r="W510" s="609">
        <f>[2]Vulnerability!AS3</f>
        <v>0</v>
      </c>
      <c r="X510" s="609">
        <f>[2]Vulnerability!AT3</f>
        <v>0</v>
      </c>
      <c r="Y510" s="609">
        <f>[2]Vulnerability!AU3</f>
        <v>0</v>
      </c>
      <c r="Z510" s="609">
        <f>[2]Vulnerability!AV3</f>
        <v>0</v>
      </c>
      <c r="AA510" s="609">
        <f>[2]Vulnerability!AW3</f>
        <v>0</v>
      </c>
      <c r="AB510" s="609">
        <f>[2]Vulnerability!AX3</f>
        <v>0</v>
      </c>
      <c r="AC510" s="609">
        <f>[2]Vulnerability!AY3</f>
        <v>0</v>
      </c>
      <c r="AD510" s="609">
        <f>[2]Vulnerability!AZ3</f>
        <v>0</v>
      </c>
      <c r="AE510" s="609">
        <f>[2]Vulnerability!BA3</f>
        <v>0</v>
      </c>
      <c r="AF510" s="609">
        <f>[2]Vulnerability!BB3</f>
        <v>0</v>
      </c>
      <c r="AG510" s="609">
        <f>[2]Vulnerability!BC3</f>
        <v>0</v>
      </c>
      <c r="AH510" s="609">
        <f>[2]Vulnerability!BD3</f>
        <v>0</v>
      </c>
      <c r="AI510" s="609">
        <f>[2]Vulnerability!BE3</f>
        <v>0</v>
      </c>
      <c r="AJ510" s="609">
        <f>[2]Vulnerability!BF3</f>
        <v>0</v>
      </c>
      <c r="AK510" s="609">
        <f>[2]Vulnerability!BG3</f>
        <v>0</v>
      </c>
      <c r="AL510" s="609">
        <f>[2]Vulnerability!BH3</f>
        <v>0</v>
      </c>
      <c r="AM510" s="609">
        <f>[2]Vulnerability!BI3</f>
        <v>0</v>
      </c>
      <c r="AN510" s="609">
        <f>[2]Vulnerability!BJ3</f>
        <v>0</v>
      </c>
      <c r="AO510" s="609">
        <f>[2]Vulnerability!BK3</f>
        <v>0</v>
      </c>
      <c r="AP510" s="609">
        <f>[2]Vulnerability!BL3</f>
        <v>0</v>
      </c>
      <c r="AQ510" s="609">
        <f>[2]Vulnerability!BM3</f>
        <v>0</v>
      </c>
      <c r="AR510" s="609">
        <f>[2]Vulnerability!BN3</f>
        <v>0</v>
      </c>
      <c r="AS510" s="609">
        <f>[2]Vulnerability!BO3</f>
        <v>0</v>
      </c>
      <c r="AT510" s="609">
        <f>[2]Vulnerability!BP3</f>
        <v>0</v>
      </c>
      <c r="AU510" s="609">
        <f>[2]Vulnerability!BQ3</f>
        <v>0</v>
      </c>
      <c r="AV510" s="609">
        <f>[2]Vulnerability!BR3</f>
        <v>0</v>
      </c>
      <c r="AW510" s="609">
        <f>[2]Vulnerability!BS3</f>
        <v>0</v>
      </c>
      <c r="AX510" s="609">
        <f>[2]Vulnerability!BT3</f>
        <v>0</v>
      </c>
      <c r="AY510" s="609">
        <f>[2]Vulnerability!BU3</f>
        <v>0</v>
      </c>
    </row>
    <row r="511" spans="3:51" x14ac:dyDescent="0.35">
      <c r="C511" s="662" t="s">
        <v>213</v>
      </c>
      <c r="D511" s="609">
        <f>[2]Vulnerability!Z4</f>
        <v>0</v>
      </c>
      <c r="E511" s="609">
        <f>[2]Vulnerability!AA4</f>
        <v>10</v>
      </c>
      <c r="F511" s="609">
        <f>[2]Vulnerability!AB4</f>
        <v>0</v>
      </c>
      <c r="G511" s="609">
        <f>[2]Vulnerability!AC4</f>
        <v>0</v>
      </c>
      <c r="H511" s="609">
        <f>[2]Vulnerability!AD4</f>
        <v>1</v>
      </c>
      <c r="I511" s="609">
        <f>[2]Vulnerability!AE4</f>
        <v>0</v>
      </c>
      <c r="J511" s="609">
        <f>[2]Vulnerability!AF4</f>
        <v>0</v>
      </c>
      <c r="K511" s="609">
        <f>[2]Vulnerability!AG4</f>
        <v>1</v>
      </c>
      <c r="L511" s="609">
        <f>[2]Vulnerability!AH4</f>
        <v>0</v>
      </c>
      <c r="M511" s="609">
        <f>[2]Vulnerability!AI4</f>
        <v>0</v>
      </c>
      <c r="N511" s="609">
        <f>[2]Vulnerability!AJ4</f>
        <v>0</v>
      </c>
      <c r="O511" s="609">
        <f>[2]Vulnerability!AK4</f>
        <v>0</v>
      </c>
      <c r="P511" s="609">
        <f>[2]Vulnerability!AL4</f>
        <v>0</v>
      </c>
      <c r="Q511" s="609">
        <f>[2]Vulnerability!AM4</f>
        <v>2</v>
      </c>
      <c r="R511" s="609">
        <f>[2]Vulnerability!AN4</f>
        <v>0</v>
      </c>
      <c r="S511" s="609">
        <f>[2]Vulnerability!AO4</f>
        <v>2</v>
      </c>
      <c r="T511" s="609">
        <f>[2]Vulnerability!AP4</f>
        <v>0</v>
      </c>
      <c r="U511" s="609">
        <f>[2]Vulnerability!AQ4</f>
        <v>0</v>
      </c>
      <c r="V511" s="609">
        <f>[2]Vulnerability!AR4</f>
        <v>0</v>
      </c>
      <c r="W511" s="609">
        <f>[2]Vulnerability!AS4</f>
        <v>0</v>
      </c>
      <c r="X511" s="609">
        <f>[2]Vulnerability!AT4</f>
        <v>0</v>
      </c>
      <c r="Y511" s="609">
        <f>[2]Vulnerability!AU4</f>
        <v>0</v>
      </c>
      <c r="Z511" s="609">
        <f>[2]Vulnerability!AV4</f>
        <v>0</v>
      </c>
      <c r="AA511" s="609">
        <f>[2]Vulnerability!AW4</f>
        <v>0</v>
      </c>
      <c r="AB511" s="609">
        <f>[2]Vulnerability!AX4</f>
        <v>0</v>
      </c>
      <c r="AC511" s="609">
        <f>[2]Vulnerability!AY4</f>
        <v>0</v>
      </c>
      <c r="AD511" s="609">
        <f>[2]Vulnerability!AZ4</f>
        <v>0</v>
      </c>
      <c r="AE511" s="609">
        <f>[2]Vulnerability!BA4</f>
        <v>0</v>
      </c>
      <c r="AF511" s="609">
        <f>[2]Vulnerability!BB4</f>
        <v>0</v>
      </c>
      <c r="AG511" s="609">
        <f>[2]Vulnerability!BC4</f>
        <v>0</v>
      </c>
      <c r="AH511" s="609">
        <f>[2]Vulnerability!BD4</f>
        <v>0</v>
      </c>
      <c r="AI511" s="609">
        <f>[2]Vulnerability!BE4</f>
        <v>0</v>
      </c>
      <c r="AJ511" s="609">
        <f>[2]Vulnerability!BF4</f>
        <v>0</v>
      </c>
      <c r="AK511" s="609">
        <f>[2]Vulnerability!BG4</f>
        <v>0</v>
      </c>
      <c r="AL511" s="609">
        <f>[2]Vulnerability!BH4</f>
        <v>0</v>
      </c>
      <c r="AM511" s="609">
        <f>[2]Vulnerability!BI4</f>
        <v>0</v>
      </c>
      <c r="AN511" s="609">
        <f>[2]Vulnerability!BJ4</f>
        <v>0</v>
      </c>
      <c r="AO511" s="609">
        <f>[2]Vulnerability!BK4</f>
        <v>0</v>
      </c>
      <c r="AP511" s="609">
        <f>[2]Vulnerability!BL4</f>
        <v>0</v>
      </c>
      <c r="AQ511" s="609">
        <f>[2]Vulnerability!BM4</f>
        <v>0</v>
      </c>
      <c r="AR511" s="609">
        <f>[2]Vulnerability!BN4</f>
        <v>0</v>
      </c>
      <c r="AS511" s="609">
        <f>[2]Vulnerability!BO4</f>
        <v>0</v>
      </c>
      <c r="AT511" s="609">
        <f>[2]Vulnerability!BP4</f>
        <v>0</v>
      </c>
      <c r="AU511" s="609">
        <f>[2]Vulnerability!BQ4</f>
        <v>0</v>
      </c>
      <c r="AV511" s="609">
        <f>[2]Vulnerability!BR4</f>
        <v>0</v>
      </c>
      <c r="AW511" s="609">
        <f>[2]Vulnerability!BS4</f>
        <v>0</v>
      </c>
      <c r="AX511" s="609">
        <f>[2]Vulnerability!BT4</f>
        <v>0</v>
      </c>
      <c r="AY511" s="609">
        <f>[2]Vulnerability!BU4</f>
        <v>0</v>
      </c>
    </row>
    <row r="512" spans="3:51" x14ac:dyDescent="0.35">
      <c r="C512" s="662" t="s">
        <v>214</v>
      </c>
      <c r="D512" s="609">
        <f>[2]Vulnerability!Z5</f>
        <v>0</v>
      </c>
      <c r="E512" s="609">
        <f>[2]Vulnerability!AA5</f>
        <v>0</v>
      </c>
      <c r="F512" s="609">
        <f>[2]Vulnerability!AB5</f>
        <v>0</v>
      </c>
      <c r="G512" s="609">
        <f>[2]Vulnerability!AC5</f>
        <v>0</v>
      </c>
      <c r="H512" s="609">
        <f>[2]Vulnerability!AD5</f>
        <v>1</v>
      </c>
      <c r="I512" s="609">
        <f>[2]Vulnerability!AE5</f>
        <v>1</v>
      </c>
      <c r="J512" s="609">
        <f>[2]Vulnerability!AF5</f>
        <v>0</v>
      </c>
      <c r="K512" s="609">
        <f>[2]Vulnerability!AG5</f>
        <v>0</v>
      </c>
      <c r="L512" s="609">
        <f>[2]Vulnerability!AH5</f>
        <v>0</v>
      </c>
      <c r="M512" s="609">
        <f>[2]Vulnerability!AI5</f>
        <v>0</v>
      </c>
      <c r="N512" s="609">
        <f>[2]Vulnerability!AJ5</f>
        <v>0</v>
      </c>
      <c r="O512" s="609">
        <f>[2]Vulnerability!AK5</f>
        <v>0</v>
      </c>
      <c r="P512" s="609">
        <f>[2]Vulnerability!AL5</f>
        <v>1</v>
      </c>
      <c r="Q512" s="609">
        <f>[2]Vulnerability!AM5</f>
        <v>0</v>
      </c>
      <c r="R512" s="609">
        <f>[2]Vulnerability!AN5</f>
        <v>0</v>
      </c>
      <c r="S512" s="609">
        <f>[2]Vulnerability!AO5</f>
        <v>0</v>
      </c>
      <c r="T512" s="609">
        <f>[2]Vulnerability!AP5</f>
        <v>0</v>
      </c>
      <c r="U512" s="609">
        <f>[2]Vulnerability!AQ5</f>
        <v>0</v>
      </c>
      <c r="V512" s="609">
        <f>[2]Vulnerability!AR5</f>
        <v>0</v>
      </c>
      <c r="W512" s="609">
        <f>[2]Vulnerability!AS5</f>
        <v>0</v>
      </c>
      <c r="X512" s="609">
        <f>[2]Vulnerability!AT5</f>
        <v>0</v>
      </c>
      <c r="Y512" s="609">
        <f>[2]Vulnerability!AU5</f>
        <v>0</v>
      </c>
      <c r="Z512" s="609">
        <f>[2]Vulnerability!AV5</f>
        <v>0</v>
      </c>
      <c r="AA512" s="609">
        <f>[2]Vulnerability!AW5</f>
        <v>0</v>
      </c>
      <c r="AB512" s="609">
        <f>[2]Vulnerability!AX5</f>
        <v>0</v>
      </c>
      <c r="AC512" s="609">
        <f>[2]Vulnerability!AY5</f>
        <v>0</v>
      </c>
      <c r="AD512" s="609">
        <f>[2]Vulnerability!AZ5</f>
        <v>0</v>
      </c>
      <c r="AE512" s="609">
        <f>[2]Vulnerability!BA5</f>
        <v>0</v>
      </c>
      <c r="AF512" s="609">
        <f>[2]Vulnerability!BB5</f>
        <v>0</v>
      </c>
      <c r="AG512" s="609">
        <f>[2]Vulnerability!BC5</f>
        <v>0</v>
      </c>
      <c r="AH512" s="609">
        <f>[2]Vulnerability!BD5</f>
        <v>0</v>
      </c>
      <c r="AI512" s="609">
        <f>[2]Vulnerability!BE5</f>
        <v>0</v>
      </c>
      <c r="AJ512" s="609">
        <f>[2]Vulnerability!BF5</f>
        <v>0</v>
      </c>
      <c r="AK512" s="609">
        <f>[2]Vulnerability!BG5</f>
        <v>0</v>
      </c>
      <c r="AL512" s="609">
        <f>[2]Vulnerability!BH5</f>
        <v>0</v>
      </c>
      <c r="AM512" s="609">
        <f>[2]Vulnerability!BI5</f>
        <v>0</v>
      </c>
      <c r="AN512" s="609">
        <f>[2]Vulnerability!BJ5</f>
        <v>0</v>
      </c>
      <c r="AO512" s="609">
        <f>[2]Vulnerability!BK5</f>
        <v>0</v>
      </c>
      <c r="AP512" s="609">
        <f>[2]Vulnerability!BL5</f>
        <v>0</v>
      </c>
      <c r="AQ512" s="609">
        <f>[2]Vulnerability!BM5</f>
        <v>0</v>
      </c>
      <c r="AR512" s="609">
        <f>[2]Vulnerability!BN5</f>
        <v>0</v>
      </c>
      <c r="AS512" s="609">
        <f>[2]Vulnerability!BO5</f>
        <v>0</v>
      </c>
      <c r="AT512" s="609">
        <f>[2]Vulnerability!BP5</f>
        <v>0</v>
      </c>
      <c r="AU512" s="609">
        <f>[2]Vulnerability!BQ5</f>
        <v>0</v>
      </c>
      <c r="AV512" s="609">
        <f>[2]Vulnerability!BR5</f>
        <v>0</v>
      </c>
      <c r="AW512" s="609">
        <f>[2]Vulnerability!BS5</f>
        <v>0</v>
      </c>
      <c r="AX512" s="609">
        <f>[2]Vulnerability!BT5</f>
        <v>0</v>
      </c>
      <c r="AY512" s="609">
        <f>[2]Vulnerability!BU5</f>
        <v>0</v>
      </c>
    </row>
    <row r="513" spans="3:51" x14ac:dyDescent="0.35">
      <c r="C513" s="662" t="s">
        <v>146</v>
      </c>
      <c r="D513" s="609">
        <f>[2]Vulnerability!Z6</f>
        <v>0</v>
      </c>
      <c r="E513" s="609">
        <f>[2]Vulnerability!AA6</f>
        <v>0</v>
      </c>
      <c r="F513" s="609">
        <f>[2]Vulnerability!AB6</f>
        <v>0</v>
      </c>
      <c r="G513" s="609">
        <f>[2]Vulnerability!AC6</f>
        <v>0</v>
      </c>
      <c r="H513" s="609">
        <f>[2]Vulnerability!AD6</f>
        <v>0</v>
      </c>
      <c r="I513" s="609">
        <f>[2]Vulnerability!AE6</f>
        <v>0</v>
      </c>
      <c r="J513" s="609">
        <f>[2]Vulnerability!AF6</f>
        <v>0</v>
      </c>
      <c r="K513" s="609">
        <f>[2]Vulnerability!AG6</f>
        <v>0</v>
      </c>
      <c r="L513" s="609">
        <f>[2]Vulnerability!AH6</f>
        <v>0</v>
      </c>
      <c r="M513" s="609">
        <f>[2]Vulnerability!AI6</f>
        <v>0</v>
      </c>
      <c r="N513" s="609">
        <f>[2]Vulnerability!AJ6</f>
        <v>0</v>
      </c>
      <c r="O513" s="609">
        <f>[2]Vulnerability!AK6</f>
        <v>0</v>
      </c>
      <c r="P513" s="609">
        <f>[2]Vulnerability!AL6</f>
        <v>0</v>
      </c>
      <c r="Q513" s="609">
        <f>[2]Vulnerability!AM6</f>
        <v>0</v>
      </c>
      <c r="R513" s="609">
        <f>[2]Vulnerability!AN6</f>
        <v>0</v>
      </c>
      <c r="S513" s="609">
        <f>[2]Vulnerability!AO6</f>
        <v>0</v>
      </c>
      <c r="T513" s="609">
        <f>[2]Vulnerability!AP6</f>
        <v>0</v>
      </c>
      <c r="U513" s="609">
        <f>[2]Vulnerability!AQ6</f>
        <v>0</v>
      </c>
      <c r="V513" s="609">
        <f>[2]Vulnerability!AR6</f>
        <v>0</v>
      </c>
      <c r="W513" s="609">
        <f>[2]Vulnerability!AS6</f>
        <v>0</v>
      </c>
      <c r="X513" s="609">
        <f>[2]Vulnerability!AT6</f>
        <v>0</v>
      </c>
      <c r="Y513" s="609">
        <f>[2]Vulnerability!AU6</f>
        <v>0</v>
      </c>
      <c r="Z513" s="609">
        <f>[2]Vulnerability!AV6</f>
        <v>0</v>
      </c>
      <c r="AA513" s="609">
        <f>[2]Vulnerability!AW6</f>
        <v>0</v>
      </c>
      <c r="AB513" s="609">
        <f>[2]Vulnerability!AX6</f>
        <v>0</v>
      </c>
      <c r="AC513" s="609">
        <f>[2]Vulnerability!AY6</f>
        <v>0</v>
      </c>
      <c r="AD513" s="609">
        <f>[2]Vulnerability!AZ6</f>
        <v>0</v>
      </c>
      <c r="AE513" s="609">
        <f>[2]Vulnerability!BA6</f>
        <v>0</v>
      </c>
      <c r="AF513" s="609">
        <f>[2]Vulnerability!BB6</f>
        <v>0</v>
      </c>
      <c r="AG513" s="609">
        <f>[2]Vulnerability!BC6</f>
        <v>0</v>
      </c>
      <c r="AH513" s="609">
        <f>[2]Vulnerability!BD6</f>
        <v>0</v>
      </c>
      <c r="AI513" s="609">
        <f>[2]Vulnerability!BE6</f>
        <v>0</v>
      </c>
      <c r="AJ513" s="609">
        <f>[2]Vulnerability!BF6</f>
        <v>0</v>
      </c>
      <c r="AK513" s="609">
        <f>[2]Vulnerability!BG6</f>
        <v>0</v>
      </c>
      <c r="AL513" s="609">
        <f>[2]Vulnerability!BH6</f>
        <v>0</v>
      </c>
      <c r="AM513" s="609">
        <f>[2]Vulnerability!BI6</f>
        <v>0</v>
      </c>
      <c r="AN513" s="609">
        <f>[2]Vulnerability!BJ6</f>
        <v>0</v>
      </c>
      <c r="AO513" s="609">
        <f>[2]Vulnerability!BK6</f>
        <v>0</v>
      </c>
      <c r="AP513" s="609">
        <f>[2]Vulnerability!BL6</f>
        <v>0</v>
      </c>
      <c r="AQ513" s="609">
        <f>[2]Vulnerability!BM6</f>
        <v>0</v>
      </c>
      <c r="AR513" s="609">
        <f>[2]Vulnerability!BN6</f>
        <v>0</v>
      </c>
      <c r="AS513" s="609">
        <f>[2]Vulnerability!BO6</f>
        <v>0</v>
      </c>
      <c r="AT513" s="609">
        <f>[2]Vulnerability!BP6</f>
        <v>0</v>
      </c>
      <c r="AU513" s="609">
        <f>[2]Vulnerability!BQ6</f>
        <v>0</v>
      </c>
      <c r="AV513" s="609">
        <f>[2]Vulnerability!BR6</f>
        <v>0</v>
      </c>
      <c r="AW513" s="609">
        <f>[2]Vulnerability!BS6</f>
        <v>0</v>
      </c>
      <c r="AX513" s="609">
        <f>[2]Vulnerability!BT6</f>
        <v>0</v>
      </c>
      <c r="AY513" s="609">
        <f>[2]Vulnerability!BU6</f>
        <v>0</v>
      </c>
    </row>
    <row r="514" spans="3:51" ht="13.9" customHeight="1" x14ac:dyDescent="0.35">
      <c r="C514" s="662" t="s">
        <v>147</v>
      </c>
      <c r="D514" s="609">
        <f>[2]Vulnerability!Z7</f>
        <v>0</v>
      </c>
      <c r="E514" s="609">
        <f>[2]Vulnerability!AA7</f>
        <v>0</v>
      </c>
      <c r="F514" s="609">
        <f>[2]Vulnerability!AB7</f>
        <v>0</v>
      </c>
      <c r="G514" s="609">
        <f>[2]Vulnerability!AC7</f>
        <v>0</v>
      </c>
      <c r="H514" s="609">
        <f>[2]Vulnerability!AD7</f>
        <v>0</v>
      </c>
      <c r="I514" s="609">
        <f>[2]Vulnerability!AE7</f>
        <v>1</v>
      </c>
      <c r="J514" s="609">
        <f>[2]Vulnerability!AF7</f>
        <v>0</v>
      </c>
      <c r="K514" s="609">
        <f>[2]Vulnerability!AG7</f>
        <v>0</v>
      </c>
      <c r="L514" s="609">
        <f>[2]Vulnerability!AH7</f>
        <v>1</v>
      </c>
      <c r="M514" s="609">
        <f>[2]Vulnerability!AI7</f>
        <v>0</v>
      </c>
      <c r="N514" s="609">
        <f>[2]Vulnerability!AJ7</f>
        <v>0</v>
      </c>
      <c r="O514" s="609">
        <f>[2]Vulnerability!AK7</f>
        <v>0</v>
      </c>
      <c r="P514" s="609">
        <f>[2]Vulnerability!AL7</f>
        <v>0</v>
      </c>
      <c r="Q514" s="609">
        <f>[2]Vulnerability!AM7</f>
        <v>0</v>
      </c>
      <c r="R514" s="609">
        <f>[2]Vulnerability!AN7</f>
        <v>0</v>
      </c>
      <c r="S514" s="609">
        <f>[2]Vulnerability!AO7</f>
        <v>2</v>
      </c>
      <c r="T514" s="609">
        <f>[2]Vulnerability!AP7</f>
        <v>0</v>
      </c>
      <c r="U514" s="609">
        <f>[2]Vulnerability!AQ7</f>
        <v>0</v>
      </c>
      <c r="V514" s="609">
        <f>[2]Vulnerability!AR7</f>
        <v>0</v>
      </c>
      <c r="W514" s="609">
        <f>[2]Vulnerability!AS7</f>
        <v>0</v>
      </c>
      <c r="X514" s="609">
        <f>[2]Vulnerability!AT7</f>
        <v>0</v>
      </c>
      <c r="Y514" s="609">
        <f>[2]Vulnerability!AU7</f>
        <v>0</v>
      </c>
      <c r="Z514" s="609">
        <f>[2]Vulnerability!AV7</f>
        <v>0</v>
      </c>
      <c r="AA514" s="609">
        <f>[2]Vulnerability!AW7</f>
        <v>0</v>
      </c>
      <c r="AB514" s="609">
        <f>[2]Vulnerability!AX7</f>
        <v>0</v>
      </c>
      <c r="AC514" s="609">
        <f>[2]Vulnerability!AY7</f>
        <v>0</v>
      </c>
      <c r="AD514" s="609">
        <f>[2]Vulnerability!AZ7</f>
        <v>0</v>
      </c>
      <c r="AE514" s="609">
        <f>[2]Vulnerability!BA7</f>
        <v>0</v>
      </c>
      <c r="AF514" s="609">
        <f>[2]Vulnerability!BB7</f>
        <v>0</v>
      </c>
      <c r="AG514" s="609">
        <f>[2]Vulnerability!BC7</f>
        <v>0</v>
      </c>
      <c r="AH514" s="609">
        <f>[2]Vulnerability!BD7</f>
        <v>0</v>
      </c>
      <c r="AI514" s="609">
        <f>[2]Vulnerability!BE7</f>
        <v>0</v>
      </c>
      <c r="AJ514" s="609">
        <f>[2]Vulnerability!BF7</f>
        <v>0</v>
      </c>
      <c r="AK514" s="609">
        <f>[2]Vulnerability!BG7</f>
        <v>0</v>
      </c>
      <c r="AL514" s="609">
        <f>[2]Vulnerability!BH7</f>
        <v>0</v>
      </c>
      <c r="AM514" s="609">
        <f>[2]Vulnerability!BI7</f>
        <v>0</v>
      </c>
      <c r="AN514" s="609">
        <f>[2]Vulnerability!BJ7</f>
        <v>0</v>
      </c>
      <c r="AO514" s="609">
        <f>[2]Vulnerability!BK7</f>
        <v>0</v>
      </c>
      <c r="AP514" s="609">
        <f>[2]Vulnerability!BL7</f>
        <v>0</v>
      </c>
      <c r="AQ514" s="609">
        <f>[2]Vulnerability!BM7</f>
        <v>0</v>
      </c>
      <c r="AR514" s="609">
        <f>[2]Vulnerability!BN7</f>
        <v>0</v>
      </c>
      <c r="AS514" s="609">
        <f>[2]Vulnerability!BO7</f>
        <v>0</v>
      </c>
      <c r="AT514" s="609">
        <f>[2]Vulnerability!BP7</f>
        <v>0</v>
      </c>
      <c r="AU514" s="609">
        <f>[2]Vulnerability!BQ7</f>
        <v>0</v>
      </c>
      <c r="AV514" s="609">
        <f>[2]Vulnerability!BR7</f>
        <v>0</v>
      </c>
      <c r="AW514" s="609">
        <f>[2]Vulnerability!BS7</f>
        <v>0</v>
      </c>
      <c r="AX514" s="609">
        <f>[2]Vulnerability!BT7</f>
        <v>0</v>
      </c>
      <c r="AY514" s="609">
        <f>[2]Vulnerability!BU7</f>
        <v>0</v>
      </c>
    </row>
    <row r="515" spans="3:51" x14ac:dyDescent="0.35">
      <c r="C515" s="662" t="s">
        <v>62</v>
      </c>
      <c r="D515" s="609">
        <f>[2]Vulnerability!Z8</f>
        <v>0</v>
      </c>
      <c r="E515" s="609">
        <f>[2]Vulnerability!AA8</f>
        <v>0</v>
      </c>
      <c r="F515" s="609">
        <f>[2]Vulnerability!AB8</f>
        <v>0</v>
      </c>
      <c r="G515" s="609">
        <f>[2]Vulnerability!AC8</f>
        <v>0</v>
      </c>
      <c r="H515" s="609">
        <f>[2]Vulnerability!AD8</f>
        <v>0</v>
      </c>
      <c r="I515" s="609">
        <f>[2]Vulnerability!AE8</f>
        <v>1</v>
      </c>
      <c r="J515" s="609">
        <f>[2]Vulnerability!AF8</f>
        <v>0</v>
      </c>
      <c r="K515" s="609">
        <f>[2]Vulnerability!AG8</f>
        <v>0</v>
      </c>
      <c r="L515" s="609">
        <f>[2]Vulnerability!AH8</f>
        <v>1</v>
      </c>
      <c r="M515" s="609">
        <f>[2]Vulnerability!AI8</f>
        <v>0</v>
      </c>
      <c r="N515" s="609">
        <f>[2]Vulnerability!AJ8</f>
        <v>0</v>
      </c>
      <c r="O515" s="609">
        <f>[2]Vulnerability!AK8</f>
        <v>0</v>
      </c>
      <c r="P515" s="609">
        <f>[2]Vulnerability!AL8</f>
        <v>0</v>
      </c>
      <c r="Q515" s="609">
        <f>[2]Vulnerability!AM8</f>
        <v>0</v>
      </c>
      <c r="R515" s="609">
        <f>[2]Vulnerability!AN8</f>
        <v>0</v>
      </c>
      <c r="S515" s="609">
        <f>[2]Vulnerability!AO8</f>
        <v>2</v>
      </c>
      <c r="T515" s="609">
        <f>[2]Vulnerability!AP8</f>
        <v>0</v>
      </c>
      <c r="U515" s="609">
        <f>[2]Vulnerability!AQ8</f>
        <v>0</v>
      </c>
      <c r="V515" s="609">
        <f>[2]Vulnerability!AR8</f>
        <v>0</v>
      </c>
      <c r="W515" s="609">
        <f>[2]Vulnerability!AS8</f>
        <v>0</v>
      </c>
      <c r="X515" s="609">
        <f>[2]Vulnerability!AT8</f>
        <v>0</v>
      </c>
      <c r="Y515" s="609">
        <f>[2]Vulnerability!AU8</f>
        <v>0</v>
      </c>
      <c r="Z515" s="609">
        <f>[2]Vulnerability!AV8</f>
        <v>0</v>
      </c>
      <c r="AA515" s="609">
        <f>[2]Vulnerability!AW8</f>
        <v>0</v>
      </c>
      <c r="AB515" s="609">
        <f>[2]Vulnerability!AX8</f>
        <v>0</v>
      </c>
      <c r="AC515" s="609">
        <f>[2]Vulnerability!AY8</f>
        <v>0</v>
      </c>
      <c r="AD515" s="609">
        <f>[2]Vulnerability!AZ8</f>
        <v>0</v>
      </c>
      <c r="AE515" s="609">
        <f>[2]Vulnerability!BA8</f>
        <v>0</v>
      </c>
      <c r="AF515" s="609">
        <f>[2]Vulnerability!BB8</f>
        <v>0</v>
      </c>
      <c r="AG515" s="609">
        <f>[2]Vulnerability!BC8</f>
        <v>0</v>
      </c>
      <c r="AH515" s="609">
        <f>[2]Vulnerability!BD8</f>
        <v>0</v>
      </c>
      <c r="AI515" s="609">
        <f>[2]Vulnerability!BE8</f>
        <v>0</v>
      </c>
      <c r="AJ515" s="609">
        <f>[2]Vulnerability!BF8</f>
        <v>0</v>
      </c>
      <c r="AK515" s="609">
        <f>[2]Vulnerability!BG8</f>
        <v>0</v>
      </c>
      <c r="AL515" s="609">
        <f>[2]Vulnerability!BH8</f>
        <v>0</v>
      </c>
      <c r="AM515" s="609">
        <f>[2]Vulnerability!BI8</f>
        <v>0</v>
      </c>
      <c r="AN515" s="609">
        <f>[2]Vulnerability!BJ8</f>
        <v>0</v>
      </c>
      <c r="AO515" s="609">
        <f>[2]Vulnerability!BK8</f>
        <v>0</v>
      </c>
      <c r="AP515" s="609">
        <f>[2]Vulnerability!BL8</f>
        <v>0</v>
      </c>
      <c r="AQ515" s="609">
        <f>[2]Vulnerability!BM8</f>
        <v>0</v>
      </c>
      <c r="AR515" s="609">
        <f>[2]Vulnerability!BN8</f>
        <v>0</v>
      </c>
      <c r="AS515" s="609">
        <f>[2]Vulnerability!BO8</f>
        <v>0</v>
      </c>
      <c r="AT515" s="609">
        <f>[2]Vulnerability!BP8</f>
        <v>0</v>
      </c>
      <c r="AU515" s="609">
        <f>[2]Vulnerability!BQ8</f>
        <v>0</v>
      </c>
      <c r="AV515" s="609">
        <f>[2]Vulnerability!BR8</f>
        <v>0</v>
      </c>
      <c r="AW515" s="609">
        <f>[2]Vulnerability!BS8</f>
        <v>0</v>
      </c>
      <c r="AX515" s="609">
        <f>[2]Vulnerability!BT8</f>
        <v>0</v>
      </c>
      <c r="AY515" s="609">
        <f>[2]Vulnerability!BU8</f>
        <v>0</v>
      </c>
    </row>
    <row r="516" spans="3:51" x14ac:dyDescent="0.35">
      <c r="C516" s="662" t="s">
        <v>0</v>
      </c>
      <c r="D516" s="609">
        <f>[2]Vulnerability!Z9</f>
        <v>0</v>
      </c>
      <c r="E516" s="609">
        <f>[2]Vulnerability!AA9</f>
        <v>10</v>
      </c>
      <c r="F516" s="609">
        <f>[2]Vulnerability!AB9</f>
        <v>0</v>
      </c>
      <c r="G516" s="609">
        <f>[2]Vulnerability!AC9</f>
        <v>0</v>
      </c>
      <c r="H516" s="609">
        <f>[2]Vulnerability!AD9</f>
        <v>2</v>
      </c>
      <c r="I516" s="609">
        <f>[2]Vulnerability!AE9</f>
        <v>2</v>
      </c>
      <c r="J516" s="609">
        <f>[2]Vulnerability!AF9</f>
        <v>0</v>
      </c>
      <c r="K516" s="609">
        <f>[2]Vulnerability!AG9</f>
        <v>1</v>
      </c>
      <c r="L516" s="609">
        <f>[2]Vulnerability!AH9</f>
        <v>1</v>
      </c>
      <c r="M516" s="609">
        <f>[2]Vulnerability!AI9</f>
        <v>0</v>
      </c>
      <c r="N516" s="609">
        <f>[2]Vulnerability!AJ9</f>
        <v>0</v>
      </c>
      <c r="O516" s="609">
        <f>[2]Vulnerability!AK9</f>
        <v>0</v>
      </c>
      <c r="P516" s="609">
        <f>[2]Vulnerability!AL9</f>
        <v>1</v>
      </c>
      <c r="Q516" s="609">
        <f>[2]Vulnerability!AM9</f>
        <v>2</v>
      </c>
      <c r="R516" s="609">
        <f>[2]Vulnerability!AN9</f>
        <v>0</v>
      </c>
      <c r="S516" s="609">
        <f>[2]Vulnerability!AO9</f>
        <v>4</v>
      </c>
      <c r="T516" s="609">
        <f>[2]Vulnerability!AP9</f>
        <v>0</v>
      </c>
      <c r="U516" s="609">
        <f>[2]Vulnerability!AQ9</f>
        <v>0</v>
      </c>
      <c r="V516" s="609">
        <f>[2]Vulnerability!AR9</f>
        <v>0</v>
      </c>
      <c r="W516" s="609">
        <f>[2]Vulnerability!AS9</f>
        <v>0</v>
      </c>
      <c r="X516" s="609">
        <f>[2]Vulnerability!AT9</f>
        <v>0</v>
      </c>
      <c r="Y516" s="609">
        <f>[2]Vulnerability!AU9</f>
        <v>0</v>
      </c>
      <c r="Z516" s="609">
        <f>[2]Vulnerability!AV9</f>
        <v>0</v>
      </c>
      <c r="AA516" s="609">
        <f>[2]Vulnerability!AW9</f>
        <v>0</v>
      </c>
      <c r="AB516" s="609">
        <f>[2]Vulnerability!AX9</f>
        <v>0</v>
      </c>
      <c r="AC516" s="609">
        <f>[2]Vulnerability!AY9</f>
        <v>0</v>
      </c>
      <c r="AD516" s="609">
        <f>[2]Vulnerability!AZ9</f>
        <v>0</v>
      </c>
      <c r="AE516" s="609">
        <f>[2]Vulnerability!BA9</f>
        <v>0</v>
      </c>
      <c r="AF516" s="609">
        <f>[2]Vulnerability!BB9</f>
        <v>0</v>
      </c>
      <c r="AG516" s="609">
        <f>[2]Vulnerability!BC9</f>
        <v>0</v>
      </c>
      <c r="AH516" s="609">
        <f>[2]Vulnerability!BD9</f>
        <v>0</v>
      </c>
      <c r="AI516" s="609">
        <f>[2]Vulnerability!BE9</f>
        <v>0</v>
      </c>
      <c r="AJ516" s="609">
        <f>[2]Vulnerability!BF9</f>
        <v>0</v>
      </c>
      <c r="AK516" s="609">
        <f>[2]Vulnerability!BG9</f>
        <v>0</v>
      </c>
      <c r="AL516" s="609">
        <f>[2]Vulnerability!BH9</f>
        <v>0</v>
      </c>
      <c r="AM516" s="609">
        <f>[2]Vulnerability!BI9</f>
        <v>0</v>
      </c>
      <c r="AN516" s="609">
        <f>[2]Vulnerability!BJ9</f>
        <v>0</v>
      </c>
      <c r="AO516" s="609">
        <f>[2]Vulnerability!BK9</f>
        <v>0</v>
      </c>
      <c r="AP516" s="609">
        <f>[2]Vulnerability!BL9</f>
        <v>0</v>
      </c>
      <c r="AQ516" s="609">
        <f>[2]Vulnerability!BM9</f>
        <v>0</v>
      </c>
      <c r="AR516" s="609">
        <f>[2]Vulnerability!BN9</f>
        <v>0</v>
      </c>
      <c r="AS516" s="609">
        <f>[2]Vulnerability!BO9</f>
        <v>0</v>
      </c>
      <c r="AT516" s="609">
        <f>[2]Vulnerability!BP9</f>
        <v>0</v>
      </c>
      <c r="AU516" s="609">
        <f>[2]Vulnerability!BQ9</f>
        <v>0</v>
      </c>
      <c r="AV516" s="609">
        <f>[2]Vulnerability!BR9</f>
        <v>0</v>
      </c>
      <c r="AW516" s="609">
        <f>[2]Vulnerability!BS9</f>
        <v>0</v>
      </c>
      <c r="AX516" s="609">
        <f>[2]Vulnerability!BT9</f>
        <v>0</v>
      </c>
      <c r="AY516" s="609">
        <f>[2]Vulnerability!BU9</f>
        <v>0</v>
      </c>
    </row>
    <row r="517" spans="3:51" s="36" customFormat="1" x14ac:dyDescent="0.35">
      <c r="C517" s="679"/>
    </row>
    <row r="518" spans="3:51" ht="18.5" x14ac:dyDescent="0.35">
      <c r="C518" s="666" t="s">
        <v>367</v>
      </c>
      <c r="D518" s="39">
        <v>44287</v>
      </c>
      <c r="E518" s="39">
        <v>44317</v>
      </c>
      <c r="F518" s="39">
        <v>44348</v>
      </c>
      <c r="G518" s="39">
        <v>44378</v>
      </c>
      <c r="H518" s="39">
        <v>44409</v>
      </c>
      <c r="I518" s="39">
        <v>44440</v>
      </c>
      <c r="J518" s="39">
        <v>44470</v>
      </c>
      <c r="K518" s="39">
        <v>44501</v>
      </c>
      <c r="L518" s="39">
        <v>44531</v>
      </c>
      <c r="M518" s="39">
        <v>44562</v>
      </c>
      <c r="N518" s="39">
        <v>44593</v>
      </c>
      <c r="O518" s="39">
        <v>44621</v>
      </c>
      <c r="P518" s="39">
        <v>44652</v>
      </c>
      <c r="Q518" s="39">
        <v>44682</v>
      </c>
      <c r="R518" s="39">
        <v>44713</v>
      </c>
      <c r="S518" s="39">
        <v>44743</v>
      </c>
      <c r="T518" s="39">
        <v>44774</v>
      </c>
      <c r="U518" s="39">
        <v>44805</v>
      </c>
      <c r="V518" s="39">
        <v>44835</v>
      </c>
      <c r="W518" s="39">
        <v>44866</v>
      </c>
      <c r="X518" s="39">
        <v>44896</v>
      </c>
      <c r="Y518" s="39">
        <v>44927</v>
      </c>
      <c r="Z518" s="39">
        <v>44958</v>
      </c>
      <c r="AA518" s="39">
        <v>44986</v>
      </c>
      <c r="AB518" s="39">
        <v>45017</v>
      </c>
      <c r="AC518" s="39">
        <v>45047</v>
      </c>
      <c r="AD518" s="39">
        <v>45078</v>
      </c>
      <c r="AE518" s="39">
        <v>45108</v>
      </c>
      <c r="AF518" s="39">
        <v>45139</v>
      </c>
      <c r="AG518" s="39">
        <v>45170</v>
      </c>
      <c r="AH518" s="39">
        <v>45200</v>
      </c>
      <c r="AI518" s="39">
        <v>45231</v>
      </c>
      <c r="AJ518" s="39">
        <v>45261</v>
      </c>
      <c r="AK518" s="39">
        <v>45292</v>
      </c>
      <c r="AL518" s="39">
        <v>45323</v>
      </c>
      <c r="AM518" s="39">
        <v>45352</v>
      </c>
      <c r="AN518" s="39">
        <v>45383</v>
      </c>
      <c r="AO518" s="39">
        <v>45413</v>
      </c>
      <c r="AP518" s="39">
        <v>45444</v>
      </c>
      <c r="AQ518" s="39">
        <v>45474</v>
      </c>
      <c r="AR518" s="39">
        <v>45505</v>
      </c>
      <c r="AS518" s="39">
        <v>45536</v>
      </c>
      <c r="AT518" s="39">
        <v>45566</v>
      </c>
      <c r="AU518" s="39">
        <v>45597</v>
      </c>
      <c r="AV518" s="39">
        <v>45627</v>
      </c>
      <c r="AW518" s="39">
        <v>45658</v>
      </c>
      <c r="AX518" s="39">
        <v>45689</v>
      </c>
      <c r="AY518" s="39">
        <v>45717</v>
      </c>
    </row>
    <row r="519" spans="3:51" x14ac:dyDescent="0.35">
      <c r="C519" s="662" t="s">
        <v>212</v>
      </c>
      <c r="D519" s="609">
        <f>[2]Vulnerability!Z11</f>
        <v>1</v>
      </c>
      <c r="E519" s="609">
        <f>[2]Vulnerability!AA11</f>
        <v>0</v>
      </c>
      <c r="F519" s="609">
        <f>[2]Vulnerability!AB11</f>
        <v>0</v>
      </c>
      <c r="G519" s="609">
        <f>[2]Vulnerability!AC11</f>
        <v>0</v>
      </c>
      <c r="H519" s="609">
        <f>[2]Vulnerability!AD11</f>
        <v>0</v>
      </c>
      <c r="I519" s="609">
        <f>[2]Vulnerability!AE11</f>
        <v>0</v>
      </c>
      <c r="J519" s="609">
        <f>[2]Vulnerability!AF11</f>
        <v>0</v>
      </c>
      <c r="K519" s="609">
        <f>[2]Vulnerability!AG11</f>
        <v>0</v>
      </c>
      <c r="L519" s="609">
        <f>[2]Vulnerability!AH11</f>
        <v>0</v>
      </c>
      <c r="M519" s="609">
        <f>[2]Vulnerability!AI11</f>
        <v>0</v>
      </c>
      <c r="N519" s="609">
        <f>[2]Vulnerability!AJ11</f>
        <v>0</v>
      </c>
      <c r="O519" s="609">
        <f>[2]Vulnerability!AK11</f>
        <v>0</v>
      </c>
      <c r="P519" s="609">
        <f>[2]Vulnerability!AL11</f>
        <v>0</v>
      </c>
      <c r="Q519" s="609">
        <f>[2]Vulnerability!AM11</f>
        <v>0</v>
      </c>
      <c r="R519" s="609">
        <f>[2]Vulnerability!AN11</f>
        <v>0</v>
      </c>
      <c r="S519" s="609">
        <f>[2]Vulnerability!AO11</f>
        <v>0</v>
      </c>
      <c r="T519" s="609">
        <f>[2]Vulnerability!AP11</f>
        <v>1</v>
      </c>
      <c r="U519" s="609">
        <f>[2]Vulnerability!AQ11</f>
        <v>1</v>
      </c>
      <c r="V519" s="609">
        <f>[2]Vulnerability!AR11</f>
        <v>0</v>
      </c>
      <c r="W519" s="609">
        <f>[2]Vulnerability!AS11</f>
        <v>0</v>
      </c>
      <c r="X519" s="609">
        <f>[2]Vulnerability!AT11</f>
        <v>0</v>
      </c>
      <c r="Y519" s="609">
        <f>[2]Vulnerability!AU11</f>
        <v>0</v>
      </c>
      <c r="Z519" s="609">
        <f>[2]Vulnerability!AV11</f>
        <v>0</v>
      </c>
      <c r="AA519" s="609">
        <f>[2]Vulnerability!AW11</f>
        <v>0</v>
      </c>
      <c r="AB519" s="609">
        <f>[2]Vulnerability!AX11</f>
        <v>0</v>
      </c>
      <c r="AC519" s="609">
        <f>[2]Vulnerability!AY11</f>
        <v>0</v>
      </c>
      <c r="AD519" s="609">
        <f>[2]Vulnerability!AZ11</f>
        <v>0</v>
      </c>
      <c r="AE519" s="609">
        <f>[2]Vulnerability!BA11</f>
        <v>0</v>
      </c>
      <c r="AF519" s="609">
        <f>[2]Vulnerability!BB11</f>
        <v>0</v>
      </c>
      <c r="AG519" s="609">
        <f>[2]Vulnerability!BC11</f>
        <v>0</v>
      </c>
      <c r="AH519" s="609">
        <f>[2]Vulnerability!BD11</f>
        <v>0</v>
      </c>
      <c r="AI519" s="609">
        <f>[2]Vulnerability!BE11</f>
        <v>0</v>
      </c>
      <c r="AJ519" s="609">
        <f>[2]Vulnerability!BF11</f>
        <v>0</v>
      </c>
      <c r="AK519" s="609">
        <f>[2]Vulnerability!BG11</f>
        <v>0</v>
      </c>
      <c r="AL519" s="609">
        <f>[2]Vulnerability!BH11</f>
        <v>0</v>
      </c>
      <c r="AM519" s="609">
        <f>[2]Vulnerability!BI11</f>
        <v>0</v>
      </c>
      <c r="AN519" s="609">
        <f>[2]Vulnerability!BJ11</f>
        <v>0</v>
      </c>
      <c r="AO519" s="609">
        <f>[2]Vulnerability!BK11</f>
        <v>0</v>
      </c>
      <c r="AP519" s="609">
        <f>[2]Vulnerability!BL11</f>
        <v>0</v>
      </c>
      <c r="AQ519" s="609">
        <f>[2]Vulnerability!BM11</f>
        <v>0</v>
      </c>
      <c r="AR519" s="609">
        <f>[2]Vulnerability!BN11</f>
        <v>0</v>
      </c>
      <c r="AS519" s="609">
        <f>[2]Vulnerability!BO11</f>
        <v>0</v>
      </c>
      <c r="AT519" s="609">
        <f>[2]Vulnerability!BP11</f>
        <v>0</v>
      </c>
      <c r="AU519" s="609">
        <f>[2]Vulnerability!BQ11</f>
        <v>0</v>
      </c>
      <c r="AV519" s="609">
        <f>[2]Vulnerability!BR11</f>
        <v>0</v>
      </c>
      <c r="AW519" s="609">
        <f>[2]Vulnerability!BS11</f>
        <v>0</v>
      </c>
      <c r="AX519" s="609">
        <f>[2]Vulnerability!BT11</f>
        <v>0</v>
      </c>
      <c r="AY519" s="609">
        <f>[2]Vulnerability!BU11</f>
        <v>0</v>
      </c>
    </row>
    <row r="520" spans="3:51" x14ac:dyDescent="0.35">
      <c r="C520" s="662" t="s">
        <v>213</v>
      </c>
      <c r="D520" s="609">
        <f>[2]Vulnerability!Z12</f>
        <v>1</v>
      </c>
      <c r="E520" s="609">
        <f>[2]Vulnerability!AA12</f>
        <v>0</v>
      </c>
      <c r="F520" s="609">
        <f>[2]Vulnerability!AB12</f>
        <v>0</v>
      </c>
      <c r="G520" s="609">
        <f>[2]Vulnerability!AC12</f>
        <v>1</v>
      </c>
      <c r="H520" s="609">
        <f>[2]Vulnerability!AD12</f>
        <v>0</v>
      </c>
      <c r="I520" s="609">
        <f>[2]Vulnerability!AE12</f>
        <v>2</v>
      </c>
      <c r="J520" s="609">
        <f>[2]Vulnerability!AF12</f>
        <v>0</v>
      </c>
      <c r="K520" s="609">
        <f>[2]Vulnerability!AG12</f>
        <v>1</v>
      </c>
      <c r="L520" s="609">
        <f>[2]Vulnerability!AH12</f>
        <v>0</v>
      </c>
      <c r="M520" s="609">
        <f>[2]Vulnerability!AI12</f>
        <v>1</v>
      </c>
      <c r="N520" s="609">
        <f>[2]Vulnerability!AJ12</f>
        <v>1</v>
      </c>
      <c r="O520" s="609">
        <f>[2]Vulnerability!AK12</f>
        <v>0</v>
      </c>
      <c r="P520" s="609">
        <f>[2]Vulnerability!AL12</f>
        <v>0</v>
      </c>
      <c r="Q520" s="609">
        <f>[2]Vulnerability!AM12</f>
        <v>0</v>
      </c>
      <c r="R520" s="609">
        <f>[2]Vulnerability!AN12</f>
        <v>0</v>
      </c>
      <c r="S520" s="609">
        <f>[2]Vulnerability!AO12</f>
        <v>0</v>
      </c>
      <c r="T520" s="609">
        <f>[2]Vulnerability!AP12</f>
        <v>0</v>
      </c>
      <c r="U520" s="609">
        <f>[2]Vulnerability!AQ12</f>
        <v>1</v>
      </c>
      <c r="V520" s="609">
        <f>[2]Vulnerability!AR12</f>
        <v>0</v>
      </c>
      <c r="W520" s="609">
        <f>[2]Vulnerability!AS12</f>
        <v>0</v>
      </c>
      <c r="X520" s="609">
        <f>[2]Vulnerability!AT12</f>
        <v>0</v>
      </c>
      <c r="Y520" s="609">
        <f>[2]Vulnerability!AU12</f>
        <v>0</v>
      </c>
      <c r="Z520" s="609">
        <f>[2]Vulnerability!AV12</f>
        <v>0</v>
      </c>
      <c r="AA520" s="609">
        <f>[2]Vulnerability!AW12</f>
        <v>0</v>
      </c>
      <c r="AB520" s="609">
        <f>[2]Vulnerability!AX12</f>
        <v>0</v>
      </c>
      <c r="AC520" s="609">
        <f>[2]Vulnerability!AY12</f>
        <v>0</v>
      </c>
      <c r="AD520" s="609">
        <f>[2]Vulnerability!AZ12</f>
        <v>0</v>
      </c>
      <c r="AE520" s="609">
        <f>[2]Vulnerability!BA12</f>
        <v>0</v>
      </c>
      <c r="AF520" s="609">
        <f>[2]Vulnerability!BB12</f>
        <v>0</v>
      </c>
      <c r="AG520" s="609">
        <f>[2]Vulnerability!BC12</f>
        <v>0</v>
      </c>
      <c r="AH520" s="609">
        <f>[2]Vulnerability!BD12</f>
        <v>0</v>
      </c>
      <c r="AI520" s="609">
        <f>[2]Vulnerability!BE12</f>
        <v>0</v>
      </c>
      <c r="AJ520" s="609">
        <f>[2]Vulnerability!BF12</f>
        <v>0</v>
      </c>
      <c r="AK520" s="609">
        <f>[2]Vulnerability!BG12</f>
        <v>0</v>
      </c>
      <c r="AL520" s="609">
        <f>[2]Vulnerability!BH12</f>
        <v>0</v>
      </c>
      <c r="AM520" s="609">
        <f>[2]Vulnerability!BI12</f>
        <v>0</v>
      </c>
      <c r="AN520" s="609">
        <f>[2]Vulnerability!BJ12</f>
        <v>0</v>
      </c>
      <c r="AO520" s="609">
        <f>[2]Vulnerability!BK12</f>
        <v>0</v>
      </c>
      <c r="AP520" s="609">
        <f>[2]Vulnerability!BL12</f>
        <v>0</v>
      </c>
      <c r="AQ520" s="609">
        <f>[2]Vulnerability!BM12</f>
        <v>0</v>
      </c>
      <c r="AR520" s="609">
        <f>[2]Vulnerability!BN12</f>
        <v>0</v>
      </c>
      <c r="AS520" s="609">
        <f>[2]Vulnerability!BO12</f>
        <v>0</v>
      </c>
      <c r="AT520" s="609">
        <f>[2]Vulnerability!BP12</f>
        <v>0</v>
      </c>
      <c r="AU520" s="609">
        <f>[2]Vulnerability!BQ12</f>
        <v>0</v>
      </c>
      <c r="AV520" s="609">
        <f>[2]Vulnerability!BR12</f>
        <v>0</v>
      </c>
      <c r="AW520" s="609">
        <f>[2]Vulnerability!BS12</f>
        <v>0</v>
      </c>
      <c r="AX520" s="609">
        <f>[2]Vulnerability!BT12</f>
        <v>0</v>
      </c>
      <c r="AY520" s="609">
        <f>[2]Vulnerability!BU12</f>
        <v>0</v>
      </c>
    </row>
    <row r="521" spans="3:51" x14ac:dyDescent="0.35">
      <c r="C521" s="662" t="s">
        <v>214</v>
      </c>
      <c r="D521" s="609">
        <f>[2]Vulnerability!Z13</f>
        <v>1</v>
      </c>
      <c r="E521" s="609">
        <f>[2]Vulnerability!AA13</f>
        <v>1</v>
      </c>
      <c r="F521" s="609">
        <f>[2]Vulnerability!AB13</f>
        <v>2</v>
      </c>
      <c r="G521" s="609">
        <f>[2]Vulnerability!AC13</f>
        <v>0</v>
      </c>
      <c r="H521" s="609">
        <f>[2]Vulnerability!AD13</f>
        <v>0</v>
      </c>
      <c r="I521" s="609">
        <f>[2]Vulnerability!AE13</f>
        <v>0</v>
      </c>
      <c r="J521" s="609">
        <f>[2]Vulnerability!AF13</f>
        <v>0</v>
      </c>
      <c r="K521" s="609">
        <f>[2]Vulnerability!AG13</f>
        <v>1</v>
      </c>
      <c r="L521" s="609">
        <f>[2]Vulnerability!AH13</f>
        <v>1</v>
      </c>
      <c r="M521" s="609">
        <f>[2]Vulnerability!AI13</f>
        <v>2</v>
      </c>
      <c r="N521" s="609">
        <f>[2]Vulnerability!AJ13</f>
        <v>0</v>
      </c>
      <c r="O521" s="609">
        <f>[2]Vulnerability!AK13</f>
        <v>0</v>
      </c>
      <c r="P521" s="609">
        <f>[2]Vulnerability!AL13</f>
        <v>0</v>
      </c>
      <c r="Q521" s="609">
        <f>[2]Vulnerability!AM13</f>
        <v>0</v>
      </c>
      <c r="R521" s="609">
        <f>[2]Vulnerability!AN13</f>
        <v>0</v>
      </c>
      <c r="S521" s="609">
        <f>[2]Vulnerability!AO13</f>
        <v>0</v>
      </c>
      <c r="T521" s="609">
        <f>[2]Vulnerability!AP13</f>
        <v>1</v>
      </c>
      <c r="U521" s="609">
        <f>[2]Vulnerability!AQ13</f>
        <v>0</v>
      </c>
      <c r="V521" s="609">
        <f>[2]Vulnerability!AR13</f>
        <v>0</v>
      </c>
      <c r="W521" s="609">
        <f>[2]Vulnerability!AS13</f>
        <v>0</v>
      </c>
      <c r="X521" s="609">
        <f>[2]Vulnerability!AT13</f>
        <v>0</v>
      </c>
      <c r="Y521" s="609">
        <f>[2]Vulnerability!AU13</f>
        <v>0</v>
      </c>
      <c r="Z521" s="609">
        <f>[2]Vulnerability!AV13</f>
        <v>0</v>
      </c>
      <c r="AA521" s="609">
        <f>[2]Vulnerability!AW13</f>
        <v>0</v>
      </c>
      <c r="AB521" s="609">
        <f>[2]Vulnerability!AX13</f>
        <v>0</v>
      </c>
      <c r="AC521" s="609">
        <f>[2]Vulnerability!AY13</f>
        <v>0</v>
      </c>
      <c r="AD521" s="609">
        <f>[2]Vulnerability!AZ13</f>
        <v>0</v>
      </c>
      <c r="AE521" s="609">
        <f>[2]Vulnerability!BA13</f>
        <v>0</v>
      </c>
      <c r="AF521" s="609">
        <f>[2]Vulnerability!BB13</f>
        <v>0</v>
      </c>
      <c r="AG521" s="609">
        <f>[2]Vulnerability!BC13</f>
        <v>0</v>
      </c>
      <c r="AH521" s="609">
        <f>[2]Vulnerability!BD13</f>
        <v>0</v>
      </c>
      <c r="AI521" s="609">
        <f>[2]Vulnerability!BE13</f>
        <v>0</v>
      </c>
      <c r="AJ521" s="609">
        <f>[2]Vulnerability!BF13</f>
        <v>0</v>
      </c>
      <c r="AK521" s="609">
        <f>[2]Vulnerability!BG13</f>
        <v>0</v>
      </c>
      <c r="AL521" s="609">
        <f>[2]Vulnerability!BH13</f>
        <v>0</v>
      </c>
      <c r="AM521" s="609">
        <f>[2]Vulnerability!BI13</f>
        <v>0</v>
      </c>
      <c r="AN521" s="609">
        <f>[2]Vulnerability!BJ13</f>
        <v>0</v>
      </c>
      <c r="AO521" s="609">
        <f>[2]Vulnerability!BK13</f>
        <v>0</v>
      </c>
      <c r="AP521" s="609">
        <f>[2]Vulnerability!BL13</f>
        <v>0</v>
      </c>
      <c r="AQ521" s="609">
        <f>[2]Vulnerability!BM13</f>
        <v>0</v>
      </c>
      <c r="AR521" s="609">
        <f>[2]Vulnerability!BN13</f>
        <v>0</v>
      </c>
      <c r="AS521" s="609">
        <f>[2]Vulnerability!BO13</f>
        <v>0</v>
      </c>
      <c r="AT521" s="609">
        <f>[2]Vulnerability!BP13</f>
        <v>0</v>
      </c>
      <c r="AU521" s="609">
        <f>[2]Vulnerability!BQ13</f>
        <v>0</v>
      </c>
      <c r="AV521" s="609">
        <f>[2]Vulnerability!BR13</f>
        <v>0</v>
      </c>
      <c r="AW521" s="609">
        <f>[2]Vulnerability!BS13</f>
        <v>0</v>
      </c>
      <c r="AX521" s="609">
        <f>[2]Vulnerability!BT13</f>
        <v>0</v>
      </c>
      <c r="AY521" s="609">
        <f>[2]Vulnerability!BU13</f>
        <v>0</v>
      </c>
    </row>
    <row r="522" spans="3:51" x14ac:dyDescent="0.35">
      <c r="C522" s="662" t="s">
        <v>146</v>
      </c>
      <c r="D522" s="609">
        <f>[2]Vulnerability!Z14</f>
        <v>0</v>
      </c>
      <c r="E522" s="609">
        <f>[2]Vulnerability!AA14</f>
        <v>0</v>
      </c>
      <c r="F522" s="609">
        <f>[2]Vulnerability!AB14</f>
        <v>0</v>
      </c>
      <c r="G522" s="609">
        <f>[2]Vulnerability!AC14</f>
        <v>0</v>
      </c>
      <c r="H522" s="609">
        <f>[2]Vulnerability!AD14</f>
        <v>0</v>
      </c>
      <c r="I522" s="609">
        <f>[2]Vulnerability!AE14</f>
        <v>0</v>
      </c>
      <c r="J522" s="609">
        <f>[2]Vulnerability!AF14</f>
        <v>0</v>
      </c>
      <c r="K522" s="609">
        <f>[2]Vulnerability!AG14</f>
        <v>0</v>
      </c>
      <c r="L522" s="609">
        <f>[2]Vulnerability!AH14</f>
        <v>0</v>
      </c>
      <c r="M522" s="609">
        <f>[2]Vulnerability!AI14</f>
        <v>0</v>
      </c>
      <c r="N522" s="609">
        <f>[2]Vulnerability!AJ14</f>
        <v>0</v>
      </c>
      <c r="O522" s="609">
        <f>[2]Vulnerability!AK14</f>
        <v>0</v>
      </c>
      <c r="P522" s="609">
        <f>[2]Vulnerability!AL14</f>
        <v>0</v>
      </c>
      <c r="Q522" s="609">
        <f>[2]Vulnerability!AM14</f>
        <v>0</v>
      </c>
      <c r="R522" s="609">
        <f>[2]Vulnerability!AN14</f>
        <v>0</v>
      </c>
      <c r="S522" s="609">
        <f>[2]Vulnerability!AO14</f>
        <v>0</v>
      </c>
      <c r="T522" s="609">
        <f>[2]Vulnerability!AP14</f>
        <v>0</v>
      </c>
      <c r="U522" s="609">
        <f>[2]Vulnerability!AQ14</f>
        <v>0</v>
      </c>
      <c r="V522" s="609">
        <f>[2]Vulnerability!AR14</f>
        <v>0</v>
      </c>
      <c r="W522" s="609">
        <f>[2]Vulnerability!AS14</f>
        <v>0</v>
      </c>
      <c r="X522" s="609">
        <f>[2]Vulnerability!AT14</f>
        <v>0</v>
      </c>
      <c r="Y522" s="609">
        <f>[2]Vulnerability!AU14</f>
        <v>0</v>
      </c>
      <c r="Z522" s="609">
        <f>[2]Vulnerability!AV14</f>
        <v>0</v>
      </c>
      <c r="AA522" s="609">
        <f>[2]Vulnerability!AW14</f>
        <v>0</v>
      </c>
      <c r="AB522" s="609">
        <f>[2]Vulnerability!AX14</f>
        <v>0</v>
      </c>
      <c r="AC522" s="609">
        <f>[2]Vulnerability!AY14</f>
        <v>0</v>
      </c>
      <c r="AD522" s="609">
        <f>[2]Vulnerability!AZ14</f>
        <v>0</v>
      </c>
      <c r="AE522" s="609">
        <f>[2]Vulnerability!BA14</f>
        <v>0</v>
      </c>
      <c r="AF522" s="609">
        <f>[2]Vulnerability!BB14</f>
        <v>0</v>
      </c>
      <c r="AG522" s="609">
        <f>[2]Vulnerability!BC14</f>
        <v>0</v>
      </c>
      <c r="AH522" s="609">
        <f>[2]Vulnerability!BD14</f>
        <v>0</v>
      </c>
      <c r="AI522" s="609">
        <f>[2]Vulnerability!BE14</f>
        <v>0</v>
      </c>
      <c r="AJ522" s="609">
        <f>[2]Vulnerability!BF14</f>
        <v>0</v>
      </c>
      <c r="AK522" s="609">
        <f>[2]Vulnerability!BG14</f>
        <v>0</v>
      </c>
      <c r="AL522" s="609">
        <f>[2]Vulnerability!BH14</f>
        <v>0</v>
      </c>
      <c r="AM522" s="609">
        <f>[2]Vulnerability!BI14</f>
        <v>0</v>
      </c>
      <c r="AN522" s="609">
        <f>[2]Vulnerability!BJ14</f>
        <v>0</v>
      </c>
      <c r="AO522" s="609">
        <f>[2]Vulnerability!BK14</f>
        <v>0</v>
      </c>
      <c r="AP522" s="609">
        <f>[2]Vulnerability!BL14</f>
        <v>0</v>
      </c>
      <c r="AQ522" s="609">
        <f>[2]Vulnerability!BM14</f>
        <v>0</v>
      </c>
      <c r="AR522" s="609">
        <f>[2]Vulnerability!BN14</f>
        <v>0</v>
      </c>
      <c r="AS522" s="609">
        <f>[2]Vulnerability!BO14</f>
        <v>0</v>
      </c>
      <c r="AT522" s="609">
        <f>[2]Vulnerability!BP14</f>
        <v>0</v>
      </c>
      <c r="AU522" s="609">
        <f>[2]Vulnerability!BQ14</f>
        <v>0</v>
      </c>
      <c r="AV522" s="609">
        <f>[2]Vulnerability!BR14</f>
        <v>0</v>
      </c>
      <c r="AW522" s="609">
        <f>[2]Vulnerability!BS14</f>
        <v>0</v>
      </c>
      <c r="AX522" s="609">
        <f>[2]Vulnerability!BT14</f>
        <v>0</v>
      </c>
      <c r="AY522" s="609">
        <f>[2]Vulnerability!BU14</f>
        <v>0</v>
      </c>
    </row>
    <row r="523" spans="3:51" x14ac:dyDescent="0.35">
      <c r="C523" s="662" t="s">
        <v>147</v>
      </c>
      <c r="D523" s="609">
        <f>[2]Vulnerability!Z15</f>
        <v>1</v>
      </c>
      <c r="E523" s="609">
        <f>[2]Vulnerability!AA15</f>
        <v>0</v>
      </c>
      <c r="F523" s="609">
        <f>[2]Vulnerability!AB15</f>
        <v>2</v>
      </c>
      <c r="G523" s="609">
        <f>[2]Vulnerability!AC15</f>
        <v>1</v>
      </c>
      <c r="H523" s="609">
        <f>[2]Vulnerability!AD15</f>
        <v>0</v>
      </c>
      <c r="I523" s="609">
        <f>[2]Vulnerability!AE15</f>
        <v>1</v>
      </c>
      <c r="J523" s="609">
        <f>[2]Vulnerability!AF15</f>
        <v>1</v>
      </c>
      <c r="K523" s="609">
        <f>[2]Vulnerability!AG15</f>
        <v>2</v>
      </c>
      <c r="L523" s="609">
        <f>[2]Vulnerability!AH15</f>
        <v>0</v>
      </c>
      <c r="M523" s="609">
        <f>[2]Vulnerability!AI15</f>
        <v>6</v>
      </c>
      <c r="N523" s="609">
        <f>[2]Vulnerability!AJ15</f>
        <v>1</v>
      </c>
      <c r="O523" s="609">
        <f>[2]Vulnerability!AK15</f>
        <v>2</v>
      </c>
      <c r="P523" s="609">
        <f>[2]Vulnerability!AL15</f>
        <v>0</v>
      </c>
      <c r="Q523" s="609">
        <f>[2]Vulnerability!AM15</f>
        <v>0</v>
      </c>
      <c r="R523" s="609">
        <f>[2]Vulnerability!AN15</f>
        <v>0</v>
      </c>
      <c r="S523" s="609">
        <f>[2]Vulnerability!AO15</f>
        <v>0</v>
      </c>
      <c r="T523" s="609">
        <f>[2]Vulnerability!AP15</f>
        <v>0</v>
      </c>
      <c r="U523" s="609">
        <f>[2]Vulnerability!AQ15</f>
        <v>0</v>
      </c>
      <c r="V523" s="609">
        <f>[2]Vulnerability!AR15</f>
        <v>0</v>
      </c>
      <c r="W523" s="609">
        <f>[2]Vulnerability!AS15</f>
        <v>0</v>
      </c>
      <c r="X523" s="609">
        <f>[2]Vulnerability!AT15</f>
        <v>0</v>
      </c>
      <c r="Y523" s="609">
        <f>[2]Vulnerability!AU15</f>
        <v>0</v>
      </c>
      <c r="Z523" s="609">
        <f>[2]Vulnerability!AV15</f>
        <v>0</v>
      </c>
      <c r="AA523" s="609">
        <f>[2]Vulnerability!AW15</f>
        <v>0</v>
      </c>
      <c r="AB523" s="609">
        <f>[2]Vulnerability!AX15</f>
        <v>0</v>
      </c>
      <c r="AC523" s="609">
        <f>[2]Vulnerability!AY15</f>
        <v>0</v>
      </c>
      <c r="AD523" s="609">
        <f>[2]Vulnerability!AZ15</f>
        <v>0</v>
      </c>
      <c r="AE523" s="609">
        <f>[2]Vulnerability!BA15</f>
        <v>0</v>
      </c>
      <c r="AF523" s="609">
        <f>[2]Vulnerability!BB15</f>
        <v>0</v>
      </c>
      <c r="AG523" s="609">
        <f>[2]Vulnerability!BC15</f>
        <v>0</v>
      </c>
      <c r="AH523" s="609">
        <f>[2]Vulnerability!BD15</f>
        <v>0</v>
      </c>
      <c r="AI523" s="609">
        <f>[2]Vulnerability!BE15</f>
        <v>0</v>
      </c>
      <c r="AJ523" s="609">
        <f>[2]Vulnerability!BF15</f>
        <v>0</v>
      </c>
      <c r="AK523" s="609">
        <f>[2]Vulnerability!BG15</f>
        <v>0</v>
      </c>
      <c r="AL523" s="609">
        <f>[2]Vulnerability!BH15</f>
        <v>0</v>
      </c>
      <c r="AM523" s="609">
        <f>[2]Vulnerability!BI15</f>
        <v>0</v>
      </c>
      <c r="AN523" s="609">
        <f>[2]Vulnerability!BJ15</f>
        <v>0</v>
      </c>
      <c r="AO523" s="609">
        <f>[2]Vulnerability!BK15</f>
        <v>0</v>
      </c>
      <c r="AP523" s="609">
        <f>[2]Vulnerability!BL15</f>
        <v>0</v>
      </c>
      <c r="AQ523" s="609">
        <f>[2]Vulnerability!BM15</f>
        <v>0</v>
      </c>
      <c r="AR523" s="609">
        <f>[2]Vulnerability!BN15</f>
        <v>0</v>
      </c>
      <c r="AS523" s="609">
        <f>[2]Vulnerability!BO15</f>
        <v>0</v>
      </c>
      <c r="AT523" s="609">
        <f>[2]Vulnerability!BP15</f>
        <v>0</v>
      </c>
      <c r="AU523" s="609">
        <f>[2]Vulnerability!BQ15</f>
        <v>0</v>
      </c>
      <c r="AV523" s="609">
        <f>[2]Vulnerability!BR15</f>
        <v>0</v>
      </c>
      <c r="AW523" s="609">
        <f>[2]Vulnerability!BS15</f>
        <v>0</v>
      </c>
      <c r="AX523" s="609">
        <f>[2]Vulnerability!BT15</f>
        <v>0</v>
      </c>
      <c r="AY523" s="609">
        <f>[2]Vulnerability!BU15</f>
        <v>0</v>
      </c>
    </row>
    <row r="524" spans="3:51" x14ac:dyDescent="0.35">
      <c r="C524" s="662" t="s">
        <v>62</v>
      </c>
      <c r="D524" s="609">
        <f>[2]Vulnerability!Z16</f>
        <v>1</v>
      </c>
      <c r="E524" s="609">
        <f>[2]Vulnerability!AA16</f>
        <v>0</v>
      </c>
      <c r="F524" s="609">
        <f>[2]Vulnerability!AB16</f>
        <v>2</v>
      </c>
      <c r="G524" s="609">
        <f>[2]Vulnerability!AC16</f>
        <v>1</v>
      </c>
      <c r="H524" s="609">
        <f>[2]Vulnerability!AD16</f>
        <v>0</v>
      </c>
      <c r="I524" s="609">
        <f>[2]Vulnerability!AE16</f>
        <v>1</v>
      </c>
      <c r="J524" s="609">
        <f>[2]Vulnerability!AF16</f>
        <v>1</v>
      </c>
      <c r="K524" s="609">
        <f>[2]Vulnerability!AG16</f>
        <v>2</v>
      </c>
      <c r="L524" s="609">
        <f>[2]Vulnerability!AH16</f>
        <v>0</v>
      </c>
      <c r="M524" s="609">
        <f>[2]Vulnerability!AI16</f>
        <v>6</v>
      </c>
      <c r="N524" s="609">
        <f>[2]Vulnerability!AJ16</f>
        <v>1</v>
      </c>
      <c r="O524" s="609">
        <f>[2]Vulnerability!AK16</f>
        <v>2</v>
      </c>
      <c r="P524" s="609">
        <f>[2]Vulnerability!AL16</f>
        <v>0</v>
      </c>
      <c r="Q524" s="609">
        <f>[2]Vulnerability!AM16</f>
        <v>0</v>
      </c>
      <c r="R524" s="609">
        <f>[2]Vulnerability!AN16</f>
        <v>0</v>
      </c>
      <c r="S524" s="609">
        <f>[2]Vulnerability!AO16</f>
        <v>0</v>
      </c>
      <c r="T524" s="609">
        <f>[2]Vulnerability!AP16</f>
        <v>0</v>
      </c>
      <c r="U524" s="609">
        <f>[2]Vulnerability!AQ16</f>
        <v>0</v>
      </c>
      <c r="V524" s="609">
        <f>[2]Vulnerability!AR16</f>
        <v>0</v>
      </c>
      <c r="W524" s="609">
        <f>[2]Vulnerability!AS16</f>
        <v>0</v>
      </c>
      <c r="X524" s="609">
        <f>[2]Vulnerability!AT16</f>
        <v>0</v>
      </c>
      <c r="Y524" s="609">
        <f>[2]Vulnerability!AU16</f>
        <v>0</v>
      </c>
      <c r="Z524" s="609">
        <f>[2]Vulnerability!AV16</f>
        <v>0</v>
      </c>
      <c r="AA524" s="609">
        <f>[2]Vulnerability!AW16</f>
        <v>0</v>
      </c>
      <c r="AB524" s="609">
        <f>[2]Vulnerability!AX16</f>
        <v>0</v>
      </c>
      <c r="AC524" s="609">
        <f>[2]Vulnerability!AY16</f>
        <v>0</v>
      </c>
      <c r="AD524" s="609">
        <f>[2]Vulnerability!AZ16</f>
        <v>0</v>
      </c>
      <c r="AE524" s="609">
        <f>[2]Vulnerability!BA16</f>
        <v>0</v>
      </c>
      <c r="AF524" s="609">
        <f>[2]Vulnerability!BB16</f>
        <v>0</v>
      </c>
      <c r="AG524" s="609">
        <f>[2]Vulnerability!BC16</f>
        <v>0</v>
      </c>
      <c r="AH524" s="609">
        <f>[2]Vulnerability!BD16</f>
        <v>0</v>
      </c>
      <c r="AI524" s="609">
        <f>[2]Vulnerability!BE16</f>
        <v>0</v>
      </c>
      <c r="AJ524" s="609">
        <f>[2]Vulnerability!BF16</f>
        <v>0</v>
      </c>
      <c r="AK524" s="609">
        <f>[2]Vulnerability!BG16</f>
        <v>0</v>
      </c>
      <c r="AL524" s="609">
        <f>[2]Vulnerability!BH16</f>
        <v>0</v>
      </c>
      <c r="AM524" s="609">
        <f>[2]Vulnerability!BI16</f>
        <v>0</v>
      </c>
      <c r="AN524" s="609">
        <f>[2]Vulnerability!BJ16</f>
        <v>0</v>
      </c>
      <c r="AO524" s="609">
        <f>[2]Vulnerability!BK16</f>
        <v>0</v>
      </c>
      <c r="AP524" s="609">
        <f>[2]Vulnerability!BL16</f>
        <v>0</v>
      </c>
      <c r="AQ524" s="609">
        <f>[2]Vulnerability!BM16</f>
        <v>0</v>
      </c>
      <c r="AR524" s="609">
        <f>[2]Vulnerability!BN16</f>
        <v>0</v>
      </c>
      <c r="AS524" s="609">
        <f>[2]Vulnerability!BO16</f>
        <v>0</v>
      </c>
      <c r="AT524" s="609">
        <f>[2]Vulnerability!BP16</f>
        <v>0</v>
      </c>
      <c r="AU524" s="609">
        <f>[2]Vulnerability!BQ16</f>
        <v>0</v>
      </c>
      <c r="AV524" s="609">
        <f>[2]Vulnerability!BR16</f>
        <v>0</v>
      </c>
      <c r="AW524" s="609">
        <f>[2]Vulnerability!BS16</f>
        <v>0</v>
      </c>
      <c r="AX524" s="609">
        <f>[2]Vulnerability!BT16</f>
        <v>0</v>
      </c>
      <c r="AY524" s="609">
        <f>[2]Vulnerability!BU16</f>
        <v>0</v>
      </c>
    </row>
    <row r="525" spans="3:51" x14ac:dyDescent="0.35">
      <c r="C525" s="662" t="s">
        <v>0</v>
      </c>
      <c r="D525" s="609">
        <f>[2]Vulnerability!Z17</f>
        <v>4</v>
      </c>
      <c r="E525" s="609">
        <f>[2]Vulnerability!AA17</f>
        <v>1</v>
      </c>
      <c r="F525" s="609">
        <f>[2]Vulnerability!AB17</f>
        <v>4</v>
      </c>
      <c r="G525" s="609">
        <f>[2]Vulnerability!AC17</f>
        <v>2</v>
      </c>
      <c r="H525" s="609">
        <f>[2]Vulnerability!AD17</f>
        <v>0</v>
      </c>
      <c r="I525" s="609">
        <f>[2]Vulnerability!AE17</f>
        <v>3</v>
      </c>
      <c r="J525" s="609">
        <f>[2]Vulnerability!AF17</f>
        <v>1</v>
      </c>
      <c r="K525" s="609">
        <f>[2]Vulnerability!AG17</f>
        <v>4</v>
      </c>
      <c r="L525" s="609">
        <f>[2]Vulnerability!AH17</f>
        <v>1</v>
      </c>
      <c r="M525" s="609">
        <f>[2]Vulnerability!AI17</f>
        <v>9</v>
      </c>
      <c r="N525" s="609">
        <f>[2]Vulnerability!AJ17</f>
        <v>2</v>
      </c>
      <c r="O525" s="609">
        <f>[2]Vulnerability!AK17</f>
        <v>2</v>
      </c>
      <c r="P525" s="609">
        <f>[2]Vulnerability!AL17</f>
        <v>0</v>
      </c>
      <c r="Q525" s="609">
        <f>[2]Vulnerability!AM17</f>
        <v>0</v>
      </c>
      <c r="R525" s="609">
        <f>[2]Vulnerability!AN17</f>
        <v>0</v>
      </c>
      <c r="S525" s="609">
        <f>[2]Vulnerability!AO17</f>
        <v>0</v>
      </c>
      <c r="T525" s="609">
        <f>[2]Vulnerability!AP17</f>
        <v>2</v>
      </c>
      <c r="U525" s="609">
        <f>[2]Vulnerability!AQ17</f>
        <v>2</v>
      </c>
      <c r="V525" s="609">
        <f>[2]Vulnerability!AR17</f>
        <v>0</v>
      </c>
      <c r="W525" s="609">
        <f>[2]Vulnerability!AS17</f>
        <v>0</v>
      </c>
      <c r="X525" s="609">
        <f>[2]Vulnerability!AT17</f>
        <v>0</v>
      </c>
      <c r="Y525" s="609">
        <f>[2]Vulnerability!AU17</f>
        <v>0</v>
      </c>
      <c r="Z525" s="609">
        <f>[2]Vulnerability!AV17</f>
        <v>0</v>
      </c>
      <c r="AA525" s="609">
        <f>[2]Vulnerability!AW17</f>
        <v>0</v>
      </c>
      <c r="AB525" s="609">
        <f>[2]Vulnerability!AX17</f>
        <v>0</v>
      </c>
      <c r="AC525" s="609">
        <f>[2]Vulnerability!AY17</f>
        <v>0</v>
      </c>
      <c r="AD525" s="609">
        <f>[2]Vulnerability!AZ17</f>
        <v>0</v>
      </c>
      <c r="AE525" s="609">
        <f>[2]Vulnerability!BA17</f>
        <v>0</v>
      </c>
      <c r="AF525" s="609">
        <f>[2]Vulnerability!BB17</f>
        <v>0</v>
      </c>
      <c r="AG525" s="609">
        <f>[2]Vulnerability!BC17</f>
        <v>0</v>
      </c>
      <c r="AH525" s="609">
        <f>[2]Vulnerability!BD17</f>
        <v>0</v>
      </c>
      <c r="AI525" s="609">
        <f>[2]Vulnerability!BE17</f>
        <v>0</v>
      </c>
      <c r="AJ525" s="609">
        <f>[2]Vulnerability!BF17</f>
        <v>0</v>
      </c>
      <c r="AK525" s="609">
        <f>[2]Vulnerability!BG17</f>
        <v>0</v>
      </c>
      <c r="AL525" s="609">
        <f>[2]Vulnerability!BH17</f>
        <v>0</v>
      </c>
      <c r="AM525" s="609">
        <f>[2]Vulnerability!BI17</f>
        <v>0</v>
      </c>
      <c r="AN525" s="609">
        <f>[2]Vulnerability!BJ17</f>
        <v>0</v>
      </c>
      <c r="AO525" s="609">
        <f>[2]Vulnerability!BK17</f>
        <v>0</v>
      </c>
      <c r="AP525" s="609">
        <f>[2]Vulnerability!BL17</f>
        <v>0</v>
      </c>
      <c r="AQ525" s="609">
        <f>[2]Vulnerability!BM17</f>
        <v>0</v>
      </c>
      <c r="AR525" s="609">
        <f>[2]Vulnerability!BN17</f>
        <v>0</v>
      </c>
      <c r="AS525" s="609">
        <f>[2]Vulnerability!BO17</f>
        <v>0</v>
      </c>
      <c r="AT525" s="609">
        <f>[2]Vulnerability!BP17</f>
        <v>0</v>
      </c>
      <c r="AU525" s="609">
        <f>[2]Vulnerability!BQ17</f>
        <v>0</v>
      </c>
      <c r="AV525" s="609">
        <f>[2]Vulnerability!BR17</f>
        <v>0</v>
      </c>
      <c r="AW525" s="609">
        <f>[2]Vulnerability!BS17</f>
        <v>0</v>
      </c>
      <c r="AX525" s="609">
        <f>[2]Vulnerability!BT17</f>
        <v>0</v>
      </c>
      <c r="AY525" s="609">
        <f>[2]Vulnerability!BU17</f>
        <v>0</v>
      </c>
    </row>
    <row r="526" spans="3:51" s="36" customFormat="1" x14ac:dyDescent="0.35">
      <c r="C526" s="680"/>
    </row>
    <row r="527" spans="3:51" ht="37" x14ac:dyDescent="0.35">
      <c r="C527" s="673" t="s">
        <v>370</v>
      </c>
      <c r="D527" s="39">
        <v>44287</v>
      </c>
      <c r="E527" s="39">
        <v>44317</v>
      </c>
      <c r="F527" s="39">
        <v>44348</v>
      </c>
      <c r="G527" s="39">
        <v>44378</v>
      </c>
      <c r="H527" s="39">
        <v>44409</v>
      </c>
      <c r="I527" s="39">
        <v>44440</v>
      </c>
      <c r="J527" s="39">
        <v>44470</v>
      </c>
      <c r="K527" s="39">
        <v>44501</v>
      </c>
      <c r="L527" s="39">
        <v>44531</v>
      </c>
      <c r="M527" s="39">
        <v>44562</v>
      </c>
      <c r="N527" s="39">
        <v>44593</v>
      </c>
      <c r="O527" s="39">
        <v>44621</v>
      </c>
      <c r="P527" s="39">
        <v>44652</v>
      </c>
      <c r="Q527" s="39">
        <v>44682</v>
      </c>
      <c r="R527" s="39">
        <v>44713</v>
      </c>
      <c r="S527" s="39">
        <v>44743</v>
      </c>
      <c r="T527" s="39">
        <v>44774</v>
      </c>
      <c r="U527" s="39">
        <v>44805</v>
      </c>
      <c r="V527" s="39">
        <v>44835</v>
      </c>
      <c r="W527" s="39">
        <v>44866</v>
      </c>
      <c r="X527" s="39">
        <v>44896</v>
      </c>
      <c r="Y527" s="39">
        <v>44927</v>
      </c>
      <c r="Z527" s="39">
        <v>44958</v>
      </c>
      <c r="AA527" s="39">
        <v>44986</v>
      </c>
      <c r="AB527" s="39">
        <v>45017</v>
      </c>
      <c r="AC527" s="39">
        <v>45047</v>
      </c>
      <c r="AD527" s="39">
        <v>45078</v>
      </c>
      <c r="AE527" s="39">
        <v>45108</v>
      </c>
      <c r="AF527" s="39">
        <v>45139</v>
      </c>
      <c r="AG527" s="39">
        <v>45170</v>
      </c>
      <c r="AH527" s="39">
        <v>45200</v>
      </c>
      <c r="AI527" s="39">
        <v>45231</v>
      </c>
      <c r="AJ527" s="39">
        <v>45261</v>
      </c>
      <c r="AK527" s="39">
        <v>45292</v>
      </c>
      <c r="AL527" s="39">
        <v>45323</v>
      </c>
      <c r="AM527" s="39">
        <v>45352</v>
      </c>
      <c r="AN527" s="39">
        <v>45383</v>
      </c>
      <c r="AO527" s="39">
        <v>45413</v>
      </c>
      <c r="AP527" s="39">
        <v>45444</v>
      </c>
      <c r="AQ527" s="39">
        <v>45474</v>
      </c>
      <c r="AR527" s="39">
        <v>45505</v>
      </c>
      <c r="AS527" s="39">
        <v>45536</v>
      </c>
      <c r="AT527" s="39">
        <v>45566</v>
      </c>
      <c r="AU527" s="39">
        <v>45597</v>
      </c>
      <c r="AV527" s="39">
        <v>45627</v>
      </c>
      <c r="AW527" s="39">
        <v>45658</v>
      </c>
      <c r="AX527" s="39">
        <v>45689</v>
      </c>
      <c r="AY527" s="39">
        <v>45717</v>
      </c>
    </row>
    <row r="528" spans="3:51" x14ac:dyDescent="0.35">
      <c r="C528" s="663" t="s">
        <v>212</v>
      </c>
      <c r="D528" s="609">
        <f>'[2]Drug Offences'!Z3</f>
        <v>6</v>
      </c>
      <c r="E528" s="609">
        <f>'[2]Drug Offences'!AA3</f>
        <v>4</v>
      </c>
      <c r="F528" s="609">
        <f>'[2]Drug Offences'!AB3</f>
        <v>2</v>
      </c>
      <c r="G528" s="609">
        <f>'[2]Drug Offences'!AC3</f>
        <v>4</v>
      </c>
      <c r="H528" s="609">
        <f>'[2]Drug Offences'!AD3</f>
        <v>3</v>
      </c>
      <c r="I528" s="609">
        <f>'[2]Drug Offences'!AE3</f>
        <v>0</v>
      </c>
      <c r="J528" s="609">
        <f>'[2]Drug Offences'!AF3</f>
        <v>2</v>
      </c>
      <c r="K528" s="609">
        <f>'[2]Drug Offences'!AG3</f>
        <v>1</v>
      </c>
      <c r="L528" s="609">
        <f>'[2]Drug Offences'!AH3</f>
        <v>5</v>
      </c>
      <c r="M528" s="609">
        <f>'[2]Drug Offences'!AI3</f>
        <v>2</v>
      </c>
      <c r="N528" s="609">
        <f>'[2]Drug Offences'!AJ3</f>
        <v>2</v>
      </c>
      <c r="O528" s="609">
        <f>'[2]Drug Offences'!AK3</f>
        <v>3</v>
      </c>
      <c r="P528" s="609">
        <f>'[2]Drug Offences'!AL3</f>
        <v>6</v>
      </c>
      <c r="Q528" s="609">
        <f>'[2]Drug Offences'!AM3</f>
        <v>5</v>
      </c>
      <c r="R528" s="609">
        <f>'[2]Drug Offences'!AN3</f>
        <v>3</v>
      </c>
      <c r="S528" s="609">
        <f>'[2]Drug Offences'!AO3</f>
        <v>0</v>
      </c>
      <c r="T528" s="609">
        <f>'[2]Drug Offences'!AP3</f>
        <v>1</v>
      </c>
      <c r="U528" s="609">
        <f>'[2]Drug Offences'!AQ3</f>
        <v>0</v>
      </c>
      <c r="V528" s="609">
        <f>'[2]Drug Offences'!AR3</f>
        <v>4</v>
      </c>
      <c r="W528" s="609">
        <f>'[2]Drug Offences'!AS3</f>
        <v>2</v>
      </c>
      <c r="X528" s="609">
        <f>'[2]Drug Offences'!AT3</f>
        <v>2</v>
      </c>
      <c r="Y528" s="609">
        <f>'[2]Drug Offences'!AU3</f>
        <v>1</v>
      </c>
      <c r="Z528" s="609">
        <f>'[2]Drug Offences'!AV3</f>
        <v>7</v>
      </c>
      <c r="AA528" s="609">
        <f>'[2]Drug Offences'!AW3</f>
        <v>4</v>
      </c>
      <c r="AB528" s="609">
        <f>'[2]Drug Offences'!AX3</f>
        <v>5</v>
      </c>
      <c r="AC528" s="609">
        <f>'[2]Drug Offences'!AY3</f>
        <v>4</v>
      </c>
      <c r="AD528" s="609">
        <f>'[2]Drug Offences'!AZ3</f>
        <v>1</v>
      </c>
      <c r="AE528" s="609">
        <f>'[2]Drug Offences'!BA3</f>
        <v>3</v>
      </c>
      <c r="AF528" s="609">
        <f>'[2]Drug Offences'!BB3</f>
        <v>10</v>
      </c>
      <c r="AG528" s="609">
        <f>'[2]Drug Offences'!BC3</f>
        <v>2</v>
      </c>
      <c r="AH528" s="609">
        <f>'[2]Drug Offences'!BD3</f>
        <v>5</v>
      </c>
      <c r="AI528" s="609">
        <f>'[2]Drug Offences'!BE3</f>
        <v>4</v>
      </c>
      <c r="AJ528" s="609">
        <f>'[2]Drug Offences'!BF3</f>
        <v>5</v>
      </c>
      <c r="AK528" s="609">
        <f>'[2]Drug Offences'!BG3</f>
        <v>3</v>
      </c>
      <c r="AL528" s="609">
        <f>'[2]Drug Offences'!BH3</f>
        <v>7</v>
      </c>
      <c r="AM528" s="609">
        <f>'[2]Drug Offences'!BI3</f>
        <v>4</v>
      </c>
      <c r="AN528" s="609">
        <f>'[2]Drug Offences'!BJ3</f>
        <v>2</v>
      </c>
      <c r="AO528" s="609">
        <f>'[2]Drug Offences'!BK3</f>
        <v>1</v>
      </c>
      <c r="AP528" s="609">
        <f>'[2]Drug Offences'!BL3</f>
        <v>3</v>
      </c>
      <c r="AQ528" s="609">
        <f>'[2]Drug Offences'!BM3</f>
        <v>3</v>
      </c>
      <c r="AR528" s="609">
        <f>'[2]Drug Offences'!BN3</f>
        <v>2</v>
      </c>
      <c r="AS528" s="609">
        <f>'[2]Drug Offences'!BO3</f>
        <v>4</v>
      </c>
      <c r="AT528" s="609">
        <f>'[2]Drug Offences'!BP3</f>
        <v>2</v>
      </c>
      <c r="AU528" s="609">
        <f>'[2]Drug Offences'!BQ3</f>
        <v>1</v>
      </c>
      <c r="AV528" s="609">
        <f>'[2]Drug Offences'!BR3</f>
        <v>3</v>
      </c>
      <c r="AW528" s="609">
        <f>'[2]Drug Offences'!BS3</f>
        <v>5</v>
      </c>
      <c r="AX528" s="609">
        <f>'[2]Drug Offences'!BT3</f>
        <v>2</v>
      </c>
      <c r="AY528" s="609">
        <f>'[2]Drug Offences'!BU3</f>
        <v>3</v>
      </c>
    </row>
    <row r="529" spans="3:51" x14ac:dyDescent="0.35">
      <c r="C529" s="663" t="s">
        <v>213</v>
      </c>
      <c r="D529" s="609">
        <f>'[2]Drug Offences'!Z4</f>
        <v>12</v>
      </c>
      <c r="E529" s="609">
        <f>'[2]Drug Offences'!AA4</f>
        <v>14</v>
      </c>
      <c r="F529" s="609">
        <f>'[2]Drug Offences'!AB4</f>
        <v>7</v>
      </c>
      <c r="G529" s="609">
        <f>'[2]Drug Offences'!AC4</f>
        <v>7</v>
      </c>
      <c r="H529" s="609">
        <f>'[2]Drug Offences'!AD4</f>
        <v>14</v>
      </c>
      <c r="I529" s="609">
        <f>'[2]Drug Offences'!AE4</f>
        <v>11</v>
      </c>
      <c r="J529" s="609">
        <f>'[2]Drug Offences'!AF4</f>
        <v>23</v>
      </c>
      <c r="K529" s="609">
        <f>'[2]Drug Offences'!AG4</f>
        <v>6</v>
      </c>
      <c r="L529" s="609">
        <f>'[2]Drug Offences'!AH4</f>
        <v>14</v>
      </c>
      <c r="M529" s="609">
        <f>'[2]Drug Offences'!AI4</f>
        <v>8</v>
      </c>
      <c r="N529" s="609">
        <f>'[2]Drug Offences'!AJ4</f>
        <v>10</v>
      </c>
      <c r="O529" s="609">
        <f>'[2]Drug Offences'!AK4</f>
        <v>11</v>
      </c>
      <c r="P529" s="609">
        <f>'[2]Drug Offences'!AL4</f>
        <v>5</v>
      </c>
      <c r="Q529" s="609">
        <f>'[2]Drug Offences'!AM4</f>
        <v>6</v>
      </c>
      <c r="R529" s="609">
        <f>'[2]Drug Offences'!AN4</f>
        <v>9</v>
      </c>
      <c r="S529" s="609">
        <f>'[2]Drug Offences'!AO4</f>
        <v>14</v>
      </c>
      <c r="T529" s="609">
        <f>'[2]Drug Offences'!AP4</f>
        <v>15</v>
      </c>
      <c r="U529" s="609">
        <f>'[2]Drug Offences'!AQ4</f>
        <v>7</v>
      </c>
      <c r="V529" s="609">
        <f>'[2]Drug Offences'!AR4</f>
        <v>9</v>
      </c>
      <c r="W529" s="609">
        <f>'[2]Drug Offences'!AS4</f>
        <v>13</v>
      </c>
      <c r="X529" s="609">
        <f>'[2]Drug Offences'!AT4</f>
        <v>13</v>
      </c>
      <c r="Y529" s="609">
        <f>'[2]Drug Offences'!AU4</f>
        <v>9</v>
      </c>
      <c r="Z529" s="609">
        <f>'[2]Drug Offences'!AV4</f>
        <v>6</v>
      </c>
      <c r="AA529" s="609">
        <f>'[2]Drug Offences'!AW4</f>
        <v>10</v>
      </c>
      <c r="AB529" s="609">
        <f>'[2]Drug Offences'!AX4</f>
        <v>10</v>
      </c>
      <c r="AC529" s="609">
        <f>'[2]Drug Offences'!AY4</f>
        <v>7</v>
      </c>
      <c r="AD529" s="609">
        <f>'[2]Drug Offences'!AZ4</f>
        <v>12</v>
      </c>
      <c r="AE529" s="609">
        <f>'[2]Drug Offences'!BA4</f>
        <v>12</v>
      </c>
      <c r="AF529" s="609">
        <f>'[2]Drug Offences'!BB4</f>
        <v>10</v>
      </c>
      <c r="AG529" s="609">
        <f>'[2]Drug Offences'!BC4</f>
        <v>7</v>
      </c>
      <c r="AH529" s="609">
        <f>'[2]Drug Offences'!BD4</f>
        <v>7</v>
      </c>
      <c r="AI529" s="609">
        <f>'[2]Drug Offences'!BE4</f>
        <v>5</v>
      </c>
      <c r="AJ529" s="609">
        <f>'[2]Drug Offences'!BF4</f>
        <v>6</v>
      </c>
      <c r="AK529" s="609">
        <f>'[2]Drug Offences'!BG4</f>
        <v>12</v>
      </c>
      <c r="AL529" s="609">
        <f>'[2]Drug Offences'!BH4</f>
        <v>13</v>
      </c>
      <c r="AM529" s="609">
        <f>'[2]Drug Offences'!BI4</f>
        <v>14</v>
      </c>
      <c r="AN529" s="609">
        <f>'[2]Drug Offences'!BJ4</f>
        <v>9</v>
      </c>
      <c r="AO529" s="609">
        <f>'[2]Drug Offences'!BK4</f>
        <v>12</v>
      </c>
      <c r="AP529" s="609">
        <f>'[2]Drug Offences'!BL4</f>
        <v>15</v>
      </c>
      <c r="AQ529" s="609">
        <f>'[2]Drug Offences'!BM4</f>
        <v>11</v>
      </c>
      <c r="AR529" s="609">
        <f>'[2]Drug Offences'!BN4</f>
        <v>7</v>
      </c>
      <c r="AS529" s="609">
        <f>'[2]Drug Offences'!BO4</f>
        <v>8</v>
      </c>
      <c r="AT529" s="609">
        <f>'[2]Drug Offences'!BP4</f>
        <v>12</v>
      </c>
      <c r="AU529" s="609">
        <f>'[2]Drug Offences'!BQ4</f>
        <v>13</v>
      </c>
      <c r="AV529" s="609">
        <f>'[2]Drug Offences'!BR4</f>
        <v>10</v>
      </c>
      <c r="AW529" s="609">
        <f>'[2]Drug Offences'!BS4</f>
        <v>6</v>
      </c>
      <c r="AX529" s="609">
        <f>'[2]Drug Offences'!BT4</f>
        <v>12</v>
      </c>
      <c r="AY529" s="609">
        <f>'[2]Drug Offences'!BU4</f>
        <v>11</v>
      </c>
    </row>
    <row r="530" spans="3:51" x14ac:dyDescent="0.35">
      <c r="C530" s="663" t="s">
        <v>214</v>
      </c>
      <c r="D530" s="609">
        <f>'[2]Drug Offences'!Z5</f>
        <v>9</v>
      </c>
      <c r="E530" s="609">
        <f>'[2]Drug Offences'!AA5</f>
        <v>11</v>
      </c>
      <c r="F530" s="609">
        <f>'[2]Drug Offences'!AB5</f>
        <v>11</v>
      </c>
      <c r="G530" s="609">
        <f>'[2]Drug Offences'!AC5</f>
        <v>11</v>
      </c>
      <c r="H530" s="609">
        <f>'[2]Drug Offences'!AD5</f>
        <v>10</v>
      </c>
      <c r="I530" s="609">
        <f>'[2]Drug Offences'!AE5</f>
        <v>9</v>
      </c>
      <c r="J530" s="609">
        <f>'[2]Drug Offences'!AF5</f>
        <v>8</v>
      </c>
      <c r="K530" s="609">
        <f>'[2]Drug Offences'!AG5</f>
        <v>8</v>
      </c>
      <c r="L530" s="609">
        <f>'[2]Drug Offences'!AH5</f>
        <v>11</v>
      </c>
      <c r="M530" s="609">
        <f>'[2]Drug Offences'!AI5</f>
        <v>5</v>
      </c>
      <c r="N530" s="609">
        <f>'[2]Drug Offences'!AJ5</f>
        <v>3</v>
      </c>
      <c r="O530" s="609">
        <f>'[2]Drug Offences'!AK5</f>
        <v>12</v>
      </c>
      <c r="P530" s="609">
        <f>'[2]Drug Offences'!AL5</f>
        <v>4</v>
      </c>
      <c r="Q530" s="609">
        <f>'[2]Drug Offences'!AM5</f>
        <v>7</v>
      </c>
      <c r="R530" s="609">
        <f>'[2]Drug Offences'!AN5</f>
        <v>6</v>
      </c>
      <c r="S530" s="609">
        <f>'[2]Drug Offences'!AO5</f>
        <v>8</v>
      </c>
      <c r="T530" s="609">
        <f>'[2]Drug Offences'!AP5</f>
        <v>8</v>
      </c>
      <c r="U530" s="609">
        <f>'[2]Drug Offences'!AQ5</f>
        <v>5</v>
      </c>
      <c r="V530" s="609">
        <f>'[2]Drug Offences'!AR5</f>
        <v>7</v>
      </c>
      <c r="W530" s="609">
        <f>'[2]Drug Offences'!AS5</f>
        <v>5</v>
      </c>
      <c r="X530" s="609">
        <f>'[2]Drug Offences'!AT5</f>
        <v>10</v>
      </c>
      <c r="Y530" s="609">
        <f>'[2]Drug Offences'!AU5</f>
        <v>5</v>
      </c>
      <c r="Z530" s="609">
        <f>'[2]Drug Offences'!AV5</f>
        <v>2</v>
      </c>
      <c r="AA530" s="609">
        <f>'[2]Drug Offences'!AW5</f>
        <v>4</v>
      </c>
      <c r="AB530" s="609">
        <f>'[2]Drug Offences'!AX5</f>
        <v>7</v>
      </c>
      <c r="AC530" s="609">
        <f>'[2]Drug Offences'!AY5</f>
        <v>11</v>
      </c>
      <c r="AD530" s="609">
        <f>'[2]Drug Offences'!AZ5</f>
        <v>3</v>
      </c>
      <c r="AE530" s="609">
        <f>'[2]Drug Offences'!BA5</f>
        <v>10</v>
      </c>
      <c r="AF530" s="609">
        <f>'[2]Drug Offences'!BB5</f>
        <v>6</v>
      </c>
      <c r="AG530" s="609">
        <f>'[2]Drug Offences'!BC5</f>
        <v>3</v>
      </c>
      <c r="AH530" s="609">
        <f>'[2]Drug Offences'!BD5</f>
        <v>4</v>
      </c>
      <c r="AI530" s="609">
        <f>'[2]Drug Offences'!BE5</f>
        <v>1</v>
      </c>
      <c r="AJ530" s="609">
        <f>'[2]Drug Offences'!BF5</f>
        <v>9</v>
      </c>
      <c r="AK530" s="609">
        <f>'[2]Drug Offences'!BG5</f>
        <v>7</v>
      </c>
      <c r="AL530" s="609">
        <f>'[2]Drug Offences'!BH5</f>
        <v>10</v>
      </c>
      <c r="AM530" s="609">
        <f>'[2]Drug Offences'!BI5</f>
        <v>10</v>
      </c>
      <c r="AN530" s="609">
        <f>'[2]Drug Offences'!BJ5</f>
        <v>18</v>
      </c>
      <c r="AO530" s="609">
        <f>'[2]Drug Offences'!BK5</f>
        <v>10</v>
      </c>
      <c r="AP530" s="609">
        <f>'[2]Drug Offences'!BL5</f>
        <v>7</v>
      </c>
      <c r="AQ530" s="609">
        <f>'[2]Drug Offences'!BM5</f>
        <v>10</v>
      </c>
      <c r="AR530" s="609">
        <f>'[2]Drug Offences'!BN5</f>
        <v>7</v>
      </c>
      <c r="AS530" s="609">
        <f>'[2]Drug Offences'!BO5</f>
        <v>7</v>
      </c>
      <c r="AT530" s="609">
        <f>'[2]Drug Offences'!BP5</f>
        <v>5</v>
      </c>
      <c r="AU530" s="609">
        <f>'[2]Drug Offences'!BQ5</f>
        <v>2</v>
      </c>
      <c r="AV530" s="609">
        <f>'[2]Drug Offences'!BR5</f>
        <v>7</v>
      </c>
      <c r="AW530" s="609">
        <f>'[2]Drug Offences'!BS5</f>
        <v>6</v>
      </c>
      <c r="AX530" s="609">
        <f>'[2]Drug Offences'!BT5</f>
        <v>6</v>
      </c>
      <c r="AY530" s="609">
        <f>'[2]Drug Offences'!BU5</f>
        <v>3</v>
      </c>
    </row>
    <row r="531" spans="3:51" x14ac:dyDescent="0.35">
      <c r="C531" s="663" t="s">
        <v>146</v>
      </c>
      <c r="D531" s="609">
        <f>'[2]Drug Offences'!Z6</f>
        <v>4</v>
      </c>
      <c r="E531" s="609">
        <f>'[2]Drug Offences'!AA6</f>
        <v>10</v>
      </c>
      <c r="F531" s="609">
        <f>'[2]Drug Offences'!AB6</f>
        <v>4</v>
      </c>
      <c r="G531" s="609">
        <f>'[2]Drug Offences'!AC6</f>
        <v>1</v>
      </c>
      <c r="H531" s="609">
        <f>'[2]Drug Offences'!AD6</f>
        <v>2</v>
      </c>
      <c r="I531" s="609">
        <f>'[2]Drug Offences'!AE6</f>
        <v>4</v>
      </c>
      <c r="J531" s="609">
        <f>'[2]Drug Offences'!AF6</f>
        <v>6</v>
      </c>
      <c r="K531" s="609">
        <f>'[2]Drug Offences'!AG6</f>
        <v>7</v>
      </c>
      <c r="L531" s="609">
        <f>'[2]Drug Offences'!AH6</f>
        <v>6</v>
      </c>
      <c r="M531" s="609">
        <f>'[2]Drug Offences'!AI6</f>
        <v>4</v>
      </c>
      <c r="N531" s="609">
        <f>'[2]Drug Offences'!AJ6</f>
        <v>3</v>
      </c>
      <c r="O531" s="609">
        <f>'[2]Drug Offences'!AK6</f>
        <v>5</v>
      </c>
      <c r="P531" s="609">
        <f>'[2]Drug Offences'!AL6</f>
        <v>7</v>
      </c>
      <c r="Q531" s="609">
        <f>'[2]Drug Offences'!AM6</f>
        <v>0</v>
      </c>
      <c r="R531" s="609">
        <f>'[2]Drug Offences'!AN6</f>
        <v>6</v>
      </c>
      <c r="S531" s="609">
        <f>'[2]Drug Offences'!AO6</f>
        <v>11</v>
      </c>
      <c r="T531" s="609">
        <f>'[2]Drug Offences'!AP6</f>
        <v>4</v>
      </c>
      <c r="U531" s="609">
        <f>'[2]Drug Offences'!AQ6</f>
        <v>2</v>
      </c>
      <c r="V531" s="609">
        <f>'[2]Drug Offences'!AR6</f>
        <v>7</v>
      </c>
      <c r="W531" s="609">
        <f>'[2]Drug Offences'!AS6</f>
        <v>4</v>
      </c>
      <c r="X531" s="609">
        <f>'[2]Drug Offences'!AT6</f>
        <v>7</v>
      </c>
      <c r="Y531" s="609">
        <f>'[2]Drug Offences'!AU6</f>
        <v>4</v>
      </c>
      <c r="Z531" s="609">
        <f>'[2]Drug Offences'!AV6</f>
        <v>4</v>
      </c>
      <c r="AA531" s="609">
        <f>'[2]Drug Offences'!AW6</f>
        <v>3</v>
      </c>
      <c r="AB531" s="609">
        <f>'[2]Drug Offences'!AX6</f>
        <v>5</v>
      </c>
      <c r="AC531" s="609">
        <f>'[2]Drug Offences'!AY6</f>
        <v>4</v>
      </c>
      <c r="AD531" s="609">
        <f>'[2]Drug Offences'!AZ6</f>
        <v>5</v>
      </c>
      <c r="AE531" s="609">
        <f>'[2]Drug Offences'!BA6</f>
        <v>3</v>
      </c>
      <c r="AF531" s="609">
        <f>'[2]Drug Offences'!BB6</f>
        <v>7</v>
      </c>
      <c r="AG531" s="609">
        <f>'[2]Drug Offences'!BC6</f>
        <v>2</v>
      </c>
      <c r="AH531" s="609">
        <f>'[2]Drug Offences'!BD6</f>
        <v>8</v>
      </c>
      <c r="AI531" s="609">
        <f>'[2]Drug Offences'!BE6</f>
        <v>3</v>
      </c>
      <c r="AJ531" s="609">
        <f>'[2]Drug Offences'!BF6</f>
        <v>4</v>
      </c>
      <c r="AK531" s="609">
        <f>'[2]Drug Offences'!BG6</f>
        <v>5</v>
      </c>
      <c r="AL531" s="609">
        <f>'[2]Drug Offences'!BH6</f>
        <v>3</v>
      </c>
      <c r="AM531" s="609">
        <f>'[2]Drug Offences'!BI6</f>
        <v>8</v>
      </c>
      <c r="AN531" s="609">
        <f>'[2]Drug Offences'!BJ6</f>
        <v>7</v>
      </c>
      <c r="AO531" s="609">
        <f>'[2]Drug Offences'!BK6</f>
        <v>6</v>
      </c>
      <c r="AP531" s="609">
        <f>'[2]Drug Offences'!BL6</f>
        <v>8</v>
      </c>
      <c r="AQ531" s="609">
        <f>'[2]Drug Offences'!BM6</f>
        <v>3</v>
      </c>
      <c r="AR531" s="609">
        <f>'[2]Drug Offences'!BN6</f>
        <v>6</v>
      </c>
      <c r="AS531" s="609">
        <f>'[2]Drug Offences'!BO6</f>
        <v>4</v>
      </c>
      <c r="AT531" s="609">
        <f>'[2]Drug Offences'!BP6</f>
        <v>6</v>
      </c>
      <c r="AU531" s="609">
        <f>'[2]Drug Offences'!BQ6</f>
        <v>2</v>
      </c>
      <c r="AV531" s="609">
        <f>'[2]Drug Offences'!BR6</f>
        <v>5</v>
      </c>
      <c r="AW531" s="609">
        <f>'[2]Drug Offences'!BS6</f>
        <v>3</v>
      </c>
      <c r="AX531" s="609">
        <f>'[2]Drug Offences'!BT6</f>
        <v>5</v>
      </c>
      <c r="AY531" s="609">
        <f>'[2]Drug Offences'!BU6</f>
        <v>8</v>
      </c>
    </row>
    <row r="532" spans="3:51" x14ac:dyDescent="0.35">
      <c r="C532" s="663" t="s">
        <v>147</v>
      </c>
      <c r="D532" s="609">
        <f>'[2]Drug Offences'!Z7</f>
        <v>10</v>
      </c>
      <c r="E532" s="609">
        <f>'[2]Drug Offences'!AA7</f>
        <v>12</v>
      </c>
      <c r="F532" s="609">
        <f>'[2]Drug Offences'!AB7</f>
        <v>9</v>
      </c>
      <c r="G532" s="609">
        <f>'[2]Drug Offences'!AC7</f>
        <v>6</v>
      </c>
      <c r="H532" s="609">
        <f>'[2]Drug Offences'!AD7</f>
        <v>11</v>
      </c>
      <c r="I532" s="609">
        <f>'[2]Drug Offences'!AE7</f>
        <v>9</v>
      </c>
      <c r="J532" s="609">
        <f>'[2]Drug Offences'!AF7</f>
        <v>11</v>
      </c>
      <c r="K532" s="609">
        <f>'[2]Drug Offences'!AG7</f>
        <v>7</v>
      </c>
      <c r="L532" s="609">
        <f>'[2]Drug Offences'!AH7</f>
        <v>14</v>
      </c>
      <c r="M532" s="609">
        <f>'[2]Drug Offences'!AI7</f>
        <v>2</v>
      </c>
      <c r="N532" s="609">
        <f>'[2]Drug Offences'!AJ7</f>
        <v>5</v>
      </c>
      <c r="O532" s="609">
        <f>'[2]Drug Offences'!AK7</f>
        <v>7</v>
      </c>
      <c r="P532" s="609">
        <f>'[2]Drug Offences'!AL7</f>
        <v>4</v>
      </c>
      <c r="Q532" s="609">
        <f>'[2]Drug Offences'!AM7</f>
        <v>8</v>
      </c>
      <c r="R532" s="609">
        <f>'[2]Drug Offences'!AN7</f>
        <v>9</v>
      </c>
      <c r="S532" s="609">
        <f>'[2]Drug Offences'!AO7</f>
        <v>10</v>
      </c>
      <c r="T532" s="609">
        <f>'[2]Drug Offences'!AP7</f>
        <v>9</v>
      </c>
      <c r="U532" s="609">
        <f>'[2]Drug Offences'!AQ7</f>
        <v>7</v>
      </c>
      <c r="V532" s="609">
        <f>'[2]Drug Offences'!AR7</f>
        <v>5</v>
      </c>
      <c r="W532" s="609">
        <f>'[2]Drug Offences'!AS7</f>
        <v>8</v>
      </c>
      <c r="X532" s="609">
        <f>'[2]Drug Offences'!AT7</f>
        <v>6</v>
      </c>
      <c r="Y532" s="609">
        <f>'[2]Drug Offences'!AU7</f>
        <v>10</v>
      </c>
      <c r="Z532" s="609">
        <f>'[2]Drug Offences'!AV7</f>
        <v>10</v>
      </c>
      <c r="AA532" s="609">
        <f>'[2]Drug Offences'!AW7</f>
        <v>3</v>
      </c>
      <c r="AB532" s="609">
        <f>'[2]Drug Offences'!AX7</f>
        <v>8</v>
      </c>
      <c r="AC532" s="609">
        <f>'[2]Drug Offences'!AY7</f>
        <v>11</v>
      </c>
      <c r="AD532" s="609">
        <f>'[2]Drug Offences'!AZ7</f>
        <v>6</v>
      </c>
      <c r="AE532" s="609">
        <f>'[2]Drug Offences'!BA7</f>
        <v>8</v>
      </c>
      <c r="AF532" s="609">
        <f>'[2]Drug Offences'!BB7</f>
        <v>5</v>
      </c>
      <c r="AG532" s="609">
        <f>'[2]Drug Offences'!BC7</f>
        <v>5</v>
      </c>
      <c r="AH532" s="609">
        <f>'[2]Drug Offences'!BD7</f>
        <v>2</v>
      </c>
      <c r="AI532" s="609">
        <f>'[2]Drug Offences'!BE7</f>
        <v>8</v>
      </c>
      <c r="AJ532" s="609">
        <f>'[2]Drug Offences'!BF7</f>
        <v>7</v>
      </c>
      <c r="AK532" s="609">
        <f>'[2]Drug Offences'!BG7</f>
        <v>6</v>
      </c>
      <c r="AL532" s="609">
        <f>'[2]Drug Offences'!BH7</f>
        <v>11</v>
      </c>
      <c r="AM532" s="609">
        <f>'[2]Drug Offences'!BI7</f>
        <v>7</v>
      </c>
      <c r="AN532" s="609">
        <f>'[2]Drug Offences'!BJ7</f>
        <v>14</v>
      </c>
      <c r="AO532" s="609">
        <f>'[2]Drug Offences'!BK7</f>
        <v>22</v>
      </c>
      <c r="AP532" s="609">
        <f>'[2]Drug Offences'!BL7</f>
        <v>15</v>
      </c>
      <c r="AQ532" s="609">
        <f>'[2]Drug Offences'!BM7</f>
        <v>18</v>
      </c>
      <c r="AR532" s="609">
        <f>'[2]Drug Offences'!BN7</f>
        <v>18</v>
      </c>
      <c r="AS532" s="609">
        <f>'[2]Drug Offences'!BO7</f>
        <v>10</v>
      </c>
      <c r="AT532" s="609">
        <f>'[2]Drug Offences'!BP7</f>
        <v>8</v>
      </c>
      <c r="AU532" s="609">
        <f>'[2]Drug Offences'!BQ7</f>
        <v>8</v>
      </c>
      <c r="AV532" s="609">
        <f>'[2]Drug Offences'!BR7</f>
        <v>4</v>
      </c>
      <c r="AW532" s="609">
        <f>'[2]Drug Offences'!BS7</f>
        <v>8</v>
      </c>
      <c r="AX532" s="609">
        <f>'[2]Drug Offences'!BT7</f>
        <v>8</v>
      </c>
      <c r="AY532" s="609">
        <f>'[2]Drug Offences'!BU7</f>
        <v>14</v>
      </c>
    </row>
    <row r="533" spans="3:51" x14ac:dyDescent="0.35">
      <c r="C533" s="663" t="s">
        <v>62</v>
      </c>
      <c r="D533" s="609">
        <f>'[2]Drug Offences'!Z8</f>
        <v>14</v>
      </c>
      <c r="E533" s="609">
        <f>'[2]Drug Offences'!AA8</f>
        <v>22</v>
      </c>
      <c r="F533" s="609">
        <f>'[2]Drug Offences'!AB8</f>
        <v>13</v>
      </c>
      <c r="G533" s="609">
        <f>'[2]Drug Offences'!AC8</f>
        <v>7</v>
      </c>
      <c r="H533" s="609">
        <f>'[2]Drug Offences'!AD8</f>
        <v>13</v>
      </c>
      <c r="I533" s="609">
        <f>'[2]Drug Offences'!AE8</f>
        <v>13</v>
      </c>
      <c r="J533" s="609">
        <f>'[2]Drug Offences'!AF8</f>
        <v>17</v>
      </c>
      <c r="K533" s="609">
        <f>'[2]Drug Offences'!AG8</f>
        <v>14</v>
      </c>
      <c r="L533" s="609">
        <f>'[2]Drug Offences'!AH8</f>
        <v>20</v>
      </c>
      <c r="M533" s="609">
        <f>'[2]Drug Offences'!AI8</f>
        <v>6</v>
      </c>
      <c r="N533" s="609">
        <f>'[2]Drug Offences'!AJ8</f>
        <v>8</v>
      </c>
      <c r="O533" s="609">
        <f>'[2]Drug Offences'!AK8</f>
        <v>12</v>
      </c>
      <c r="P533" s="609">
        <f>'[2]Drug Offences'!AL8</f>
        <v>11</v>
      </c>
      <c r="Q533" s="609">
        <f>'[2]Drug Offences'!AM8</f>
        <v>8</v>
      </c>
      <c r="R533" s="609">
        <f>'[2]Drug Offences'!AN8</f>
        <v>15</v>
      </c>
      <c r="S533" s="609">
        <f>'[2]Drug Offences'!AO8</f>
        <v>21</v>
      </c>
      <c r="T533" s="609">
        <f>'[2]Drug Offences'!AP8</f>
        <v>13</v>
      </c>
      <c r="U533" s="609">
        <f>'[2]Drug Offences'!AQ8</f>
        <v>9</v>
      </c>
      <c r="V533" s="609">
        <f>'[2]Drug Offences'!AR8</f>
        <v>12</v>
      </c>
      <c r="W533" s="609">
        <f>'[2]Drug Offences'!AS8</f>
        <v>12</v>
      </c>
      <c r="X533" s="609">
        <f>'[2]Drug Offences'!AT8</f>
        <v>13</v>
      </c>
      <c r="Y533" s="609">
        <f>'[2]Drug Offences'!AU8</f>
        <v>14</v>
      </c>
      <c r="Z533" s="609">
        <f>'[2]Drug Offences'!AV8</f>
        <v>14</v>
      </c>
      <c r="AA533" s="609">
        <f>'[2]Drug Offences'!AW8</f>
        <v>6</v>
      </c>
      <c r="AB533" s="609">
        <f>'[2]Drug Offences'!AX8</f>
        <v>13</v>
      </c>
      <c r="AC533" s="609">
        <f>'[2]Drug Offences'!AY8</f>
        <v>15</v>
      </c>
      <c r="AD533" s="609">
        <f>'[2]Drug Offences'!AZ8</f>
        <v>11</v>
      </c>
      <c r="AE533" s="609">
        <f>'[2]Drug Offences'!BA8</f>
        <v>11</v>
      </c>
      <c r="AF533" s="609">
        <f>'[2]Drug Offences'!BB8</f>
        <v>12</v>
      </c>
      <c r="AG533" s="609">
        <f>'[2]Drug Offences'!BC8</f>
        <v>7</v>
      </c>
      <c r="AH533" s="609">
        <f>'[2]Drug Offences'!BD8</f>
        <v>10</v>
      </c>
      <c r="AI533" s="609">
        <f>'[2]Drug Offences'!BE8</f>
        <v>11</v>
      </c>
      <c r="AJ533" s="609">
        <f>'[2]Drug Offences'!BF8</f>
        <v>11</v>
      </c>
      <c r="AK533" s="609">
        <f>'[2]Drug Offences'!BG8</f>
        <v>11</v>
      </c>
      <c r="AL533" s="609">
        <f>'[2]Drug Offences'!BH8</f>
        <v>14</v>
      </c>
      <c r="AM533" s="609">
        <f>'[2]Drug Offences'!BI8</f>
        <v>15</v>
      </c>
      <c r="AN533" s="609">
        <f>'[2]Drug Offences'!BJ8</f>
        <v>21</v>
      </c>
      <c r="AO533" s="609">
        <f>'[2]Drug Offences'!BK8</f>
        <v>28</v>
      </c>
      <c r="AP533" s="609">
        <f>'[2]Drug Offences'!BL8</f>
        <v>23</v>
      </c>
      <c r="AQ533" s="609">
        <f>'[2]Drug Offences'!BM8</f>
        <v>21</v>
      </c>
      <c r="AR533" s="609">
        <f>'[2]Drug Offences'!BN8</f>
        <v>24</v>
      </c>
      <c r="AS533" s="609">
        <f>'[2]Drug Offences'!BO8</f>
        <v>14</v>
      </c>
      <c r="AT533" s="609">
        <f>'[2]Drug Offences'!BP8</f>
        <v>14</v>
      </c>
      <c r="AU533" s="609">
        <f>'[2]Drug Offences'!BQ8</f>
        <v>10</v>
      </c>
      <c r="AV533" s="609">
        <f>'[2]Drug Offences'!BR8</f>
        <v>9</v>
      </c>
      <c r="AW533" s="609">
        <f>'[2]Drug Offences'!BS8</f>
        <v>11</v>
      </c>
      <c r="AX533" s="609">
        <f>'[2]Drug Offences'!BT8</f>
        <v>13</v>
      </c>
      <c r="AY533" s="609">
        <f>'[2]Drug Offences'!BU8</f>
        <v>22</v>
      </c>
    </row>
    <row r="534" spans="3:51" x14ac:dyDescent="0.35">
      <c r="C534" s="663" t="s">
        <v>0</v>
      </c>
      <c r="D534" s="609">
        <f>'[2]Drug Offences'!Z9</f>
        <v>41</v>
      </c>
      <c r="E534" s="609">
        <f>'[2]Drug Offences'!AA9</f>
        <v>51</v>
      </c>
      <c r="F534" s="609">
        <f>'[2]Drug Offences'!AB9</f>
        <v>33</v>
      </c>
      <c r="G534" s="609">
        <f>'[2]Drug Offences'!AC9</f>
        <v>29</v>
      </c>
      <c r="H534" s="609">
        <f>'[2]Drug Offences'!AD9</f>
        <v>40</v>
      </c>
      <c r="I534" s="609">
        <f>'[2]Drug Offences'!AE9</f>
        <v>33</v>
      </c>
      <c r="J534" s="609">
        <f>'[2]Drug Offences'!AF9</f>
        <v>50</v>
      </c>
      <c r="K534" s="609">
        <f>'[2]Drug Offences'!AG9</f>
        <v>29</v>
      </c>
      <c r="L534" s="609">
        <f>'[2]Drug Offences'!AH9</f>
        <v>50</v>
      </c>
      <c r="M534" s="609">
        <f>'[2]Drug Offences'!AI9</f>
        <v>21</v>
      </c>
      <c r="N534" s="609">
        <f>'[2]Drug Offences'!AJ9</f>
        <v>23</v>
      </c>
      <c r="O534" s="609">
        <f>'[2]Drug Offences'!AK9</f>
        <v>38</v>
      </c>
      <c r="P534" s="609">
        <f>'[2]Drug Offences'!AL9</f>
        <v>26</v>
      </c>
      <c r="Q534" s="609">
        <f>'[2]Drug Offences'!AM9</f>
        <v>26</v>
      </c>
      <c r="R534" s="609">
        <f>'[2]Drug Offences'!AN9</f>
        <v>33</v>
      </c>
      <c r="S534" s="609">
        <f>'[2]Drug Offences'!AO9</f>
        <v>43</v>
      </c>
      <c r="T534" s="609">
        <f>'[2]Drug Offences'!AP9</f>
        <v>37</v>
      </c>
      <c r="U534" s="609">
        <f>'[2]Drug Offences'!AQ9</f>
        <v>21</v>
      </c>
      <c r="V534" s="609">
        <f>'[2]Drug Offences'!AR9</f>
        <v>32</v>
      </c>
      <c r="W534" s="609">
        <f>'[2]Drug Offences'!AS9</f>
        <v>32</v>
      </c>
      <c r="X534" s="609">
        <f>'[2]Drug Offences'!AT9</f>
        <v>38</v>
      </c>
      <c r="Y534" s="609">
        <f>'[2]Drug Offences'!AU9</f>
        <v>29</v>
      </c>
      <c r="Z534" s="609">
        <f>'[2]Drug Offences'!AV9</f>
        <v>29</v>
      </c>
      <c r="AA534" s="609">
        <f>'[2]Drug Offences'!AW9</f>
        <v>24</v>
      </c>
      <c r="AB534" s="609">
        <f>'[2]Drug Offences'!AX9</f>
        <v>35</v>
      </c>
      <c r="AC534" s="609">
        <f>'[2]Drug Offences'!AY9</f>
        <v>37</v>
      </c>
      <c r="AD534" s="609">
        <f>'[2]Drug Offences'!AZ9</f>
        <v>27</v>
      </c>
      <c r="AE534" s="609">
        <f>'[2]Drug Offences'!BA9</f>
        <v>36</v>
      </c>
      <c r="AF534" s="609">
        <f>'[2]Drug Offences'!BB9</f>
        <v>38</v>
      </c>
      <c r="AG534" s="609">
        <f>'[2]Drug Offences'!BC9</f>
        <v>19</v>
      </c>
      <c r="AH534" s="609">
        <f>'[2]Drug Offences'!BD9</f>
        <v>26</v>
      </c>
      <c r="AI534" s="609">
        <f>'[2]Drug Offences'!BE9</f>
        <v>21</v>
      </c>
      <c r="AJ534" s="609">
        <f>'[2]Drug Offences'!BF9</f>
        <v>31</v>
      </c>
      <c r="AK534" s="609">
        <f>'[2]Drug Offences'!BG9</f>
        <v>33</v>
      </c>
      <c r="AL534" s="609">
        <f>'[2]Drug Offences'!BH9</f>
        <v>44</v>
      </c>
      <c r="AM534" s="609">
        <f>'[2]Drug Offences'!BI9</f>
        <v>43</v>
      </c>
      <c r="AN534" s="609">
        <f>'[2]Drug Offences'!BJ9</f>
        <v>50</v>
      </c>
      <c r="AO534" s="609">
        <f>'[2]Drug Offences'!BK9</f>
        <v>51</v>
      </c>
      <c r="AP534" s="609">
        <f>'[2]Drug Offences'!BL9</f>
        <v>48</v>
      </c>
      <c r="AQ534" s="609">
        <f>'[2]Drug Offences'!BM9</f>
        <v>45</v>
      </c>
      <c r="AR534" s="609">
        <f>'[2]Drug Offences'!BN9</f>
        <v>40</v>
      </c>
      <c r="AS534" s="609">
        <f>'[2]Drug Offences'!BO9</f>
        <v>33</v>
      </c>
      <c r="AT534" s="609">
        <f>'[2]Drug Offences'!BP9</f>
        <v>33</v>
      </c>
      <c r="AU534" s="609">
        <f>'[2]Drug Offences'!BQ9</f>
        <v>26</v>
      </c>
      <c r="AV534" s="609">
        <f>'[2]Drug Offences'!BR9</f>
        <v>29</v>
      </c>
      <c r="AW534" s="609">
        <f>'[2]Drug Offences'!BS9</f>
        <v>28</v>
      </c>
      <c r="AX534" s="609">
        <f>'[2]Drug Offences'!BT9</f>
        <v>33</v>
      </c>
      <c r="AY534" s="609">
        <f>'[2]Drug Offences'!BU9</f>
        <v>39</v>
      </c>
    </row>
    <row r="535" spans="3:51" s="36" customFormat="1" x14ac:dyDescent="0.35">
      <c r="C535" s="680"/>
    </row>
    <row r="536" spans="3:51" ht="37" x14ac:dyDescent="0.35">
      <c r="C536" s="665" t="s">
        <v>371</v>
      </c>
      <c r="D536" s="39">
        <v>44287</v>
      </c>
      <c r="E536" s="39">
        <v>44317</v>
      </c>
      <c r="F536" s="39">
        <v>44348</v>
      </c>
      <c r="G536" s="39">
        <v>44378</v>
      </c>
      <c r="H536" s="39">
        <v>44409</v>
      </c>
      <c r="I536" s="39">
        <v>44440</v>
      </c>
      <c r="J536" s="39">
        <v>44470</v>
      </c>
      <c r="K536" s="39">
        <v>44501</v>
      </c>
      <c r="L536" s="39">
        <v>44531</v>
      </c>
      <c r="M536" s="39">
        <v>44562</v>
      </c>
      <c r="N536" s="39">
        <v>44593</v>
      </c>
      <c r="O536" s="39">
        <v>44621</v>
      </c>
      <c r="P536" s="39">
        <v>44652</v>
      </c>
      <c r="Q536" s="39">
        <v>44682</v>
      </c>
      <c r="R536" s="39">
        <v>44713</v>
      </c>
      <c r="S536" s="39">
        <v>44743</v>
      </c>
      <c r="T536" s="39">
        <v>44774</v>
      </c>
      <c r="U536" s="39">
        <v>44805</v>
      </c>
      <c r="V536" s="39">
        <v>44835</v>
      </c>
      <c r="W536" s="39">
        <v>44866</v>
      </c>
      <c r="X536" s="39">
        <v>44896</v>
      </c>
      <c r="Y536" s="39">
        <v>44927</v>
      </c>
      <c r="Z536" s="39">
        <v>44958</v>
      </c>
      <c r="AA536" s="39">
        <v>44986</v>
      </c>
      <c r="AB536" s="39">
        <v>45017</v>
      </c>
      <c r="AC536" s="39">
        <v>45047</v>
      </c>
      <c r="AD536" s="39">
        <v>45078</v>
      </c>
      <c r="AE536" s="39">
        <v>45108</v>
      </c>
      <c r="AF536" s="39">
        <v>45139</v>
      </c>
      <c r="AG536" s="39">
        <v>45170</v>
      </c>
      <c r="AH536" s="39">
        <v>45200</v>
      </c>
      <c r="AI536" s="39">
        <v>45231</v>
      </c>
      <c r="AJ536" s="39">
        <v>45261</v>
      </c>
      <c r="AK536" s="39">
        <v>45292</v>
      </c>
      <c r="AL536" s="39">
        <v>45323</v>
      </c>
      <c r="AM536" s="39">
        <v>45352</v>
      </c>
      <c r="AN536" s="39">
        <v>45383</v>
      </c>
      <c r="AO536" s="39">
        <v>45413</v>
      </c>
      <c r="AP536" s="39">
        <v>45444</v>
      </c>
      <c r="AQ536" s="39">
        <v>45474</v>
      </c>
      <c r="AR536" s="39">
        <v>45505</v>
      </c>
      <c r="AS536" s="39">
        <v>45536</v>
      </c>
      <c r="AT536" s="39">
        <v>45566</v>
      </c>
      <c r="AU536" s="39">
        <v>45597</v>
      </c>
      <c r="AV536" s="39">
        <v>45627</v>
      </c>
      <c r="AW536" s="39">
        <v>45658</v>
      </c>
      <c r="AX536" s="39">
        <v>45689</v>
      </c>
      <c r="AY536" s="39">
        <v>45717</v>
      </c>
    </row>
    <row r="537" spans="3:51" x14ac:dyDescent="0.35">
      <c r="C537" s="663" t="s">
        <v>212</v>
      </c>
      <c r="D537" s="609">
        <f>'[2]Drug Offences'!Z11</f>
        <v>0</v>
      </c>
      <c r="E537" s="609">
        <f>'[2]Drug Offences'!AA11</f>
        <v>1</v>
      </c>
      <c r="F537" s="609">
        <f>'[2]Drug Offences'!AB11</f>
        <v>1</v>
      </c>
      <c r="G537" s="609">
        <f>'[2]Drug Offences'!AC11</f>
        <v>1</v>
      </c>
      <c r="H537" s="609">
        <f>'[2]Drug Offences'!AD11</f>
        <v>1</v>
      </c>
      <c r="I537" s="609">
        <f>'[2]Drug Offences'!AE11</f>
        <v>1</v>
      </c>
      <c r="J537" s="609">
        <f>'[2]Drug Offences'!AF11</f>
        <v>0</v>
      </c>
      <c r="K537" s="609">
        <f>'[2]Drug Offences'!AG11</f>
        <v>0</v>
      </c>
      <c r="L537" s="609">
        <f>'[2]Drug Offences'!AH11</f>
        <v>3</v>
      </c>
      <c r="M537" s="609">
        <f>'[2]Drug Offences'!AI11</f>
        <v>0</v>
      </c>
      <c r="N537" s="609">
        <f>'[2]Drug Offences'!AJ11</f>
        <v>0</v>
      </c>
      <c r="O537" s="609">
        <f>'[2]Drug Offences'!AK11</f>
        <v>1</v>
      </c>
      <c r="P537" s="609">
        <f>'[2]Drug Offences'!AL11</f>
        <v>1</v>
      </c>
      <c r="Q537" s="609">
        <f>'[2]Drug Offences'!AM11</f>
        <v>0</v>
      </c>
      <c r="R537" s="609">
        <f>'[2]Drug Offences'!AN11</f>
        <v>2</v>
      </c>
      <c r="S537" s="609">
        <f>'[2]Drug Offences'!AO11</f>
        <v>1</v>
      </c>
      <c r="T537" s="609">
        <f>'[2]Drug Offences'!AP11</f>
        <v>1</v>
      </c>
      <c r="U537" s="609">
        <f>'[2]Drug Offences'!AQ11</f>
        <v>1</v>
      </c>
      <c r="V537" s="609">
        <f>'[2]Drug Offences'!AR11</f>
        <v>2</v>
      </c>
      <c r="W537" s="609">
        <f>'[2]Drug Offences'!AS11</f>
        <v>0</v>
      </c>
      <c r="X537" s="609">
        <f>'[2]Drug Offences'!AT11</f>
        <v>1</v>
      </c>
      <c r="Y537" s="609">
        <f>'[2]Drug Offences'!AU11</f>
        <v>4</v>
      </c>
      <c r="Z537" s="609">
        <f>'[2]Drug Offences'!AV11</f>
        <v>1</v>
      </c>
      <c r="AA537" s="609">
        <f>'[2]Drug Offences'!AW11</f>
        <v>1</v>
      </c>
      <c r="AB537" s="609">
        <f>'[2]Drug Offences'!AX11</f>
        <v>0</v>
      </c>
      <c r="AC537" s="609">
        <f>'[2]Drug Offences'!AY11</f>
        <v>2</v>
      </c>
      <c r="AD537" s="609">
        <f>'[2]Drug Offences'!AZ11</f>
        <v>0</v>
      </c>
      <c r="AE537" s="609">
        <f>'[2]Drug Offences'!BA11</f>
        <v>1</v>
      </c>
      <c r="AF537" s="609">
        <f>'[2]Drug Offences'!BB11</f>
        <v>1</v>
      </c>
      <c r="AG537" s="609">
        <f>'[2]Drug Offences'!BC11</f>
        <v>1</v>
      </c>
      <c r="AH537" s="609">
        <f>'[2]Drug Offences'!BD11</f>
        <v>1</v>
      </c>
      <c r="AI537" s="609">
        <f>'[2]Drug Offences'!BE11</f>
        <v>1</v>
      </c>
      <c r="AJ537" s="609">
        <f>'[2]Drug Offences'!BF11</f>
        <v>3</v>
      </c>
      <c r="AK537" s="609">
        <f>'[2]Drug Offences'!BG11</f>
        <v>2</v>
      </c>
      <c r="AL537" s="609">
        <f>'[2]Drug Offences'!BH11</f>
        <v>3</v>
      </c>
      <c r="AM537" s="609">
        <f>'[2]Drug Offences'!BI11</f>
        <v>3</v>
      </c>
      <c r="AN537" s="609">
        <f>'[2]Drug Offences'!BJ11</f>
        <v>4</v>
      </c>
      <c r="AO537" s="609">
        <f>'[2]Drug Offences'!BK11</f>
        <v>0</v>
      </c>
      <c r="AP537" s="609">
        <f>'[2]Drug Offences'!BL11</f>
        <v>2</v>
      </c>
      <c r="AQ537" s="609">
        <f>'[2]Drug Offences'!BM11</f>
        <v>0</v>
      </c>
      <c r="AR537" s="609">
        <f>'[2]Drug Offences'!BN11</f>
        <v>1</v>
      </c>
      <c r="AS537" s="609">
        <f>'[2]Drug Offences'!BO11</f>
        <v>2</v>
      </c>
      <c r="AT537" s="609">
        <f>'[2]Drug Offences'!BP11</f>
        <v>1</v>
      </c>
      <c r="AU537" s="609">
        <f>'[2]Drug Offences'!BQ11</f>
        <v>4</v>
      </c>
      <c r="AV537" s="609">
        <f>'[2]Drug Offences'!BR11</f>
        <v>1</v>
      </c>
      <c r="AW537" s="609">
        <f>'[2]Drug Offences'!BS11</f>
        <v>1</v>
      </c>
      <c r="AX537" s="609">
        <f>'[2]Drug Offences'!BT11</f>
        <v>1</v>
      </c>
      <c r="AY537" s="609">
        <f>'[2]Drug Offences'!BU11</f>
        <v>1</v>
      </c>
    </row>
    <row r="538" spans="3:51" x14ac:dyDescent="0.35">
      <c r="C538" s="663" t="s">
        <v>213</v>
      </c>
      <c r="D538" s="609">
        <f>'[2]Drug Offences'!Z12</f>
        <v>2</v>
      </c>
      <c r="E538" s="609">
        <f>'[2]Drug Offences'!AA12</f>
        <v>9</v>
      </c>
      <c r="F538" s="609">
        <f>'[2]Drug Offences'!AB12</f>
        <v>4</v>
      </c>
      <c r="G538" s="609">
        <f>'[2]Drug Offences'!AC12</f>
        <v>4</v>
      </c>
      <c r="H538" s="609">
        <f>'[2]Drug Offences'!AD12</f>
        <v>9</v>
      </c>
      <c r="I538" s="609">
        <f>'[2]Drug Offences'!AE12</f>
        <v>8</v>
      </c>
      <c r="J538" s="609">
        <f>'[2]Drug Offences'!AF12</f>
        <v>4</v>
      </c>
      <c r="K538" s="609">
        <f>'[2]Drug Offences'!AG12</f>
        <v>4</v>
      </c>
      <c r="L538" s="609">
        <f>'[2]Drug Offences'!AH12</f>
        <v>4</v>
      </c>
      <c r="M538" s="609">
        <f>'[2]Drug Offences'!AI12</f>
        <v>4</v>
      </c>
      <c r="N538" s="609">
        <f>'[2]Drug Offences'!AJ12</f>
        <v>5</v>
      </c>
      <c r="O538" s="609">
        <f>'[2]Drug Offences'!AK12</f>
        <v>1</v>
      </c>
      <c r="P538" s="609">
        <f>'[2]Drug Offences'!AL12</f>
        <v>5</v>
      </c>
      <c r="Q538" s="609">
        <f>'[2]Drug Offences'!AM12</f>
        <v>5</v>
      </c>
      <c r="R538" s="609">
        <f>'[2]Drug Offences'!AN12</f>
        <v>4</v>
      </c>
      <c r="S538" s="609">
        <f>'[2]Drug Offences'!AO12</f>
        <v>7</v>
      </c>
      <c r="T538" s="609">
        <f>'[2]Drug Offences'!AP12</f>
        <v>4</v>
      </c>
      <c r="U538" s="609">
        <f>'[2]Drug Offences'!AQ12</f>
        <v>3</v>
      </c>
      <c r="V538" s="609">
        <f>'[2]Drug Offences'!AR12</f>
        <v>9</v>
      </c>
      <c r="W538" s="609">
        <f>'[2]Drug Offences'!AS12</f>
        <v>4</v>
      </c>
      <c r="X538" s="609">
        <f>'[2]Drug Offences'!AT12</f>
        <v>1</v>
      </c>
      <c r="Y538" s="609">
        <f>'[2]Drug Offences'!AU12</f>
        <v>7</v>
      </c>
      <c r="Z538" s="609">
        <f>'[2]Drug Offences'!AV12</f>
        <v>7</v>
      </c>
      <c r="AA538" s="609">
        <f>'[2]Drug Offences'!AW12</f>
        <v>7</v>
      </c>
      <c r="AB538" s="609">
        <f>'[2]Drug Offences'!AX12</f>
        <v>5</v>
      </c>
      <c r="AC538" s="609">
        <f>'[2]Drug Offences'!AY12</f>
        <v>4</v>
      </c>
      <c r="AD538" s="609">
        <f>'[2]Drug Offences'!AZ12</f>
        <v>4</v>
      </c>
      <c r="AE538" s="609">
        <f>'[2]Drug Offences'!BA12</f>
        <v>6</v>
      </c>
      <c r="AF538" s="609">
        <f>'[2]Drug Offences'!BB12</f>
        <v>5</v>
      </c>
      <c r="AG538" s="609">
        <f>'[2]Drug Offences'!BC12</f>
        <v>9</v>
      </c>
      <c r="AH538" s="609">
        <f>'[2]Drug Offences'!BD12</f>
        <v>9</v>
      </c>
      <c r="AI538" s="609">
        <f>'[2]Drug Offences'!BE12</f>
        <v>4</v>
      </c>
      <c r="AJ538" s="609">
        <f>'[2]Drug Offences'!BF12</f>
        <v>7</v>
      </c>
      <c r="AK538" s="609">
        <f>'[2]Drug Offences'!BG12</f>
        <v>3</v>
      </c>
      <c r="AL538" s="609">
        <f>'[2]Drug Offences'!BH12</f>
        <v>8</v>
      </c>
      <c r="AM538" s="609">
        <f>'[2]Drug Offences'!BI12</f>
        <v>4</v>
      </c>
      <c r="AN538" s="609">
        <f>'[2]Drug Offences'!BJ12</f>
        <v>4</v>
      </c>
      <c r="AO538" s="609">
        <f>'[2]Drug Offences'!BK12</f>
        <v>4</v>
      </c>
      <c r="AP538" s="609">
        <f>'[2]Drug Offences'!BL12</f>
        <v>8</v>
      </c>
      <c r="AQ538" s="609">
        <f>'[2]Drug Offences'!BM12</f>
        <v>5</v>
      </c>
      <c r="AR538" s="609">
        <f>'[2]Drug Offences'!BN12</f>
        <v>6</v>
      </c>
      <c r="AS538" s="609">
        <f>'[2]Drug Offences'!BO12</f>
        <v>4</v>
      </c>
      <c r="AT538" s="609">
        <f>'[2]Drug Offences'!BP12</f>
        <v>8</v>
      </c>
      <c r="AU538" s="609">
        <f>'[2]Drug Offences'!BQ12</f>
        <v>1</v>
      </c>
      <c r="AV538" s="609">
        <f>'[2]Drug Offences'!BR12</f>
        <v>7</v>
      </c>
      <c r="AW538" s="609">
        <f>'[2]Drug Offences'!BS12</f>
        <v>1</v>
      </c>
      <c r="AX538" s="609">
        <f>'[2]Drug Offences'!BT12</f>
        <v>4</v>
      </c>
      <c r="AY538" s="609">
        <f>'[2]Drug Offences'!BU12</f>
        <v>1</v>
      </c>
    </row>
    <row r="539" spans="3:51" x14ac:dyDescent="0.35">
      <c r="C539" s="663" t="s">
        <v>214</v>
      </c>
      <c r="D539" s="609">
        <f>'[2]Drug Offences'!Z13</f>
        <v>4</v>
      </c>
      <c r="E539" s="609">
        <f>'[2]Drug Offences'!AA13</f>
        <v>5</v>
      </c>
      <c r="F539" s="609">
        <f>'[2]Drug Offences'!AB13</f>
        <v>11</v>
      </c>
      <c r="G539" s="609">
        <f>'[2]Drug Offences'!AC13</f>
        <v>3</v>
      </c>
      <c r="H539" s="609">
        <f>'[2]Drug Offences'!AD13</f>
        <v>4</v>
      </c>
      <c r="I539" s="609">
        <f>'[2]Drug Offences'!AE13</f>
        <v>5</v>
      </c>
      <c r="J539" s="609">
        <f>'[2]Drug Offences'!AF13</f>
        <v>2</v>
      </c>
      <c r="K539" s="609">
        <f>'[2]Drug Offences'!AG13</f>
        <v>3</v>
      </c>
      <c r="L539" s="609">
        <f>'[2]Drug Offences'!AH13</f>
        <v>2</v>
      </c>
      <c r="M539" s="609">
        <f>'[2]Drug Offences'!AI13</f>
        <v>2</v>
      </c>
      <c r="N539" s="609">
        <f>'[2]Drug Offences'!AJ13</f>
        <v>1</v>
      </c>
      <c r="O539" s="609">
        <f>'[2]Drug Offences'!AK13</f>
        <v>2</v>
      </c>
      <c r="P539" s="609">
        <f>'[2]Drug Offences'!AL13</f>
        <v>4</v>
      </c>
      <c r="Q539" s="609">
        <f>'[2]Drug Offences'!AM13</f>
        <v>3</v>
      </c>
      <c r="R539" s="609">
        <f>'[2]Drug Offences'!AN13</f>
        <v>4</v>
      </c>
      <c r="S539" s="609">
        <f>'[2]Drug Offences'!AO13</f>
        <v>8</v>
      </c>
      <c r="T539" s="609">
        <f>'[2]Drug Offences'!AP13</f>
        <v>1</v>
      </c>
      <c r="U539" s="609">
        <f>'[2]Drug Offences'!AQ13</f>
        <v>4</v>
      </c>
      <c r="V539" s="609">
        <f>'[2]Drug Offences'!AR13</f>
        <v>4</v>
      </c>
      <c r="W539" s="609">
        <f>'[2]Drug Offences'!AS13</f>
        <v>2</v>
      </c>
      <c r="X539" s="609">
        <f>'[2]Drug Offences'!AT13</f>
        <v>3</v>
      </c>
      <c r="Y539" s="609">
        <f>'[2]Drug Offences'!AU13</f>
        <v>4</v>
      </c>
      <c r="Z539" s="609">
        <f>'[2]Drug Offences'!AV13</f>
        <v>5</v>
      </c>
      <c r="AA539" s="609">
        <f>'[2]Drug Offences'!AW13</f>
        <v>5</v>
      </c>
      <c r="AB539" s="609">
        <f>'[2]Drug Offences'!AX13</f>
        <v>1</v>
      </c>
      <c r="AC539" s="609">
        <f>'[2]Drug Offences'!AY13</f>
        <v>5</v>
      </c>
      <c r="AD539" s="609">
        <f>'[2]Drug Offences'!AZ13</f>
        <v>3</v>
      </c>
      <c r="AE539" s="609">
        <f>'[2]Drug Offences'!BA13</f>
        <v>3</v>
      </c>
      <c r="AF539" s="609">
        <f>'[2]Drug Offences'!BB13</f>
        <v>3</v>
      </c>
      <c r="AG539" s="609">
        <f>'[2]Drug Offences'!BC13</f>
        <v>1</v>
      </c>
      <c r="AH539" s="609">
        <f>'[2]Drug Offences'!BD13</f>
        <v>3</v>
      </c>
      <c r="AI539" s="609">
        <f>'[2]Drug Offences'!BE13</f>
        <v>4</v>
      </c>
      <c r="AJ539" s="609">
        <f>'[2]Drug Offences'!BF13</f>
        <v>5</v>
      </c>
      <c r="AK539" s="609">
        <f>'[2]Drug Offences'!BG13</f>
        <v>5</v>
      </c>
      <c r="AL539" s="609">
        <f>'[2]Drug Offences'!BH13</f>
        <v>4</v>
      </c>
      <c r="AM539" s="609">
        <f>'[2]Drug Offences'!BI13</f>
        <v>5</v>
      </c>
      <c r="AN539" s="609">
        <f>'[2]Drug Offences'!BJ13</f>
        <v>3</v>
      </c>
      <c r="AO539" s="609">
        <f>'[2]Drug Offences'!BK13</f>
        <v>2</v>
      </c>
      <c r="AP539" s="609">
        <f>'[2]Drug Offences'!BL13</f>
        <v>4</v>
      </c>
      <c r="AQ539" s="609">
        <f>'[2]Drug Offences'!BM13</f>
        <v>3</v>
      </c>
      <c r="AR539" s="609">
        <f>'[2]Drug Offences'!BN13</f>
        <v>3</v>
      </c>
      <c r="AS539" s="609">
        <f>'[2]Drug Offences'!BO13</f>
        <v>4</v>
      </c>
      <c r="AT539" s="609">
        <f>'[2]Drug Offences'!BP13</f>
        <v>2</v>
      </c>
      <c r="AU539" s="609">
        <f>'[2]Drug Offences'!BQ13</f>
        <v>1</v>
      </c>
      <c r="AV539" s="609">
        <f>'[2]Drug Offences'!BR13</f>
        <v>4</v>
      </c>
      <c r="AW539" s="609">
        <f>'[2]Drug Offences'!BS13</f>
        <v>2</v>
      </c>
      <c r="AX539" s="609">
        <f>'[2]Drug Offences'!BT13</f>
        <v>1</v>
      </c>
      <c r="AY539" s="609">
        <f>'[2]Drug Offences'!BU13</f>
        <v>2</v>
      </c>
    </row>
    <row r="540" spans="3:51" x14ac:dyDescent="0.35">
      <c r="C540" s="663" t="s">
        <v>146</v>
      </c>
      <c r="D540" s="609">
        <f>'[2]Drug Offences'!Z14</f>
        <v>1</v>
      </c>
      <c r="E540" s="609">
        <f>'[2]Drug Offences'!AA14</f>
        <v>2</v>
      </c>
      <c r="F540" s="609">
        <f>'[2]Drug Offences'!AB14</f>
        <v>1</v>
      </c>
      <c r="G540" s="609">
        <f>'[2]Drug Offences'!AC14</f>
        <v>0</v>
      </c>
      <c r="H540" s="609">
        <f>'[2]Drug Offences'!AD14</f>
        <v>0</v>
      </c>
      <c r="I540" s="609">
        <f>'[2]Drug Offences'!AE14</f>
        <v>1</v>
      </c>
      <c r="J540" s="609">
        <f>'[2]Drug Offences'!AF14</f>
        <v>1</v>
      </c>
      <c r="K540" s="609">
        <f>'[2]Drug Offences'!AG14</f>
        <v>2</v>
      </c>
      <c r="L540" s="609">
        <f>'[2]Drug Offences'!AH14</f>
        <v>4</v>
      </c>
      <c r="M540" s="609">
        <f>'[2]Drug Offences'!AI14</f>
        <v>2</v>
      </c>
      <c r="N540" s="609">
        <f>'[2]Drug Offences'!AJ14</f>
        <v>1</v>
      </c>
      <c r="O540" s="609">
        <f>'[2]Drug Offences'!AK14</f>
        <v>3</v>
      </c>
      <c r="P540" s="609">
        <f>'[2]Drug Offences'!AL14</f>
        <v>0</v>
      </c>
      <c r="Q540" s="609">
        <f>'[2]Drug Offences'!AM14</f>
        <v>2</v>
      </c>
      <c r="R540" s="609">
        <f>'[2]Drug Offences'!AN14</f>
        <v>1</v>
      </c>
      <c r="S540" s="609">
        <f>'[2]Drug Offences'!AO14</f>
        <v>2</v>
      </c>
      <c r="T540" s="609">
        <f>'[2]Drug Offences'!AP14</f>
        <v>2</v>
      </c>
      <c r="U540" s="609">
        <f>'[2]Drug Offences'!AQ14</f>
        <v>0</v>
      </c>
      <c r="V540" s="609">
        <f>'[2]Drug Offences'!AR14</f>
        <v>2</v>
      </c>
      <c r="W540" s="609">
        <f>'[2]Drug Offences'!AS14</f>
        <v>0</v>
      </c>
      <c r="X540" s="609">
        <f>'[2]Drug Offences'!AT14</f>
        <v>1</v>
      </c>
      <c r="Y540" s="609">
        <f>'[2]Drug Offences'!AU14</f>
        <v>3</v>
      </c>
      <c r="Z540" s="609">
        <f>'[2]Drug Offences'!AV14</f>
        <v>5</v>
      </c>
      <c r="AA540" s="609">
        <f>'[2]Drug Offences'!AW14</f>
        <v>1</v>
      </c>
      <c r="AB540" s="609">
        <f>'[2]Drug Offences'!AX14</f>
        <v>1</v>
      </c>
      <c r="AC540" s="609">
        <f>'[2]Drug Offences'!AY14</f>
        <v>5</v>
      </c>
      <c r="AD540" s="609">
        <f>'[2]Drug Offences'!AZ14</f>
        <v>1</v>
      </c>
      <c r="AE540" s="609">
        <f>'[2]Drug Offences'!BA14</f>
        <v>1</v>
      </c>
      <c r="AF540" s="609">
        <f>'[2]Drug Offences'!BB14</f>
        <v>2</v>
      </c>
      <c r="AG540" s="609">
        <f>'[2]Drug Offences'!BC14</f>
        <v>5</v>
      </c>
      <c r="AH540" s="609">
        <f>'[2]Drug Offences'!BD14</f>
        <v>1</v>
      </c>
      <c r="AI540" s="609">
        <f>'[2]Drug Offences'!BE14</f>
        <v>3</v>
      </c>
      <c r="AJ540" s="609">
        <f>'[2]Drug Offences'!BF14</f>
        <v>1</v>
      </c>
      <c r="AK540" s="609">
        <f>'[2]Drug Offences'!BG14</f>
        <v>5</v>
      </c>
      <c r="AL540" s="609">
        <f>'[2]Drug Offences'!BH14</f>
        <v>3</v>
      </c>
      <c r="AM540" s="609">
        <f>'[2]Drug Offences'!BI14</f>
        <v>1</v>
      </c>
      <c r="AN540" s="609">
        <f>'[2]Drug Offences'!BJ14</f>
        <v>5</v>
      </c>
      <c r="AO540" s="609">
        <f>'[2]Drug Offences'!BK14</f>
        <v>1</v>
      </c>
      <c r="AP540" s="609">
        <f>'[2]Drug Offences'!BL14</f>
        <v>6</v>
      </c>
      <c r="AQ540" s="609">
        <f>'[2]Drug Offences'!BM14</f>
        <v>2</v>
      </c>
      <c r="AR540" s="609">
        <f>'[2]Drug Offences'!BN14</f>
        <v>2</v>
      </c>
      <c r="AS540" s="609">
        <f>'[2]Drug Offences'!BO14</f>
        <v>2</v>
      </c>
      <c r="AT540" s="609">
        <f>'[2]Drug Offences'!BP14</f>
        <v>0</v>
      </c>
      <c r="AU540" s="609">
        <f>'[2]Drug Offences'!BQ14</f>
        <v>3</v>
      </c>
      <c r="AV540" s="609">
        <f>'[2]Drug Offences'!BR14</f>
        <v>3</v>
      </c>
      <c r="AW540" s="609">
        <f>'[2]Drug Offences'!BS14</f>
        <v>1</v>
      </c>
      <c r="AX540" s="609">
        <f>'[2]Drug Offences'!BT14</f>
        <v>3</v>
      </c>
      <c r="AY540" s="609">
        <f>'[2]Drug Offences'!BU14</f>
        <v>2</v>
      </c>
    </row>
    <row r="541" spans="3:51" x14ac:dyDescent="0.35">
      <c r="C541" s="663" t="s">
        <v>147</v>
      </c>
      <c r="D541" s="609">
        <f>'[2]Drug Offences'!Z15</f>
        <v>2</v>
      </c>
      <c r="E541" s="609">
        <f>'[2]Drug Offences'!AA15</f>
        <v>12</v>
      </c>
      <c r="F541" s="609">
        <f>'[2]Drug Offences'!AB15</f>
        <v>9</v>
      </c>
      <c r="G541" s="609">
        <f>'[2]Drug Offences'!AC15</f>
        <v>3</v>
      </c>
      <c r="H541" s="609">
        <f>'[2]Drug Offences'!AD15</f>
        <v>13</v>
      </c>
      <c r="I541" s="609">
        <f>'[2]Drug Offences'!AE15</f>
        <v>5</v>
      </c>
      <c r="J541" s="609">
        <f>'[2]Drug Offences'!AF15</f>
        <v>4</v>
      </c>
      <c r="K541" s="609">
        <f>'[2]Drug Offences'!AG15</f>
        <v>4</v>
      </c>
      <c r="L541" s="609">
        <f>'[2]Drug Offences'!AH15</f>
        <v>5</v>
      </c>
      <c r="M541" s="609">
        <f>'[2]Drug Offences'!AI15</f>
        <v>3</v>
      </c>
      <c r="N541" s="609">
        <f>'[2]Drug Offences'!AJ15</f>
        <v>7</v>
      </c>
      <c r="O541" s="609">
        <f>'[2]Drug Offences'!AK15</f>
        <v>4</v>
      </c>
      <c r="P541" s="609">
        <f>'[2]Drug Offences'!AL15</f>
        <v>1</v>
      </c>
      <c r="Q541" s="609">
        <f>'[2]Drug Offences'!AM15</f>
        <v>7</v>
      </c>
      <c r="R541" s="609">
        <f>'[2]Drug Offences'!AN15</f>
        <v>4</v>
      </c>
      <c r="S541" s="609">
        <f>'[2]Drug Offences'!AO15</f>
        <v>2</v>
      </c>
      <c r="T541" s="609">
        <f>'[2]Drug Offences'!AP15</f>
        <v>7</v>
      </c>
      <c r="U541" s="609">
        <f>'[2]Drug Offences'!AQ15</f>
        <v>4</v>
      </c>
      <c r="V541" s="609">
        <f>'[2]Drug Offences'!AR15</f>
        <v>5</v>
      </c>
      <c r="W541" s="609">
        <f>'[2]Drug Offences'!AS15</f>
        <v>6</v>
      </c>
      <c r="X541" s="609">
        <f>'[2]Drug Offences'!AT15</f>
        <v>3</v>
      </c>
      <c r="Y541" s="609">
        <f>'[2]Drug Offences'!AU15</f>
        <v>6</v>
      </c>
      <c r="Z541" s="609">
        <f>'[2]Drug Offences'!AV15</f>
        <v>2</v>
      </c>
      <c r="AA541" s="609">
        <f>'[2]Drug Offences'!AW15</f>
        <v>3</v>
      </c>
      <c r="AB541" s="609">
        <f>'[2]Drug Offences'!AX15</f>
        <v>2</v>
      </c>
      <c r="AC541" s="609">
        <f>'[2]Drug Offences'!AY15</f>
        <v>4</v>
      </c>
      <c r="AD541" s="609">
        <f>'[2]Drug Offences'!AZ15</f>
        <v>4</v>
      </c>
      <c r="AE541" s="609">
        <f>'[2]Drug Offences'!BA15</f>
        <v>2</v>
      </c>
      <c r="AF541" s="609">
        <f>'[2]Drug Offences'!BB15</f>
        <v>5</v>
      </c>
      <c r="AG541" s="609">
        <f>'[2]Drug Offences'!BC15</f>
        <v>2</v>
      </c>
      <c r="AH541" s="609">
        <f>'[2]Drug Offences'!BD15</f>
        <v>3</v>
      </c>
      <c r="AI541" s="609">
        <f>'[2]Drug Offences'!BE15</f>
        <v>2</v>
      </c>
      <c r="AJ541" s="609">
        <f>'[2]Drug Offences'!BF15</f>
        <v>8</v>
      </c>
      <c r="AK541" s="609">
        <f>'[2]Drug Offences'!BG15</f>
        <v>2</v>
      </c>
      <c r="AL541" s="609">
        <f>'[2]Drug Offences'!BH15</f>
        <v>3</v>
      </c>
      <c r="AM541" s="609">
        <f>'[2]Drug Offences'!BI15</f>
        <v>3</v>
      </c>
      <c r="AN541" s="609">
        <f>'[2]Drug Offences'!BJ15</f>
        <v>2</v>
      </c>
      <c r="AO541" s="609">
        <f>'[2]Drug Offences'!BK15</f>
        <v>5</v>
      </c>
      <c r="AP541" s="609">
        <f>'[2]Drug Offences'!BL15</f>
        <v>7</v>
      </c>
      <c r="AQ541" s="609">
        <f>'[2]Drug Offences'!BM15</f>
        <v>3</v>
      </c>
      <c r="AR541" s="609">
        <f>'[2]Drug Offences'!BN15</f>
        <v>3</v>
      </c>
      <c r="AS541" s="609">
        <f>'[2]Drug Offences'!BO15</f>
        <v>7</v>
      </c>
      <c r="AT541" s="609">
        <f>'[2]Drug Offences'!BP15</f>
        <v>4</v>
      </c>
      <c r="AU541" s="609">
        <f>'[2]Drug Offences'!BQ15</f>
        <v>7</v>
      </c>
      <c r="AV541" s="609">
        <f>'[2]Drug Offences'!BR15</f>
        <v>8</v>
      </c>
      <c r="AW541" s="609">
        <f>'[2]Drug Offences'!BS15</f>
        <v>3</v>
      </c>
      <c r="AX541" s="609">
        <f>'[2]Drug Offences'!BT15</f>
        <v>5</v>
      </c>
      <c r="AY541" s="609">
        <f>'[2]Drug Offences'!BU15</f>
        <v>4</v>
      </c>
    </row>
    <row r="542" spans="3:51" x14ac:dyDescent="0.35">
      <c r="C542" s="663" t="s">
        <v>62</v>
      </c>
      <c r="D542" s="609">
        <f>'[2]Drug Offences'!Z16</f>
        <v>3</v>
      </c>
      <c r="E542" s="609">
        <f>'[2]Drug Offences'!AA16</f>
        <v>14</v>
      </c>
      <c r="F542" s="609">
        <f>'[2]Drug Offences'!AB16</f>
        <v>10</v>
      </c>
      <c r="G542" s="609">
        <f>'[2]Drug Offences'!AC16</f>
        <v>3</v>
      </c>
      <c r="H542" s="609">
        <f>'[2]Drug Offences'!AD16</f>
        <v>13</v>
      </c>
      <c r="I542" s="609">
        <f>'[2]Drug Offences'!AE16</f>
        <v>6</v>
      </c>
      <c r="J542" s="609">
        <f>'[2]Drug Offences'!AF16</f>
        <v>5</v>
      </c>
      <c r="K542" s="609">
        <f>'[2]Drug Offences'!AG16</f>
        <v>6</v>
      </c>
      <c r="L542" s="609">
        <f>'[2]Drug Offences'!AH16</f>
        <v>9</v>
      </c>
      <c r="M542" s="609">
        <f>'[2]Drug Offences'!AI16</f>
        <v>5</v>
      </c>
      <c r="N542" s="609">
        <f>'[2]Drug Offences'!AJ16</f>
        <v>8</v>
      </c>
      <c r="O542" s="609">
        <f>'[2]Drug Offences'!AK16</f>
        <v>7</v>
      </c>
      <c r="P542" s="609">
        <f>'[2]Drug Offences'!AL16</f>
        <v>1</v>
      </c>
      <c r="Q542" s="609">
        <f>'[2]Drug Offences'!AM16</f>
        <v>9</v>
      </c>
      <c r="R542" s="609">
        <f>'[2]Drug Offences'!AN16</f>
        <v>5</v>
      </c>
      <c r="S542" s="609">
        <f>'[2]Drug Offences'!AO16</f>
        <v>4</v>
      </c>
      <c r="T542" s="609">
        <f>'[2]Drug Offences'!AP16</f>
        <v>9</v>
      </c>
      <c r="U542" s="609">
        <f>'[2]Drug Offences'!AQ16</f>
        <v>4</v>
      </c>
      <c r="V542" s="609">
        <f>'[2]Drug Offences'!AR16</f>
        <v>7</v>
      </c>
      <c r="W542" s="609">
        <f>'[2]Drug Offences'!AS16</f>
        <v>6</v>
      </c>
      <c r="X542" s="609">
        <f>'[2]Drug Offences'!AT16</f>
        <v>4</v>
      </c>
      <c r="Y542" s="609">
        <f>'[2]Drug Offences'!AU16</f>
        <v>9</v>
      </c>
      <c r="Z542" s="609">
        <f>'[2]Drug Offences'!AV16</f>
        <v>7</v>
      </c>
      <c r="AA542" s="609">
        <f>'[2]Drug Offences'!AW16</f>
        <v>4</v>
      </c>
      <c r="AB542" s="609">
        <f>'[2]Drug Offences'!AX16</f>
        <v>3</v>
      </c>
      <c r="AC542" s="609">
        <f>'[2]Drug Offences'!AY16</f>
        <v>9</v>
      </c>
      <c r="AD542" s="609">
        <f>'[2]Drug Offences'!AZ16</f>
        <v>5</v>
      </c>
      <c r="AE542" s="609">
        <f>'[2]Drug Offences'!BA16</f>
        <v>3</v>
      </c>
      <c r="AF542" s="609">
        <f>'[2]Drug Offences'!BB16</f>
        <v>7</v>
      </c>
      <c r="AG542" s="609">
        <f>'[2]Drug Offences'!BC16</f>
        <v>7</v>
      </c>
      <c r="AH542" s="609">
        <f>'[2]Drug Offences'!BD16</f>
        <v>4</v>
      </c>
      <c r="AI542" s="609">
        <f>'[2]Drug Offences'!BE16</f>
        <v>5</v>
      </c>
      <c r="AJ542" s="609">
        <f>'[2]Drug Offences'!BF16</f>
        <v>9</v>
      </c>
      <c r="AK542" s="609">
        <f>'[2]Drug Offences'!BG16</f>
        <v>7</v>
      </c>
      <c r="AL542" s="609">
        <f>'[2]Drug Offences'!BH16</f>
        <v>6</v>
      </c>
      <c r="AM542" s="609">
        <f>'[2]Drug Offences'!BI16</f>
        <v>4</v>
      </c>
      <c r="AN542" s="609">
        <f>'[2]Drug Offences'!BJ16</f>
        <v>7</v>
      </c>
      <c r="AO542" s="609">
        <f>'[2]Drug Offences'!BK16</f>
        <v>6</v>
      </c>
      <c r="AP542" s="609">
        <f>'[2]Drug Offences'!BL16</f>
        <v>13</v>
      </c>
      <c r="AQ542" s="609">
        <f>'[2]Drug Offences'!BM16</f>
        <v>5</v>
      </c>
      <c r="AR542" s="609">
        <f>'[2]Drug Offences'!BN16</f>
        <v>5</v>
      </c>
      <c r="AS542" s="609">
        <f>'[2]Drug Offences'!BO16</f>
        <v>9</v>
      </c>
      <c r="AT542" s="609">
        <f>'[2]Drug Offences'!BP16</f>
        <v>4</v>
      </c>
      <c r="AU542" s="609">
        <f>'[2]Drug Offences'!BQ16</f>
        <v>10</v>
      </c>
      <c r="AV542" s="609">
        <f>'[2]Drug Offences'!BR16</f>
        <v>11</v>
      </c>
      <c r="AW542" s="609">
        <f>'[2]Drug Offences'!BS16</f>
        <v>4</v>
      </c>
      <c r="AX542" s="609">
        <f>'[2]Drug Offences'!BT16</f>
        <v>8</v>
      </c>
      <c r="AY542" s="609">
        <f>'[2]Drug Offences'!BU16</f>
        <v>6</v>
      </c>
    </row>
    <row r="543" spans="3:51" x14ac:dyDescent="0.35">
      <c r="C543" s="663" t="s">
        <v>0</v>
      </c>
      <c r="D543" s="609">
        <f>'[2]Drug Offences'!Z17</f>
        <v>9</v>
      </c>
      <c r="E543" s="609">
        <f>'[2]Drug Offences'!AA17</f>
        <v>29</v>
      </c>
      <c r="F543" s="609">
        <f>'[2]Drug Offences'!AB17</f>
        <v>26</v>
      </c>
      <c r="G543" s="609">
        <f>'[2]Drug Offences'!AC17</f>
        <v>11</v>
      </c>
      <c r="H543" s="609">
        <f>'[2]Drug Offences'!AD17</f>
        <v>27</v>
      </c>
      <c r="I543" s="609">
        <f>'[2]Drug Offences'!AE17</f>
        <v>20</v>
      </c>
      <c r="J543" s="609">
        <f>'[2]Drug Offences'!AF17</f>
        <v>11</v>
      </c>
      <c r="K543" s="609">
        <f>'[2]Drug Offences'!AG17</f>
        <v>13</v>
      </c>
      <c r="L543" s="609">
        <f>'[2]Drug Offences'!AH17</f>
        <v>18</v>
      </c>
      <c r="M543" s="609">
        <f>'[2]Drug Offences'!AI17</f>
        <v>11</v>
      </c>
      <c r="N543" s="609">
        <f>'[2]Drug Offences'!AJ17</f>
        <v>14</v>
      </c>
      <c r="O543" s="609">
        <f>'[2]Drug Offences'!AK17</f>
        <v>11</v>
      </c>
      <c r="P543" s="609">
        <f>'[2]Drug Offences'!AL17</f>
        <v>11</v>
      </c>
      <c r="Q543" s="609">
        <f>'[2]Drug Offences'!AM17</f>
        <v>17</v>
      </c>
      <c r="R543" s="609">
        <f>'[2]Drug Offences'!AN17</f>
        <v>15</v>
      </c>
      <c r="S543" s="609">
        <f>'[2]Drug Offences'!AO17</f>
        <v>20</v>
      </c>
      <c r="T543" s="609">
        <f>'[2]Drug Offences'!AP17</f>
        <v>15</v>
      </c>
      <c r="U543" s="609">
        <f>'[2]Drug Offences'!AQ17</f>
        <v>12</v>
      </c>
      <c r="V543" s="609">
        <f>'[2]Drug Offences'!AR17</f>
        <v>22</v>
      </c>
      <c r="W543" s="609">
        <f>'[2]Drug Offences'!AS17</f>
        <v>12</v>
      </c>
      <c r="X543" s="609">
        <f>'[2]Drug Offences'!AT17</f>
        <v>9</v>
      </c>
      <c r="Y543" s="609">
        <f>'[2]Drug Offences'!AU17</f>
        <v>24</v>
      </c>
      <c r="Z543" s="609">
        <f>'[2]Drug Offences'!AV17</f>
        <v>20</v>
      </c>
      <c r="AA543" s="609">
        <f>'[2]Drug Offences'!AW17</f>
        <v>17</v>
      </c>
      <c r="AB543" s="609">
        <f>'[2]Drug Offences'!AX17</f>
        <v>9</v>
      </c>
      <c r="AC543" s="609">
        <f>'[2]Drug Offences'!AY17</f>
        <v>20</v>
      </c>
      <c r="AD543" s="609">
        <f>'[2]Drug Offences'!AZ17</f>
        <v>12</v>
      </c>
      <c r="AE543" s="609">
        <f>'[2]Drug Offences'!BA17</f>
        <v>13</v>
      </c>
      <c r="AF543" s="609">
        <f>'[2]Drug Offences'!BB17</f>
        <v>16</v>
      </c>
      <c r="AG543" s="609">
        <f>'[2]Drug Offences'!BC17</f>
        <v>18</v>
      </c>
      <c r="AH543" s="609">
        <f>'[2]Drug Offences'!BD17</f>
        <v>17</v>
      </c>
      <c r="AI543" s="609">
        <f>'[2]Drug Offences'!BE17</f>
        <v>14</v>
      </c>
      <c r="AJ543" s="609">
        <f>'[2]Drug Offences'!BF17</f>
        <v>24</v>
      </c>
      <c r="AK543" s="609">
        <f>'[2]Drug Offences'!BG17</f>
        <v>17</v>
      </c>
      <c r="AL543" s="609">
        <f>'[2]Drug Offences'!BH17</f>
        <v>21</v>
      </c>
      <c r="AM543" s="609">
        <f>'[2]Drug Offences'!BI17</f>
        <v>16</v>
      </c>
      <c r="AN543" s="609">
        <f>'[2]Drug Offences'!BJ17</f>
        <v>18</v>
      </c>
      <c r="AO543" s="609">
        <f>'[2]Drug Offences'!BK17</f>
        <v>12</v>
      </c>
      <c r="AP543" s="609">
        <f>'[2]Drug Offences'!BL17</f>
        <v>27</v>
      </c>
      <c r="AQ543" s="609">
        <f>'[2]Drug Offences'!BM17</f>
        <v>13</v>
      </c>
      <c r="AR543" s="609">
        <f>'[2]Drug Offences'!BN17</f>
        <v>15</v>
      </c>
      <c r="AS543" s="609">
        <f>'[2]Drug Offences'!BO17</f>
        <v>19</v>
      </c>
      <c r="AT543" s="609">
        <f>'[2]Drug Offences'!BP17</f>
        <v>15</v>
      </c>
      <c r="AU543" s="609">
        <f>'[2]Drug Offences'!BQ17</f>
        <v>16</v>
      </c>
      <c r="AV543" s="609">
        <f>'[2]Drug Offences'!BR17</f>
        <v>23</v>
      </c>
      <c r="AW543" s="609">
        <f>'[2]Drug Offences'!BS17</f>
        <v>8</v>
      </c>
      <c r="AX543" s="609">
        <f>'[2]Drug Offences'!BT17</f>
        <v>14</v>
      </c>
      <c r="AY543" s="609">
        <f>'[2]Drug Offences'!BU17</f>
        <v>10</v>
      </c>
    </row>
    <row r="544" spans="3:51" s="36" customFormat="1" x14ac:dyDescent="0.35">
      <c r="C544" s="680"/>
    </row>
    <row r="545" spans="3:51" ht="18.5" x14ac:dyDescent="0.35">
      <c r="C545" s="664" t="s">
        <v>369</v>
      </c>
      <c r="D545" s="39">
        <v>44287</v>
      </c>
      <c r="E545" s="39">
        <v>44317</v>
      </c>
      <c r="F545" s="39">
        <v>44348</v>
      </c>
      <c r="G545" s="39">
        <v>44378</v>
      </c>
      <c r="H545" s="39">
        <v>44409</v>
      </c>
      <c r="I545" s="39">
        <v>44440</v>
      </c>
      <c r="J545" s="39">
        <v>44470</v>
      </c>
      <c r="K545" s="39">
        <v>44501</v>
      </c>
      <c r="L545" s="39">
        <v>44531</v>
      </c>
      <c r="M545" s="39">
        <v>44562</v>
      </c>
      <c r="N545" s="39">
        <v>44593</v>
      </c>
      <c r="O545" s="39">
        <v>44621</v>
      </c>
      <c r="P545" s="39">
        <v>44652</v>
      </c>
      <c r="Q545" s="39">
        <v>44682</v>
      </c>
      <c r="R545" s="39">
        <v>44713</v>
      </c>
      <c r="S545" s="39">
        <v>44743</v>
      </c>
      <c r="T545" s="39">
        <v>44774</v>
      </c>
      <c r="U545" s="39">
        <v>44805</v>
      </c>
      <c r="V545" s="39">
        <v>44835</v>
      </c>
      <c r="W545" s="39">
        <v>44866</v>
      </c>
      <c r="X545" s="39">
        <v>44896</v>
      </c>
      <c r="Y545" s="39">
        <v>44927</v>
      </c>
      <c r="Z545" s="39">
        <v>44958</v>
      </c>
      <c r="AA545" s="39">
        <v>44986</v>
      </c>
      <c r="AB545" s="39">
        <v>45017</v>
      </c>
      <c r="AC545" s="39">
        <v>45047</v>
      </c>
      <c r="AD545" s="39">
        <v>45078</v>
      </c>
      <c r="AE545" s="39">
        <v>45108</v>
      </c>
      <c r="AF545" s="39">
        <v>45139</v>
      </c>
      <c r="AG545" s="39">
        <v>45170</v>
      </c>
      <c r="AH545" s="39">
        <v>45200</v>
      </c>
      <c r="AI545" s="39">
        <v>45231</v>
      </c>
      <c r="AJ545" s="39">
        <v>45261</v>
      </c>
      <c r="AK545" s="39">
        <v>45292</v>
      </c>
      <c r="AL545" s="39">
        <v>45323</v>
      </c>
      <c r="AM545" s="39">
        <v>45352</v>
      </c>
      <c r="AN545" s="39">
        <v>45383</v>
      </c>
      <c r="AO545" s="39">
        <v>45413</v>
      </c>
      <c r="AP545" s="39">
        <v>45444</v>
      </c>
      <c r="AQ545" s="39">
        <v>45474</v>
      </c>
      <c r="AR545" s="39">
        <v>45505</v>
      </c>
      <c r="AS545" s="39">
        <v>45536</v>
      </c>
      <c r="AT545" s="39">
        <v>45566</v>
      </c>
      <c r="AU545" s="39">
        <v>45597</v>
      </c>
      <c r="AV545" s="39">
        <v>45627</v>
      </c>
      <c r="AW545" s="39">
        <v>45658</v>
      </c>
      <c r="AX545" s="39">
        <v>45689</v>
      </c>
      <c r="AY545" s="39">
        <v>45717</v>
      </c>
    </row>
    <row r="546" spans="3:51" x14ac:dyDescent="0.35">
      <c r="C546" s="663" t="s">
        <v>212</v>
      </c>
      <c r="D546" s="609">
        <f>'[2]Drug Offences'!Z19</f>
        <v>1</v>
      </c>
      <c r="E546" s="609">
        <f>'[2]Drug Offences'!AA19</f>
        <v>2</v>
      </c>
      <c r="F546" s="609">
        <f>'[2]Drug Offences'!AB19</f>
        <v>2</v>
      </c>
      <c r="G546" s="609">
        <f>'[2]Drug Offences'!AC19</f>
        <v>6</v>
      </c>
      <c r="H546" s="609">
        <f>'[2]Drug Offences'!AD19</f>
        <v>3</v>
      </c>
      <c r="I546" s="609">
        <f>'[2]Drug Offences'!AE19</f>
        <v>2</v>
      </c>
      <c r="J546" s="609">
        <f>'[2]Drug Offences'!AF19</f>
        <v>4</v>
      </c>
      <c r="K546" s="609">
        <f>'[2]Drug Offences'!AG19</f>
        <v>3</v>
      </c>
      <c r="L546" s="609">
        <f>'[2]Drug Offences'!AH19</f>
        <v>1</v>
      </c>
      <c r="M546" s="609">
        <f>'[2]Drug Offences'!AI19</f>
        <v>0</v>
      </c>
      <c r="N546" s="609">
        <f>'[2]Drug Offences'!AJ19</f>
        <v>3</v>
      </c>
      <c r="O546" s="609">
        <f>'[2]Drug Offences'!AK19</f>
        <v>3</v>
      </c>
      <c r="P546" s="609">
        <f>'[2]Drug Offences'!AL19</f>
        <v>2</v>
      </c>
      <c r="Q546" s="609">
        <f>'[2]Drug Offences'!AM19</f>
        <v>1</v>
      </c>
      <c r="R546" s="609">
        <f>'[2]Drug Offences'!AN19</f>
        <v>2</v>
      </c>
      <c r="S546" s="609">
        <f>'[2]Drug Offences'!AO19</f>
        <v>2</v>
      </c>
      <c r="T546" s="609">
        <f>'[2]Drug Offences'!AP19</f>
        <v>3</v>
      </c>
      <c r="U546" s="609">
        <f>'[2]Drug Offences'!AQ19</f>
        <v>4</v>
      </c>
      <c r="V546" s="609">
        <f>'[2]Drug Offences'!AR19</f>
        <v>1</v>
      </c>
      <c r="W546" s="609">
        <f>'[2]Drug Offences'!AS19</f>
        <v>3</v>
      </c>
      <c r="X546" s="609">
        <f>'[2]Drug Offences'!AT19</f>
        <v>1</v>
      </c>
      <c r="Y546" s="609">
        <f>'[2]Drug Offences'!AU19</f>
        <v>5</v>
      </c>
      <c r="Z546" s="609">
        <f>'[2]Drug Offences'!AV19</f>
        <v>3</v>
      </c>
      <c r="AA546" s="609">
        <f>'[2]Drug Offences'!AW19</f>
        <v>2</v>
      </c>
      <c r="AB546" s="609">
        <f>'[2]Drug Offences'!AX19</f>
        <v>3</v>
      </c>
      <c r="AC546" s="609">
        <f>'[2]Drug Offences'!AY19</f>
        <v>4</v>
      </c>
      <c r="AD546" s="609">
        <f>'[2]Drug Offences'!AZ19</f>
        <v>3</v>
      </c>
      <c r="AE546" s="609">
        <f>'[2]Drug Offences'!BA19</f>
        <v>7</v>
      </c>
      <c r="AF546" s="609">
        <f>'[2]Drug Offences'!BB19</f>
        <v>6</v>
      </c>
      <c r="AG546" s="609">
        <f>'[2]Drug Offences'!BC19</f>
        <v>13</v>
      </c>
      <c r="AH546" s="609">
        <f>'[2]Drug Offences'!BD19</f>
        <v>6</v>
      </c>
      <c r="AI546" s="609">
        <f>'[2]Drug Offences'!BE19</f>
        <v>3</v>
      </c>
      <c r="AJ546" s="609">
        <f>'[2]Drug Offences'!BF19</f>
        <v>2</v>
      </c>
      <c r="AK546" s="609">
        <f>'[2]Drug Offences'!BG19</f>
        <v>4</v>
      </c>
      <c r="AL546" s="609">
        <f>'[2]Drug Offences'!BH19</f>
        <v>4</v>
      </c>
      <c r="AM546" s="609">
        <f>'[2]Drug Offences'!BI19</f>
        <v>2</v>
      </c>
      <c r="AN546" s="609">
        <f>'[2]Drug Offences'!BJ19</f>
        <v>5</v>
      </c>
      <c r="AO546" s="609">
        <f>'[2]Drug Offences'!BK19</f>
        <v>1</v>
      </c>
      <c r="AP546" s="609">
        <f>'[2]Drug Offences'!BL19</f>
        <v>3</v>
      </c>
      <c r="AQ546" s="609">
        <f>'[2]Drug Offences'!BM19</f>
        <v>3</v>
      </c>
      <c r="AR546" s="609">
        <f>'[2]Drug Offences'!BN19</f>
        <v>2</v>
      </c>
      <c r="AS546" s="609">
        <f>'[2]Drug Offences'!BO19</f>
        <v>4</v>
      </c>
      <c r="AT546" s="609">
        <f>'[2]Drug Offences'!BP19</f>
        <v>1</v>
      </c>
      <c r="AU546" s="609">
        <f>'[2]Drug Offences'!BQ19</f>
        <v>8</v>
      </c>
      <c r="AV546" s="609">
        <f>'[2]Drug Offences'!BR19</f>
        <v>3</v>
      </c>
      <c r="AW546" s="609">
        <f>'[2]Drug Offences'!BS19</f>
        <v>5</v>
      </c>
      <c r="AX546" s="609">
        <f>'[2]Drug Offences'!BT19</f>
        <v>3</v>
      </c>
      <c r="AY546" s="609">
        <f>'[2]Drug Offences'!BU19</f>
        <v>3</v>
      </c>
    </row>
    <row r="547" spans="3:51" x14ac:dyDescent="0.35">
      <c r="C547" s="663" t="s">
        <v>213</v>
      </c>
      <c r="D547" s="609">
        <f>'[2]Drug Offences'!Z20</f>
        <v>9</v>
      </c>
      <c r="E547" s="609">
        <f>'[2]Drug Offences'!AA20</f>
        <v>12</v>
      </c>
      <c r="F547" s="609">
        <f>'[2]Drug Offences'!AB20</f>
        <v>13</v>
      </c>
      <c r="G547" s="609">
        <f>'[2]Drug Offences'!AC20</f>
        <v>12</v>
      </c>
      <c r="H547" s="609">
        <f>'[2]Drug Offences'!AD20</f>
        <v>13</v>
      </c>
      <c r="I547" s="609">
        <f>'[2]Drug Offences'!AE20</f>
        <v>4</v>
      </c>
      <c r="J547" s="609">
        <f>'[2]Drug Offences'!AF20</f>
        <v>14</v>
      </c>
      <c r="K547" s="609">
        <f>'[2]Drug Offences'!AG20</f>
        <v>6</v>
      </c>
      <c r="L547" s="609">
        <f>'[2]Drug Offences'!AH20</f>
        <v>10</v>
      </c>
      <c r="M547" s="609">
        <f>'[2]Drug Offences'!AI20</f>
        <v>6</v>
      </c>
      <c r="N547" s="609">
        <f>'[2]Drug Offences'!AJ20</f>
        <v>6</v>
      </c>
      <c r="O547" s="609">
        <f>'[2]Drug Offences'!AK20</f>
        <v>9</v>
      </c>
      <c r="P547" s="609">
        <f>'[2]Drug Offences'!AL20</f>
        <v>4</v>
      </c>
      <c r="Q547" s="609">
        <f>'[2]Drug Offences'!AM20</f>
        <v>2</v>
      </c>
      <c r="R547" s="609">
        <f>'[2]Drug Offences'!AN20</f>
        <v>11</v>
      </c>
      <c r="S547" s="609">
        <f>'[2]Drug Offences'!AO20</f>
        <v>11</v>
      </c>
      <c r="T547" s="609">
        <f>'[2]Drug Offences'!AP20</f>
        <v>7</v>
      </c>
      <c r="U547" s="609">
        <f>'[2]Drug Offences'!AQ20</f>
        <v>5</v>
      </c>
      <c r="V547" s="609">
        <f>'[2]Drug Offences'!AR20</f>
        <v>13</v>
      </c>
      <c r="W547" s="609">
        <f>'[2]Drug Offences'!AS20</f>
        <v>6</v>
      </c>
      <c r="X547" s="609">
        <f>'[2]Drug Offences'!AT20</f>
        <v>7</v>
      </c>
      <c r="Y547" s="609">
        <f>'[2]Drug Offences'!AU20</f>
        <v>12</v>
      </c>
      <c r="Z547" s="609">
        <f>'[2]Drug Offences'!AV20</f>
        <v>8</v>
      </c>
      <c r="AA547" s="609">
        <f>'[2]Drug Offences'!AW20</f>
        <v>11</v>
      </c>
      <c r="AB547" s="609">
        <f>'[2]Drug Offences'!AX20</f>
        <v>10</v>
      </c>
      <c r="AC547" s="609">
        <f>'[2]Drug Offences'!AY20</f>
        <v>7</v>
      </c>
      <c r="AD547" s="609">
        <f>'[2]Drug Offences'!AZ20</f>
        <v>6</v>
      </c>
      <c r="AE547" s="609">
        <f>'[2]Drug Offences'!BA20</f>
        <v>9</v>
      </c>
      <c r="AF547" s="609">
        <f>'[2]Drug Offences'!BB20</f>
        <v>10</v>
      </c>
      <c r="AG547" s="609">
        <f>'[2]Drug Offences'!BC20</f>
        <v>8</v>
      </c>
      <c r="AH547" s="609">
        <f>'[2]Drug Offences'!BD20</f>
        <v>18</v>
      </c>
      <c r="AI547" s="609">
        <f>'[2]Drug Offences'!BE20</f>
        <v>8</v>
      </c>
      <c r="AJ547" s="609">
        <f>'[2]Drug Offences'!BF20</f>
        <v>5</v>
      </c>
      <c r="AK547" s="609">
        <f>'[2]Drug Offences'!BG20</f>
        <v>13</v>
      </c>
      <c r="AL547" s="609">
        <f>'[2]Drug Offences'!BH20</f>
        <v>9</v>
      </c>
      <c r="AM547" s="609">
        <f>'[2]Drug Offences'!BI20</f>
        <v>13</v>
      </c>
      <c r="AN547" s="609">
        <f>'[2]Drug Offences'!BJ20</f>
        <v>12</v>
      </c>
      <c r="AO547" s="609">
        <f>'[2]Drug Offences'!BK20</f>
        <v>7</v>
      </c>
      <c r="AP547" s="609">
        <f>'[2]Drug Offences'!BL20</f>
        <v>10</v>
      </c>
      <c r="AQ547" s="609">
        <f>'[2]Drug Offences'!BM20</f>
        <v>10</v>
      </c>
      <c r="AR547" s="609">
        <f>'[2]Drug Offences'!BN20</f>
        <v>9</v>
      </c>
      <c r="AS547" s="609">
        <f>'[2]Drug Offences'!BO20</f>
        <v>14</v>
      </c>
      <c r="AT547" s="609">
        <f>'[2]Drug Offences'!BP20</f>
        <v>10</v>
      </c>
      <c r="AU547" s="609">
        <f>'[2]Drug Offences'!BQ20</f>
        <v>20</v>
      </c>
      <c r="AV547" s="609">
        <f>'[2]Drug Offences'!BR20</f>
        <v>3</v>
      </c>
      <c r="AW547" s="609">
        <f>'[2]Drug Offences'!BS20</f>
        <v>18</v>
      </c>
      <c r="AX547" s="609">
        <f>'[2]Drug Offences'!BT20</f>
        <v>12</v>
      </c>
      <c r="AY547" s="609">
        <f>'[2]Drug Offences'!BU20</f>
        <v>7</v>
      </c>
    </row>
    <row r="548" spans="3:51" x14ac:dyDescent="0.35">
      <c r="C548" s="663" t="s">
        <v>214</v>
      </c>
      <c r="D548" s="609">
        <f>'[2]Drug Offences'!Z21</f>
        <v>11</v>
      </c>
      <c r="E548" s="609">
        <f>'[2]Drug Offences'!AA21</f>
        <v>14</v>
      </c>
      <c r="F548" s="609">
        <f>'[2]Drug Offences'!AB21</f>
        <v>6</v>
      </c>
      <c r="G548" s="609">
        <f>'[2]Drug Offences'!AC21</f>
        <v>9</v>
      </c>
      <c r="H548" s="609">
        <f>'[2]Drug Offences'!AD21</f>
        <v>8</v>
      </c>
      <c r="I548" s="609">
        <f>'[2]Drug Offences'!AE21</f>
        <v>5</v>
      </c>
      <c r="J548" s="609">
        <f>'[2]Drug Offences'!AF21</f>
        <v>14</v>
      </c>
      <c r="K548" s="609">
        <f>'[2]Drug Offences'!AG21</f>
        <v>5</v>
      </c>
      <c r="L548" s="609">
        <f>'[2]Drug Offences'!AH21</f>
        <v>6</v>
      </c>
      <c r="M548" s="609">
        <f>'[2]Drug Offences'!AI21</f>
        <v>7</v>
      </c>
      <c r="N548" s="609">
        <f>'[2]Drug Offences'!AJ21</f>
        <v>8</v>
      </c>
      <c r="O548" s="609">
        <f>'[2]Drug Offences'!AK21</f>
        <v>11</v>
      </c>
      <c r="P548" s="609">
        <f>'[2]Drug Offences'!AL21</f>
        <v>6</v>
      </c>
      <c r="Q548" s="609">
        <f>'[2]Drug Offences'!AM21</f>
        <v>12</v>
      </c>
      <c r="R548" s="609">
        <f>'[2]Drug Offences'!AN21</f>
        <v>6</v>
      </c>
      <c r="S548" s="609">
        <f>'[2]Drug Offences'!AO21</f>
        <v>6</v>
      </c>
      <c r="T548" s="609">
        <f>'[2]Drug Offences'!AP21</f>
        <v>9</v>
      </c>
      <c r="U548" s="609">
        <f>'[2]Drug Offences'!AQ21</f>
        <v>10</v>
      </c>
      <c r="V548" s="609">
        <f>'[2]Drug Offences'!AR21</f>
        <v>7</v>
      </c>
      <c r="W548" s="609">
        <f>'[2]Drug Offences'!AS21</f>
        <v>9</v>
      </c>
      <c r="X548" s="609">
        <f>'[2]Drug Offences'!AT21</f>
        <v>7</v>
      </c>
      <c r="Y548" s="609">
        <f>'[2]Drug Offences'!AU21</f>
        <v>9</v>
      </c>
      <c r="Z548" s="609">
        <f>'[2]Drug Offences'!AV21</f>
        <v>12</v>
      </c>
      <c r="AA548" s="609">
        <f>'[2]Drug Offences'!AW21</f>
        <v>13</v>
      </c>
      <c r="AB548" s="609">
        <f>'[2]Drug Offences'!AX21</f>
        <v>7</v>
      </c>
      <c r="AC548" s="609">
        <f>'[2]Drug Offences'!AY21</f>
        <v>11</v>
      </c>
      <c r="AD548" s="609">
        <f>'[2]Drug Offences'!AZ21</f>
        <v>10</v>
      </c>
      <c r="AE548" s="609">
        <f>'[2]Drug Offences'!BA21</f>
        <v>14</v>
      </c>
      <c r="AF548" s="609">
        <f>'[2]Drug Offences'!BB21</f>
        <v>14</v>
      </c>
      <c r="AG548" s="609">
        <f>'[2]Drug Offences'!BC21</f>
        <v>16</v>
      </c>
      <c r="AH548" s="609">
        <f>'[2]Drug Offences'!BD21</f>
        <v>11</v>
      </c>
      <c r="AI548" s="609">
        <f>'[2]Drug Offences'!BE21</f>
        <v>6</v>
      </c>
      <c r="AJ548" s="609">
        <f>'[2]Drug Offences'!BF21</f>
        <v>8</v>
      </c>
      <c r="AK548" s="609">
        <f>'[2]Drug Offences'!BG21</f>
        <v>9</v>
      </c>
      <c r="AL548" s="609">
        <f>'[2]Drug Offences'!BH21</f>
        <v>5</v>
      </c>
      <c r="AM548" s="609">
        <f>'[2]Drug Offences'!BI21</f>
        <v>12</v>
      </c>
      <c r="AN548" s="609">
        <f>'[2]Drug Offences'!BJ21</f>
        <v>9</v>
      </c>
      <c r="AO548" s="609">
        <f>'[2]Drug Offences'!BK21</f>
        <v>11</v>
      </c>
      <c r="AP548" s="609">
        <f>'[2]Drug Offences'!BL21</f>
        <v>8</v>
      </c>
      <c r="AQ548" s="609">
        <f>'[2]Drug Offences'!BM21</f>
        <v>8</v>
      </c>
      <c r="AR548" s="609">
        <f>'[2]Drug Offences'!BN21</f>
        <v>6</v>
      </c>
      <c r="AS548" s="609">
        <f>'[2]Drug Offences'!BO21</f>
        <v>10</v>
      </c>
      <c r="AT548" s="609">
        <f>'[2]Drug Offences'!BP21</f>
        <v>14</v>
      </c>
      <c r="AU548" s="609">
        <f>'[2]Drug Offences'!BQ21</f>
        <v>35</v>
      </c>
      <c r="AV548" s="609">
        <f>'[2]Drug Offences'!BR21</f>
        <v>22</v>
      </c>
      <c r="AW548" s="609">
        <f>'[2]Drug Offences'!BS21</f>
        <v>27</v>
      </c>
      <c r="AX548" s="609">
        <f>'[2]Drug Offences'!BT21</f>
        <v>11</v>
      </c>
      <c r="AY548" s="609">
        <f>'[2]Drug Offences'!BU21</f>
        <v>15</v>
      </c>
    </row>
    <row r="549" spans="3:51" x14ac:dyDescent="0.35">
      <c r="C549" s="663" t="s">
        <v>146</v>
      </c>
      <c r="D549" s="609">
        <f>'[2]Drug Offences'!Z22</f>
        <v>5</v>
      </c>
      <c r="E549" s="609">
        <f>'[2]Drug Offences'!AA22</f>
        <v>5</v>
      </c>
      <c r="F549" s="609">
        <f>'[2]Drug Offences'!AB22</f>
        <v>4</v>
      </c>
      <c r="G549" s="609">
        <f>'[2]Drug Offences'!AC22</f>
        <v>5</v>
      </c>
      <c r="H549" s="609">
        <f>'[2]Drug Offences'!AD22</f>
        <v>2</v>
      </c>
      <c r="I549" s="609">
        <f>'[2]Drug Offences'!AE22</f>
        <v>4</v>
      </c>
      <c r="J549" s="609">
        <f>'[2]Drug Offences'!AF22</f>
        <v>3</v>
      </c>
      <c r="K549" s="609">
        <f>'[2]Drug Offences'!AG22</f>
        <v>4</v>
      </c>
      <c r="L549" s="609">
        <f>'[2]Drug Offences'!AH22</f>
        <v>0</v>
      </c>
      <c r="M549" s="609">
        <f>'[2]Drug Offences'!AI22</f>
        <v>2</v>
      </c>
      <c r="N549" s="609">
        <f>'[2]Drug Offences'!AJ22</f>
        <v>0</v>
      </c>
      <c r="O549" s="609">
        <f>'[2]Drug Offences'!AK22</f>
        <v>4</v>
      </c>
      <c r="P549" s="609">
        <f>'[2]Drug Offences'!AL22</f>
        <v>4</v>
      </c>
      <c r="Q549" s="609">
        <f>'[2]Drug Offences'!AM22</f>
        <v>4</v>
      </c>
      <c r="R549" s="609">
        <f>'[2]Drug Offences'!AN22</f>
        <v>4</v>
      </c>
      <c r="S549" s="609">
        <f>'[2]Drug Offences'!AO22</f>
        <v>1</v>
      </c>
      <c r="T549" s="609">
        <f>'[2]Drug Offences'!AP22</f>
        <v>5</v>
      </c>
      <c r="U549" s="609">
        <f>'[2]Drug Offences'!AQ22</f>
        <v>6</v>
      </c>
      <c r="V549" s="609">
        <f>'[2]Drug Offences'!AR22</f>
        <v>7</v>
      </c>
      <c r="W549" s="609">
        <f>'[2]Drug Offences'!AS22</f>
        <v>6</v>
      </c>
      <c r="X549" s="609">
        <f>'[2]Drug Offences'!AT22</f>
        <v>1</v>
      </c>
      <c r="Y549" s="609">
        <f>'[2]Drug Offences'!AU22</f>
        <v>9</v>
      </c>
      <c r="Z549" s="609">
        <f>'[2]Drug Offences'!AV22</f>
        <v>8</v>
      </c>
      <c r="AA549" s="609">
        <f>'[2]Drug Offences'!AW22</f>
        <v>9</v>
      </c>
      <c r="AB549" s="609">
        <f>'[2]Drug Offences'!AX22</f>
        <v>4</v>
      </c>
      <c r="AC549" s="609">
        <f>'[2]Drug Offences'!AY22</f>
        <v>5</v>
      </c>
      <c r="AD549" s="609">
        <f>'[2]Drug Offences'!AZ22</f>
        <v>7</v>
      </c>
      <c r="AE549" s="609">
        <f>'[2]Drug Offences'!BA22</f>
        <v>8</v>
      </c>
      <c r="AF549" s="609">
        <f>'[2]Drug Offences'!BB22</f>
        <v>8</v>
      </c>
      <c r="AG549" s="609">
        <f>'[2]Drug Offences'!BC22</f>
        <v>5</v>
      </c>
      <c r="AH549" s="609">
        <f>'[2]Drug Offences'!BD22</f>
        <v>5</v>
      </c>
      <c r="AI549" s="609">
        <f>'[2]Drug Offences'!BE22</f>
        <v>6</v>
      </c>
      <c r="AJ549" s="609">
        <f>'[2]Drug Offences'!BF22</f>
        <v>5</v>
      </c>
      <c r="AK549" s="609">
        <f>'[2]Drug Offences'!BG22</f>
        <v>7</v>
      </c>
      <c r="AL549" s="609">
        <f>'[2]Drug Offences'!BH22</f>
        <v>4</v>
      </c>
      <c r="AM549" s="609">
        <f>'[2]Drug Offences'!BI22</f>
        <v>7</v>
      </c>
      <c r="AN549" s="609">
        <f>'[2]Drug Offences'!BJ22</f>
        <v>3</v>
      </c>
      <c r="AO549" s="609">
        <f>'[2]Drug Offences'!BK22</f>
        <v>4</v>
      </c>
      <c r="AP549" s="609">
        <f>'[2]Drug Offences'!BL22</f>
        <v>5</v>
      </c>
      <c r="AQ549" s="609">
        <f>'[2]Drug Offences'!BM22</f>
        <v>6</v>
      </c>
      <c r="AR549" s="609">
        <f>'[2]Drug Offences'!BN22</f>
        <v>1</v>
      </c>
      <c r="AS549" s="609">
        <f>'[2]Drug Offences'!BO22</f>
        <v>6</v>
      </c>
      <c r="AT549" s="609">
        <f>'[2]Drug Offences'!BP22</f>
        <v>5</v>
      </c>
      <c r="AU549" s="609">
        <f>'[2]Drug Offences'!BQ22</f>
        <v>4</v>
      </c>
      <c r="AV549" s="609">
        <f>'[2]Drug Offences'!BR22</f>
        <v>5</v>
      </c>
      <c r="AW549" s="609">
        <f>'[2]Drug Offences'!BS22</f>
        <v>3</v>
      </c>
      <c r="AX549" s="609">
        <f>'[2]Drug Offences'!BT22</f>
        <v>7</v>
      </c>
      <c r="AY549" s="609">
        <f>'[2]Drug Offences'!BU22</f>
        <v>7</v>
      </c>
    </row>
    <row r="550" spans="3:51" x14ac:dyDescent="0.35">
      <c r="C550" s="663" t="s">
        <v>147</v>
      </c>
      <c r="D550" s="609">
        <f>'[2]Drug Offences'!Z23</f>
        <v>7</v>
      </c>
      <c r="E550" s="609">
        <f>'[2]Drug Offences'!AA23</f>
        <v>20</v>
      </c>
      <c r="F550" s="609">
        <f>'[2]Drug Offences'!AB23</f>
        <v>7</v>
      </c>
      <c r="G550" s="609">
        <f>'[2]Drug Offences'!AC23</f>
        <v>4</v>
      </c>
      <c r="H550" s="609">
        <f>'[2]Drug Offences'!AD23</f>
        <v>7</v>
      </c>
      <c r="I550" s="609">
        <f>'[2]Drug Offences'!AE23</f>
        <v>9</v>
      </c>
      <c r="J550" s="609">
        <f>'[2]Drug Offences'!AF23</f>
        <v>15</v>
      </c>
      <c r="K550" s="609">
        <f>'[2]Drug Offences'!AG23</f>
        <v>12</v>
      </c>
      <c r="L550" s="609">
        <f>'[2]Drug Offences'!AH23</f>
        <v>3</v>
      </c>
      <c r="M550" s="609">
        <f>'[2]Drug Offences'!AI23</f>
        <v>10</v>
      </c>
      <c r="N550" s="609">
        <f>'[2]Drug Offences'!AJ23</f>
        <v>8</v>
      </c>
      <c r="O550" s="609">
        <f>'[2]Drug Offences'!AK23</f>
        <v>13</v>
      </c>
      <c r="P550" s="609">
        <f>'[2]Drug Offences'!AL23</f>
        <v>4</v>
      </c>
      <c r="Q550" s="609">
        <f>'[2]Drug Offences'!AM23</f>
        <v>6</v>
      </c>
      <c r="R550" s="609">
        <f>'[2]Drug Offences'!AN23</f>
        <v>6</v>
      </c>
      <c r="S550" s="609">
        <f>'[2]Drug Offences'!AO23</f>
        <v>10</v>
      </c>
      <c r="T550" s="609">
        <f>'[2]Drug Offences'!AP23</f>
        <v>15</v>
      </c>
      <c r="U550" s="609">
        <f>'[2]Drug Offences'!AQ23</f>
        <v>13</v>
      </c>
      <c r="V550" s="609">
        <f>'[2]Drug Offences'!AR23</f>
        <v>12</v>
      </c>
      <c r="W550" s="609">
        <f>'[2]Drug Offences'!AS23</f>
        <v>9</v>
      </c>
      <c r="X550" s="609">
        <f>'[2]Drug Offences'!AT23</f>
        <v>3</v>
      </c>
      <c r="Y550" s="609">
        <f>'[2]Drug Offences'!AU23</f>
        <v>8</v>
      </c>
      <c r="Z550" s="609">
        <f>'[2]Drug Offences'!AV23</f>
        <v>12</v>
      </c>
      <c r="AA550" s="609">
        <f>'[2]Drug Offences'!AW23</f>
        <v>4</v>
      </c>
      <c r="AB550" s="609">
        <f>'[2]Drug Offences'!AX23</f>
        <v>9</v>
      </c>
      <c r="AC550" s="609">
        <f>'[2]Drug Offences'!AY23</f>
        <v>8</v>
      </c>
      <c r="AD550" s="609">
        <f>'[2]Drug Offences'!AZ23</f>
        <v>10</v>
      </c>
      <c r="AE550" s="609">
        <f>'[2]Drug Offences'!BA23</f>
        <v>8</v>
      </c>
      <c r="AF550" s="609">
        <f>'[2]Drug Offences'!BB23</f>
        <v>8</v>
      </c>
      <c r="AG550" s="609">
        <f>'[2]Drug Offences'!BC23</f>
        <v>10</v>
      </c>
      <c r="AH550" s="609">
        <f>'[2]Drug Offences'!BD23</f>
        <v>12</v>
      </c>
      <c r="AI550" s="609">
        <f>'[2]Drug Offences'!BE23</f>
        <v>8</v>
      </c>
      <c r="AJ550" s="609">
        <f>'[2]Drug Offences'!BF23</f>
        <v>6</v>
      </c>
      <c r="AK550" s="609">
        <f>'[2]Drug Offences'!BG23</f>
        <v>4</v>
      </c>
      <c r="AL550" s="609">
        <f>'[2]Drug Offences'!BH23</f>
        <v>11</v>
      </c>
      <c r="AM550" s="609">
        <f>'[2]Drug Offences'!BI23</f>
        <v>7</v>
      </c>
      <c r="AN550" s="609">
        <f>'[2]Drug Offences'!BJ23</f>
        <v>4</v>
      </c>
      <c r="AO550" s="609">
        <f>'[2]Drug Offences'!BK23</f>
        <v>6</v>
      </c>
      <c r="AP550" s="609">
        <f>'[2]Drug Offences'!BL23</f>
        <v>8</v>
      </c>
      <c r="AQ550" s="609">
        <f>'[2]Drug Offences'!BM23</f>
        <v>8</v>
      </c>
      <c r="AR550" s="609">
        <f>'[2]Drug Offences'!BN23</f>
        <v>8</v>
      </c>
      <c r="AS550" s="609">
        <f>'[2]Drug Offences'!BO23</f>
        <v>6</v>
      </c>
      <c r="AT550" s="609">
        <f>'[2]Drug Offences'!BP23</f>
        <v>14</v>
      </c>
      <c r="AU550" s="609">
        <f>'[2]Drug Offences'!BQ23</f>
        <v>8</v>
      </c>
      <c r="AV550" s="609">
        <f>'[2]Drug Offences'!BR23</f>
        <v>3</v>
      </c>
      <c r="AW550" s="609">
        <f>'[2]Drug Offences'!BS23</f>
        <v>9</v>
      </c>
      <c r="AX550" s="609">
        <f>'[2]Drug Offences'!BT23</f>
        <v>11</v>
      </c>
      <c r="AY550" s="609">
        <f>'[2]Drug Offences'!BU23</f>
        <v>11</v>
      </c>
    </row>
    <row r="551" spans="3:51" x14ac:dyDescent="0.35">
      <c r="C551" s="663" t="s">
        <v>62</v>
      </c>
      <c r="D551" s="609">
        <f>'[2]Drug Offences'!Z24</f>
        <v>12</v>
      </c>
      <c r="E551" s="609">
        <f>'[2]Drug Offences'!AA24</f>
        <v>25</v>
      </c>
      <c r="F551" s="609">
        <f>'[2]Drug Offences'!AB24</f>
        <v>11</v>
      </c>
      <c r="G551" s="609">
        <f>'[2]Drug Offences'!AC24</f>
        <v>9</v>
      </c>
      <c r="H551" s="609">
        <f>'[2]Drug Offences'!AD24</f>
        <v>9</v>
      </c>
      <c r="I551" s="609">
        <f>'[2]Drug Offences'!AE24</f>
        <v>13</v>
      </c>
      <c r="J551" s="609">
        <f>'[2]Drug Offences'!AF24</f>
        <v>18</v>
      </c>
      <c r="K551" s="609">
        <f>'[2]Drug Offences'!AG24</f>
        <v>16</v>
      </c>
      <c r="L551" s="609">
        <f>'[2]Drug Offences'!AH24</f>
        <v>3</v>
      </c>
      <c r="M551" s="609">
        <f>'[2]Drug Offences'!AI24</f>
        <v>12</v>
      </c>
      <c r="N551" s="609">
        <f>'[2]Drug Offences'!AJ24</f>
        <v>8</v>
      </c>
      <c r="O551" s="609">
        <f>'[2]Drug Offences'!AK24</f>
        <v>17</v>
      </c>
      <c r="P551" s="609">
        <f>'[2]Drug Offences'!AL24</f>
        <v>8</v>
      </c>
      <c r="Q551" s="609">
        <f>'[2]Drug Offences'!AM24</f>
        <v>10</v>
      </c>
      <c r="R551" s="609">
        <f>'[2]Drug Offences'!AN24</f>
        <v>10</v>
      </c>
      <c r="S551" s="609">
        <f>'[2]Drug Offences'!AO24</f>
        <v>11</v>
      </c>
      <c r="T551" s="609">
        <f>'[2]Drug Offences'!AP24</f>
        <v>20</v>
      </c>
      <c r="U551" s="609">
        <f>'[2]Drug Offences'!AQ24</f>
        <v>19</v>
      </c>
      <c r="V551" s="609">
        <f>'[2]Drug Offences'!AR24</f>
        <v>19</v>
      </c>
      <c r="W551" s="609">
        <f>'[2]Drug Offences'!AS24</f>
        <v>15</v>
      </c>
      <c r="X551" s="609">
        <f>'[2]Drug Offences'!AT24</f>
        <v>4</v>
      </c>
      <c r="Y551" s="609">
        <f>'[2]Drug Offences'!AU24</f>
        <v>17</v>
      </c>
      <c r="Z551" s="609">
        <f>'[2]Drug Offences'!AV24</f>
        <v>20</v>
      </c>
      <c r="AA551" s="609">
        <f>'[2]Drug Offences'!AW24</f>
        <v>13</v>
      </c>
      <c r="AB551" s="609">
        <f>'[2]Drug Offences'!AX24</f>
        <v>13</v>
      </c>
      <c r="AC551" s="609">
        <f>'[2]Drug Offences'!AY24</f>
        <v>13</v>
      </c>
      <c r="AD551" s="609">
        <f>'[2]Drug Offences'!AZ24</f>
        <v>17</v>
      </c>
      <c r="AE551" s="609">
        <f>'[2]Drug Offences'!BA24</f>
        <v>16</v>
      </c>
      <c r="AF551" s="609">
        <f>'[2]Drug Offences'!BB24</f>
        <v>16</v>
      </c>
      <c r="AG551" s="609">
        <f>'[2]Drug Offences'!BC24</f>
        <v>15</v>
      </c>
      <c r="AH551" s="609">
        <f>'[2]Drug Offences'!BD24</f>
        <v>17</v>
      </c>
      <c r="AI551" s="609">
        <f>'[2]Drug Offences'!BE24</f>
        <v>14</v>
      </c>
      <c r="AJ551" s="609">
        <f>'[2]Drug Offences'!BF24</f>
        <v>11</v>
      </c>
      <c r="AK551" s="609">
        <f>'[2]Drug Offences'!BG24</f>
        <v>11</v>
      </c>
      <c r="AL551" s="609">
        <f>'[2]Drug Offences'!BH24</f>
        <v>15</v>
      </c>
      <c r="AM551" s="609">
        <f>'[2]Drug Offences'!BI24</f>
        <v>14</v>
      </c>
      <c r="AN551" s="609">
        <f>'[2]Drug Offences'!BJ24</f>
        <v>7</v>
      </c>
      <c r="AO551" s="609">
        <f>'[2]Drug Offences'!BK24</f>
        <v>10</v>
      </c>
      <c r="AP551" s="609">
        <f>'[2]Drug Offences'!BL24</f>
        <v>13</v>
      </c>
      <c r="AQ551" s="609">
        <f>'[2]Drug Offences'!BM24</f>
        <v>14</v>
      </c>
      <c r="AR551" s="609">
        <f>'[2]Drug Offences'!BN24</f>
        <v>9</v>
      </c>
      <c r="AS551" s="609">
        <f>'[2]Drug Offences'!BO24</f>
        <v>12</v>
      </c>
      <c r="AT551" s="609">
        <f>'[2]Drug Offences'!BP24</f>
        <v>19</v>
      </c>
      <c r="AU551" s="609">
        <f>'[2]Drug Offences'!BQ24</f>
        <v>12</v>
      </c>
      <c r="AV551" s="609">
        <f>'[2]Drug Offences'!BR24</f>
        <v>8</v>
      </c>
      <c r="AW551" s="609">
        <f>'[2]Drug Offences'!BS24</f>
        <v>12</v>
      </c>
      <c r="AX551" s="609">
        <f>'[2]Drug Offences'!BT24</f>
        <v>18</v>
      </c>
      <c r="AY551" s="609">
        <f>'[2]Drug Offences'!BU24</f>
        <v>18</v>
      </c>
    </row>
    <row r="552" spans="3:51" x14ac:dyDescent="0.35">
      <c r="C552" s="663" t="s">
        <v>0</v>
      </c>
      <c r="D552" s="609">
        <f>'[2]Drug Offences'!Z25</f>
        <v>33</v>
      </c>
      <c r="E552" s="609">
        <f>'[2]Drug Offences'!AA25</f>
        <v>53</v>
      </c>
      <c r="F552" s="609">
        <f>'[2]Drug Offences'!AB25</f>
        <v>32</v>
      </c>
      <c r="G552" s="609">
        <f>'[2]Drug Offences'!AC25</f>
        <v>36</v>
      </c>
      <c r="H552" s="609">
        <f>'[2]Drug Offences'!AD25</f>
        <v>33</v>
      </c>
      <c r="I552" s="609">
        <f>'[2]Drug Offences'!AE25</f>
        <v>24</v>
      </c>
      <c r="J552" s="609">
        <f>'[2]Drug Offences'!AF25</f>
        <v>50</v>
      </c>
      <c r="K552" s="609">
        <f>'[2]Drug Offences'!AG25</f>
        <v>30</v>
      </c>
      <c r="L552" s="609">
        <f>'[2]Drug Offences'!AH25</f>
        <v>20</v>
      </c>
      <c r="M552" s="609">
        <f>'[2]Drug Offences'!AI25</f>
        <v>25</v>
      </c>
      <c r="N552" s="609">
        <f>'[2]Drug Offences'!AJ25</f>
        <v>25</v>
      </c>
      <c r="O552" s="609">
        <f>'[2]Drug Offences'!AK25</f>
        <v>40</v>
      </c>
      <c r="P552" s="609">
        <f>'[2]Drug Offences'!AL25</f>
        <v>20</v>
      </c>
      <c r="Q552" s="609">
        <f>'[2]Drug Offences'!AM25</f>
        <v>25</v>
      </c>
      <c r="R552" s="609">
        <f>'[2]Drug Offences'!AN25</f>
        <v>29</v>
      </c>
      <c r="S552" s="609">
        <f>'[2]Drug Offences'!AO25</f>
        <v>30</v>
      </c>
      <c r="T552" s="609">
        <f>'[2]Drug Offences'!AP25</f>
        <v>39</v>
      </c>
      <c r="U552" s="609">
        <f>'[2]Drug Offences'!AQ25</f>
        <v>38</v>
      </c>
      <c r="V552" s="609">
        <f>'[2]Drug Offences'!AR25</f>
        <v>40</v>
      </c>
      <c r="W552" s="609">
        <f>'[2]Drug Offences'!AS25</f>
        <v>33</v>
      </c>
      <c r="X552" s="609">
        <f>'[2]Drug Offences'!AT25</f>
        <v>19</v>
      </c>
      <c r="Y552" s="609">
        <f>'[2]Drug Offences'!AU25</f>
        <v>43</v>
      </c>
      <c r="Z552" s="609">
        <f>'[2]Drug Offences'!AV25</f>
        <v>43</v>
      </c>
      <c r="AA552" s="609">
        <f>'[2]Drug Offences'!AW25</f>
        <v>39</v>
      </c>
      <c r="AB552" s="609">
        <f>'[2]Drug Offences'!AX25</f>
        <v>33</v>
      </c>
      <c r="AC552" s="609">
        <f>'[2]Drug Offences'!AY25</f>
        <v>35</v>
      </c>
      <c r="AD552" s="609">
        <f>'[2]Drug Offences'!AZ25</f>
        <v>36</v>
      </c>
      <c r="AE552" s="609">
        <f>'[2]Drug Offences'!BA25</f>
        <v>46</v>
      </c>
      <c r="AF552" s="609">
        <f>'[2]Drug Offences'!BB25</f>
        <v>46</v>
      </c>
      <c r="AG552" s="609">
        <f>'[2]Drug Offences'!BC25</f>
        <v>52</v>
      </c>
      <c r="AH552" s="609">
        <f>'[2]Drug Offences'!BD25</f>
        <v>52</v>
      </c>
      <c r="AI552" s="609">
        <f>'[2]Drug Offences'!BE25</f>
        <v>31</v>
      </c>
      <c r="AJ552" s="609">
        <f>'[2]Drug Offences'!BF25</f>
        <v>26</v>
      </c>
      <c r="AK552" s="609">
        <f>'[2]Drug Offences'!BG25</f>
        <v>37</v>
      </c>
      <c r="AL552" s="609">
        <f>'[2]Drug Offences'!BH25</f>
        <v>33</v>
      </c>
      <c r="AM552" s="609">
        <f>'[2]Drug Offences'!BI25</f>
        <v>41</v>
      </c>
      <c r="AN552" s="609">
        <f>'[2]Drug Offences'!BJ25</f>
        <v>33</v>
      </c>
      <c r="AO552" s="609">
        <f>'[2]Drug Offences'!BK25</f>
        <v>29</v>
      </c>
      <c r="AP552" s="609">
        <f>'[2]Drug Offences'!BL25</f>
        <v>34</v>
      </c>
      <c r="AQ552" s="609">
        <f>'[2]Drug Offences'!BM25</f>
        <v>35</v>
      </c>
      <c r="AR552" s="609">
        <f>'[2]Drug Offences'!BN25</f>
        <v>26</v>
      </c>
      <c r="AS552" s="609">
        <f>'[2]Drug Offences'!BO25</f>
        <v>40</v>
      </c>
      <c r="AT552" s="609">
        <f>'[2]Drug Offences'!BP25</f>
        <v>44</v>
      </c>
      <c r="AU552" s="609">
        <f>'[2]Drug Offences'!BQ25</f>
        <v>75</v>
      </c>
      <c r="AV552" s="609">
        <f>'[2]Drug Offences'!BR25</f>
        <v>36</v>
      </c>
      <c r="AW552" s="609">
        <f>'[2]Drug Offences'!BS25</f>
        <v>62</v>
      </c>
      <c r="AX552" s="609">
        <f>'[2]Drug Offences'!BT25</f>
        <v>44</v>
      </c>
      <c r="AY552" s="609">
        <f>'[2]Drug Offences'!BU25</f>
        <v>43</v>
      </c>
    </row>
    <row r="553" spans="3:51" x14ac:dyDescent="0.35">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c r="AX553" s="64"/>
      <c r="AY553" s="64"/>
    </row>
    <row r="554" spans="3:51" ht="31" x14ac:dyDescent="0.35">
      <c r="C554" s="784" t="s">
        <v>426</v>
      </c>
      <c r="D554" s="39">
        <v>44287</v>
      </c>
      <c r="E554" s="39">
        <v>44317</v>
      </c>
      <c r="F554" s="39">
        <v>44348</v>
      </c>
      <c r="G554" s="39">
        <v>44378</v>
      </c>
      <c r="H554" s="39">
        <v>44409</v>
      </c>
      <c r="I554" s="39">
        <v>44440</v>
      </c>
      <c r="J554" s="39">
        <v>44470</v>
      </c>
      <c r="K554" s="39">
        <v>44501</v>
      </c>
      <c r="L554" s="39">
        <v>44531</v>
      </c>
      <c r="M554" s="39">
        <v>44562</v>
      </c>
      <c r="N554" s="39">
        <v>44593</v>
      </c>
      <c r="O554" s="39">
        <v>44621</v>
      </c>
      <c r="P554" s="39">
        <v>44652</v>
      </c>
      <c r="Q554" s="39">
        <v>44682</v>
      </c>
      <c r="R554" s="39">
        <v>44713</v>
      </c>
      <c r="S554" s="39">
        <v>44743</v>
      </c>
      <c r="T554" s="39">
        <v>44774</v>
      </c>
      <c r="U554" s="39">
        <v>44805</v>
      </c>
      <c r="V554" s="39">
        <v>44835</v>
      </c>
      <c r="W554" s="39">
        <v>44866</v>
      </c>
      <c r="X554" s="39">
        <v>44896</v>
      </c>
      <c r="Y554" s="39">
        <v>44927</v>
      </c>
      <c r="Z554" s="39">
        <v>44958</v>
      </c>
      <c r="AA554" s="39">
        <v>44986</v>
      </c>
      <c r="AB554" s="39">
        <v>45017</v>
      </c>
      <c r="AC554" s="39">
        <v>45047</v>
      </c>
      <c r="AD554" s="39">
        <v>45078</v>
      </c>
      <c r="AE554" s="39">
        <v>45108</v>
      </c>
      <c r="AF554" s="39">
        <v>45139</v>
      </c>
      <c r="AG554" s="39">
        <v>45170</v>
      </c>
      <c r="AH554" s="39">
        <v>45200</v>
      </c>
      <c r="AI554" s="39">
        <v>45231</v>
      </c>
      <c r="AJ554" s="39">
        <v>45261</v>
      </c>
      <c r="AK554" s="39">
        <v>45292</v>
      </c>
      <c r="AL554" s="39">
        <v>45323</v>
      </c>
      <c r="AM554" s="39">
        <v>45352</v>
      </c>
      <c r="AN554" s="39">
        <v>45383</v>
      </c>
      <c r="AO554" s="39">
        <v>45413</v>
      </c>
      <c r="AP554" s="39">
        <v>45444</v>
      </c>
      <c r="AQ554" s="39">
        <v>45474</v>
      </c>
      <c r="AR554" s="39">
        <v>45505</v>
      </c>
      <c r="AS554" s="39">
        <v>45536</v>
      </c>
      <c r="AT554" s="39">
        <v>45566</v>
      </c>
      <c r="AU554" s="39">
        <v>45597</v>
      </c>
      <c r="AV554" s="39">
        <v>45627</v>
      </c>
      <c r="AW554" s="39">
        <v>45658</v>
      </c>
      <c r="AX554" s="39">
        <v>45689</v>
      </c>
      <c r="AY554" s="39">
        <v>45717</v>
      </c>
    </row>
    <row r="555" spans="3:51" x14ac:dyDescent="0.35">
      <c r="C555" s="785" t="s">
        <v>214</v>
      </c>
      <c r="D555" s="45">
        <f>'[2]VAP Knife Crime'!Z25</f>
        <v>0</v>
      </c>
      <c r="E555" s="45">
        <f>'[2]VAP Knife Crime'!AA25</f>
        <v>1</v>
      </c>
      <c r="F555" s="45">
        <f>'[2]VAP Knife Crime'!AB25</f>
        <v>5</v>
      </c>
      <c r="G555" s="45">
        <f>'[2]VAP Knife Crime'!AC25</f>
        <v>1</v>
      </c>
      <c r="H555" s="45">
        <f>'[2]VAP Knife Crime'!AD25</f>
        <v>1</v>
      </c>
      <c r="I555" s="45">
        <f>'[2]VAP Knife Crime'!AE25</f>
        <v>1</v>
      </c>
      <c r="J555" s="45">
        <f>'[2]VAP Knife Crime'!AF25</f>
        <v>3</v>
      </c>
      <c r="K555" s="45">
        <f>'[2]VAP Knife Crime'!AG25</f>
        <v>0</v>
      </c>
      <c r="L555" s="45">
        <f>'[2]VAP Knife Crime'!AH25</f>
        <v>2</v>
      </c>
      <c r="M555" s="45">
        <f>'[2]VAP Knife Crime'!AI25</f>
        <v>0</v>
      </c>
      <c r="N555" s="45">
        <f>'[2]VAP Knife Crime'!AJ25</f>
        <v>1</v>
      </c>
      <c r="O555" s="45">
        <f>'[2]VAP Knife Crime'!AK25</f>
        <v>1</v>
      </c>
      <c r="P555" s="45">
        <f>'[2]VAP Knife Crime'!AL25</f>
        <v>1</v>
      </c>
      <c r="Q555" s="45">
        <f>'[2]VAP Knife Crime'!AM25</f>
        <v>2</v>
      </c>
      <c r="R555" s="45">
        <f>'[2]VAP Knife Crime'!AN25</f>
        <v>1</v>
      </c>
      <c r="S555" s="45">
        <f>'[2]VAP Knife Crime'!AO25</f>
        <v>2</v>
      </c>
      <c r="T555" s="45">
        <f>'[2]VAP Knife Crime'!AP25</f>
        <v>0</v>
      </c>
      <c r="U555" s="45">
        <f>'[2]VAP Knife Crime'!AQ25</f>
        <v>5</v>
      </c>
      <c r="V555" s="45">
        <f>'[2]VAP Knife Crime'!AR25</f>
        <v>2</v>
      </c>
      <c r="W555" s="45">
        <f>'[2]VAP Knife Crime'!AS25</f>
        <v>0</v>
      </c>
      <c r="X555" s="45">
        <f>'[2]VAP Knife Crime'!AT25</f>
        <v>3</v>
      </c>
      <c r="Y555" s="45">
        <f>'[2]VAP Knife Crime'!AU25</f>
        <v>0</v>
      </c>
      <c r="Z555" s="45">
        <f>'[2]VAP Knife Crime'!AV25</f>
        <v>1</v>
      </c>
      <c r="AA555" s="45">
        <f>'[2]VAP Knife Crime'!AW25</f>
        <v>2</v>
      </c>
      <c r="AB555" s="45">
        <f>'[2]VAP Knife Crime'!AX25</f>
        <v>1</v>
      </c>
      <c r="AC555" s="45">
        <f>'[2]VAP Knife Crime'!AY25</f>
        <v>1</v>
      </c>
      <c r="AD555" s="45">
        <f>'[2]VAP Knife Crime'!AZ25</f>
        <v>1</v>
      </c>
      <c r="AE555" s="45">
        <f>'[2]VAP Knife Crime'!BA25</f>
        <v>3</v>
      </c>
      <c r="AF555" s="45">
        <f>'[2]VAP Knife Crime'!BB25</f>
        <v>0</v>
      </c>
      <c r="AG555" s="45">
        <f>'[2]VAP Knife Crime'!BC25</f>
        <v>0</v>
      </c>
      <c r="AH555" s="45">
        <f>'[2]VAP Knife Crime'!BD25</f>
        <v>1</v>
      </c>
      <c r="AI555" s="45">
        <f>'[2]VAP Knife Crime'!BE25</f>
        <v>1</v>
      </c>
      <c r="AJ555" s="45">
        <f>'[2]VAP Knife Crime'!BF25</f>
        <v>1</v>
      </c>
      <c r="AK555" s="45">
        <f>'[2]VAP Knife Crime'!BG25</f>
        <v>0</v>
      </c>
      <c r="AL555" s="45">
        <f>'[2]VAP Knife Crime'!BH25</f>
        <v>0</v>
      </c>
      <c r="AM555" s="45">
        <f>'[2]VAP Knife Crime'!BI25</f>
        <v>0</v>
      </c>
      <c r="AN555" s="45">
        <f>'[2]VAP Knife Crime'!BJ25</f>
        <v>0</v>
      </c>
      <c r="AO555" s="45">
        <f>'[2]VAP Knife Crime'!BK25</f>
        <v>0</v>
      </c>
      <c r="AP555" s="45">
        <f>'[2]VAP Knife Crime'!BL25</f>
        <v>1</v>
      </c>
      <c r="AQ555" s="45">
        <f>'[2]VAP Knife Crime'!BM25</f>
        <v>1</v>
      </c>
      <c r="AR555" s="45">
        <f>'[2]VAP Knife Crime'!BN25</f>
        <v>2</v>
      </c>
      <c r="AS555" s="45">
        <f>'[2]VAP Knife Crime'!BO25</f>
        <v>0</v>
      </c>
      <c r="AT555" s="45">
        <f>'[2]VAP Knife Crime'!BP25</f>
        <v>1</v>
      </c>
      <c r="AU555" s="45">
        <f>'[2]VAP Knife Crime'!BQ25</f>
        <v>2</v>
      </c>
      <c r="AV555" s="45">
        <f>'[2]VAP Knife Crime'!BR25</f>
        <v>0</v>
      </c>
      <c r="AW555" s="45">
        <f>'[2]VAP Knife Crime'!BS25</f>
        <v>0</v>
      </c>
      <c r="AX555" s="45">
        <f>'[2]VAP Knife Crime'!BT25</f>
        <v>0</v>
      </c>
      <c r="AY555" s="45">
        <f>'[2]VAP Knife Crime'!BU25</f>
        <v>2</v>
      </c>
    </row>
    <row r="556" spans="3:51" x14ac:dyDescent="0.35">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c r="AX556" s="64"/>
      <c r="AY556" s="64"/>
    </row>
    <row r="557" spans="3:51" x14ac:dyDescent="0.35">
      <c r="C557" s="928" t="s">
        <v>444</v>
      </c>
      <c r="D557" s="39">
        <v>44287</v>
      </c>
      <c r="E557" s="39">
        <v>44317</v>
      </c>
      <c r="F557" s="39">
        <v>44348</v>
      </c>
      <c r="G557" s="39">
        <v>44378</v>
      </c>
      <c r="H557" s="39">
        <v>44409</v>
      </c>
      <c r="I557" s="39">
        <v>44440</v>
      </c>
      <c r="J557" s="39">
        <v>44470</v>
      </c>
      <c r="K557" s="39">
        <v>44501</v>
      </c>
      <c r="L557" s="39">
        <v>44531</v>
      </c>
      <c r="M557" s="39">
        <v>44562</v>
      </c>
      <c r="N557" s="39">
        <v>44593</v>
      </c>
      <c r="O557" s="39">
        <v>44621</v>
      </c>
      <c r="P557" s="39">
        <v>44652</v>
      </c>
      <c r="Q557" s="39">
        <v>44682</v>
      </c>
      <c r="R557" s="39">
        <v>44713</v>
      </c>
      <c r="S557" s="39">
        <v>44743</v>
      </c>
      <c r="T557" s="39">
        <v>44774</v>
      </c>
      <c r="U557" s="39">
        <v>44805</v>
      </c>
      <c r="V557" s="39">
        <v>44835</v>
      </c>
      <c r="W557" s="39">
        <v>44866</v>
      </c>
      <c r="X557" s="39">
        <v>44896</v>
      </c>
      <c r="Y557" s="39">
        <v>44927</v>
      </c>
      <c r="Z557" s="39">
        <v>44958</v>
      </c>
      <c r="AA557" s="39">
        <v>44986</v>
      </c>
      <c r="AB557" s="39">
        <v>45017</v>
      </c>
      <c r="AC557" s="39">
        <v>45047</v>
      </c>
      <c r="AD557" s="39">
        <v>45078</v>
      </c>
      <c r="AE557" s="39">
        <v>45108</v>
      </c>
      <c r="AF557" s="39">
        <v>45139</v>
      </c>
      <c r="AG557" s="39">
        <v>45170</v>
      </c>
      <c r="AH557" s="39">
        <v>45200</v>
      </c>
      <c r="AI557" s="39">
        <v>45231</v>
      </c>
      <c r="AJ557" s="39">
        <v>45261</v>
      </c>
      <c r="AK557" s="39">
        <v>45292</v>
      </c>
      <c r="AL557" s="39">
        <v>45323</v>
      </c>
      <c r="AM557" s="39">
        <v>45352</v>
      </c>
      <c r="AN557" s="39">
        <v>45383</v>
      </c>
      <c r="AO557" s="39">
        <v>45413</v>
      </c>
      <c r="AP557" s="39">
        <v>45444</v>
      </c>
      <c r="AQ557" s="39">
        <v>45474</v>
      </c>
      <c r="AR557" s="39">
        <v>45505</v>
      </c>
      <c r="AS557" s="39">
        <v>45536</v>
      </c>
      <c r="AT557" s="39">
        <v>45566</v>
      </c>
      <c r="AU557" s="39">
        <v>45597</v>
      </c>
      <c r="AV557" s="39">
        <v>45627</v>
      </c>
      <c r="AW557" s="39">
        <v>45658</v>
      </c>
      <c r="AX557" s="39">
        <v>45689</v>
      </c>
      <c r="AY557" s="39">
        <v>45717</v>
      </c>
    </row>
    <row r="558" spans="3:51" x14ac:dyDescent="0.35">
      <c r="C558" s="823" t="s">
        <v>429</v>
      </c>
      <c r="D558" s="64">
        <f>'[2]Hate Crime Types'!B2</f>
        <v>68</v>
      </c>
      <c r="E558" s="64">
        <f>'[2]Hate Crime Types'!C2</f>
        <v>68</v>
      </c>
      <c r="F558" s="64">
        <f>'[2]Hate Crime Types'!D2</f>
        <v>64</v>
      </c>
      <c r="G558" s="64">
        <f>'[2]Hate Crime Types'!E2</f>
        <v>73</v>
      </c>
      <c r="H558" s="64">
        <f>'[2]Hate Crime Types'!F2</f>
        <v>68</v>
      </c>
      <c r="I558" s="64">
        <f>'[2]Hate Crime Types'!G2</f>
        <v>67</v>
      </c>
      <c r="J558" s="64">
        <f>'[2]Hate Crime Types'!H2</f>
        <v>67</v>
      </c>
      <c r="K558" s="64">
        <f>'[2]Hate Crime Types'!I2</f>
        <v>50</v>
      </c>
      <c r="L558" s="64">
        <f>'[2]Hate Crime Types'!J2</f>
        <v>60</v>
      </c>
      <c r="M558" s="64">
        <f>'[2]Hate Crime Types'!K2</f>
        <v>53</v>
      </c>
      <c r="N558" s="64">
        <f>'[2]Hate Crime Types'!L2</f>
        <v>39</v>
      </c>
      <c r="O558" s="64">
        <f>'[2]Hate Crime Types'!M2</f>
        <v>53</v>
      </c>
      <c r="P558" s="64">
        <f>'[2]Hate Crime Types'!N2</f>
        <v>56</v>
      </c>
      <c r="Q558" s="64">
        <f>'[2]Hate Crime Types'!O2</f>
        <v>65</v>
      </c>
      <c r="R558" s="64">
        <f>'[2]Hate Crime Types'!P2</f>
        <v>66</v>
      </c>
      <c r="S558" s="64">
        <f>'[2]Hate Crime Types'!Q2</f>
        <v>73</v>
      </c>
      <c r="T558" s="64">
        <f>'[2]Hate Crime Types'!R2</f>
        <v>57</v>
      </c>
      <c r="U558" s="64">
        <f>'[2]Hate Crime Types'!S2</f>
        <v>56</v>
      </c>
      <c r="V558" s="64">
        <f>'[2]Hate Crime Types'!T2</f>
        <v>39</v>
      </c>
      <c r="W558" s="64">
        <f>'[2]Hate Crime Types'!U2</f>
        <v>54</v>
      </c>
      <c r="X558" s="64">
        <f>'[2]Hate Crime Types'!V2</f>
        <v>47</v>
      </c>
      <c r="Y558" s="64">
        <f>'[2]Hate Crime Types'!W2</f>
        <v>48</v>
      </c>
      <c r="Z558" s="64">
        <f>'[2]Hate Crime Types'!X2</f>
        <v>37</v>
      </c>
      <c r="AA558" s="64">
        <f>'[2]Hate Crime Types'!Y2</f>
        <v>62</v>
      </c>
      <c r="AB558" s="64">
        <f>'[2]Hate Crime Types'!Z2</f>
        <v>60</v>
      </c>
      <c r="AC558" s="64">
        <f>'[2]Hate Crime Types'!AA2</f>
        <v>49</v>
      </c>
      <c r="AD558" s="64">
        <f>'[2]Hate Crime Types'!AB2</f>
        <v>52</v>
      </c>
      <c r="AE558" s="64">
        <f>'[2]Hate Crime Types'!AC2</f>
        <v>70</v>
      </c>
      <c r="AF558" s="64">
        <f>'[2]Hate Crime Types'!AD2</f>
        <v>57</v>
      </c>
      <c r="AG558" s="64">
        <f>'[2]Hate Crime Types'!AE2</f>
        <v>56</v>
      </c>
      <c r="AH558" s="64">
        <f>'[2]Hate Crime Types'!AF2</f>
        <v>60</v>
      </c>
      <c r="AI558" s="64">
        <f>'[2]Hate Crime Types'!AG2</f>
        <v>56</v>
      </c>
      <c r="AJ558" s="64">
        <f>'[2]Hate Crime Types'!AH2</f>
        <v>44</v>
      </c>
      <c r="AK558" s="64">
        <f>'[2]Hate Crime Types'!AI2</f>
        <v>37</v>
      </c>
      <c r="AL558" s="64">
        <f>'[2]Hate Crime Types'!AJ2</f>
        <v>46</v>
      </c>
      <c r="AM558" s="64">
        <f>'[2]Hate Crime Types'!AK2</f>
        <v>50</v>
      </c>
      <c r="AN558" s="64">
        <f>'[2]Hate Crime Types'!AL2</f>
        <v>37</v>
      </c>
      <c r="AO558" s="64">
        <f>'[2]Hate Crime Types'!AM2</f>
        <v>51</v>
      </c>
      <c r="AP558" s="64">
        <f>'[2]Hate Crime Types'!AN2</f>
        <v>66</v>
      </c>
      <c r="AQ558" s="64">
        <f>'[2]Hate Crime Types'!AO2</f>
        <v>68</v>
      </c>
      <c r="AR558" s="64">
        <f>'[2]Hate Crime Types'!AP2</f>
        <v>64</v>
      </c>
      <c r="AS558" s="64">
        <f>'[2]Hate Crime Types'!AQ2</f>
        <v>54</v>
      </c>
      <c r="AT558" s="64">
        <f>'[2]Hate Crime Types'!AR2</f>
        <v>50</v>
      </c>
      <c r="AU558" s="64">
        <f>'[2]Hate Crime Types'!AS2</f>
        <v>38</v>
      </c>
      <c r="AV558" s="64">
        <f>'[2]Hate Crime Types'!AT2</f>
        <v>45</v>
      </c>
      <c r="AW558" s="64">
        <f>'[2]Hate Crime Types'!AU2</f>
        <v>46</v>
      </c>
      <c r="AX558" s="64">
        <f>'[2]Hate Crime Types'!AV2</f>
        <v>45</v>
      </c>
      <c r="AY558" s="64">
        <f>'[2]Hate Crime Types'!AW2</f>
        <v>36</v>
      </c>
    </row>
    <row r="559" spans="3:51" x14ac:dyDescent="0.35">
      <c r="C559" s="823" t="s">
        <v>430</v>
      </c>
      <c r="D559" s="64">
        <f>'[2]Hate Crime Types'!B3</f>
        <v>25</v>
      </c>
      <c r="E559" s="64">
        <f>'[2]Hate Crime Types'!C3</f>
        <v>18</v>
      </c>
      <c r="F559" s="64">
        <f>'[2]Hate Crime Types'!D3</f>
        <v>29</v>
      </c>
      <c r="G559" s="64">
        <f>'[2]Hate Crime Types'!E3</f>
        <v>12</v>
      </c>
      <c r="H559" s="64">
        <f>'[2]Hate Crime Types'!F3</f>
        <v>18</v>
      </c>
      <c r="I559" s="64">
        <f>'[2]Hate Crime Types'!G3</f>
        <v>13</v>
      </c>
      <c r="J559" s="64">
        <f>'[2]Hate Crime Types'!H3</f>
        <v>11</v>
      </c>
      <c r="K559" s="64">
        <f>'[2]Hate Crime Types'!I3</f>
        <v>24</v>
      </c>
      <c r="L559" s="64">
        <f>'[2]Hate Crime Types'!J3</f>
        <v>9</v>
      </c>
      <c r="M559" s="64">
        <f>'[2]Hate Crime Types'!K3</f>
        <v>10</v>
      </c>
      <c r="N559" s="64">
        <f>'[2]Hate Crime Types'!L3</f>
        <v>9</v>
      </c>
      <c r="O559" s="64">
        <f>'[2]Hate Crime Types'!M3</f>
        <v>13</v>
      </c>
      <c r="P559" s="64">
        <f>'[2]Hate Crime Types'!N3</f>
        <v>12</v>
      </c>
      <c r="Q559" s="64">
        <f>'[2]Hate Crime Types'!O3</f>
        <v>15</v>
      </c>
      <c r="R559" s="64">
        <f>'[2]Hate Crime Types'!P3</f>
        <v>12</v>
      </c>
      <c r="S559" s="64">
        <f>'[2]Hate Crime Types'!Q3</f>
        <v>18</v>
      </c>
      <c r="T559" s="64">
        <f>'[2]Hate Crime Types'!R3</f>
        <v>15</v>
      </c>
      <c r="U559" s="64">
        <f>'[2]Hate Crime Types'!S3</f>
        <v>11</v>
      </c>
      <c r="V559" s="64">
        <f>'[2]Hate Crime Types'!T3</f>
        <v>14</v>
      </c>
      <c r="W559" s="64">
        <f>'[2]Hate Crime Types'!U3</f>
        <v>10</v>
      </c>
      <c r="X559" s="64">
        <f>'[2]Hate Crime Types'!V3</f>
        <v>7</v>
      </c>
      <c r="Y559" s="64">
        <f>'[2]Hate Crime Types'!W3</f>
        <v>15</v>
      </c>
      <c r="Z559" s="64">
        <f>'[2]Hate Crime Types'!X3</f>
        <v>13</v>
      </c>
      <c r="AA559" s="64">
        <f>'[2]Hate Crime Types'!Y3</f>
        <v>14</v>
      </c>
      <c r="AB559" s="64">
        <f>'[2]Hate Crime Types'!Z3</f>
        <v>16</v>
      </c>
      <c r="AC559" s="64">
        <f>'[2]Hate Crime Types'!AA3</f>
        <v>7</v>
      </c>
      <c r="AD559" s="64">
        <f>'[2]Hate Crime Types'!AB3</f>
        <v>9</v>
      </c>
      <c r="AE559" s="64">
        <f>'[2]Hate Crime Types'!AC3</f>
        <v>8</v>
      </c>
      <c r="AF559" s="64">
        <f>'[2]Hate Crime Types'!AD3</f>
        <v>15</v>
      </c>
      <c r="AG559" s="64">
        <f>'[2]Hate Crime Types'!AE3</f>
        <v>15</v>
      </c>
      <c r="AH559" s="64">
        <f>'[2]Hate Crime Types'!AF3</f>
        <v>21</v>
      </c>
      <c r="AI559" s="64">
        <f>'[2]Hate Crime Types'!AG3</f>
        <v>22</v>
      </c>
      <c r="AJ559" s="64">
        <f>'[2]Hate Crime Types'!AH3</f>
        <v>6</v>
      </c>
      <c r="AK559" s="64">
        <f>'[2]Hate Crime Types'!AI3</f>
        <v>12</v>
      </c>
      <c r="AL559" s="64">
        <f>'[2]Hate Crime Types'!AJ3</f>
        <v>20</v>
      </c>
      <c r="AM559" s="64">
        <f>'[2]Hate Crime Types'!AK3</f>
        <v>14</v>
      </c>
      <c r="AN559" s="64">
        <f>'[2]Hate Crime Types'!AL3</f>
        <v>11</v>
      </c>
      <c r="AO559" s="64">
        <f>'[2]Hate Crime Types'!AM3</f>
        <v>17</v>
      </c>
      <c r="AP559" s="64">
        <f>'[2]Hate Crime Types'!AN3</f>
        <v>13</v>
      </c>
      <c r="AQ559" s="64">
        <f>'[2]Hate Crime Types'!AO3</f>
        <v>19</v>
      </c>
      <c r="AR559" s="64">
        <f>'[2]Hate Crime Types'!AP3</f>
        <v>27</v>
      </c>
      <c r="AS559" s="64">
        <f>'[2]Hate Crime Types'!AQ3</f>
        <v>14</v>
      </c>
      <c r="AT559" s="64">
        <f>'[2]Hate Crime Types'!AR3</f>
        <v>12</v>
      </c>
      <c r="AU559" s="64">
        <f>'[2]Hate Crime Types'!AS3</f>
        <v>14</v>
      </c>
      <c r="AV559" s="64">
        <f>'[2]Hate Crime Types'!AT3</f>
        <v>14</v>
      </c>
      <c r="AW559" s="64">
        <f>'[2]Hate Crime Types'!AU3</f>
        <v>15</v>
      </c>
      <c r="AX559" s="64">
        <f>'[2]Hate Crime Types'!AV3</f>
        <v>12</v>
      </c>
      <c r="AY559" s="64">
        <f>'[2]Hate Crime Types'!AW3</f>
        <v>16</v>
      </c>
    </row>
    <row r="560" spans="3:51" x14ac:dyDescent="0.35">
      <c r="C560" s="823" t="s">
        <v>431</v>
      </c>
      <c r="D560" s="64">
        <f>'[2]Hate Crime Types'!B4</f>
        <v>10</v>
      </c>
      <c r="E560" s="64">
        <f>'[2]Hate Crime Types'!C4</f>
        <v>7</v>
      </c>
      <c r="F560" s="64">
        <f>'[2]Hate Crime Types'!D4</f>
        <v>12</v>
      </c>
      <c r="G560" s="64">
        <f>'[2]Hate Crime Types'!E4</f>
        <v>18</v>
      </c>
      <c r="H560" s="64">
        <f>'[2]Hate Crime Types'!F4</f>
        <v>16</v>
      </c>
      <c r="I560" s="64">
        <f>'[2]Hate Crime Types'!G4</f>
        <v>16</v>
      </c>
      <c r="J560" s="64">
        <f>'[2]Hate Crime Types'!H4</f>
        <v>16</v>
      </c>
      <c r="K560" s="64">
        <f>'[2]Hate Crime Types'!I4</f>
        <v>14</v>
      </c>
      <c r="L560" s="64">
        <f>'[2]Hate Crime Types'!J4</f>
        <v>15</v>
      </c>
      <c r="M560" s="64">
        <f>'[2]Hate Crime Types'!K4</f>
        <v>12</v>
      </c>
      <c r="N560" s="64">
        <f>'[2]Hate Crime Types'!L4</f>
        <v>14</v>
      </c>
      <c r="O560" s="64">
        <f>'[2]Hate Crime Types'!M4</f>
        <v>18</v>
      </c>
      <c r="P560" s="64">
        <f>'[2]Hate Crime Types'!N4</f>
        <v>11</v>
      </c>
      <c r="Q560" s="64">
        <f>'[2]Hate Crime Types'!O4</f>
        <v>14</v>
      </c>
      <c r="R560" s="64">
        <f>'[2]Hate Crime Types'!P4</f>
        <v>24</v>
      </c>
      <c r="S560" s="64">
        <f>'[2]Hate Crime Types'!Q4</f>
        <v>20</v>
      </c>
      <c r="T560" s="64">
        <f>'[2]Hate Crime Types'!R4</f>
        <v>20</v>
      </c>
      <c r="U560" s="64">
        <f>'[2]Hate Crime Types'!S4</f>
        <v>15</v>
      </c>
      <c r="V560" s="64">
        <f>'[2]Hate Crime Types'!T4</f>
        <v>10</v>
      </c>
      <c r="W560" s="64">
        <f>'[2]Hate Crime Types'!U4</f>
        <v>11</v>
      </c>
      <c r="X560" s="64">
        <f>'[2]Hate Crime Types'!V4</f>
        <v>10</v>
      </c>
      <c r="Y560" s="64">
        <f>'[2]Hate Crime Types'!W4</f>
        <v>10</v>
      </c>
      <c r="Z560" s="64">
        <f>'[2]Hate Crime Types'!X4</f>
        <v>11</v>
      </c>
      <c r="AA560" s="64">
        <f>'[2]Hate Crime Types'!Y4</f>
        <v>7</v>
      </c>
      <c r="AB560" s="64">
        <f>'[2]Hate Crime Types'!Z4</f>
        <v>14</v>
      </c>
      <c r="AC560" s="64">
        <f>'[2]Hate Crime Types'!AA4</f>
        <v>10</v>
      </c>
      <c r="AD560" s="64">
        <f>'[2]Hate Crime Types'!AB4</f>
        <v>10</v>
      </c>
      <c r="AE560" s="64">
        <f>'[2]Hate Crime Types'!AC4</f>
        <v>11</v>
      </c>
      <c r="AF560" s="64">
        <f>'[2]Hate Crime Types'!AD4</f>
        <v>5</v>
      </c>
      <c r="AG560" s="64">
        <f>'[2]Hate Crime Types'!AE4</f>
        <v>8</v>
      </c>
      <c r="AH560" s="64">
        <f>'[2]Hate Crime Types'!AF4</f>
        <v>10</v>
      </c>
      <c r="AI560" s="64">
        <f>'[2]Hate Crime Types'!AG4</f>
        <v>5</v>
      </c>
      <c r="AJ560" s="64">
        <f>'[2]Hate Crime Types'!AH4</f>
        <v>5</v>
      </c>
      <c r="AK560" s="64">
        <f>'[2]Hate Crime Types'!AI4</f>
        <v>2</v>
      </c>
      <c r="AL560" s="64">
        <f>'[2]Hate Crime Types'!AJ4</f>
        <v>10</v>
      </c>
      <c r="AM560" s="64">
        <f>'[2]Hate Crime Types'!AK4</f>
        <v>8</v>
      </c>
      <c r="AN560" s="64">
        <f>'[2]Hate Crime Types'!AL4</f>
        <v>9</v>
      </c>
      <c r="AO560" s="64">
        <f>'[2]Hate Crime Types'!AM4</f>
        <v>5</v>
      </c>
      <c r="AP560" s="64">
        <f>'[2]Hate Crime Types'!AN4</f>
        <v>7</v>
      </c>
      <c r="AQ560" s="64">
        <f>'[2]Hate Crime Types'!AO4</f>
        <v>12</v>
      </c>
      <c r="AR560" s="64">
        <f>'[2]Hate Crime Types'!AP4</f>
        <v>15</v>
      </c>
      <c r="AS560" s="64">
        <f>'[2]Hate Crime Types'!AQ4</f>
        <v>7</v>
      </c>
      <c r="AT560" s="64">
        <f>'[2]Hate Crime Types'!AR4</f>
        <v>7</v>
      </c>
      <c r="AU560" s="64">
        <f>'[2]Hate Crime Types'!AS4</f>
        <v>9</v>
      </c>
      <c r="AV560" s="64">
        <f>'[2]Hate Crime Types'!AT4</f>
        <v>6</v>
      </c>
      <c r="AW560" s="64">
        <f>'[2]Hate Crime Types'!AU4</f>
        <v>8</v>
      </c>
      <c r="AX560" s="64">
        <f>'[2]Hate Crime Types'!AV4</f>
        <v>8</v>
      </c>
      <c r="AY560" s="64">
        <f>'[2]Hate Crime Types'!AW4</f>
        <v>11</v>
      </c>
    </row>
    <row r="561" spans="3:51" x14ac:dyDescent="0.35">
      <c r="C561" s="823" t="s">
        <v>432</v>
      </c>
      <c r="D561" s="64">
        <f>'[2]Hate Crime Types'!B5</f>
        <v>2</v>
      </c>
      <c r="E561" s="64">
        <f>'[2]Hate Crime Types'!C5</f>
        <v>4</v>
      </c>
      <c r="F561" s="64">
        <f>'[2]Hate Crime Types'!D5</f>
        <v>1</v>
      </c>
      <c r="G561" s="64">
        <f>'[2]Hate Crime Types'!E5</f>
        <v>1</v>
      </c>
      <c r="H561" s="64">
        <f>'[2]Hate Crime Types'!F5</f>
        <v>8</v>
      </c>
      <c r="I561" s="64">
        <f>'[2]Hate Crime Types'!G5</f>
        <v>0</v>
      </c>
      <c r="J561" s="64">
        <f>'[2]Hate Crime Types'!H5</f>
        <v>1</v>
      </c>
      <c r="K561" s="64">
        <f>'[2]Hate Crime Types'!I5</f>
        <v>4</v>
      </c>
      <c r="L561" s="64">
        <f>'[2]Hate Crime Types'!J5</f>
        <v>1</v>
      </c>
      <c r="M561" s="64">
        <f>'[2]Hate Crime Types'!K5</f>
        <v>3</v>
      </c>
      <c r="N561" s="64">
        <f>'[2]Hate Crime Types'!L5</f>
        <v>2</v>
      </c>
      <c r="O561" s="64">
        <f>'[2]Hate Crime Types'!M5</f>
        <v>3</v>
      </c>
      <c r="P561" s="64">
        <f>'[2]Hate Crime Types'!N5</f>
        <v>0</v>
      </c>
      <c r="Q561" s="64">
        <f>'[2]Hate Crime Types'!O5</f>
        <v>4</v>
      </c>
      <c r="R561" s="64">
        <f>'[2]Hate Crime Types'!P5</f>
        <v>3</v>
      </c>
      <c r="S561" s="64">
        <f>'[2]Hate Crime Types'!Q5</f>
        <v>2</v>
      </c>
      <c r="T561" s="64">
        <f>'[2]Hate Crime Types'!R5</f>
        <v>3</v>
      </c>
      <c r="U561" s="64">
        <f>'[2]Hate Crime Types'!S5</f>
        <v>4</v>
      </c>
      <c r="V561" s="64">
        <f>'[2]Hate Crime Types'!T5</f>
        <v>3</v>
      </c>
      <c r="W561" s="64">
        <f>'[2]Hate Crime Types'!U5</f>
        <v>4</v>
      </c>
      <c r="X561" s="64">
        <f>'[2]Hate Crime Types'!V5</f>
        <v>7</v>
      </c>
      <c r="Y561" s="64">
        <f>'[2]Hate Crime Types'!W5</f>
        <v>4</v>
      </c>
      <c r="Z561" s="64">
        <f>'[2]Hate Crime Types'!X5</f>
        <v>4</v>
      </c>
      <c r="AA561" s="64">
        <f>'[2]Hate Crime Types'!Y5</f>
        <v>0</v>
      </c>
      <c r="AB561" s="64">
        <f>'[2]Hate Crime Types'!Z5</f>
        <v>1</v>
      </c>
      <c r="AC561" s="64">
        <f>'[2]Hate Crime Types'!AA5</f>
        <v>4</v>
      </c>
      <c r="AD561" s="64">
        <f>'[2]Hate Crime Types'!AB5</f>
        <v>3</v>
      </c>
      <c r="AE561" s="64">
        <f>'[2]Hate Crime Types'!AC5</f>
        <v>3</v>
      </c>
      <c r="AF561" s="64">
        <f>'[2]Hate Crime Types'!AD5</f>
        <v>4</v>
      </c>
      <c r="AG561" s="64">
        <f>'[2]Hate Crime Types'!AE5</f>
        <v>5</v>
      </c>
      <c r="AH561" s="64">
        <f>'[2]Hate Crime Types'!AF5</f>
        <v>4</v>
      </c>
      <c r="AI561" s="64">
        <f>'[2]Hate Crime Types'!AG5</f>
        <v>1</v>
      </c>
      <c r="AJ561" s="64">
        <f>'[2]Hate Crime Types'!AH5</f>
        <v>2</v>
      </c>
      <c r="AK561" s="64">
        <f>'[2]Hate Crime Types'!AI5</f>
        <v>3</v>
      </c>
      <c r="AL561" s="64">
        <f>'[2]Hate Crime Types'!AJ5</f>
        <v>3</v>
      </c>
      <c r="AM561" s="64">
        <f>'[2]Hate Crime Types'!AK5</f>
        <v>0</v>
      </c>
      <c r="AN561" s="64">
        <f>'[2]Hate Crime Types'!AL5</f>
        <v>2</v>
      </c>
      <c r="AO561" s="64">
        <f>'[2]Hate Crime Types'!AM5</f>
        <v>3</v>
      </c>
      <c r="AP561" s="64">
        <f>'[2]Hate Crime Types'!AN5</f>
        <v>2</v>
      </c>
      <c r="AQ561" s="64">
        <f>'[2]Hate Crime Types'!AO5</f>
        <v>4</v>
      </c>
      <c r="AR561" s="64">
        <f>'[2]Hate Crime Types'!AP5</f>
        <v>3</v>
      </c>
      <c r="AS561" s="64">
        <f>'[2]Hate Crime Types'!AQ5</f>
        <v>1</v>
      </c>
      <c r="AT561" s="64">
        <f>'[2]Hate Crime Types'!AR5</f>
        <v>1</v>
      </c>
      <c r="AU561" s="64">
        <f>'[2]Hate Crime Types'!AS5</f>
        <v>4</v>
      </c>
      <c r="AV561" s="64">
        <f>'[2]Hate Crime Types'!AT5</f>
        <v>4</v>
      </c>
      <c r="AW561" s="64">
        <f>'[2]Hate Crime Types'!AU5</f>
        <v>4</v>
      </c>
      <c r="AX561" s="64">
        <f>'[2]Hate Crime Types'!AV5</f>
        <v>3</v>
      </c>
      <c r="AY561" s="64">
        <f>'[2]Hate Crime Types'!AW5</f>
        <v>3</v>
      </c>
    </row>
    <row r="562" spans="3:51" x14ac:dyDescent="0.35">
      <c r="C562" s="824" t="s">
        <v>433</v>
      </c>
      <c r="D562" s="64">
        <f>'[2]Hate Crime Types'!B6</f>
        <v>1</v>
      </c>
      <c r="E562" s="64">
        <f>'[2]Hate Crime Types'!C6</f>
        <v>2</v>
      </c>
      <c r="F562" s="64">
        <f>'[2]Hate Crime Types'!D6</f>
        <v>0</v>
      </c>
      <c r="G562" s="64">
        <f>'[2]Hate Crime Types'!E6</f>
        <v>3</v>
      </c>
      <c r="H562" s="64">
        <f>'[2]Hate Crime Types'!F6</f>
        <v>2</v>
      </c>
      <c r="I562" s="64">
        <f>'[2]Hate Crime Types'!G6</f>
        <v>0</v>
      </c>
      <c r="J562" s="64">
        <f>'[2]Hate Crime Types'!H6</f>
        <v>0</v>
      </c>
      <c r="K562" s="64">
        <f>'[2]Hate Crime Types'!I6</f>
        <v>1</v>
      </c>
      <c r="L562" s="64">
        <f>'[2]Hate Crime Types'!J6</f>
        <v>1</v>
      </c>
      <c r="M562" s="64">
        <f>'[2]Hate Crime Types'!K6</f>
        <v>2</v>
      </c>
      <c r="N562" s="64">
        <f>'[2]Hate Crime Types'!L6</f>
        <v>1</v>
      </c>
      <c r="O562" s="64">
        <f>'[2]Hate Crime Types'!M6</f>
        <v>1</v>
      </c>
      <c r="P562" s="64">
        <f>'[2]Hate Crime Types'!N6</f>
        <v>0</v>
      </c>
      <c r="Q562" s="64">
        <f>'[2]Hate Crime Types'!O6</f>
        <v>0</v>
      </c>
      <c r="R562" s="64">
        <f>'[2]Hate Crime Types'!P6</f>
        <v>0</v>
      </c>
      <c r="S562" s="64">
        <f>'[2]Hate Crime Types'!Q6</f>
        <v>0</v>
      </c>
      <c r="T562" s="64">
        <f>'[2]Hate Crime Types'!R6</f>
        <v>0</v>
      </c>
      <c r="U562" s="64">
        <f>'[2]Hate Crime Types'!S6</f>
        <v>0</v>
      </c>
      <c r="V562" s="64">
        <f>'[2]Hate Crime Types'!T6</f>
        <v>0</v>
      </c>
      <c r="W562" s="64">
        <f>'[2]Hate Crime Types'!U6</f>
        <v>0</v>
      </c>
      <c r="X562" s="64">
        <f>'[2]Hate Crime Types'!V6</f>
        <v>0</v>
      </c>
      <c r="Y562" s="64">
        <f>'[2]Hate Crime Types'!W6</f>
        <v>0</v>
      </c>
      <c r="Z562" s="64">
        <f>'[2]Hate Crime Types'!X6</f>
        <v>0</v>
      </c>
      <c r="AA562" s="64">
        <f>'[2]Hate Crime Types'!Y6</f>
        <v>0</v>
      </c>
      <c r="AB562" s="64">
        <f>'[2]Hate Crime Types'!Z6</f>
        <v>0</v>
      </c>
      <c r="AC562" s="64">
        <f>'[2]Hate Crime Types'!AA6</f>
        <v>0</v>
      </c>
      <c r="AD562" s="64">
        <f>'[2]Hate Crime Types'!AB6</f>
        <v>0</v>
      </c>
      <c r="AE562" s="64">
        <f>'[2]Hate Crime Types'!AC6</f>
        <v>0</v>
      </c>
      <c r="AF562" s="64">
        <f>'[2]Hate Crime Types'!AD6</f>
        <v>0</v>
      </c>
      <c r="AG562" s="64">
        <f>'[2]Hate Crime Types'!AE6</f>
        <v>0</v>
      </c>
      <c r="AH562" s="64">
        <f>'[2]Hate Crime Types'!AF6</f>
        <v>0</v>
      </c>
      <c r="AI562" s="64">
        <f>'[2]Hate Crime Types'!AG6</f>
        <v>0</v>
      </c>
      <c r="AJ562" s="64">
        <f>'[2]Hate Crime Types'!AH6</f>
        <v>0</v>
      </c>
      <c r="AK562" s="64">
        <f>'[2]Hate Crime Types'!AI6</f>
        <v>0</v>
      </c>
      <c r="AL562" s="64">
        <f>'[2]Hate Crime Types'!AJ6</f>
        <v>0</v>
      </c>
      <c r="AM562" s="64">
        <f>'[2]Hate Crime Types'!AK6</f>
        <v>0</v>
      </c>
      <c r="AN562" s="64">
        <f>'[2]Hate Crime Types'!AL6</f>
        <v>0</v>
      </c>
      <c r="AO562" s="64">
        <f>'[2]Hate Crime Types'!AM6</f>
        <v>0</v>
      </c>
      <c r="AP562" s="64">
        <f>'[2]Hate Crime Types'!AN6</f>
        <v>0</v>
      </c>
      <c r="AQ562" s="64">
        <f>'[2]Hate Crime Types'!AO6</f>
        <v>0</v>
      </c>
      <c r="AR562" s="64">
        <f>'[2]Hate Crime Types'!AP6</f>
        <v>0</v>
      </c>
      <c r="AS562" s="64">
        <f>'[2]Hate Crime Types'!AQ6</f>
        <v>0</v>
      </c>
      <c r="AT562" s="64">
        <f>'[2]Hate Crime Types'!AR6</f>
        <v>0</v>
      </c>
      <c r="AU562" s="64">
        <f>'[2]Hate Crime Types'!AS6</f>
        <v>0</v>
      </c>
      <c r="AV562" s="64">
        <f>'[2]Hate Crime Types'!AT6</f>
        <v>0</v>
      </c>
      <c r="AW562" s="64">
        <f>'[2]Hate Crime Types'!AU6</f>
        <v>0</v>
      </c>
      <c r="AX562" s="64">
        <f>'[2]Hate Crime Types'!AV6</f>
        <v>0</v>
      </c>
      <c r="AY562" s="64">
        <f>'[2]Hate Crime Types'!AW6</f>
        <v>0</v>
      </c>
    </row>
    <row r="563" spans="3:51" x14ac:dyDescent="0.35">
      <c r="C563" s="824" t="s">
        <v>434</v>
      </c>
      <c r="D563" s="64">
        <f>'[2]Hate Crime Types'!B7</f>
        <v>1</v>
      </c>
      <c r="E563" s="64">
        <f>'[2]Hate Crime Types'!C7</f>
        <v>3</v>
      </c>
      <c r="F563" s="64">
        <f>'[2]Hate Crime Types'!D7</f>
        <v>6</v>
      </c>
      <c r="G563" s="64">
        <f>'[2]Hate Crime Types'!E7</f>
        <v>3</v>
      </c>
      <c r="H563" s="64">
        <f>'[2]Hate Crime Types'!F7</f>
        <v>1</v>
      </c>
      <c r="I563" s="64">
        <f>'[2]Hate Crime Types'!G7</f>
        <v>3</v>
      </c>
      <c r="J563" s="64">
        <f>'[2]Hate Crime Types'!H7</f>
        <v>2</v>
      </c>
      <c r="K563" s="64">
        <f>'[2]Hate Crime Types'!I7</f>
        <v>3</v>
      </c>
      <c r="L563" s="64">
        <f>'[2]Hate Crime Types'!J7</f>
        <v>1</v>
      </c>
      <c r="M563" s="64">
        <f>'[2]Hate Crime Types'!K7</f>
        <v>4</v>
      </c>
      <c r="N563" s="64">
        <f>'[2]Hate Crime Types'!L7</f>
        <v>2</v>
      </c>
      <c r="O563" s="64">
        <f>'[2]Hate Crime Types'!M7</f>
        <v>2</v>
      </c>
      <c r="P563" s="64">
        <f>'[2]Hate Crime Types'!N7</f>
        <v>0</v>
      </c>
      <c r="Q563" s="64">
        <f>'[2]Hate Crime Types'!O7</f>
        <v>2</v>
      </c>
      <c r="R563" s="64">
        <f>'[2]Hate Crime Types'!P7</f>
        <v>7</v>
      </c>
      <c r="S563" s="64">
        <f>'[2]Hate Crime Types'!Q7</f>
        <v>5</v>
      </c>
      <c r="T563" s="64">
        <f>'[2]Hate Crime Types'!R7</f>
        <v>3</v>
      </c>
      <c r="U563" s="64">
        <f>'[2]Hate Crime Types'!S7</f>
        <v>0</v>
      </c>
      <c r="V563" s="64">
        <f>'[2]Hate Crime Types'!T7</f>
        <v>0</v>
      </c>
      <c r="W563" s="64">
        <f>'[2]Hate Crime Types'!U7</f>
        <v>3</v>
      </c>
      <c r="X563" s="64">
        <f>'[2]Hate Crime Types'!V7</f>
        <v>4</v>
      </c>
      <c r="Y563" s="64">
        <f>'[2]Hate Crime Types'!W7</f>
        <v>2</v>
      </c>
      <c r="Z563" s="64">
        <f>'[2]Hate Crime Types'!X7</f>
        <v>3</v>
      </c>
      <c r="AA563" s="64">
        <f>'[2]Hate Crime Types'!Y7</f>
        <v>2</v>
      </c>
      <c r="AB563" s="64">
        <f>'[2]Hate Crime Types'!Z7</f>
        <v>4</v>
      </c>
      <c r="AC563" s="64">
        <f>'[2]Hate Crime Types'!AA7</f>
        <v>4</v>
      </c>
      <c r="AD563" s="64">
        <f>'[2]Hate Crime Types'!AB7</f>
        <v>4</v>
      </c>
      <c r="AE563" s="64">
        <f>'[2]Hate Crime Types'!AC7</f>
        <v>4</v>
      </c>
      <c r="AF563" s="64">
        <f>'[2]Hate Crime Types'!AD7</f>
        <v>2</v>
      </c>
      <c r="AG563" s="64">
        <f>'[2]Hate Crime Types'!AE7</f>
        <v>1</v>
      </c>
      <c r="AH563" s="64">
        <f>'[2]Hate Crime Types'!AF7</f>
        <v>1</v>
      </c>
      <c r="AI563" s="64">
        <f>'[2]Hate Crime Types'!AG7</f>
        <v>3</v>
      </c>
      <c r="AJ563" s="64">
        <f>'[2]Hate Crime Types'!AH7</f>
        <v>4</v>
      </c>
      <c r="AK563" s="64">
        <f>'[2]Hate Crime Types'!AI7</f>
        <v>4</v>
      </c>
      <c r="AL563" s="64">
        <f>'[2]Hate Crime Types'!AJ7</f>
        <v>5</v>
      </c>
      <c r="AM563" s="64">
        <f>'[2]Hate Crime Types'!AK7</f>
        <v>5</v>
      </c>
      <c r="AN563" s="64">
        <f>'[2]Hate Crime Types'!AL7</f>
        <v>1</v>
      </c>
      <c r="AO563" s="64">
        <f>'[2]Hate Crime Types'!AM7</f>
        <v>3</v>
      </c>
      <c r="AP563" s="64">
        <f>'[2]Hate Crime Types'!AN7</f>
        <v>4</v>
      </c>
      <c r="AQ563" s="64">
        <f>'[2]Hate Crime Types'!AO7</f>
        <v>2</v>
      </c>
      <c r="AR563" s="64">
        <f>'[2]Hate Crime Types'!AP7</f>
        <v>4</v>
      </c>
      <c r="AS563" s="64">
        <f>'[2]Hate Crime Types'!AQ7</f>
        <v>6</v>
      </c>
      <c r="AT563" s="64">
        <f>'[2]Hate Crime Types'!AR7</f>
        <v>3</v>
      </c>
      <c r="AU563" s="64">
        <f>'[2]Hate Crime Types'!AS7</f>
        <v>2</v>
      </c>
      <c r="AV563" s="64">
        <f>'[2]Hate Crime Types'!AT7</f>
        <v>3</v>
      </c>
      <c r="AW563" s="64">
        <f>'[2]Hate Crime Types'!AU7</f>
        <v>0</v>
      </c>
      <c r="AX563" s="64">
        <f>'[2]Hate Crime Types'!AV7</f>
        <v>0</v>
      </c>
      <c r="AY563" s="64">
        <f>'[2]Hate Crime Types'!AW7</f>
        <v>1</v>
      </c>
    </row>
    <row r="564" spans="3:51" x14ac:dyDescent="0.35">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c r="AM564" s="64"/>
      <c r="AN564" s="64"/>
      <c r="AO564" s="64"/>
      <c r="AP564" s="64"/>
      <c r="AQ564" s="64"/>
      <c r="AR564" s="64"/>
      <c r="AS564" s="64"/>
      <c r="AT564" s="64"/>
      <c r="AU564" s="64"/>
      <c r="AV564" s="64"/>
      <c r="AW564" s="64"/>
      <c r="AX564" s="64"/>
      <c r="AY564" s="64"/>
    </row>
    <row r="565" spans="3:51" x14ac:dyDescent="0.35">
      <c r="C565" s="927" t="s">
        <v>440</v>
      </c>
      <c r="D565" s="39">
        <v>44287</v>
      </c>
      <c r="E565" s="39">
        <v>44317</v>
      </c>
      <c r="F565" s="39">
        <v>44348</v>
      </c>
      <c r="G565" s="39">
        <v>44378</v>
      </c>
      <c r="H565" s="39">
        <v>44409</v>
      </c>
      <c r="I565" s="39">
        <v>44440</v>
      </c>
      <c r="J565" s="39">
        <v>44470</v>
      </c>
      <c r="K565" s="39">
        <v>44501</v>
      </c>
      <c r="L565" s="39">
        <v>44531</v>
      </c>
      <c r="M565" s="39">
        <v>44562</v>
      </c>
      <c r="N565" s="39">
        <v>44593</v>
      </c>
      <c r="O565" s="39">
        <v>44621</v>
      </c>
      <c r="P565" s="39">
        <v>44652</v>
      </c>
      <c r="Q565" s="39">
        <v>44682</v>
      </c>
      <c r="R565" s="39">
        <v>44713</v>
      </c>
      <c r="S565" s="39">
        <v>44743</v>
      </c>
      <c r="T565" s="39">
        <v>44774</v>
      </c>
      <c r="U565" s="39">
        <v>44805</v>
      </c>
      <c r="V565" s="39">
        <v>44835</v>
      </c>
      <c r="W565" s="39">
        <v>44866</v>
      </c>
      <c r="X565" s="39">
        <v>44896</v>
      </c>
      <c r="Y565" s="39">
        <v>44927</v>
      </c>
      <c r="Z565" s="39">
        <v>44958</v>
      </c>
      <c r="AA565" s="39">
        <v>44986</v>
      </c>
      <c r="AB565" s="39">
        <v>45017</v>
      </c>
      <c r="AC565" s="39">
        <v>45047</v>
      </c>
      <c r="AD565" s="39">
        <v>45078</v>
      </c>
      <c r="AE565" s="39">
        <v>45108</v>
      </c>
      <c r="AF565" s="39">
        <v>45139</v>
      </c>
      <c r="AG565" s="39">
        <v>45170</v>
      </c>
      <c r="AH565" s="39">
        <v>45200</v>
      </c>
      <c r="AI565" s="39">
        <v>45231</v>
      </c>
      <c r="AJ565" s="39">
        <v>45261</v>
      </c>
      <c r="AK565" s="39">
        <v>45292</v>
      </c>
      <c r="AL565" s="39">
        <v>45323</v>
      </c>
      <c r="AM565" s="39">
        <v>45352</v>
      </c>
      <c r="AN565" s="39">
        <v>45383</v>
      </c>
      <c r="AO565" s="39">
        <v>45413</v>
      </c>
      <c r="AP565" s="39">
        <v>45444</v>
      </c>
      <c r="AQ565" s="39">
        <v>45474</v>
      </c>
      <c r="AR565" s="39">
        <v>45505</v>
      </c>
      <c r="AS565" s="39">
        <v>45536</v>
      </c>
      <c r="AT565" s="39">
        <v>45566</v>
      </c>
      <c r="AU565" s="39">
        <v>45597</v>
      </c>
      <c r="AV565" s="39">
        <v>45627</v>
      </c>
      <c r="AW565" s="39">
        <v>45658</v>
      </c>
      <c r="AX565" s="39">
        <v>45689</v>
      </c>
      <c r="AY565" s="39">
        <v>45717</v>
      </c>
    </row>
    <row r="566" spans="3:51" s="1063" customFormat="1" x14ac:dyDescent="0.35">
      <c r="C566" s="1076" t="s">
        <v>445</v>
      </c>
      <c r="P566" s="1032" t="str">
        <f>[2]KPIs!B2</f>
        <v xml:space="preserve"> - </v>
      </c>
      <c r="Q566" s="1032" t="str">
        <f>[2]KPIs!C2</f>
        <v xml:space="preserve"> - </v>
      </c>
      <c r="R566" s="1032">
        <f>[2]KPIs!D2</f>
        <v>0.97</v>
      </c>
      <c r="S566" s="1032" t="str">
        <f>[2]KPIs!E2</f>
        <v xml:space="preserve"> - </v>
      </c>
      <c r="T566" s="1032" t="str">
        <f>[2]KPIs!F2</f>
        <v xml:space="preserve"> - </v>
      </c>
      <c r="U566" s="1032">
        <f>[2]KPIs!G2</f>
        <v>1</v>
      </c>
      <c r="V566" s="1032" t="str">
        <f>[2]KPIs!H2</f>
        <v xml:space="preserve"> - </v>
      </c>
      <c r="W566" s="1032" t="str">
        <f>[2]KPIs!I2</f>
        <v xml:space="preserve"> - </v>
      </c>
      <c r="X566" s="1032">
        <f>[2]KPIs!J2</f>
        <v>0.99</v>
      </c>
      <c r="Y566" s="1032" t="str">
        <f>[2]KPIs!K2</f>
        <v xml:space="preserve"> - </v>
      </c>
      <c r="Z566" s="1032" t="str">
        <f>[2]KPIs!L2</f>
        <v xml:space="preserve"> - </v>
      </c>
      <c r="AA566" s="1032">
        <f>[2]KPIs!M2</f>
        <v>0.96</v>
      </c>
      <c r="AB566" s="1032" t="str">
        <f>[2]KPIs!N2</f>
        <v xml:space="preserve"> - </v>
      </c>
      <c r="AC566" s="1032" t="str">
        <f>[2]KPIs!O2</f>
        <v xml:space="preserve"> - </v>
      </c>
      <c r="AD566" s="1032">
        <f>[2]KPIs!P2</f>
        <v>0.99</v>
      </c>
      <c r="AE566" s="1032" t="str">
        <f>[2]KPIs!Q2</f>
        <v xml:space="preserve"> - </v>
      </c>
      <c r="AF566" s="1032" t="str">
        <f>[2]KPIs!R2</f>
        <v xml:space="preserve"> - </v>
      </c>
      <c r="AG566" s="1032">
        <f>[2]KPIs!S2</f>
        <v>0.99</v>
      </c>
      <c r="AH566" s="1032" t="str">
        <f>[2]KPIs!T2</f>
        <v xml:space="preserve"> - </v>
      </c>
      <c r="AI566" s="1032" t="str">
        <f>[2]KPIs!U2</f>
        <v xml:space="preserve"> - </v>
      </c>
      <c r="AJ566" s="1032">
        <f>[2]KPIs!V2</f>
        <v>0.99</v>
      </c>
      <c r="AK566" s="1032" t="str">
        <f>[2]KPIs!W2</f>
        <v xml:space="preserve"> - </v>
      </c>
      <c r="AL566" s="1032" t="str">
        <f>[2]KPIs!X2</f>
        <v xml:space="preserve"> - </v>
      </c>
      <c r="AM566" s="1032">
        <f>[2]KPIs!Y2</f>
        <v>0.99</v>
      </c>
      <c r="AN566" s="1032" t="str">
        <f>[2]KPIs!Z2</f>
        <v xml:space="preserve"> - </v>
      </c>
      <c r="AO566" s="1032" t="str">
        <f>[2]KPIs!AA2</f>
        <v xml:space="preserve"> - </v>
      </c>
      <c r="AP566" s="1032">
        <f>[2]KPIs!AB2</f>
        <v>1</v>
      </c>
      <c r="AQ566" s="1032" t="str">
        <f>[2]KPIs!AC2</f>
        <v xml:space="preserve"> - </v>
      </c>
      <c r="AR566" s="1032" t="str">
        <f>[2]KPIs!AD2</f>
        <v xml:space="preserve"> - </v>
      </c>
      <c r="AS566" s="1032">
        <f>[2]KPIs!AE2</f>
        <v>0.98</v>
      </c>
      <c r="AT566" s="1032" t="str">
        <f>[2]KPIs!AF2</f>
        <v xml:space="preserve"> - </v>
      </c>
      <c r="AU566" s="1032" t="str">
        <f>[2]KPIs!AG2</f>
        <v xml:space="preserve"> - </v>
      </c>
      <c r="AV566" s="1032">
        <f>[2]KPIs!AH2</f>
        <v>0.95</v>
      </c>
      <c r="AW566" s="1032" t="str">
        <f>[2]KPIs!AI2</f>
        <v xml:space="preserve"> - </v>
      </c>
      <c r="AX566" s="1032" t="str">
        <f>[2]KPIs!AJ2</f>
        <v xml:space="preserve"> - </v>
      </c>
      <c r="AY566" s="1032">
        <f>[2]KPIs!AK2</f>
        <v>0</v>
      </c>
    </row>
    <row r="567" spans="3:51" x14ac:dyDescent="0.35">
      <c r="C567" s="926" t="s">
        <v>446</v>
      </c>
      <c r="D567" s="64"/>
      <c r="E567" s="64"/>
      <c r="F567" s="64"/>
      <c r="G567" s="64"/>
      <c r="H567" s="64"/>
      <c r="I567" s="64"/>
      <c r="J567" s="64"/>
      <c r="K567" s="64"/>
      <c r="L567" s="64"/>
      <c r="M567" s="64"/>
      <c r="N567" s="64"/>
      <c r="O567" s="64"/>
      <c r="P567" s="162" t="str">
        <f>[2]KPIs!B3</f>
        <v xml:space="preserve"> - </v>
      </c>
      <c r="Q567" s="162" t="str">
        <f>[2]KPIs!C3</f>
        <v xml:space="preserve"> - </v>
      </c>
      <c r="R567" s="162">
        <f>[2]KPIs!D3</f>
        <v>64</v>
      </c>
      <c r="S567" s="162" t="str">
        <f>[2]KPIs!E3</f>
        <v xml:space="preserve"> - </v>
      </c>
      <c r="T567" s="162" t="str">
        <f>[2]KPIs!F3</f>
        <v xml:space="preserve"> - </v>
      </c>
      <c r="U567" s="162">
        <f>[2]KPIs!G3</f>
        <v>38</v>
      </c>
      <c r="V567" s="162" t="str">
        <f>[2]KPIs!H3</f>
        <v xml:space="preserve"> - </v>
      </c>
      <c r="W567" s="162" t="str">
        <f>[2]KPIs!I3</f>
        <v xml:space="preserve"> - </v>
      </c>
      <c r="X567" s="162">
        <f>[2]KPIs!J3</f>
        <v>120</v>
      </c>
      <c r="Y567" s="162" t="str">
        <f>[2]KPIs!K3</f>
        <v xml:space="preserve"> - </v>
      </c>
      <c r="Z567" s="162" t="str">
        <f>[2]KPIs!L3</f>
        <v xml:space="preserve"> - </v>
      </c>
      <c r="AA567" s="162">
        <f>[2]KPIs!M3</f>
        <v>172</v>
      </c>
      <c r="AB567" s="162" t="str">
        <f>[2]KPIs!N3</f>
        <v xml:space="preserve"> - </v>
      </c>
      <c r="AC567" s="162" t="str">
        <f>[2]KPIs!O3</f>
        <v xml:space="preserve"> - </v>
      </c>
      <c r="AD567" s="162">
        <f>[2]KPIs!P3</f>
        <v>330</v>
      </c>
      <c r="AE567" s="162" t="str">
        <f>[2]KPIs!Q3</f>
        <v xml:space="preserve"> - </v>
      </c>
      <c r="AF567" s="162" t="str">
        <f>[2]KPIs!R3</f>
        <v xml:space="preserve"> - </v>
      </c>
      <c r="AG567" s="162">
        <f>[2]KPIs!S3</f>
        <v>93</v>
      </c>
      <c r="AH567" s="162" t="str">
        <f>[2]KPIs!T3</f>
        <v xml:space="preserve"> - </v>
      </c>
      <c r="AI567" s="162" t="str">
        <f>[2]KPIs!U3</f>
        <v xml:space="preserve"> - </v>
      </c>
      <c r="AJ567" s="162">
        <f>[2]KPIs!V3</f>
        <v>118</v>
      </c>
      <c r="AK567" s="162" t="str">
        <f>[2]KPIs!W3</f>
        <v xml:space="preserve"> - </v>
      </c>
      <c r="AL567" s="162" t="str">
        <f>[2]KPIs!X3</f>
        <v xml:space="preserve"> - </v>
      </c>
      <c r="AM567" s="162">
        <f>[2]KPIs!Y3</f>
        <v>146</v>
      </c>
      <c r="AN567" s="162" t="str">
        <f>[2]KPIs!Z3</f>
        <v xml:space="preserve"> - </v>
      </c>
      <c r="AO567" s="162" t="str">
        <f>[2]KPIs!AA3</f>
        <v xml:space="preserve"> - </v>
      </c>
      <c r="AP567" s="162">
        <f>[2]KPIs!AB3</f>
        <v>90</v>
      </c>
      <c r="AQ567" s="162" t="str">
        <f>[2]KPIs!AC3</f>
        <v xml:space="preserve"> - </v>
      </c>
      <c r="AR567" s="162" t="str">
        <f>[2]KPIs!AD3</f>
        <v xml:space="preserve"> - </v>
      </c>
      <c r="AS567" s="162">
        <f>[2]KPIs!AE3</f>
        <v>0</v>
      </c>
      <c r="AT567" s="162" t="str">
        <f>[2]KPIs!AF3</f>
        <v xml:space="preserve"> - </v>
      </c>
      <c r="AU567" s="162" t="str">
        <f>[2]KPIs!AG3</f>
        <v xml:space="preserve"> - </v>
      </c>
      <c r="AV567" s="162">
        <f>[2]KPIs!AH3</f>
        <v>40</v>
      </c>
      <c r="AW567" s="162" t="str">
        <f>[2]KPIs!AI3</f>
        <v xml:space="preserve"> - </v>
      </c>
      <c r="AX567" s="162" t="str">
        <f>[2]KPIs!AJ3</f>
        <v xml:space="preserve"> - </v>
      </c>
      <c r="AY567" s="162">
        <f>[2]KPIs!AK3</f>
        <v>0</v>
      </c>
    </row>
    <row r="568" spans="3:51" x14ac:dyDescent="0.35">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c r="AH568" s="64"/>
      <c r="AI568" s="64"/>
      <c r="AJ568" s="64"/>
      <c r="AK568" s="64"/>
      <c r="AL568" s="64"/>
      <c r="AM568" s="64"/>
      <c r="AN568" s="64"/>
      <c r="AO568" s="64"/>
      <c r="AP568" s="64"/>
      <c r="AQ568" s="64"/>
      <c r="AR568" s="64"/>
      <c r="AS568" s="64"/>
      <c r="AT568" s="64"/>
      <c r="AU568" s="64"/>
      <c r="AV568" s="64"/>
      <c r="AW568" s="64"/>
      <c r="AX568" s="64"/>
      <c r="AY568" s="64"/>
    </row>
    <row r="569" spans="3:51" x14ac:dyDescent="0.35">
      <c r="C569" s="929" t="s">
        <v>447</v>
      </c>
      <c r="D569" s="39">
        <v>44287</v>
      </c>
      <c r="E569" s="39">
        <v>44317</v>
      </c>
      <c r="F569" s="39">
        <v>44348</v>
      </c>
      <c r="G569" s="39">
        <v>44378</v>
      </c>
      <c r="H569" s="39">
        <v>44409</v>
      </c>
      <c r="I569" s="39">
        <v>44440</v>
      </c>
      <c r="J569" s="39">
        <v>44470</v>
      </c>
      <c r="K569" s="39">
        <v>44501</v>
      </c>
      <c r="L569" s="39">
        <v>44531</v>
      </c>
      <c r="M569" s="39">
        <v>44562</v>
      </c>
      <c r="N569" s="39">
        <v>44593</v>
      </c>
      <c r="O569" s="39">
        <v>44621</v>
      </c>
      <c r="P569" s="39">
        <v>44652</v>
      </c>
      <c r="Q569" s="39">
        <v>44682</v>
      </c>
      <c r="R569" s="39">
        <v>44713</v>
      </c>
      <c r="S569" s="39">
        <v>44743</v>
      </c>
      <c r="T569" s="39">
        <v>44774</v>
      </c>
      <c r="U569" s="39">
        <v>44805</v>
      </c>
      <c r="V569" s="39">
        <v>44835</v>
      </c>
      <c r="W569" s="39">
        <v>44866</v>
      </c>
      <c r="X569" s="39">
        <v>44896</v>
      </c>
      <c r="Y569" s="39">
        <v>44927</v>
      </c>
      <c r="Z569" s="39">
        <v>44958</v>
      </c>
      <c r="AA569" s="39">
        <v>44986</v>
      </c>
      <c r="AB569" s="39">
        <v>45017</v>
      </c>
      <c r="AC569" s="39">
        <v>45047</v>
      </c>
      <c r="AD569" s="39">
        <v>45078</v>
      </c>
      <c r="AE569" s="39">
        <v>45108</v>
      </c>
      <c r="AF569" s="39">
        <v>45139</v>
      </c>
      <c r="AG569" s="39">
        <v>45170</v>
      </c>
      <c r="AH569" s="39">
        <v>45200</v>
      </c>
      <c r="AI569" s="39">
        <v>45231</v>
      </c>
      <c r="AJ569" s="39">
        <v>45261</v>
      </c>
      <c r="AK569" s="39">
        <v>45292</v>
      </c>
      <c r="AL569" s="39">
        <v>45323</v>
      </c>
      <c r="AM569" s="39">
        <v>45352</v>
      </c>
      <c r="AN569" s="39">
        <v>45383</v>
      </c>
      <c r="AO569" s="39">
        <v>45413</v>
      </c>
      <c r="AP569" s="39">
        <v>45444</v>
      </c>
      <c r="AQ569" s="39">
        <v>45474</v>
      </c>
      <c r="AR569" s="39">
        <v>45505</v>
      </c>
      <c r="AS569" s="39">
        <v>45536</v>
      </c>
      <c r="AT569" s="39">
        <v>45566</v>
      </c>
      <c r="AU569" s="39">
        <v>45597</v>
      </c>
      <c r="AV569" s="39">
        <v>45627</v>
      </c>
      <c r="AW569" s="39">
        <v>45658</v>
      </c>
      <c r="AX569" s="39">
        <v>45689</v>
      </c>
      <c r="AY569" s="39">
        <v>45717</v>
      </c>
    </row>
    <row r="570" spans="3:51" x14ac:dyDescent="0.35">
      <c r="C570" s="929" t="s">
        <v>448</v>
      </c>
      <c r="D570" s="64" t="str">
        <f>[2]StreetSafe!B2</f>
        <v>n/a</v>
      </c>
      <c r="E570" s="64" t="str">
        <f>[2]StreetSafe!C2</f>
        <v>n/a</v>
      </c>
      <c r="F570" s="64" t="str">
        <f>[2]StreetSafe!D2</f>
        <v>n/a</v>
      </c>
      <c r="G570" s="64" t="str">
        <f>[2]StreetSafe!E2</f>
        <v>n/a</v>
      </c>
      <c r="H570" s="64" t="str">
        <f>[2]StreetSafe!F2</f>
        <v>n/a</v>
      </c>
      <c r="I570" s="64">
        <f>[2]StreetSafe!G2</f>
        <v>105</v>
      </c>
      <c r="J570" s="64">
        <f>[2]StreetSafe!H2</f>
        <v>103</v>
      </c>
      <c r="K570" s="64">
        <f>[2]StreetSafe!I2</f>
        <v>78</v>
      </c>
      <c r="L570" s="64">
        <f>[2]StreetSafe!J2</f>
        <v>59</v>
      </c>
      <c r="M570" s="64">
        <f>[2]StreetSafe!K2</f>
        <v>30</v>
      </c>
      <c r="N570" s="64">
        <f>[2]StreetSafe!L2</f>
        <v>12</v>
      </c>
      <c r="O570" s="64">
        <f>[2]StreetSafe!M2</f>
        <v>10</v>
      </c>
      <c r="P570" s="64">
        <f>[2]StreetSafe!N2</f>
        <v>5</v>
      </c>
      <c r="Q570" s="64">
        <f>[2]StreetSafe!O2</f>
        <v>15</v>
      </c>
      <c r="R570" s="64">
        <f>[2]StreetSafe!P2</f>
        <v>0</v>
      </c>
      <c r="S570" s="64">
        <f>[2]StreetSafe!Q2</f>
        <v>2</v>
      </c>
      <c r="T570" s="64">
        <f>[2]StreetSafe!R2</f>
        <v>11</v>
      </c>
      <c r="U570" s="64">
        <f>[2]StreetSafe!S2</f>
        <v>3</v>
      </c>
      <c r="V570" s="64">
        <f>[2]StreetSafe!T2</f>
        <v>1</v>
      </c>
      <c r="W570" s="64">
        <f>[2]StreetSafe!U2</f>
        <v>1</v>
      </c>
      <c r="X570" s="64">
        <f>[2]StreetSafe!V2</f>
        <v>3</v>
      </c>
      <c r="Y570" s="64">
        <f>[2]StreetSafe!W2</f>
        <v>2</v>
      </c>
      <c r="Z570" s="64">
        <f>[2]StreetSafe!X2</f>
        <v>1</v>
      </c>
      <c r="AA570" s="64">
        <f>[2]StreetSafe!Y2</f>
        <v>1</v>
      </c>
      <c r="AB570" s="64">
        <f>[2]StreetSafe!Z2</f>
        <v>0</v>
      </c>
      <c r="AC570" s="64">
        <f>[2]StreetSafe!AA2</f>
        <v>0</v>
      </c>
      <c r="AD570" s="64">
        <f>[2]StreetSafe!AB2</f>
        <v>1</v>
      </c>
      <c r="AE570" s="64">
        <f>[2]StreetSafe!AC2</f>
        <v>14</v>
      </c>
      <c r="AF570" s="64">
        <f>[2]StreetSafe!AD2</f>
        <v>2</v>
      </c>
      <c r="AG570" s="64">
        <f>[2]StreetSafe!AE2</f>
        <v>0</v>
      </c>
      <c r="AH570" s="64">
        <f>[2]StreetSafe!AF2</f>
        <v>0</v>
      </c>
      <c r="AI570" s="64">
        <f>[2]StreetSafe!AG2</f>
        <v>2</v>
      </c>
      <c r="AJ570" s="64">
        <f>[2]StreetSafe!AH2</f>
        <v>11</v>
      </c>
      <c r="AK570" s="64">
        <f>[2]StreetSafe!AI2</f>
        <v>3</v>
      </c>
      <c r="AL570" s="64">
        <f>[2]StreetSafe!AJ2</f>
        <v>2</v>
      </c>
      <c r="AM570" s="64">
        <f>[2]StreetSafe!AK2</f>
        <v>1</v>
      </c>
      <c r="AN570" s="64">
        <f>[2]StreetSafe!AL2</f>
        <v>0</v>
      </c>
      <c r="AO570" s="64">
        <f>[2]StreetSafe!AM2</f>
        <v>3</v>
      </c>
      <c r="AP570" s="64">
        <f>[2]StreetSafe!AN2</f>
        <v>2</v>
      </c>
      <c r="AQ570" s="64">
        <f>[2]StreetSafe!AO2</f>
        <v>1</v>
      </c>
      <c r="AR570" s="64">
        <f>[2]StreetSafe!AP2</f>
        <v>3</v>
      </c>
      <c r="AS570" s="64">
        <f>[2]StreetSafe!AQ2</f>
        <v>1</v>
      </c>
      <c r="AT570" s="64">
        <f>[2]StreetSafe!AR2</f>
        <v>6</v>
      </c>
      <c r="AU570" s="64">
        <f>[2]StreetSafe!AS2</f>
        <v>3</v>
      </c>
      <c r="AV570" s="64">
        <f>[2]StreetSafe!AT2</f>
        <v>1</v>
      </c>
      <c r="AW570" s="64">
        <f>[2]StreetSafe!AU2</f>
        <v>1</v>
      </c>
      <c r="AX570" s="64">
        <f>[2]StreetSafe!AV2</f>
        <v>1</v>
      </c>
      <c r="AY570" s="64">
        <f>[2]StreetSafe!AW2</f>
        <v>1</v>
      </c>
    </row>
    <row r="571" spans="3:51" x14ac:dyDescent="0.35">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c r="AM571" s="64"/>
      <c r="AN571" s="64"/>
      <c r="AO571" s="64"/>
      <c r="AP571" s="64"/>
      <c r="AQ571" s="64"/>
      <c r="AR571" s="64"/>
      <c r="AS571" s="64"/>
      <c r="AT571" s="64"/>
      <c r="AU571" s="64"/>
      <c r="AV571" s="64"/>
      <c r="AW571" s="64"/>
      <c r="AX571" s="64"/>
      <c r="AY571" s="64"/>
    </row>
    <row r="572" spans="3:51" x14ac:dyDescent="0.35">
      <c r="C572" t="s">
        <v>450</v>
      </c>
      <c r="D572" s="64">
        <f>'[2]Hate Crime Types'!B10</f>
        <v>5</v>
      </c>
      <c r="E572" s="64">
        <f>'[2]Hate Crime Types'!C10</f>
        <v>6</v>
      </c>
      <c r="F572" s="64">
        <f>'[2]Hate Crime Types'!D10</f>
        <v>7</v>
      </c>
      <c r="G572" s="64">
        <f>'[2]Hate Crime Types'!E10</f>
        <v>5</v>
      </c>
      <c r="H572" s="64">
        <f>'[2]Hate Crime Types'!F10</f>
        <v>0</v>
      </c>
      <c r="I572" s="64">
        <f>'[2]Hate Crime Types'!G10</f>
        <v>5</v>
      </c>
      <c r="J572" s="64">
        <f>'[2]Hate Crime Types'!H10</f>
        <v>6</v>
      </c>
      <c r="K572" s="64">
        <f>'[2]Hate Crime Types'!I10</f>
        <v>13</v>
      </c>
      <c r="L572" s="64">
        <f>'[2]Hate Crime Types'!J10</f>
        <v>5</v>
      </c>
      <c r="M572" s="64">
        <f>'[2]Hate Crime Types'!K10</f>
        <v>4</v>
      </c>
      <c r="N572" s="64">
        <f>'[2]Hate Crime Types'!L10</f>
        <v>3</v>
      </c>
      <c r="O572" s="64">
        <f>'[2]Hate Crime Types'!M10</f>
        <v>8</v>
      </c>
      <c r="P572" s="64">
        <f>'[2]Hate Crime Types'!N10</f>
        <v>4</v>
      </c>
      <c r="Q572" s="64">
        <f>'[2]Hate Crime Types'!O10</f>
        <v>9</v>
      </c>
      <c r="R572" s="64">
        <f>'[2]Hate Crime Types'!P10</f>
        <v>3</v>
      </c>
      <c r="S572" s="64">
        <f>'[2]Hate Crime Types'!Q10</f>
        <v>7</v>
      </c>
      <c r="T572" s="64">
        <f>'[2]Hate Crime Types'!R10</f>
        <v>0</v>
      </c>
      <c r="U572" s="64">
        <f>'[2]Hate Crime Types'!S10</f>
        <v>5</v>
      </c>
      <c r="V572" s="64">
        <f>'[2]Hate Crime Types'!T10</f>
        <v>10</v>
      </c>
      <c r="W572" s="64">
        <f>'[2]Hate Crime Types'!U10</f>
        <v>9</v>
      </c>
      <c r="X572" s="64">
        <f>'[2]Hate Crime Types'!V10</f>
        <v>6</v>
      </c>
      <c r="Y572" s="64">
        <f>'[2]Hate Crime Types'!W10</f>
        <v>10</v>
      </c>
      <c r="Z572" s="64">
        <f>'[2]Hate Crime Types'!X10</f>
        <v>9</v>
      </c>
      <c r="AA572" s="64">
        <f>'[2]Hate Crime Types'!Y10</f>
        <v>6</v>
      </c>
      <c r="AB572" s="64">
        <f>'[2]Hate Crime Types'!Z10</f>
        <v>3</v>
      </c>
      <c r="AC572" s="64">
        <f>'[2]Hate Crime Types'!AA10</f>
        <v>10</v>
      </c>
      <c r="AD572" s="64">
        <f>'[2]Hate Crime Types'!AB10</f>
        <v>16</v>
      </c>
      <c r="AE572" s="64">
        <f>'[2]Hate Crime Types'!AC10</f>
        <v>11</v>
      </c>
      <c r="AF572" s="64">
        <f>'[2]Hate Crime Types'!AD10</f>
        <v>0</v>
      </c>
      <c r="AG572" s="64">
        <f>'[2]Hate Crime Types'!AE10</f>
        <v>4</v>
      </c>
      <c r="AH572" s="64">
        <f>'[2]Hate Crime Types'!AF10</f>
        <v>8</v>
      </c>
      <c r="AI572" s="64">
        <f>'[2]Hate Crime Types'!AG10</f>
        <v>15</v>
      </c>
      <c r="AJ572" s="64">
        <f>'[2]Hate Crime Types'!AH10</f>
        <v>13</v>
      </c>
      <c r="AK572" s="64">
        <f>'[2]Hate Crime Types'!AI10</f>
        <v>19</v>
      </c>
      <c r="AL572" s="64">
        <f>'[2]Hate Crime Types'!AJ10</f>
        <v>11</v>
      </c>
      <c r="AM572" s="64">
        <f>'[2]Hate Crime Types'!AK10</f>
        <v>13</v>
      </c>
      <c r="AN572" s="64">
        <f>'[2]Hate Crime Types'!AL10</f>
        <v>13</v>
      </c>
      <c r="AO572" s="64">
        <f>'[2]Hate Crime Types'!AM10</f>
        <v>15</v>
      </c>
      <c r="AP572" s="64">
        <f>'[2]Hate Crime Types'!AN10</f>
        <v>20</v>
      </c>
      <c r="AQ572" s="64">
        <f>'[2]Hate Crime Types'!AO10</f>
        <v>8</v>
      </c>
      <c r="AR572" s="64">
        <f>'[2]Hate Crime Types'!AP10</f>
        <v>0</v>
      </c>
      <c r="AS572" s="64">
        <f>'[2]Hate Crime Types'!AQ10</f>
        <v>6</v>
      </c>
      <c r="AT572" s="64">
        <f>'[2]Hate Crime Types'!AR10</f>
        <v>11</v>
      </c>
      <c r="AU572" s="64">
        <f>'[2]Hate Crime Types'!AS10</f>
        <v>18</v>
      </c>
      <c r="AV572" s="64">
        <f>'[2]Hate Crime Types'!AT10</f>
        <v>10</v>
      </c>
      <c r="AW572" s="64">
        <f>'[2]Hate Crime Types'!AU10</f>
        <v>10</v>
      </c>
      <c r="AX572" s="64">
        <f>'[2]Hate Crime Types'!AV10</f>
        <v>17</v>
      </c>
      <c r="AY572" s="64">
        <f>'[2]Hate Crime Types'!AW10</f>
        <v>19</v>
      </c>
    </row>
    <row r="573" spans="3:51" x14ac:dyDescent="0.35">
      <c r="D573" s="39">
        <v>44287</v>
      </c>
      <c r="E573" s="39">
        <v>44317</v>
      </c>
      <c r="F573" s="39">
        <v>44348</v>
      </c>
      <c r="G573" s="39">
        <v>44378</v>
      </c>
      <c r="H573" s="39">
        <v>44409</v>
      </c>
      <c r="I573" s="39">
        <v>44440</v>
      </c>
      <c r="J573" s="39">
        <v>44470</v>
      </c>
      <c r="K573" s="39">
        <v>44501</v>
      </c>
      <c r="L573" s="39">
        <v>44531</v>
      </c>
      <c r="M573" s="39">
        <v>44562</v>
      </c>
      <c r="N573" s="39">
        <v>44593</v>
      </c>
      <c r="O573" s="39">
        <v>44621</v>
      </c>
      <c r="P573" s="39">
        <v>44652</v>
      </c>
      <c r="Q573" s="39">
        <v>44682</v>
      </c>
      <c r="R573" s="39">
        <v>44713</v>
      </c>
      <c r="S573" s="39">
        <v>44743</v>
      </c>
      <c r="T573" s="39">
        <v>44774</v>
      </c>
      <c r="U573" s="39">
        <v>44805</v>
      </c>
      <c r="V573" s="39">
        <v>44835</v>
      </c>
      <c r="W573" s="39">
        <v>44866</v>
      </c>
      <c r="X573" s="39">
        <v>44896</v>
      </c>
      <c r="Y573" s="39">
        <v>44927</v>
      </c>
      <c r="Z573" s="39">
        <v>44958</v>
      </c>
      <c r="AA573" s="39">
        <v>44986</v>
      </c>
      <c r="AB573" s="39">
        <v>45017</v>
      </c>
      <c r="AC573" s="39">
        <v>45047</v>
      </c>
      <c r="AD573" s="39">
        <v>45078</v>
      </c>
      <c r="AE573" s="39">
        <v>45108</v>
      </c>
      <c r="AF573" s="39">
        <v>45139</v>
      </c>
      <c r="AG573" s="39">
        <v>45170</v>
      </c>
      <c r="AH573" s="39">
        <v>45200</v>
      </c>
      <c r="AI573" s="39">
        <v>45231</v>
      </c>
      <c r="AJ573" s="39">
        <v>45261</v>
      </c>
      <c r="AK573" s="39">
        <v>45292</v>
      </c>
      <c r="AL573" s="39">
        <v>45323</v>
      </c>
      <c r="AM573" s="39">
        <v>45352</v>
      </c>
      <c r="AN573" s="39">
        <v>45383</v>
      </c>
      <c r="AO573" s="39">
        <v>45413</v>
      </c>
      <c r="AP573" s="39">
        <v>45444</v>
      </c>
      <c r="AQ573" s="39">
        <v>45474</v>
      </c>
      <c r="AR573" s="39">
        <v>45505</v>
      </c>
      <c r="AS573" s="39">
        <v>45536</v>
      </c>
      <c r="AT573" s="39">
        <v>45566</v>
      </c>
      <c r="AU573" s="39">
        <v>45597</v>
      </c>
      <c r="AV573" s="39">
        <v>45627</v>
      </c>
      <c r="AW573" s="39">
        <v>45658</v>
      </c>
      <c r="AX573" s="39">
        <v>45689</v>
      </c>
      <c r="AY573" s="39">
        <v>45717</v>
      </c>
    </row>
    <row r="574" spans="3:51" s="1063" customFormat="1" ht="93" x14ac:dyDescent="0.35">
      <c r="C574" s="1077" t="s">
        <v>462</v>
      </c>
      <c r="P574" s="1032" t="str">
        <f>[2]KPIs!B4</f>
        <v xml:space="preserve"> - </v>
      </c>
      <c r="Q574" s="1032" t="str">
        <f>[2]KPIs!C4</f>
        <v xml:space="preserve"> - </v>
      </c>
      <c r="R574" s="1032">
        <f>[2]KPIs!D4</f>
        <v>0.99</v>
      </c>
      <c r="S574" s="1032" t="str">
        <f>[2]KPIs!E4</f>
        <v xml:space="preserve"> - </v>
      </c>
      <c r="T574" s="1032" t="str">
        <f>[2]KPIs!F4</f>
        <v xml:space="preserve"> - </v>
      </c>
      <c r="U574" s="1032">
        <f>[2]KPIs!G4</f>
        <v>0.99</v>
      </c>
      <c r="V574" s="1032" t="str">
        <f>[2]KPIs!H4</f>
        <v xml:space="preserve"> - </v>
      </c>
      <c r="W574" s="1032" t="str">
        <f>[2]KPIs!I4</f>
        <v xml:space="preserve"> - </v>
      </c>
      <c r="X574" s="1032">
        <f>[2]KPIs!J4</f>
        <v>1</v>
      </c>
      <c r="Y574" s="1032" t="str">
        <f>[2]KPIs!K4</f>
        <v xml:space="preserve"> - </v>
      </c>
      <c r="Z574" s="1032" t="str">
        <f>[2]KPIs!L4</f>
        <v xml:space="preserve"> - </v>
      </c>
      <c r="AA574" s="1032">
        <f>[2]KPIs!M4</f>
        <v>0.96799999999999997</v>
      </c>
      <c r="AB574" s="1032" t="str">
        <f>[2]KPIs!N4</f>
        <v xml:space="preserve"> - </v>
      </c>
      <c r="AC574" s="1032" t="str">
        <f>[2]KPIs!O4</f>
        <v xml:space="preserve"> - </v>
      </c>
      <c r="AD574" s="1032">
        <f>[2]KPIs!P4</f>
        <v>1</v>
      </c>
      <c r="AE574" s="1032" t="str">
        <f>[2]KPIs!Q4</f>
        <v xml:space="preserve"> - </v>
      </c>
      <c r="AF574" s="1032" t="str">
        <f>[2]KPIs!R4</f>
        <v xml:space="preserve"> - </v>
      </c>
      <c r="AG574" s="1032">
        <f>[2]KPIs!S4</f>
        <v>0.99</v>
      </c>
      <c r="AH574" s="1032" t="str">
        <f>[2]KPIs!T4</f>
        <v xml:space="preserve"> - </v>
      </c>
      <c r="AI574" s="1032" t="str">
        <f>[2]KPIs!U4</f>
        <v xml:space="preserve"> - </v>
      </c>
      <c r="AJ574" s="1032">
        <f>[2]KPIs!V4</f>
        <v>1</v>
      </c>
      <c r="AK574" s="1032" t="str">
        <f>[2]KPIs!W4</f>
        <v xml:space="preserve"> - </v>
      </c>
      <c r="AL574" s="1032" t="str">
        <f>[2]KPIs!X4</f>
        <v xml:space="preserve"> - </v>
      </c>
      <c r="AM574" s="1032">
        <f>[2]KPIs!Y4</f>
        <v>0.99</v>
      </c>
      <c r="AN574" s="1032" t="str">
        <f>[2]KPIs!Z4</f>
        <v xml:space="preserve"> - </v>
      </c>
      <c r="AO574" s="1032" t="str">
        <f>[2]KPIs!AA4</f>
        <v xml:space="preserve"> - </v>
      </c>
      <c r="AP574" s="1032">
        <v>0.97</v>
      </c>
      <c r="AQ574" s="1032" t="str">
        <f>[2]KPIs!AC4</f>
        <v xml:space="preserve"> - </v>
      </c>
      <c r="AR574" s="1032" t="str">
        <f>[2]KPIs!AD4</f>
        <v xml:space="preserve"> - </v>
      </c>
      <c r="AS574" s="1032">
        <f>[2]KPIs!AE4</f>
        <v>0.97</v>
      </c>
      <c r="AT574" s="1032" t="str">
        <f>[2]KPIs!AF4</f>
        <v xml:space="preserve"> - </v>
      </c>
      <c r="AU574" s="1032" t="str">
        <f>[2]KPIs!AG4</f>
        <v xml:space="preserve"> - </v>
      </c>
      <c r="AV574" s="1032">
        <f>[2]KPIs!AH4</f>
        <v>0.98</v>
      </c>
      <c r="AW574" s="1032" t="str">
        <f>[2]KPIs!AI4</f>
        <v xml:space="preserve"> - </v>
      </c>
      <c r="AX574" s="1032" t="str">
        <f>[2]KPIs!AJ4</f>
        <v xml:space="preserve"> - </v>
      </c>
      <c r="AY574" s="1032">
        <f>[2]KPIs!AK4</f>
        <v>0</v>
      </c>
    </row>
    <row r="575" spans="3:51" ht="31" x14ac:dyDescent="0.35">
      <c r="C575" s="1083" t="s">
        <v>520</v>
      </c>
      <c r="D575" s="39">
        <v>44287</v>
      </c>
      <c r="E575" s="39">
        <v>44317</v>
      </c>
      <c r="F575" s="39">
        <v>44348</v>
      </c>
      <c r="G575" s="39">
        <v>44378</v>
      </c>
      <c r="H575" s="39">
        <v>44409</v>
      </c>
      <c r="I575" s="39">
        <v>44440</v>
      </c>
      <c r="J575" s="39">
        <v>44470</v>
      </c>
      <c r="K575" s="39">
        <v>44501</v>
      </c>
      <c r="L575" s="39">
        <v>44531</v>
      </c>
      <c r="M575" s="39">
        <v>44562</v>
      </c>
      <c r="N575" s="39">
        <v>44593</v>
      </c>
      <c r="O575" s="39">
        <v>44621</v>
      </c>
      <c r="P575" s="39">
        <v>44652</v>
      </c>
      <c r="Q575" s="39">
        <v>44682</v>
      </c>
      <c r="R575" s="39">
        <v>44713</v>
      </c>
      <c r="S575" s="39">
        <v>44743</v>
      </c>
      <c r="T575" s="39">
        <v>44774</v>
      </c>
      <c r="U575" s="39">
        <v>44805</v>
      </c>
      <c r="V575" s="39">
        <v>44835</v>
      </c>
      <c r="W575" s="39">
        <v>44866</v>
      </c>
      <c r="X575" s="39">
        <v>44896</v>
      </c>
      <c r="Y575" s="39">
        <v>44927</v>
      </c>
      <c r="Z575" s="39">
        <v>44958</v>
      </c>
      <c r="AA575" s="39">
        <v>44986</v>
      </c>
      <c r="AB575" s="39">
        <v>45017</v>
      </c>
      <c r="AC575" s="39">
        <v>45047</v>
      </c>
      <c r="AD575" s="39">
        <v>45078</v>
      </c>
      <c r="AE575" s="39">
        <v>45108</v>
      </c>
      <c r="AF575" s="39">
        <v>45139</v>
      </c>
      <c r="AG575" s="39">
        <v>45170</v>
      </c>
      <c r="AH575" s="39">
        <v>45200</v>
      </c>
      <c r="AI575" s="39">
        <v>45231</v>
      </c>
      <c r="AJ575" s="39">
        <v>45261</v>
      </c>
      <c r="AK575" s="39">
        <v>45292</v>
      </c>
      <c r="AL575" s="39">
        <v>45323</v>
      </c>
      <c r="AM575" s="39">
        <v>45352</v>
      </c>
      <c r="AN575" s="39">
        <v>45383</v>
      </c>
      <c r="AO575" s="39">
        <v>45413</v>
      </c>
      <c r="AP575" s="39">
        <v>45444</v>
      </c>
      <c r="AQ575" s="39">
        <v>45474</v>
      </c>
      <c r="AR575" s="39">
        <v>45505</v>
      </c>
      <c r="AS575" s="39">
        <v>45536</v>
      </c>
      <c r="AT575" s="39">
        <v>45566</v>
      </c>
      <c r="AU575" s="39">
        <v>45597</v>
      </c>
      <c r="AV575" s="39">
        <v>45627</v>
      </c>
      <c r="AW575" s="39">
        <v>45658</v>
      </c>
      <c r="AX575" s="39">
        <v>45689</v>
      </c>
      <c r="AY575" s="39">
        <v>45717</v>
      </c>
    </row>
    <row r="576" spans="3:51" x14ac:dyDescent="0.35">
      <c r="C576" s="785" t="s">
        <v>212</v>
      </c>
      <c r="AB576">
        <f>'[2]VAP Knife Crime'!AX26</f>
        <v>2</v>
      </c>
      <c r="AC576" s="64">
        <f>'[2]VAP Knife Crime'!AY26</f>
        <v>0</v>
      </c>
      <c r="AD576" s="64">
        <f>'[2]VAP Knife Crime'!AZ26</f>
        <v>2</v>
      </c>
      <c r="AE576" s="64">
        <f>'[2]VAP Knife Crime'!BA26</f>
        <v>0</v>
      </c>
      <c r="AF576" s="64">
        <f>'[2]VAP Knife Crime'!BB26</f>
        <v>1</v>
      </c>
      <c r="AG576" s="64">
        <f>'[2]VAP Knife Crime'!BC26</f>
        <v>0</v>
      </c>
      <c r="AH576" s="64">
        <f>'[2]VAP Knife Crime'!BD26</f>
        <v>0</v>
      </c>
      <c r="AI576" s="64">
        <f>'[2]VAP Knife Crime'!BE26</f>
        <v>1</v>
      </c>
      <c r="AJ576" s="64">
        <f>'[2]VAP Knife Crime'!BF26</f>
        <v>0</v>
      </c>
      <c r="AK576" s="64">
        <f>'[2]VAP Knife Crime'!BG26</f>
        <v>0</v>
      </c>
      <c r="AL576" s="64">
        <f>'[2]VAP Knife Crime'!BH26</f>
        <v>0</v>
      </c>
      <c r="AM576" s="64">
        <f>'[2]VAP Knife Crime'!BI26</f>
        <v>0</v>
      </c>
      <c r="AN576" s="64">
        <f>'[2]VAP Knife Crime'!BJ26</f>
        <v>0</v>
      </c>
      <c r="AO576" s="64">
        <f>'[2]VAP Knife Crime'!BK26</f>
        <v>1</v>
      </c>
      <c r="AP576" s="64">
        <f>'[2]VAP Knife Crime'!BL26</f>
        <v>0</v>
      </c>
      <c r="AQ576" s="64">
        <f>'[2]VAP Knife Crime'!BM26</f>
        <v>0</v>
      </c>
      <c r="AR576" s="64">
        <f>'[2]VAP Knife Crime'!BN26</f>
        <v>0</v>
      </c>
      <c r="AS576" s="64">
        <f>'[2]VAP Knife Crime'!BO26</f>
        <v>0</v>
      </c>
      <c r="AT576" s="64">
        <f>'[2]VAP Knife Crime'!BP26</f>
        <v>0</v>
      </c>
      <c r="AU576" s="64">
        <f>'[2]VAP Knife Crime'!BQ26</f>
        <v>0</v>
      </c>
      <c r="AV576" s="64">
        <f>'[2]VAP Knife Crime'!BR26</f>
        <v>0</v>
      </c>
      <c r="AW576" s="64">
        <f>'[2]VAP Knife Crime'!BS26</f>
        <v>0</v>
      </c>
      <c r="AX576" s="64">
        <f>'[2]VAP Knife Crime'!BT26</f>
        <v>0</v>
      </c>
      <c r="AY576" s="64">
        <f>'[2]VAP Knife Crime'!BU26</f>
        <v>0</v>
      </c>
    </row>
    <row r="577" spans="3:51" x14ac:dyDescent="0.35">
      <c r="C577" s="785" t="s">
        <v>213</v>
      </c>
      <c r="AB577" s="64">
        <f>'[2]VAP Knife Crime'!AX27</f>
        <v>0</v>
      </c>
      <c r="AC577" s="64">
        <f>'[2]VAP Knife Crime'!AY27</f>
        <v>3</v>
      </c>
      <c r="AD577" s="64">
        <f>'[2]VAP Knife Crime'!AZ27</f>
        <v>0</v>
      </c>
      <c r="AE577" s="64">
        <f>'[2]VAP Knife Crime'!BA27</f>
        <v>3</v>
      </c>
      <c r="AF577" s="64">
        <f>'[2]VAP Knife Crime'!BB27</f>
        <v>1</v>
      </c>
      <c r="AG577" s="64">
        <f>'[2]VAP Knife Crime'!BC27</f>
        <v>3</v>
      </c>
      <c r="AH577" s="64">
        <f>'[2]VAP Knife Crime'!BD27</f>
        <v>0</v>
      </c>
      <c r="AI577" s="64">
        <f>'[2]VAP Knife Crime'!BE27</f>
        <v>13</v>
      </c>
      <c r="AJ577" s="64">
        <f>'[2]VAP Knife Crime'!BF27</f>
        <v>0</v>
      </c>
      <c r="AK577" s="64">
        <f>'[2]VAP Knife Crime'!BG27</f>
        <v>1</v>
      </c>
      <c r="AL577" s="64">
        <f>'[2]VAP Knife Crime'!BH27</f>
        <v>1</v>
      </c>
      <c r="AM577" s="64">
        <f>'[2]VAP Knife Crime'!BI27</f>
        <v>0</v>
      </c>
      <c r="AN577" s="64">
        <f>'[2]VAP Knife Crime'!BJ27</f>
        <v>2</v>
      </c>
      <c r="AO577" s="64">
        <f>'[2]VAP Knife Crime'!BK27</f>
        <v>0</v>
      </c>
      <c r="AP577" s="64">
        <f>'[2]VAP Knife Crime'!BL27</f>
        <v>0</v>
      </c>
      <c r="AQ577" s="64">
        <f>'[2]VAP Knife Crime'!BM27</f>
        <v>0</v>
      </c>
      <c r="AR577" s="64">
        <f>'[2]VAP Knife Crime'!BN27</f>
        <v>0</v>
      </c>
      <c r="AS577" s="64">
        <f>'[2]VAP Knife Crime'!BO27</f>
        <v>1</v>
      </c>
      <c r="AT577" s="64">
        <f>'[2]VAP Knife Crime'!BP27</f>
        <v>1</v>
      </c>
      <c r="AU577" s="64">
        <f>'[2]VAP Knife Crime'!BQ27</f>
        <v>0</v>
      </c>
      <c r="AV577" s="64">
        <f>'[2]VAP Knife Crime'!BR27</f>
        <v>0</v>
      </c>
      <c r="AW577" s="64">
        <f>'[2]VAP Knife Crime'!BS27</f>
        <v>2</v>
      </c>
      <c r="AX577" s="64">
        <f>'[2]VAP Knife Crime'!BT27</f>
        <v>0</v>
      </c>
      <c r="AY577" s="64">
        <f>'[2]VAP Knife Crime'!BU27</f>
        <v>0</v>
      </c>
    </row>
    <row r="578" spans="3:51" x14ac:dyDescent="0.35">
      <c r="C578" s="785" t="s">
        <v>146</v>
      </c>
      <c r="AB578" s="64">
        <f>'[2]VAP Knife Crime'!AX28</f>
        <v>0</v>
      </c>
      <c r="AC578" s="64">
        <f>'[2]VAP Knife Crime'!AY28</f>
        <v>0</v>
      </c>
      <c r="AD578" s="64">
        <f>'[2]VAP Knife Crime'!AZ28</f>
        <v>1</v>
      </c>
      <c r="AE578" s="64">
        <f>'[2]VAP Knife Crime'!BA28</f>
        <v>0</v>
      </c>
      <c r="AF578" s="64">
        <f>'[2]VAP Knife Crime'!BB28</f>
        <v>0</v>
      </c>
      <c r="AG578" s="64">
        <f>'[2]VAP Knife Crime'!BC28</f>
        <v>0</v>
      </c>
      <c r="AH578" s="64">
        <f>'[2]VAP Knife Crime'!BD28</f>
        <v>0</v>
      </c>
      <c r="AI578" s="64">
        <f>'[2]VAP Knife Crime'!BE28</f>
        <v>1</v>
      </c>
      <c r="AJ578" s="64">
        <f>'[2]VAP Knife Crime'!BF28</f>
        <v>1</v>
      </c>
      <c r="AK578" s="64">
        <f>'[2]VAP Knife Crime'!BG28</f>
        <v>1</v>
      </c>
      <c r="AL578" s="64">
        <f>'[2]VAP Knife Crime'!BH28</f>
        <v>1</v>
      </c>
      <c r="AM578" s="64">
        <f>'[2]VAP Knife Crime'!BI28</f>
        <v>0</v>
      </c>
      <c r="AN578" s="64">
        <f>'[2]VAP Knife Crime'!BJ28</f>
        <v>3</v>
      </c>
      <c r="AO578" s="64">
        <f>'[2]VAP Knife Crime'!BK28</f>
        <v>2</v>
      </c>
      <c r="AP578" s="64">
        <f>'[2]VAP Knife Crime'!BL28</f>
        <v>6</v>
      </c>
      <c r="AQ578" s="64">
        <f>'[2]VAP Knife Crime'!BM28</f>
        <v>0</v>
      </c>
      <c r="AR578" s="64">
        <f>'[2]VAP Knife Crime'!BN28</f>
        <v>0</v>
      </c>
      <c r="AS578" s="64">
        <f>'[2]VAP Knife Crime'!BO28</f>
        <v>0</v>
      </c>
      <c r="AT578" s="64">
        <f>'[2]VAP Knife Crime'!BP28</f>
        <v>0</v>
      </c>
      <c r="AU578" s="64">
        <f>'[2]VAP Knife Crime'!BQ28</f>
        <v>0</v>
      </c>
      <c r="AV578" s="64">
        <f>'[2]VAP Knife Crime'!BR28</f>
        <v>0</v>
      </c>
      <c r="AW578" s="64">
        <f>'[2]VAP Knife Crime'!BS28</f>
        <v>0</v>
      </c>
      <c r="AX578" s="64">
        <f>'[2]VAP Knife Crime'!BT28</f>
        <v>0</v>
      </c>
      <c r="AY578" s="64">
        <f>'[2]VAP Knife Crime'!BU28</f>
        <v>0</v>
      </c>
    </row>
    <row r="579" spans="3:51" x14ac:dyDescent="0.35">
      <c r="C579" s="785" t="s">
        <v>147</v>
      </c>
      <c r="AB579" s="64">
        <f>'[2]VAP Knife Crime'!AX29</f>
        <v>1</v>
      </c>
      <c r="AC579" s="64">
        <f>'[2]VAP Knife Crime'!AY29</f>
        <v>2</v>
      </c>
      <c r="AD579" s="64">
        <f>'[2]VAP Knife Crime'!AZ29</f>
        <v>5</v>
      </c>
      <c r="AE579" s="64">
        <f>'[2]VAP Knife Crime'!BA29</f>
        <v>6</v>
      </c>
      <c r="AF579" s="64">
        <f>'[2]VAP Knife Crime'!BB29</f>
        <v>1</v>
      </c>
      <c r="AG579" s="64">
        <f>'[2]VAP Knife Crime'!BC29</f>
        <v>3</v>
      </c>
      <c r="AH579" s="64">
        <f>'[2]VAP Knife Crime'!BD29</f>
        <v>0</v>
      </c>
      <c r="AI579" s="64">
        <f>'[2]VAP Knife Crime'!BE29</f>
        <v>2</v>
      </c>
      <c r="AJ579" s="64">
        <f>'[2]VAP Knife Crime'!BF29</f>
        <v>1</v>
      </c>
      <c r="AK579" s="64">
        <f>'[2]VAP Knife Crime'!BG29</f>
        <v>2</v>
      </c>
      <c r="AL579" s="64">
        <f>'[2]VAP Knife Crime'!BH29</f>
        <v>3</v>
      </c>
      <c r="AM579" s="64">
        <f>'[2]VAP Knife Crime'!BI29</f>
        <v>0</v>
      </c>
      <c r="AN579" s="64">
        <f>'[2]VAP Knife Crime'!BJ29</f>
        <v>1</v>
      </c>
      <c r="AO579" s="64">
        <f>'[2]VAP Knife Crime'!BK29</f>
        <v>3</v>
      </c>
      <c r="AP579" s="64">
        <f>'[2]VAP Knife Crime'!BL29</f>
        <v>0</v>
      </c>
      <c r="AQ579" s="64">
        <f>'[2]VAP Knife Crime'!BM29</f>
        <v>1</v>
      </c>
      <c r="AR579" s="64">
        <f>'[2]VAP Knife Crime'!BN29</f>
        <v>0</v>
      </c>
      <c r="AS579" s="64">
        <f>'[2]VAP Knife Crime'!BO29</f>
        <v>1</v>
      </c>
      <c r="AT579" s="64">
        <f>'[2]VAP Knife Crime'!BP29</f>
        <v>0</v>
      </c>
      <c r="AU579" s="64">
        <f>'[2]VAP Knife Crime'!BQ29</f>
        <v>0</v>
      </c>
      <c r="AV579" s="64">
        <f>'[2]VAP Knife Crime'!BR29</f>
        <v>0</v>
      </c>
      <c r="AW579" s="64">
        <f>'[2]VAP Knife Crime'!BS29</f>
        <v>0</v>
      </c>
      <c r="AX579" s="64">
        <f>'[2]VAP Knife Crime'!BT29</f>
        <v>0</v>
      </c>
      <c r="AY579" s="64">
        <f>'[2]VAP Knife Crime'!BU29</f>
        <v>0</v>
      </c>
    </row>
    <row r="580" spans="3:51" x14ac:dyDescent="0.35">
      <c r="C580" s="785" t="s">
        <v>0</v>
      </c>
      <c r="AB580" s="45">
        <f>'[2]VAP Knife Crime'!AX31</f>
        <v>4</v>
      </c>
      <c r="AC580" s="45">
        <f>'[2]VAP Knife Crime'!AY31</f>
        <v>6</v>
      </c>
      <c r="AD580" s="45">
        <f>'[2]VAP Knife Crime'!AZ31</f>
        <v>9</v>
      </c>
      <c r="AE580" s="45">
        <f>'[2]VAP Knife Crime'!BA31</f>
        <v>12</v>
      </c>
      <c r="AF580" s="45">
        <f>'[2]VAP Knife Crime'!BB31</f>
        <v>3</v>
      </c>
      <c r="AG580" s="45">
        <f>'[2]VAP Knife Crime'!BC31</f>
        <v>6</v>
      </c>
      <c r="AH580" s="45">
        <f>'[2]VAP Knife Crime'!BD31</f>
        <v>1</v>
      </c>
      <c r="AI580" s="45">
        <f>'[2]VAP Knife Crime'!BE31</f>
        <v>18</v>
      </c>
      <c r="AJ580" s="45">
        <f>'[2]VAP Knife Crime'!BF31</f>
        <v>3</v>
      </c>
      <c r="AK580" s="45">
        <f>'[2]VAP Knife Crime'!BG31</f>
        <v>4</v>
      </c>
      <c r="AL580" s="45">
        <f>'[2]VAP Knife Crime'!BH31</f>
        <v>5</v>
      </c>
      <c r="AM580" s="45">
        <f>'[2]VAP Knife Crime'!BI31</f>
        <v>0</v>
      </c>
      <c r="AN580" s="45">
        <f>'[2]VAP Knife Crime'!BJ31</f>
        <v>6</v>
      </c>
      <c r="AO580" s="45">
        <f>'[2]VAP Knife Crime'!BK31</f>
        <v>6</v>
      </c>
      <c r="AP580" s="45">
        <f>'[2]VAP Knife Crime'!BL31</f>
        <v>7</v>
      </c>
      <c r="AQ580" s="45">
        <f>'[2]VAP Knife Crime'!BM31</f>
        <v>2</v>
      </c>
      <c r="AR580" s="45">
        <f>'[2]VAP Knife Crime'!BN31</f>
        <v>2</v>
      </c>
      <c r="AS580" s="45">
        <f>'[2]VAP Knife Crime'!BO31</f>
        <v>2</v>
      </c>
      <c r="AT580" s="45">
        <f>'[2]VAP Knife Crime'!BP31</f>
        <v>2</v>
      </c>
      <c r="AU580" s="45">
        <f>'[2]VAP Knife Crime'!BQ31</f>
        <v>2</v>
      </c>
      <c r="AV580" s="45">
        <f>'[2]VAP Knife Crime'!BR31</f>
        <v>0</v>
      </c>
      <c r="AW580" s="45">
        <f>'[2]VAP Knife Crime'!BS31</f>
        <v>2</v>
      </c>
      <c r="AX580" s="45">
        <f>'[2]VAP Knife Crime'!BT31</f>
        <v>0</v>
      </c>
      <c r="AY580" s="45">
        <f>'[2]VAP Knife Crime'!BU31</f>
        <v>0</v>
      </c>
    </row>
    <row r="581" spans="3:51" x14ac:dyDescent="0.35">
      <c r="C581" s="785" t="s">
        <v>117</v>
      </c>
      <c r="AB581">
        <f>AB578+AB579</f>
        <v>1</v>
      </c>
      <c r="AC581" s="64">
        <f t="shared" ref="AC581:AY581" si="32">AC578+AC579</f>
        <v>2</v>
      </c>
      <c r="AD581" s="64">
        <f t="shared" si="32"/>
        <v>6</v>
      </c>
      <c r="AE581" s="64">
        <f t="shared" si="32"/>
        <v>6</v>
      </c>
      <c r="AF581" s="64">
        <f t="shared" si="32"/>
        <v>1</v>
      </c>
      <c r="AG581" s="64">
        <f t="shared" si="32"/>
        <v>3</v>
      </c>
      <c r="AH581" s="64">
        <f t="shared" si="32"/>
        <v>0</v>
      </c>
      <c r="AI581" s="64">
        <f t="shared" si="32"/>
        <v>3</v>
      </c>
      <c r="AJ581" s="64">
        <f t="shared" si="32"/>
        <v>2</v>
      </c>
      <c r="AK581" s="64">
        <f t="shared" si="32"/>
        <v>3</v>
      </c>
      <c r="AL581" s="64">
        <f t="shared" si="32"/>
        <v>4</v>
      </c>
      <c r="AM581" s="64">
        <f t="shared" si="32"/>
        <v>0</v>
      </c>
      <c r="AN581" s="64">
        <f t="shared" si="32"/>
        <v>4</v>
      </c>
      <c r="AO581" s="64">
        <f t="shared" si="32"/>
        <v>5</v>
      </c>
      <c r="AP581" s="64">
        <f t="shared" si="32"/>
        <v>6</v>
      </c>
      <c r="AQ581" s="64">
        <f t="shared" si="32"/>
        <v>1</v>
      </c>
      <c r="AR581" s="64">
        <f t="shared" si="32"/>
        <v>0</v>
      </c>
      <c r="AS581" s="64">
        <f t="shared" si="32"/>
        <v>1</v>
      </c>
      <c r="AT581" s="64">
        <f t="shared" si="32"/>
        <v>0</v>
      </c>
      <c r="AU581" s="64">
        <f t="shared" si="32"/>
        <v>0</v>
      </c>
      <c r="AV581" s="64">
        <f t="shared" si="32"/>
        <v>0</v>
      </c>
      <c r="AW581" s="64">
        <f t="shared" si="32"/>
        <v>0</v>
      </c>
      <c r="AX581" s="64">
        <f t="shared" si="32"/>
        <v>0</v>
      </c>
      <c r="AY581" s="64">
        <f t="shared" si="32"/>
        <v>0</v>
      </c>
    </row>
  </sheetData>
  <pageMargins left="0.7" right="0.7" top="0.75" bottom="0.75" header="0.3" footer="0.3"/>
  <pageSetup paperSize="9" orientation="portrait" r:id="rId1"/>
  <headerFooter>
    <oddFooter>&amp;C&amp;1#&amp;"Calibri"&amp;10&amp;K000000OFFICIAL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146"/>
  <sheetViews>
    <sheetView showGridLines="0" topLeftCell="A23" zoomScaleNormal="100" workbookViewId="0">
      <selection activeCell="N25" sqref="N25"/>
    </sheetView>
  </sheetViews>
  <sheetFormatPr defaultColWidth="8.84375" defaultRowHeight="15.5" x14ac:dyDescent="0.35"/>
  <cols>
    <col min="1" max="1" width="3.23046875" style="130" customWidth="1"/>
    <col min="2" max="2" width="13" style="130" customWidth="1"/>
    <col min="3" max="3" width="51.53515625" style="130" customWidth="1"/>
    <col min="4" max="4" width="8.84375" style="130"/>
    <col min="5" max="5" width="5.84375" style="631"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130"/>
    <col min="18" max="18" width="10.23046875" style="641" customWidth="1"/>
    <col min="19" max="19" width="10.53515625" style="130" hidden="1" customWidth="1"/>
    <col min="20" max="20" width="8.84375" style="515" customWidth="1"/>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1"/>
      <c r="B1" s="9" t="s">
        <v>79</v>
      </c>
      <c r="C1" s="1"/>
      <c r="D1" s="760" t="s">
        <v>30</v>
      </c>
      <c r="E1" s="95"/>
      <c r="F1" s="930"/>
      <c r="G1" s="930"/>
      <c r="H1" s="95"/>
      <c r="I1" s="930"/>
      <c r="J1" s="95"/>
      <c r="K1" s="95"/>
      <c r="L1" s="95"/>
      <c r="M1" s="95"/>
      <c r="N1" s="930"/>
      <c r="O1" s="95"/>
      <c r="P1" s="930"/>
      <c r="Q1" s="1"/>
      <c r="R1" s="7"/>
      <c r="S1" s="1"/>
      <c r="T1" s="510"/>
      <c r="U1" s="1"/>
      <c r="V1" s="1"/>
      <c r="W1" s="1"/>
      <c r="X1" s="1"/>
    </row>
    <row r="2" spans="1:24" x14ac:dyDescent="0.35">
      <c r="A2" s="1"/>
      <c r="B2" s="1"/>
      <c r="C2" s="1"/>
      <c r="D2" s="1"/>
      <c r="E2" s="95"/>
      <c r="F2" s="930"/>
      <c r="G2" s="930"/>
      <c r="H2" s="95"/>
      <c r="I2" s="930"/>
      <c r="J2" s="95"/>
      <c r="K2" s="95"/>
      <c r="L2" s="95"/>
      <c r="M2" s="95"/>
      <c r="N2" s="930"/>
      <c r="O2" s="95"/>
      <c r="P2" s="930"/>
      <c r="Q2" s="1"/>
      <c r="R2" s="7"/>
      <c r="S2" s="1"/>
      <c r="T2" s="510"/>
      <c r="U2" s="7" t="s">
        <v>69</v>
      </c>
      <c r="V2" s="1"/>
      <c r="W2" s="1"/>
      <c r="X2" s="1"/>
    </row>
    <row r="3" spans="1:24" ht="26" x14ac:dyDescent="0.6">
      <c r="A3" s="1"/>
      <c r="B3" s="925" t="s">
        <v>501</v>
      </c>
      <c r="C3" s="2"/>
      <c r="D3" s="2"/>
      <c r="E3" s="96"/>
      <c r="F3" s="465"/>
      <c r="G3" s="465"/>
      <c r="H3" s="96"/>
      <c r="I3" s="465"/>
      <c r="J3" s="96"/>
      <c r="K3" s="96"/>
      <c r="L3" s="96"/>
      <c r="M3" s="96"/>
      <c r="N3" s="465"/>
      <c r="O3" s="96"/>
      <c r="P3" s="465"/>
      <c r="Q3" s="2"/>
      <c r="R3" s="293"/>
      <c r="S3" s="1"/>
      <c r="T3" s="510"/>
      <c r="U3" s="1"/>
      <c r="V3" s="1"/>
      <c r="W3" s="1"/>
      <c r="X3" s="1"/>
    </row>
    <row r="4" spans="1:24" x14ac:dyDescent="0.35">
      <c r="A4" s="1"/>
      <c r="B4" s="2"/>
      <c r="C4" s="2"/>
      <c r="D4" s="2"/>
      <c r="E4" s="96"/>
      <c r="F4" s="465"/>
      <c r="G4" s="465"/>
      <c r="H4" s="96"/>
      <c r="I4" s="465"/>
      <c r="J4" s="96"/>
      <c r="K4" s="96"/>
      <c r="L4" s="96"/>
      <c r="M4" s="96"/>
      <c r="N4" s="465"/>
      <c r="O4" s="96"/>
      <c r="P4" s="465"/>
      <c r="Q4" s="2"/>
      <c r="R4" s="293"/>
      <c r="S4" s="1"/>
      <c r="T4" s="510"/>
      <c r="U4" s="1"/>
      <c r="V4" s="1"/>
      <c r="W4" s="1"/>
      <c r="X4" s="1"/>
    </row>
    <row r="5" spans="1:24" ht="52.5" customHeight="1" x14ac:dyDescent="0.35">
      <c r="A5" s="1"/>
      <c r="B5" s="2"/>
      <c r="C5" s="14" t="s">
        <v>1</v>
      </c>
      <c r="D5" s="996" t="s">
        <v>497</v>
      </c>
      <c r="E5" s="12" t="s">
        <v>132</v>
      </c>
      <c r="F5" s="12" t="s">
        <v>20</v>
      </c>
      <c r="G5" s="12" t="s">
        <v>21</v>
      </c>
      <c r="H5" s="12" t="s">
        <v>22</v>
      </c>
      <c r="I5" s="12" t="s">
        <v>23</v>
      </c>
      <c r="J5" s="12" t="s">
        <v>24</v>
      </c>
      <c r="K5" s="12" t="s">
        <v>25</v>
      </c>
      <c r="L5" s="12" t="s">
        <v>26</v>
      </c>
      <c r="M5" s="12" t="s">
        <v>27</v>
      </c>
      <c r="N5" s="12" t="s">
        <v>28</v>
      </c>
      <c r="O5" s="12" t="s">
        <v>29</v>
      </c>
      <c r="P5" s="12" t="s">
        <v>30</v>
      </c>
      <c r="Q5" s="13" t="s">
        <v>32</v>
      </c>
      <c r="R5" s="997" t="s">
        <v>498</v>
      </c>
      <c r="S5" s="508" t="s">
        <v>351</v>
      </c>
      <c r="T5" s="510"/>
      <c r="U5" s="1"/>
      <c r="V5" s="1"/>
      <c r="W5" s="1"/>
      <c r="X5" s="1"/>
    </row>
    <row r="6" spans="1:24" ht="15" customHeight="1" x14ac:dyDescent="0.35">
      <c r="A6" s="1"/>
      <c r="B6" s="1204" t="s">
        <v>423</v>
      </c>
      <c r="C6" s="127" t="s">
        <v>2</v>
      </c>
      <c r="D6" s="233">
        <f>'year end'!AD99</f>
        <v>1569</v>
      </c>
      <c r="E6" s="232">
        <f>Masterlist!AN93</f>
        <v>141</v>
      </c>
      <c r="F6" s="118">
        <f>Masterlist!AO93</f>
        <v>157</v>
      </c>
      <c r="G6" s="118">
        <f>Masterlist!AP93</f>
        <v>146</v>
      </c>
      <c r="H6" s="118">
        <f>Masterlist!AQ93</f>
        <v>140</v>
      </c>
      <c r="I6" s="118">
        <f>Masterlist!AR93</f>
        <v>135</v>
      </c>
      <c r="J6" s="118">
        <f>Masterlist!AS93</f>
        <v>116</v>
      </c>
      <c r="K6" s="118">
        <f>Masterlist!AT93</f>
        <v>120</v>
      </c>
      <c r="L6" s="118">
        <f>Masterlist!AU93</f>
        <v>95</v>
      </c>
      <c r="M6" s="118">
        <f>Masterlist!AV93</f>
        <v>135</v>
      </c>
      <c r="N6" s="118">
        <f>Masterlist!AW93</f>
        <v>96</v>
      </c>
      <c r="O6" s="118">
        <f>Masterlist!AX93</f>
        <v>109</v>
      </c>
      <c r="P6" s="118">
        <f>Masterlist!AY93</f>
        <v>116</v>
      </c>
      <c r="Q6" s="254">
        <f t="shared" ref="Q6:Q14" si="0">SUM(E6:P6)</f>
        <v>1506</v>
      </c>
      <c r="R6" s="297">
        <f>(Q6-(HLOOKUP($D$1,yearendcumulative,98,FALSE)))/(HLOOKUP($D$1,yearendcumulative,98,FALSE))</f>
        <v>-4.0152963671128104E-2</v>
      </c>
      <c r="S6" s="297">
        <f>(Q6-(HLOOKUP($D$1,Monthlyaveragecumulative,98,FALSE)))/(HLOOKUP($D$1,Monthlyaveragecumulative,98,FALSE))</f>
        <v>8.7364620938628165E-2</v>
      </c>
      <c r="T6" s="510"/>
      <c r="U6" s="1"/>
      <c r="V6" s="1"/>
      <c r="W6" s="1"/>
      <c r="X6" s="1"/>
    </row>
    <row r="7" spans="1:24" x14ac:dyDescent="0.35">
      <c r="A7" s="1"/>
      <c r="B7" s="1204"/>
      <c r="C7" s="20" t="s">
        <v>3</v>
      </c>
      <c r="D7" s="234">
        <f>'year end'!AD118</f>
        <v>570</v>
      </c>
      <c r="E7" s="16">
        <f>Masterlist!AN111</f>
        <v>39</v>
      </c>
      <c r="F7" s="30">
        <f>Masterlist!AO111</f>
        <v>48</v>
      </c>
      <c r="G7" s="30">
        <f>Masterlist!AP111</f>
        <v>46</v>
      </c>
      <c r="H7" s="30">
        <f>Masterlist!AQ111</f>
        <v>45</v>
      </c>
      <c r="I7" s="30">
        <f>Masterlist!AR111</f>
        <v>35</v>
      </c>
      <c r="J7" s="30">
        <f>Masterlist!AS111</f>
        <v>36</v>
      </c>
      <c r="K7" s="30">
        <f>Masterlist!AT111</f>
        <v>31</v>
      </c>
      <c r="L7" s="30">
        <f>Masterlist!AU111</f>
        <v>36</v>
      </c>
      <c r="M7" s="30">
        <f>Masterlist!AV111</f>
        <v>50</v>
      </c>
      <c r="N7" s="30">
        <f>Masterlist!AW111</f>
        <v>31</v>
      </c>
      <c r="O7" s="30">
        <f>Masterlist!AX111</f>
        <v>48</v>
      </c>
      <c r="P7" s="30">
        <f>Masterlist!AY111</f>
        <v>38</v>
      </c>
      <c r="Q7" s="238">
        <f t="shared" si="0"/>
        <v>483</v>
      </c>
      <c r="R7" s="298">
        <f>(Q7-(HLOOKUP($D$1,yearendcumulative,117,FALSE)))/(HLOOKUP($D$1,yearendcumulative,117,FALSE))</f>
        <v>-0.15263157894736842</v>
      </c>
      <c r="S7" s="298">
        <f>(Q7-(HLOOKUP($D$1,Monthlyaveragecumulative,117,FALSE)))/(HLOOKUP($D$1,Monthlyaveragecumulative,117,FALSE))</f>
        <v>-0.11376146788990826</v>
      </c>
      <c r="T7" s="510"/>
      <c r="U7" s="1"/>
      <c r="V7" s="1"/>
      <c r="W7" s="1"/>
      <c r="X7" s="1"/>
    </row>
    <row r="8" spans="1:24" x14ac:dyDescent="0.35">
      <c r="A8" s="1"/>
      <c r="B8" s="1204"/>
      <c r="C8" s="20" t="s">
        <v>235</v>
      </c>
      <c r="D8" s="56">
        <f>D7/D6</f>
        <v>0.3632887189292543</v>
      </c>
      <c r="E8" s="231">
        <f>E7/E6</f>
        <v>0.27659574468085107</v>
      </c>
      <c r="F8" s="50">
        <f t="shared" ref="F8" si="1">F7/F6</f>
        <v>0.30573248407643311</v>
      </c>
      <c r="G8" s="50">
        <f t="shared" ref="G8:P8" si="2">G7/G6</f>
        <v>0.31506849315068491</v>
      </c>
      <c r="H8" s="50">
        <f t="shared" si="2"/>
        <v>0.32142857142857145</v>
      </c>
      <c r="I8" s="50">
        <f t="shared" si="2"/>
        <v>0.25925925925925924</v>
      </c>
      <c r="J8" s="50">
        <f t="shared" si="2"/>
        <v>0.31034482758620691</v>
      </c>
      <c r="K8" s="50">
        <f t="shared" si="2"/>
        <v>0.25833333333333336</v>
      </c>
      <c r="L8" s="50">
        <f t="shared" si="2"/>
        <v>0.37894736842105264</v>
      </c>
      <c r="M8" s="50">
        <f t="shared" si="2"/>
        <v>0.37037037037037035</v>
      </c>
      <c r="N8" s="50">
        <f t="shared" si="2"/>
        <v>0.32291666666666669</v>
      </c>
      <c r="O8" s="50">
        <f t="shared" si="2"/>
        <v>0.44036697247706424</v>
      </c>
      <c r="P8" s="50">
        <f t="shared" si="2"/>
        <v>0.32758620689655171</v>
      </c>
      <c r="Q8" s="256">
        <f t="shared" ref="Q8" si="3">Q7/Q6</f>
        <v>0.32071713147410358</v>
      </c>
      <c r="R8" s="298">
        <f>Q8-(HLOOKUP($D$1,yearendcumulative,389,FALSE))</f>
        <v>-4.2571587455150717E-2</v>
      </c>
      <c r="S8" s="298">
        <f>(Q8-(HLOOKUP($D$1,Monthlyaveragecumulative,389,FALSE)))</f>
        <v>-7.2784673580048032E-2</v>
      </c>
      <c r="T8" s="510"/>
      <c r="U8" s="1"/>
      <c r="V8" s="1"/>
      <c r="W8" s="1"/>
      <c r="X8" s="1"/>
    </row>
    <row r="9" spans="1:24" x14ac:dyDescent="0.35">
      <c r="A9" s="1"/>
      <c r="B9" s="1204"/>
      <c r="C9" s="127" t="s">
        <v>4</v>
      </c>
      <c r="D9" s="234">
        <f>'year end'!AD100</f>
        <v>3057</v>
      </c>
      <c r="E9" s="16">
        <f>Masterlist!AN94</f>
        <v>232</v>
      </c>
      <c r="F9" s="30">
        <f>Masterlist!AO94</f>
        <v>282</v>
      </c>
      <c r="G9" s="30">
        <f>Masterlist!AP94</f>
        <v>257</v>
      </c>
      <c r="H9" s="30">
        <f>Masterlist!AQ94</f>
        <v>276</v>
      </c>
      <c r="I9" s="30">
        <f>Masterlist!AR94</f>
        <v>214</v>
      </c>
      <c r="J9" s="30">
        <f>Masterlist!AS94</f>
        <v>250</v>
      </c>
      <c r="K9" s="30">
        <f>Masterlist!AT94</f>
        <v>226</v>
      </c>
      <c r="L9" s="30">
        <f>Masterlist!AU94</f>
        <v>224</v>
      </c>
      <c r="M9" s="30">
        <f>Masterlist!AV94</f>
        <v>261</v>
      </c>
      <c r="N9" s="30">
        <f>Masterlist!AW94</f>
        <v>262</v>
      </c>
      <c r="O9" s="30">
        <f>Masterlist!AX94</f>
        <v>216</v>
      </c>
      <c r="P9" s="30">
        <f>Masterlist!AY94</f>
        <v>212</v>
      </c>
      <c r="Q9" s="238">
        <f t="shared" si="0"/>
        <v>2912</v>
      </c>
      <c r="R9" s="298">
        <f>(Q9-(HLOOKUP($D$1,yearendcumulative,99,FALSE)))/(HLOOKUP($D$1,yearendcumulative,99,FALSE))</f>
        <v>-4.7432122996401704E-2</v>
      </c>
      <c r="S9" s="298">
        <f>(Q9-(HLOOKUP($D$1,Monthlyaveragecumulative,99,FALSE)))/(HLOOKUP($D$1,Monthlyaveragecumulative,99,FALSE))</f>
        <v>-1.388418557399255E-2</v>
      </c>
      <c r="T9" s="510"/>
      <c r="U9" s="1"/>
      <c r="V9" s="1"/>
      <c r="W9" s="1"/>
      <c r="X9" s="1"/>
    </row>
    <row r="10" spans="1:24" x14ac:dyDescent="0.35">
      <c r="A10" s="1"/>
      <c r="B10" s="1204"/>
      <c r="C10" s="20" t="s">
        <v>158</v>
      </c>
      <c r="D10" s="234">
        <f>'year end'!AD119</f>
        <v>1120</v>
      </c>
      <c r="E10" s="16">
        <f>Masterlist!AN112</f>
        <v>91</v>
      </c>
      <c r="F10" s="30">
        <f>Masterlist!AO112</f>
        <v>94</v>
      </c>
      <c r="G10" s="30">
        <f>Masterlist!AP112</f>
        <v>81</v>
      </c>
      <c r="H10" s="30">
        <f>Masterlist!AQ112</f>
        <v>91</v>
      </c>
      <c r="I10" s="30">
        <f>Masterlist!AR112</f>
        <v>80</v>
      </c>
      <c r="J10" s="30">
        <f>Masterlist!AS112</f>
        <v>94</v>
      </c>
      <c r="K10" s="30">
        <f>Masterlist!AT112</f>
        <v>89</v>
      </c>
      <c r="L10" s="30">
        <f>Masterlist!AU112</f>
        <v>83</v>
      </c>
      <c r="M10" s="30">
        <f>Masterlist!AV112</f>
        <v>105</v>
      </c>
      <c r="N10" s="30">
        <f>Masterlist!AW112</f>
        <v>87</v>
      </c>
      <c r="O10" s="30">
        <f>Masterlist!AX112</f>
        <v>96</v>
      </c>
      <c r="P10" s="30">
        <f>Masterlist!AY112</f>
        <v>77</v>
      </c>
      <c r="Q10" s="238">
        <f t="shared" si="0"/>
        <v>1068</v>
      </c>
      <c r="R10" s="298">
        <f>(Q10-(HLOOKUP($D$1,yearendcumulative,118,FALSE)))/(HLOOKUP($D$1,yearendcumulative,118,FALSE))</f>
        <v>-4.642857142857143E-2</v>
      </c>
      <c r="S10" s="298">
        <f>(Q10-(HLOOKUP($D$1,Monthlyaveragecumulative,118,FALSE)))/(HLOOKUP($D$1,Monthlyaveragecumulative,118,FALSE))</f>
        <v>-0.12026359143327842</v>
      </c>
      <c r="T10" s="510"/>
      <c r="U10" s="1"/>
      <c r="V10" s="1"/>
      <c r="W10" s="1"/>
      <c r="X10" s="1"/>
    </row>
    <row r="11" spans="1:24" x14ac:dyDescent="0.35">
      <c r="A11" s="1"/>
      <c r="B11" s="1204"/>
      <c r="C11" s="20" t="s">
        <v>236</v>
      </c>
      <c r="D11" s="56">
        <f>D10/D9</f>
        <v>0.36637226038599935</v>
      </c>
      <c r="E11" s="231">
        <f>E10/E9</f>
        <v>0.39224137931034481</v>
      </c>
      <c r="F11" s="50">
        <f t="shared" ref="F11" si="4">F10/F9</f>
        <v>0.33333333333333331</v>
      </c>
      <c r="G11" s="50">
        <f t="shared" ref="G11:P11" si="5">G10/G9</f>
        <v>0.31517509727626458</v>
      </c>
      <c r="H11" s="50">
        <f t="shared" si="5"/>
        <v>0.32971014492753625</v>
      </c>
      <c r="I11" s="50">
        <f t="shared" si="5"/>
        <v>0.37383177570093457</v>
      </c>
      <c r="J11" s="50">
        <f t="shared" si="5"/>
        <v>0.376</v>
      </c>
      <c r="K11" s="50">
        <f t="shared" si="5"/>
        <v>0.39380530973451328</v>
      </c>
      <c r="L11" s="50">
        <f t="shared" si="5"/>
        <v>0.3705357142857143</v>
      </c>
      <c r="M11" s="50">
        <f t="shared" si="5"/>
        <v>0.40229885057471265</v>
      </c>
      <c r="N11" s="50">
        <f t="shared" si="5"/>
        <v>0.33206106870229007</v>
      </c>
      <c r="O11" s="50">
        <f t="shared" si="5"/>
        <v>0.44444444444444442</v>
      </c>
      <c r="P11" s="50">
        <f t="shared" si="5"/>
        <v>0.3632075471698113</v>
      </c>
      <c r="Q11" s="256">
        <f t="shared" ref="Q11" si="6">Q10/Q9</f>
        <v>0.36675824175824173</v>
      </c>
      <c r="R11" s="298">
        <f>Q11-(HLOOKUP($D$1,yearendcumulative,396,FALSE))</f>
        <v>3.8598137224238327E-4</v>
      </c>
      <c r="S11" s="298">
        <f>(Q11-(HLOOKUP($D$1,Monthlyaveragecumulative,396,FALSE)))</f>
        <v>-4.4349106700952323E-2</v>
      </c>
      <c r="T11" s="510"/>
      <c r="U11" s="1"/>
      <c r="V11" s="1"/>
      <c r="W11" s="1"/>
      <c r="X11" s="1"/>
    </row>
    <row r="12" spans="1:24" x14ac:dyDescent="0.35">
      <c r="A12" s="1"/>
      <c r="B12" s="1204"/>
      <c r="C12" s="127" t="s">
        <v>5</v>
      </c>
      <c r="D12" s="234">
        <f>'year end'!AD101</f>
        <v>132</v>
      </c>
      <c r="E12" s="16">
        <f>Masterlist!AN95</f>
        <v>13</v>
      </c>
      <c r="F12" s="30">
        <f>Masterlist!AO95</f>
        <v>11</v>
      </c>
      <c r="G12" s="30">
        <f>Masterlist!AP95</f>
        <v>7</v>
      </c>
      <c r="H12" s="30">
        <f>Masterlist!AQ95</f>
        <v>11</v>
      </c>
      <c r="I12" s="30">
        <f>Masterlist!AR95</f>
        <v>16</v>
      </c>
      <c r="J12" s="30">
        <f>Masterlist!AS95</f>
        <v>9</v>
      </c>
      <c r="K12" s="30">
        <f>Masterlist!AT95</f>
        <v>9</v>
      </c>
      <c r="L12" s="30">
        <f>Masterlist!AU95</f>
        <v>13</v>
      </c>
      <c r="M12" s="30">
        <f>Masterlist!AV95</f>
        <v>11</v>
      </c>
      <c r="N12" s="30">
        <f>Masterlist!AW95</f>
        <v>23</v>
      </c>
      <c r="O12" s="30">
        <f>Masterlist!AX95</f>
        <v>14</v>
      </c>
      <c r="P12" s="30">
        <f>Masterlist!AY95</f>
        <v>23</v>
      </c>
      <c r="Q12" s="238">
        <f t="shared" si="0"/>
        <v>160</v>
      </c>
      <c r="R12" s="298">
        <f>(Q12-(HLOOKUP($D$1,yearendcumulative,100,FALSE)))/(HLOOKUP($D$1,yearendcumulative,100,FALSE))</f>
        <v>0.21212121212121213</v>
      </c>
      <c r="S12" s="298">
        <f>(Q12-(HLOOKUP($D$1,Monthlyaveragecumulative,100,FALSE)))/(HLOOKUP($D$1,Monthlyaveragecumulative,100,FALSE))</f>
        <v>0.23076923076923078</v>
      </c>
      <c r="T12" s="510"/>
      <c r="U12" s="1"/>
      <c r="V12" s="1"/>
      <c r="W12" s="1"/>
      <c r="X12" s="1"/>
    </row>
    <row r="13" spans="1:24" x14ac:dyDescent="0.35">
      <c r="A13" s="1"/>
      <c r="B13" s="1204"/>
      <c r="C13" s="983" t="s">
        <v>6</v>
      </c>
      <c r="D13" s="234">
        <f>'year end'!AD102</f>
        <v>317</v>
      </c>
      <c r="E13" s="16">
        <f>Masterlist!AN96</f>
        <v>37</v>
      </c>
      <c r="F13" s="30">
        <f>Masterlist!AO96</f>
        <v>35</v>
      </c>
      <c r="G13" s="30">
        <f>Masterlist!AP96</f>
        <v>45</v>
      </c>
      <c r="H13" s="30">
        <f>Masterlist!AQ96</f>
        <v>29</v>
      </c>
      <c r="I13" s="30">
        <f>Masterlist!AR96</f>
        <v>23</v>
      </c>
      <c r="J13" s="30">
        <f>Masterlist!AS96</f>
        <v>25</v>
      </c>
      <c r="K13" s="30">
        <f>Masterlist!AT96</f>
        <v>39</v>
      </c>
      <c r="L13" s="30">
        <f>Masterlist!AU96</f>
        <v>26</v>
      </c>
      <c r="M13" s="30">
        <f>Masterlist!AV96</f>
        <v>35</v>
      </c>
      <c r="N13" s="30">
        <f>Masterlist!AW96</f>
        <v>26</v>
      </c>
      <c r="O13" s="30">
        <f>Masterlist!AX96</f>
        <v>38</v>
      </c>
      <c r="P13" s="30">
        <f>Masterlist!AY96</f>
        <v>38</v>
      </c>
      <c r="Q13" s="238">
        <f t="shared" si="0"/>
        <v>396</v>
      </c>
      <c r="R13" s="298">
        <f>(Q13-(HLOOKUP($D$1,yearendcumulative,101,FALSE)))/(HLOOKUP($D$1,yearendcumulative,101,FALSE))</f>
        <v>0.24921135646687698</v>
      </c>
      <c r="S13" s="298">
        <f>(Q13-(HLOOKUP($D$1,Monthlyaveragecumulative,101,FALSE)))/(HLOOKUP($D$1,Monthlyaveragecumulative,101,FALSE))</f>
        <v>0.49433962264150944</v>
      </c>
      <c r="T13" s="510"/>
      <c r="U13" s="1"/>
      <c r="V13" s="1"/>
      <c r="W13" s="1"/>
      <c r="X13" s="1"/>
    </row>
    <row r="14" spans="1:24" x14ac:dyDescent="0.35">
      <c r="A14" s="1"/>
      <c r="B14" s="1204"/>
      <c r="C14" s="20" t="s">
        <v>237</v>
      </c>
      <c r="D14" s="233">
        <f>'year end'!AD120</f>
        <v>83</v>
      </c>
      <c r="E14" s="232">
        <f>Masterlist!AN114</f>
        <v>5</v>
      </c>
      <c r="F14" s="118">
        <f>Masterlist!AO114</f>
        <v>8</v>
      </c>
      <c r="G14" s="118">
        <f>Masterlist!AP114</f>
        <v>7</v>
      </c>
      <c r="H14" s="118">
        <f>Masterlist!AQ114</f>
        <v>6</v>
      </c>
      <c r="I14" s="118">
        <f>Masterlist!AR114</f>
        <v>9</v>
      </c>
      <c r="J14" s="118">
        <f>Masterlist!AS114</f>
        <v>10</v>
      </c>
      <c r="K14" s="118">
        <f>Masterlist!AT114</f>
        <v>7</v>
      </c>
      <c r="L14" s="118">
        <f>Masterlist!AU114</f>
        <v>8</v>
      </c>
      <c r="M14" s="118">
        <f>Masterlist!AV114</f>
        <v>8</v>
      </c>
      <c r="N14" s="118">
        <f>Masterlist!AW114</f>
        <v>2</v>
      </c>
      <c r="O14" s="118">
        <f>Masterlist!AX114</f>
        <v>6</v>
      </c>
      <c r="P14" s="118">
        <f>Masterlist!AY114</f>
        <v>6</v>
      </c>
      <c r="Q14" s="264">
        <f t="shared" si="0"/>
        <v>82</v>
      </c>
      <c r="R14" s="297">
        <f>(Q14-(HLOOKUP($D$1,yearendcumulative,119,FALSE)))/(HLOOKUP($D$1,yearendcumulative,119,FALSE))</f>
        <v>-1.2048192771084338E-2</v>
      </c>
      <c r="S14" s="297">
        <f>(Q14-(HLOOKUP($D$1,Monthlyaveragecumulative,119,FALSE)))/(HLOOKUP($D$1,Monthlyaveragecumulative,119,FALSE))</f>
        <v>-0.10869565217391304</v>
      </c>
      <c r="T14" s="510"/>
      <c r="U14" s="1"/>
      <c r="V14" s="1"/>
      <c r="W14" s="1"/>
      <c r="X14" s="1"/>
    </row>
    <row r="15" spans="1:24" ht="15.75" customHeight="1" x14ac:dyDescent="0.35">
      <c r="A15" s="1"/>
      <c r="B15" s="1204"/>
      <c r="C15" s="292" t="s">
        <v>238</v>
      </c>
      <c r="D15" s="234">
        <f>'year end'!AD121</f>
        <v>69</v>
      </c>
      <c r="E15" s="16">
        <f>Masterlist!AN115</f>
        <v>5</v>
      </c>
      <c r="F15" s="30">
        <f>Masterlist!AO115</f>
        <v>6</v>
      </c>
      <c r="G15" s="30">
        <f>Masterlist!AP115</f>
        <v>2</v>
      </c>
      <c r="H15" s="30">
        <f>Masterlist!AQ115</f>
        <v>0</v>
      </c>
      <c r="I15" s="30">
        <f>Masterlist!AR115</f>
        <v>4</v>
      </c>
      <c r="J15" s="30">
        <f>Masterlist!AS115</f>
        <v>5</v>
      </c>
      <c r="K15" s="30">
        <f>Masterlist!AT115</f>
        <v>5</v>
      </c>
      <c r="L15" s="30">
        <f>Masterlist!AU115</f>
        <v>2</v>
      </c>
      <c r="M15" s="30">
        <f>Masterlist!AV115</f>
        <v>10</v>
      </c>
      <c r="N15" s="30">
        <f>Masterlist!AW115</f>
        <v>1</v>
      </c>
      <c r="O15" s="30">
        <f>Masterlist!AX115</f>
        <v>3</v>
      </c>
      <c r="P15" s="30">
        <f>Masterlist!AY115</f>
        <v>9</v>
      </c>
      <c r="Q15" s="267">
        <f>SUM(E15:P15)</f>
        <v>52</v>
      </c>
      <c r="R15" s="298">
        <f>(Q15-(HLOOKUP($D$1,yearendcumulative,120,FALSE)))/(HLOOKUP($D$1,yearendcumulative,120,FALSE))</f>
        <v>-0.24637681159420291</v>
      </c>
      <c r="S15" s="298">
        <f>(Q15-(HLOOKUP($D$1,Monthlyaveragecumulative,120,FALSE)))/(HLOOKUP($D$1,Monthlyaveragecumulative,120,FALSE))</f>
        <v>-0.16129032258064516</v>
      </c>
      <c r="T15" s="510"/>
      <c r="U15" s="1"/>
      <c r="V15" s="1"/>
      <c r="W15" s="1"/>
      <c r="X15" s="1"/>
    </row>
    <row r="16" spans="1:24" ht="15.75" customHeight="1" x14ac:dyDescent="0.35">
      <c r="A16" s="1"/>
      <c r="B16" s="1204"/>
      <c r="C16" s="753" t="s">
        <v>404</v>
      </c>
      <c r="D16" s="233">
        <f>'year end'!AF342</f>
        <v>77</v>
      </c>
      <c r="E16" s="118">
        <f>Masterlist!AN471</f>
        <v>9</v>
      </c>
      <c r="F16" s="118">
        <f>Masterlist!AO471</f>
        <v>7</v>
      </c>
      <c r="G16" s="118">
        <f>Masterlist!AP471</f>
        <v>8</v>
      </c>
      <c r="H16" s="118">
        <f>Masterlist!AQ471</f>
        <v>10</v>
      </c>
      <c r="I16" s="118">
        <f>Masterlist!AR471</f>
        <v>5</v>
      </c>
      <c r="J16" s="118">
        <f>Masterlist!AS471</f>
        <v>9</v>
      </c>
      <c r="K16" s="118">
        <f>Masterlist!AT471</f>
        <v>5</v>
      </c>
      <c r="L16" s="118">
        <f>Masterlist!AU471</f>
        <v>4</v>
      </c>
      <c r="M16" s="118">
        <f>Masterlist!AV471</f>
        <v>3</v>
      </c>
      <c r="N16" s="118">
        <f>Masterlist!AW471</f>
        <v>9</v>
      </c>
      <c r="O16" s="118">
        <f>Masterlist!AX471</f>
        <v>5</v>
      </c>
      <c r="P16" s="118">
        <f>Masterlist!AY471</f>
        <v>3</v>
      </c>
      <c r="Q16" s="47">
        <f>SUM(E16:P16)</f>
        <v>77</v>
      </c>
      <c r="R16" s="297">
        <f>(Q16-(HLOOKUP($D$1,yearendcumulative,341,FALSE)))/(HLOOKUP($D$1,yearendcumulative,341,FALSE))</f>
        <v>0</v>
      </c>
      <c r="S16" s="606">
        <f>(Q16-(HLOOKUP($D$1,Monthlyaveragecumulative,341,FALSE)))/(HLOOKUP($D$1,Monthlyaveragecumulative,341,FALSE))</f>
        <v>0.203125</v>
      </c>
      <c r="T16" s="510"/>
      <c r="U16" s="1"/>
      <c r="V16" s="1"/>
      <c r="W16" s="1"/>
      <c r="X16" s="1"/>
    </row>
    <row r="17" spans="1:45" s="631" customFormat="1" ht="15.75" customHeight="1" x14ac:dyDescent="0.35">
      <c r="A17" s="95"/>
      <c r="B17" s="1204"/>
      <c r="C17" s="1086" t="s">
        <v>425</v>
      </c>
      <c r="D17" s="269">
        <f>'year end'!AD479</f>
        <v>25</v>
      </c>
      <c r="E17" s="1062">
        <f>Masterlist!AN577</f>
        <v>2</v>
      </c>
      <c r="F17" s="1062">
        <f>Masterlist!AO577</f>
        <v>0</v>
      </c>
      <c r="G17" s="1062">
        <f>Masterlist!AP577</f>
        <v>0</v>
      </c>
      <c r="H17" s="1062">
        <f>Masterlist!AQ577</f>
        <v>0</v>
      </c>
      <c r="I17" s="1062">
        <f>Masterlist!AR577</f>
        <v>0</v>
      </c>
      <c r="J17" s="1062">
        <f>Masterlist!AS577</f>
        <v>1</v>
      </c>
      <c r="K17" s="1062">
        <f>Masterlist!AT577</f>
        <v>1</v>
      </c>
      <c r="L17" s="1062">
        <f>Masterlist!AU577</f>
        <v>0</v>
      </c>
      <c r="M17" s="1062">
        <f>Masterlist!AV577</f>
        <v>0</v>
      </c>
      <c r="N17" s="1062">
        <f>Masterlist!AW577</f>
        <v>2</v>
      </c>
      <c r="O17" s="1062">
        <f>Masterlist!AX577</f>
        <v>0</v>
      </c>
      <c r="P17" s="1062">
        <f>Masterlist!AY577</f>
        <v>0</v>
      </c>
      <c r="Q17" s="241">
        <f t="shared" ref="Q17" si="7">SUM(E17:P17)</f>
        <v>6</v>
      </c>
      <c r="R17" s="298">
        <f>(Q17-(HLOOKUP($D$1,yearendcumulative,478,FALSE)))/(HLOOKUP($D$1,yearendcumulative,478,FALSE))</f>
        <v>-0.76</v>
      </c>
      <c r="S17" s="1084" t="s">
        <v>206</v>
      </c>
      <c r="T17" s="604"/>
      <c r="U17" s="95"/>
      <c r="V17" s="95"/>
      <c r="W17" s="95"/>
      <c r="X17" s="95"/>
    </row>
    <row r="18" spans="1:45" x14ac:dyDescent="0.35">
      <c r="A18" s="1"/>
      <c r="B18" s="1204"/>
      <c r="C18" s="22" t="s">
        <v>250</v>
      </c>
      <c r="D18" s="1087">
        <f>'[3]23-24'!O13</f>
        <v>421</v>
      </c>
      <c r="E18" s="1102">
        <v>39</v>
      </c>
      <c r="F18" s="1102">
        <v>58</v>
      </c>
      <c r="G18" s="1146">
        <f>'[3]24-25'!E13</f>
        <v>38</v>
      </c>
      <c r="H18" s="1146">
        <f>'[3]24-25'!F13</f>
        <v>53</v>
      </c>
      <c r="I18" s="1146">
        <f>'[3]24-25'!G13</f>
        <v>27</v>
      </c>
      <c r="J18" s="1146">
        <f>'[3]24-25'!H13</f>
        <v>28</v>
      </c>
      <c r="K18" s="1146">
        <f>'[3]24-25'!I13</f>
        <v>47</v>
      </c>
      <c r="L18" s="1146">
        <f>'[3]24-25'!J13</f>
        <v>33</v>
      </c>
      <c r="M18" s="1146">
        <f>'[3]24-25'!K13</f>
        <v>41</v>
      </c>
      <c r="N18" s="1146">
        <f>'[3]24-25'!L13</f>
        <v>39</v>
      </c>
      <c r="O18" s="1146">
        <f>'[3]24-25'!M13</f>
        <v>34</v>
      </c>
      <c r="P18" s="1146">
        <f>'[3]24-25'!N13</f>
        <v>38</v>
      </c>
      <c r="Q18" s="787">
        <f>'[3]24-25'!O13</f>
        <v>475</v>
      </c>
      <c r="R18" s="846">
        <f>(Q18-'[3]24-25'!$R$13)/'[3]24-25'!$R$13</f>
        <v>0.12826603325415678</v>
      </c>
      <c r="S18" s="787" t="s">
        <v>210</v>
      </c>
      <c r="T18" s="510"/>
      <c r="U18" s="1"/>
      <c r="V18" s="1"/>
      <c r="W18" s="1"/>
      <c r="X18" s="1"/>
    </row>
    <row r="19" spans="1:45" x14ac:dyDescent="0.35">
      <c r="A19" s="1"/>
      <c r="B19" s="1204"/>
      <c r="C19" s="804" t="s">
        <v>451</v>
      </c>
      <c r="D19" s="56">
        <f>'[3]23-24'!O21</f>
        <v>0.30403800475059384</v>
      </c>
      <c r="E19" s="1103">
        <v>0.38</v>
      </c>
      <c r="F19" s="1103">
        <v>0.28000000000000003</v>
      </c>
      <c r="G19" s="1147">
        <f>'[3]24-25'!E21</f>
        <v>0.34210526315789475</v>
      </c>
      <c r="H19" s="1147">
        <f>'[3]24-25'!F21</f>
        <v>0.28301886792452829</v>
      </c>
      <c r="I19" s="1147">
        <f>'[3]24-25'!G21</f>
        <v>0.40740740740740738</v>
      </c>
      <c r="J19" s="1147">
        <f>'[3]24-25'!H21</f>
        <v>0.2857142857142857</v>
      </c>
      <c r="K19" s="1147">
        <f>'[3]24-25'!I21</f>
        <v>0.25531914893617019</v>
      </c>
      <c r="L19" s="1147">
        <f>'[3]24-25'!J21</f>
        <v>0.30303030303030304</v>
      </c>
      <c r="M19" s="1147">
        <f>'[3]24-25'!K21</f>
        <v>0.14634146341463414</v>
      </c>
      <c r="N19" s="1147">
        <f>'[3]24-25'!L21</f>
        <v>0.15384615384615385</v>
      </c>
      <c r="O19" s="1147">
        <f>'[3]24-25'!M21</f>
        <v>0.35294117647058826</v>
      </c>
      <c r="P19" s="1147">
        <f>'[3]24-25'!N21</f>
        <v>0.39473684210526316</v>
      </c>
      <c r="Q19" s="1139">
        <f>'[3]24-25'!O21</f>
        <v>0.29263157894736841</v>
      </c>
      <c r="R19" s="846">
        <f>Q19-'[3]24-25'!$R$21</f>
        <v>-1.1406425803225428E-2</v>
      </c>
      <c r="S19" s="788" t="s">
        <v>210</v>
      </c>
      <c r="T19" s="510"/>
      <c r="U19" s="1"/>
      <c r="V19" s="1"/>
      <c r="W19" s="1"/>
      <c r="X19" s="1"/>
    </row>
    <row r="20" spans="1:45" x14ac:dyDescent="0.35">
      <c r="A20" s="1"/>
      <c r="B20" s="1204"/>
      <c r="C20" s="752" t="s">
        <v>232</v>
      </c>
      <c r="D20" s="764">
        <f>'[3]23-24'!O18</f>
        <v>0.66745843230403801</v>
      </c>
      <c r="E20" s="1103">
        <v>0.46</v>
      </c>
      <c r="F20" s="1103">
        <v>0.48</v>
      </c>
      <c r="G20" s="1147">
        <f>'[3]24-25'!E18</f>
        <v>0.28947368421052633</v>
      </c>
      <c r="H20" s="1147">
        <f>'[3]24-25'!F18</f>
        <v>0.62264150943396224</v>
      </c>
      <c r="I20" s="1147">
        <f>'[3]24-25'!G18</f>
        <v>0.70370370370370372</v>
      </c>
      <c r="J20" s="1147">
        <f>'[3]24-25'!H18</f>
        <v>0.8571428571428571</v>
      </c>
      <c r="K20" s="1147">
        <f>'[3]24-25'!I18</f>
        <v>1</v>
      </c>
      <c r="L20" s="1147">
        <f>'[3]24-25'!J18</f>
        <v>0.81818181818181823</v>
      </c>
      <c r="M20" s="1147">
        <f>'[3]24-25'!K18</f>
        <v>0.56097560975609762</v>
      </c>
      <c r="N20" s="1147">
        <f>'[3]24-25'!L18</f>
        <v>0.4358974358974359</v>
      </c>
      <c r="O20" s="1147">
        <f>'[3]24-25'!M18</f>
        <v>0.52941176470588236</v>
      </c>
      <c r="P20" s="1147">
        <f>'[3]24-25'!N18</f>
        <v>0.63157894736842102</v>
      </c>
      <c r="Q20" s="1139">
        <f>'[3]24-25'!O18</f>
        <v>0.60842105263157897</v>
      </c>
      <c r="R20" s="846">
        <f>Q20-'[3]24-25'!$R$18</f>
        <v>-5.9037379672459034E-2</v>
      </c>
      <c r="S20" s="788" t="s">
        <v>210</v>
      </c>
      <c r="T20" s="510"/>
      <c r="U20" s="1"/>
      <c r="V20" s="1"/>
      <c r="W20" s="1"/>
      <c r="X20" s="1"/>
    </row>
    <row r="21" spans="1:45" x14ac:dyDescent="0.35">
      <c r="A21" s="1"/>
      <c r="B21" s="1204"/>
      <c r="C21" s="752" t="s">
        <v>233</v>
      </c>
      <c r="D21" s="764">
        <f>'[3]23-24'!O19</f>
        <v>0.65083135391923985</v>
      </c>
      <c r="E21" s="1103">
        <v>0.56000000000000005</v>
      </c>
      <c r="F21" s="1103">
        <v>0.55000000000000004</v>
      </c>
      <c r="G21" s="1147">
        <f>'[3]24-25'!E19</f>
        <v>0.42105263157894735</v>
      </c>
      <c r="H21" s="1147">
        <f>'[3]24-25'!F19</f>
        <v>0.62264150943396224</v>
      </c>
      <c r="I21" s="1147">
        <f>'[3]24-25'!G19</f>
        <v>0.7407407407407407</v>
      </c>
      <c r="J21" s="1147">
        <f>'[3]24-25'!H19</f>
        <v>0.8571428571428571</v>
      </c>
      <c r="K21" s="1147">
        <f>'[3]24-25'!I19</f>
        <v>0.7021276595744681</v>
      </c>
      <c r="L21" s="1147">
        <f>'[3]24-25'!J19</f>
        <v>0.60606060606060608</v>
      </c>
      <c r="M21" s="1147">
        <f>'[3]24-25'!K19</f>
        <v>0.65853658536585369</v>
      </c>
      <c r="N21" s="1147">
        <f>'[3]24-25'!L19</f>
        <v>0.46153846153846156</v>
      </c>
      <c r="O21" s="1147">
        <f>'[3]24-25'!M19</f>
        <v>0.61764705882352944</v>
      </c>
      <c r="P21" s="1147">
        <f>'[3]24-25'!N19</f>
        <v>0.63157894736842102</v>
      </c>
      <c r="Q21" s="1139">
        <f>'[3]24-25'!O19</f>
        <v>0.61052631578947369</v>
      </c>
      <c r="R21" s="846">
        <f>Q21-'[3]24-25'!$R$19</f>
        <v>-4.0305038129766158E-2</v>
      </c>
      <c r="S21" s="788" t="s">
        <v>210</v>
      </c>
      <c r="T21" s="510"/>
      <c r="U21" s="1"/>
      <c r="V21" s="1"/>
      <c r="W21" s="1"/>
      <c r="X21" s="1"/>
    </row>
    <row r="22" spans="1:45" ht="15.4" customHeight="1" x14ac:dyDescent="0.35">
      <c r="A22" s="1"/>
      <c r="B22" s="1204"/>
      <c r="C22" s="242" t="s">
        <v>234</v>
      </c>
      <c r="D22" s="765">
        <f>'[3]23-24'!O20</f>
        <v>0.54869358669833734</v>
      </c>
      <c r="E22" s="1104">
        <v>0.46</v>
      </c>
      <c r="F22" s="1104">
        <v>0.67</v>
      </c>
      <c r="G22" s="1148">
        <f>'[3]24-25'!E20</f>
        <v>0.57894736842105265</v>
      </c>
      <c r="H22" s="1148">
        <f>'[3]24-25'!F20</f>
        <v>0.30188679245283018</v>
      </c>
      <c r="I22" s="1148">
        <f>'[3]24-25'!G20</f>
        <v>0.33333333333333331</v>
      </c>
      <c r="J22" s="1148">
        <f>'[3]24-25'!H20</f>
        <v>0.6785714285714286</v>
      </c>
      <c r="K22" s="1148">
        <f>'[3]24-25'!I20</f>
        <v>0.36170212765957449</v>
      </c>
      <c r="L22" s="1148">
        <f>'[3]24-25'!J20</f>
        <v>0.75757575757575757</v>
      </c>
      <c r="M22" s="1148">
        <f>'[3]24-25'!K20</f>
        <v>0.43902439024390244</v>
      </c>
      <c r="N22" s="1148">
        <f>'[3]24-25'!L20</f>
        <v>0.35897435897435898</v>
      </c>
      <c r="O22" s="1148">
        <f>'[3]24-25'!M20</f>
        <v>0.70588235294117652</v>
      </c>
      <c r="P22" s="1148">
        <f>'[3]24-25'!N20</f>
        <v>0.44736842105263158</v>
      </c>
      <c r="Q22" s="1140">
        <f>'[3]24-25'!O20</f>
        <v>0.50105263157894742</v>
      </c>
      <c r="R22" s="846">
        <f>Q22-'[3]24-25'!$R$20</f>
        <v>-4.7640955119389927E-2</v>
      </c>
      <c r="S22" s="789" t="s">
        <v>210</v>
      </c>
      <c r="T22" s="510"/>
      <c r="U22" s="1"/>
      <c r="V22" s="1"/>
      <c r="W22" s="1"/>
      <c r="X22" s="1"/>
    </row>
    <row r="23" spans="1:45" ht="25.5" customHeight="1" x14ac:dyDescent="0.35">
      <c r="A23" s="1"/>
      <c r="B23" s="1204"/>
      <c r="C23" s="991" t="s">
        <v>373</v>
      </c>
      <c r="D23" s="683">
        <f>'year end'!AD406</f>
        <v>85</v>
      </c>
      <c r="E23" s="681">
        <f>Masterlist!AN493</f>
        <v>2</v>
      </c>
      <c r="F23" s="1125">
        <f>Masterlist!AO493</f>
        <v>2</v>
      </c>
      <c r="G23" s="1125">
        <f>Masterlist!AP493</f>
        <v>4</v>
      </c>
      <c r="H23" s="1125">
        <f>Masterlist!AQ493</f>
        <v>5</v>
      </c>
      <c r="I23" s="1125">
        <f>Masterlist!AR493</f>
        <v>1</v>
      </c>
      <c r="J23" s="1125">
        <f>Masterlist!AS493</f>
        <v>1</v>
      </c>
      <c r="K23" s="1125">
        <f>Masterlist!AT493</f>
        <v>4</v>
      </c>
      <c r="L23" s="1125">
        <f>Masterlist!AU493</f>
        <v>1</v>
      </c>
      <c r="M23" s="1125">
        <f>Masterlist!AV493</f>
        <v>3</v>
      </c>
      <c r="N23" s="1125">
        <f>Masterlist!AW493</f>
        <v>1</v>
      </c>
      <c r="O23" s="1125">
        <f>Masterlist!AX493</f>
        <v>0</v>
      </c>
      <c r="P23" s="1125">
        <f>Masterlist!AY493</f>
        <v>2</v>
      </c>
      <c r="Q23" s="264">
        <f t="shared" ref="Q23" si="8">SUM(E23:P23)</f>
        <v>26</v>
      </c>
      <c r="R23" s="303">
        <f>(Q23-(HLOOKUP($D$1,yearendcumulative,405,FALSE)))/(HLOOKUP($D$1,yearendcumulative,405,FALSE))</f>
        <v>-0.69411764705882351</v>
      </c>
      <c r="S23" s="297">
        <f>(Q23-(HLOOKUP($D$1,Monthlyaveragecumulative,438,FALSE)))/(HLOOKUP($D$1,Monthlyaveragecumulative,438,FALSE))</f>
        <v>-0.59375</v>
      </c>
      <c r="T23" s="510"/>
      <c r="U23" s="1"/>
      <c r="V23" s="1"/>
      <c r="W23" s="1"/>
      <c r="X23" s="1"/>
    </row>
    <row r="24" spans="1:45" x14ac:dyDescent="0.35">
      <c r="A24" s="1"/>
      <c r="B24" s="1205"/>
      <c r="C24" s="992" t="s">
        <v>372</v>
      </c>
      <c r="D24" s="684">
        <f>'year end'!AD414</f>
        <v>94</v>
      </c>
      <c r="E24" s="682">
        <f>Masterlist!AN502</f>
        <v>4</v>
      </c>
      <c r="F24" s="1120">
        <f>Masterlist!AO502</f>
        <v>4</v>
      </c>
      <c r="G24" s="1120">
        <f>Masterlist!AP502</f>
        <v>5</v>
      </c>
      <c r="H24" s="1120">
        <f>Masterlist!AQ502</f>
        <v>12</v>
      </c>
      <c r="I24" s="1120">
        <f>Masterlist!AR502</f>
        <v>4</v>
      </c>
      <c r="J24" s="1120">
        <f>Masterlist!AS502</f>
        <v>4</v>
      </c>
      <c r="K24" s="1120">
        <f>Masterlist!AT502</f>
        <v>3</v>
      </c>
      <c r="L24" s="1120">
        <f>Masterlist!AU502</f>
        <v>5</v>
      </c>
      <c r="M24" s="1120">
        <f>Masterlist!AV502</f>
        <v>7</v>
      </c>
      <c r="N24" s="1120">
        <f>Masterlist!AW502</f>
        <v>4</v>
      </c>
      <c r="O24" s="1120">
        <f>Masterlist!AX502</f>
        <v>2</v>
      </c>
      <c r="P24" s="1120">
        <f>Masterlist!AY502</f>
        <v>5</v>
      </c>
      <c r="Q24" s="685">
        <f>SUM(E24:P24)</f>
        <v>59</v>
      </c>
      <c r="R24" s="305">
        <f>(Q24-(HLOOKUP($D$1,yearendcumulative,413,FALSE)))/(HLOOKUP($D$1,yearendcumulative,413,FALSE))</f>
        <v>-0.37234042553191488</v>
      </c>
      <c r="S24" s="299" t="s">
        <v>206</v>
      </c>
      <c r="T24" s="510"/>
      <c r="U24" s="1"/>
      <c r="V24" s="1"/>
      <c r="W24" s="1"/>
      <c r="X24" s="1"/>
    </row>
    <row r="25" spans="1:45" x14ac:dyDescent="0.35">
      <c r="A25" s="1"/>
      <c r="B25" s="3"/>
      <c r="C25" s="215"/>
      <c r="D25" s="216"/>
      <c r="E25" s="216"/>
      <c r="F25" s="1126"/>
      <c r="G25" s="1126"/>
      <c r="H25" s="1126"/>
      <c r="I25" s="1126"/>
      <c r="J25" s="1126"/>
      <c r="K25" s="1126"/>
      <c r="L25" s="1126"/>
      <c r="M25" s="1126"/>
      <c r="N25" s="1126"/>
      <c r="O25" s="1126"/>
      <c r="P25" s="1126"/>
      <c r="Q25" s="438"/>
      <c r="R25" s="482"/>
      <c r="S25" s="482"/>
      <c r="T25" s="510"/>
      <c r="U25" s="1"/>
      <c r="V25" s="1"/>
      <c r="W25" s="1"/>
      <c r="X25" s="1"/>
    </row>
    <row r="26" spans="1:45" ht="19.5" hidden="1" customHeight="1" x14ac:dyDescent="0.35">
      <c r="A26" s="1"/>
      <c r="B26" s="1049" t="s">
        <v>376</v>
      </c>
      <c r="C26" s="454" t="s">
        <v>197</v>
      </c>
      <c r="D26" s="615">
        <f>SUM(D27:D30)</f>
        <v>1181</v>
      </c>
      <c r="E26" s="48">
        <f>SUM(E27:E30)</f>
        <v>123</v>
      </c>
      <c r="F26" s="475">
        <f t="shared" ref="F26" si="9">SUM(F27:F30)</f>
        <v>90</v>
      </c>
      <c r="G26" s="475">
        <f t="shared" ref="G26:P26" si="10">SUM(G27:G30)</f>
        <v>136</v>
      </c>
      <c r="H26" s="475">
        <f t="shared" si="10"/>
        <v>94</v>
      </c>
      <c r="I26" s="475">
        <f t="shared" si="10"/>
        <v>125</v>
      </c>
      <c r="J26" s="475">
        <f t="shared" si="10"/>
        <v>119</v>
      </c>
      <c r="K26" s="475">
        <f t="shared" si="10"/>
        <v>146</v>
      </c>
      <c r="L26" s="475">
        <f t="shared" si="10"/>
        <v>100</v>
      </c>
      <c r="M26" s="475">
        <f t="shared" si="10"/>
        <v>95</v>
      </c>
      <c r="N26" s="475">
        <f t="shared" si="10"/>
        <v>93</v>
      </c>
      <c r="O26" s="475">
        <f t="shared" si="10"/>
        <v>69</v>
      </c>
      <c r="P26" s="475">
        <f t="shared" si="10"/>
        <v>82</v>
      </c>
      <c r="Q26" s="255">
        <f>SUM(E26:P26)</f>
        <v>1272</v>
      </c>
      <c r="R26" s="303">
        <f>(Q26-(HLOOKUP($D$1,yearendcumulative,133,FALSE)))/(HLOOKUP($D$1,yearendcumulative,133,FALSE))</f>
        <v>6.8010075566750636E-2</v>
      </c>
      <c r="S26" s="303">
        <f>(Q26-(HLOOKUP($D$1,Monthlyaveragecumulative,133,FALSE)))/(HLOOKUP($D$1,Monthlyaveragecumulative,133,FALSE))</f>
        <v>-7.9594790159189577E-2</v>
      </c>
      <c r="T26" s="510"/>
      <c r="U26" s="1"/>
      <c r="V26" s="1"/>
      <c r="W26" s="1"/>
      <c r="X26" s="1"/>
      <c r="AN26" s="152"/>
      <c r="AO26" s="152"/>
      <c r="AP26" s="152"/>
      <c r="AQ26" s="152"/>
      <c r="AR26" s="152"/>
      <c r="AS26" s="152"/>
    </row>
    <row r="27" spans="1:45" ht="18.75" customHeight="1" x14ac:dyDescent="0.35">
      <c r="A27" s="1"/>
      <c r="B27" s="1218" t="s">
        <v>376</v>
      </c>
      <c r="C27" s="11" t="s">
        <v>15</v>
      </c>
      <c r="D27" s="615">
        <f>'year end'!AD126</f>
        <v>370</v>
      </c>
      <c r="E27" s="48">
        <f>Masterlist!AN117+Masterlist!AN120</f>
        <v>33</v>
      </c>
      <c r="F27" s="475">
        <f>Masterlist!AO117+Masterlist!AO120</f>
        <v>31</v>
      </c>
      <c r="G27" s="475">
        <f>Masterlist!AP117+Masterlist!AP120</f>
        <v>31</v>
      </c>
      <c r="H27" s="475">
        <f>Masterlist!AQ117+Masterlist!AQ120</f>
        <v>16</v>
      </c>
      <c r="I27" s="475">
        <f>Masterlist!AR117+Masterlist!AR120</f>
        <v>26</v>
      </c>
      <c r="J27" s="475">
        <f>Masterlist!AS117+Masterlist!AS120</f>
        <v>20</v>
      </c>
      <c r="K27" s="475">
        <f>Masterlist!AT117+Masterlist!AT120</f>
        <v>37</v>
      </c>
      <c r="L27" s="475">
        <f>Masterlist!AU117+Masterlist!AU120</f>
        <v>21</v>
      </c>
      <c r="M27" s="475">
        <f>Masterlist!AV117+Masterlist!AV120</f>
        <v>33</v>
      </c>
      <c r="N27" s="475">
        <f>Masterlist!AW117+Masterlist!AW120</f>
        <v>31</v>
      </c>
      <c r="O27" s="475">
        <f>Masterlist!AX117+Masterlist!AX120</f>
        <v>19</v>
      </c>
      <c r="P27" s="475">
        <f>Masterlist!AY117+Masterlist!AY120</f>
        <v>32</v>
      </c>
      <c r="Q27" s="255">
        <f>SUM(E27:P27)</f>
        <v>330</v>
      </c>
      <c r="R27" s="303">
        <f>(Q27-(HLOOKUP($D$1,yearendcumulative,125,FALSE)))/(HLOOKUP($D$1,yearendcumulative,125,FALSE))</f>
        <v>-0.10810810810810811</v>
      </c>
      <c r="S27" s="304">
        <f>(Q27-(HLOOKUP($D$1,Monthlyaveragecumulative,125,FALSE)))/(HLOOKUP($D$1,Monthlyaveragecumulative,125,FALSE))</f>
        <v>0.13013698630136986</v>
      </c>
      <c r="T27" s="510"/>
      <c r="U27" s="1"/>
      <c r="V27" s="1"/>
      <c r="W27" s="1"/>
      <c r="X27" s="1"/>
      <c r="AN27" s="152"/>
      <c r="AO27" s="152"/>
      <c r="AP27" s="152"/>
      <c r="AQ27" s="152"/>
      <c r="AR27" s="152"/>
      <c r="AS27" s="152"/>
    </row>
    <row r="28" spans="1:45" ht="18.75" customHeight="1" x14ac:dyDescent="0.35">
      <c r="A28" s="1"/>
      <c r="B28" s="1218"/>
      <c r="C28" s="745" t="s">
        <v>16</v>
      </c>
      <c r="D28" s="616">
        <f>'year end'!AD124</f>
        <v>363</v>
      </c>
      <c r="E28" s="49">
        <f>Masterlist!AN119</f>
        <v>53</v>
      </c>
      <c r="F28" s="97">
        <f>Masterlist!AO119</f>
        <v>31</v>
      </c>
      <c r="G28" s="97">
        <f>Masterlist!AP119</f>
        <v>58</v>
      </c>
      <c r="H28" s="97">
        <f>Masterlist!AQ119</f>
        <v>37</v>
      </c>
      <c r="I28" s="97">
        <f>Masterlist!AR119</f>
        <v>58</v>
      </c>
      <c r="J28" s="97">
        <f>Masterlist!AS119</f>
        <v>60</v>
      </c>
      <c r="K28" s="97">
        <f>Masterlist!AT119</f>
        <v>60</v>
      </c>
      <c r="L28" s="97">
        <f>Masterlist!AU119</f>
        <v>44</v>
      </c>
      <c r="M28" s="97">
        <f>Masterlist!AV119</f>
        <v>26</v>
      </c>
      <c r="N28" s="97">
        <f>Masterlist!AW119</f>
        <v>36</v>
      </c>
      <c r="O28" s="97">
        <f>Masterlist!AX119</f>
        <v>22</v>
      </c>
      <c r="P28" s="97">
        <f>Masterlist!AY119</f>
        <v>17</v>
      </c>
      <c r="Q28" s="190">
        <f t="shared" ref="Q28:Q29" si="11">SUM(E28:P28)</f>
        <v>502</v>
      </c>
      <c r="R28" s="304">
        <f>(Q28-(HLOOKUP($D$1,yearendcumulative,123,FALSE)))/(HLOOKUP($D$1,yearendcumulative,123,FALSE))</f>
        <v>0.38292011019283745</v>
      </c>
      <c r="S28" s="304">
        <f>(Q28-(HLOOKUP($D$1,Monthlyaveragecumulative,123,FALSE)))/(HLOOKUP($D$1,Monthlyaveragecumulative,123,FALSE))</f>
        <v>-0.13745704467353953</v>
      </c>
      <c r="T28" s="510"/>
      <c r="U28" s="1"/>
      <c r="V28" s="1"/>
      <c r="W28" s="1"/>
      <c r="X28" s="1"/>
      <c r="AN28" s="152"/>
      <c r="AO28" s="152"/>
      <c r="AP28" s="152"/>
      <c r="AQ28" s="152"/>
      <c r="AR28" s="152"/>
      <c r="AS28" s="152"/>
    </row>
    <row r="29" spans="1:45" ht="18.75" customHeight="1" x14ac:dyDescent="0.35">
      <c r="A29" s="1"/>
      <c r="B29" s="1218"/>
      <c r="C29" s="745" t="s">
        <v>470</v>
      </c>
      <c r="D29" s="616">
        <f>'year end'!AD133</f>
        <v>307</v>
      </c>
      <c r="E29" s="49">
        <f>Masterlist!AN130</f>
        <v>23</v>
      </c>
      <c r="F29" s="97">
        <f>Masterlist!AO130</f>
        <v>17</v>
      </c>
      <c r="G29" s="97">
        <f>Masterlist!AP130</f>
        <v>28</v>
      </c>
      <c r="H29" s="97">
        <f>Masterlist!AQ130</f>
        <v>32</v>
      </c>
      <c r="I29" s="97">
        <f>Masterlist!AR130</f>
        <v>32</v>
      </c>
      <c r="J29" s="97">
        <f>Masterlist!AS130</f>
        <v>25</v>
      </c>
      <c r="K29" s="97">
        <f>Masterlist!AT130</f>
        <v>44</v>
      </c>
      <c r="L29" s="97">
        <f>Masterlist!AU130</f>
        <v>25</v>
      </c>
      <c r="M29" s="97">
        <f>Masterlist!AV130</f>
        <v>28</v>
      </c>
      <c r="N29" s="97">
        <f>Masterlist!AW130</f>
        <v>25</v>
      </c>
      <c r="O29" s="97">
        <f>Masterlist!AX130</f>
        <v>20</v>
      </c>
      <c r="P29" s="1034">
        <f>Masterlist!AY130</f>
        <v>22</v>
      </c>
      <c r="Q29" s="1034">
        <f t="shared" si="11"/>
        <v>321</v>
      </c>
      <c r="R29" s="304">
        <f>(Q29-(HLOOKUP($D$1,yearendcumulative,132,FALSE)))/(HLOOKUP($D$1,yearendcumulative,132,FALSE))</f>
        <v>4.5602605863192182E-2</v>
      </c>
      <c r="S29" s="304">
        <f>(Q29-(HLOOKUP($D$1,Monthlyaveragecumulative,104,FALSE)))/(HLOOKUP($D$1,Monthlyaveragecumulative,104,FALSE))</f>
        <v>-0.39661654135338348</v>
      </c>
      <c r="T29" s="510"/>
      <c r="U29" s="1"/>
      <c r="V29" s="1"/>
      <c r="W29" s="1"/>
      <c r="X29" s="1"/>
      <c r="AN29" s="152"/>
      <c r="AO29" s="152"/>
      <c r="AP29" s="152"/>
      <c r="AQ29" s="152"/>
      <c r="AR29" s="152"/>
      <c r="AS29" s="152"/>
    </row>
    <row r="30" spans="1:45" s="631" customFormat="1" ht="18.75" customHeight="1" x14ac:dyDescent="0.35">
      <c r="A30" s="1"/>
      <c r="B30" s="1218"/>
      <c r="C30" s="452" t="s">
        <v>263</v>
      </c>
      <c r="D30" s="617">
        <f>'year end'!AD104</f>
        <v>141</v>
      </c>
      <c r="E30" s="241">
        <f>Masterlist!AN98</f>
        <v>14</v>
      </c>
      <c r="F30" s="239">
        <f>Masterlist!AO98</f>
        <v>11</v>
      </c>
      <c r="G30" s="239">
        <f>Masterlist!AP98</f>
        <v>19</v>
      </c>
      <c r="H30" s="239">
        <f>Masterlist!AQ98</f>
        <v>9</v>
      </c>
      <c r="I30" s="239">
        <f>Masterlist!AR98</f>
        <v>9</v>
      </c>
      <c r="J30" s="239">
        <f>Masterlist!AS98</f>
        <v>14</v>
      </c>
      <c r="K30" s="239">
        <f>Masterlist!AT98</f>
        <v>5</v>
      </c>
      <c r="L30" s="239">
        <f>Masterlist!AU98</f>
        <v>10</v>
      </c>
      <c r="M30" s="239">
        <f>Masterlist!AV98</f>
        <v>8</v>
      </c>
      <c r="N30" s="239">
        <f>Masterlist!AW98</f>
        <v>1</v>
      </c>
      <c r="O30" s="239">
        <f>Masterlist!AX98</f>
        <v>8</v>
      </c>
      <c r="P30" s="239">
        <f>Masterlist!AY98</f>
        <v>11</v>
      </c>
      <c r="Q30" s="191">
        <f>SUM(E30:P30)</f>
        <v>119</v>
      </c>
      <c r="R30" s="305">
        <f>(Q30-(HLOOKUP($D$1,yearendcumulative,103,FALSE)))/(HLOOKUP($D$1,yearendcumulative,103,FALSE))</f>
        <v>-0.15602836879432624</v>
      </c>
      <c r="S30" s="305">
        <f>(Q30-(HLOOKUP($D$1,Monthlyaveragecumulative,103,FALSE)))/(HLOOKUP($D$1,Monthlyaveragecumulative,103,FALSE))</f>
        <v>6.25E-2</v>
      </c>
      <c r="T30" s="604"/>
      <c r="U30" s="95"/>
      <c r="V30" s="95"/>
      <c r="W30" s="95"/>
      <c r="X30" s="95"/>
      <c r="AN30" s="632"/>
      <c r="AO30" s="632"/>
      <c r="AP30" s="632"/>
      <c r="AQ30" s="632"/>
      <c r="AR30" s="632"/>
      <c r="AS30" s="632"/>
    </row>
    <row r="31" spans="1:45" ht="15" customHeight="1" x14ac:dyDescent="0.35">
      <c r="A31" s="1"/>
      <c r="B31" s="3"/>
      <c r="C31" s="26"/>
      <c r="D31" s="51"/>
      <c r="E31" s="51"/>
      <c r="F31" s="51"/>
      <c r="G31" s="51"/>
      <c r="H31" s="51"/>
      <c r="I31" s="51"/>
      <c r="J31" s="51"/>
      <c r="K31" s="51"/>
      <c r="L31" s="51"/>
      <c r="M31" s="51"/>
      <c r="N31" s="51"/>
      <c r="O31" s="51"/>
      <c r="P31" s="51"/>
      <c r="Q31" s="192"/>
      <c r="R31" s="306"/>
      <c r="S31" s="306"/>
      <c r="T31" s="510"/>
      <c r="U31" s="1"/>
      <c r="V31" s="1"/>
      <c r="W31" s="1"/>
      <c r="X31" s="1"/>
    </row>
    <row r="32" spans="1:45" ht="26.25" customHeight="1" x14ac:dyDescent="0.35">
      <c r="A32" s="1"/>
      <c r="B32" s="953" t="s">
        <v>377</v>
      </c>
      <c r="C32" s="989" t="s">
        <v>359</v>
      </c>
      <c r="D32" s="954">
        <f>'year end'!AD128</f>
        <v>292</v>
      </c>
      <c r="E32" s="443">
        <f>Masterlist!AN123</f>
        <v>16</v>
      </c>
      <c r="F32" s="55">
        <f>Masterlist!AO123</f>
        <v>20</v>
      </c>
      <c r="G32" s="55">
        <f>Masterlist!AP123</f>
        <v>47</v>
      </c>
      <c r="H32" s="55">
        <f>Masterlist!AQ123</f>
        <v>34</v>
      </c>
      <c r="I32" s="55">
        <f>Masterlist!AR123</f>
        <v>22</v>
      </c>
      <c r="J32" s="55">
        <f>Masterlist!AS123</f>
        <v>34</v>
      </c>
      <c r="K32" s="55">
        <f>Masterlist!AT123</f>
        <v>27</v>
      </c>
      <c r="L32" s="55">
        <f>Masterlist!AU123</f>
        <v>22</v>
      </c>
      <c r="M32" s="55">
        <f>Masterlist!AV123</f>
        <v>25</v>
      </c>
      <c r="N32" s="55">
        <f>Masterlist!AW123</f>
        <v>30</v>
      </c>
      <c r="O32" s="55">
        <f>Masterlist!AX123</f>
        <v>17</v>
      </c>
      <c r="P32" s="55">
        <f>Masterlist!AY123</f>
        <v>25</v>
      </c>
      <c r="Q32" s="699">
        <f>SUM(E32:P32)</f>
        <v>319</v>
      </c>
      <c r="R32" s="300">
        <f>(Q32-(HLOOKUP($D$1,yearendcumulative,127,FALSE)))/(HLOOKUP($D$1,yearendcumulative,127,FALSE))</f>
        <v>9.2465753424657529E-2</v>
      </c>
      <c r="S32" s="606">
        <f>(Q32-(HLOOKUP($D$1,Monthlyaveragecumulative,127,FALSE)))/(HLOOKUP($D$1,Monthlyaveragecumulative,127,FALSE))</f>
        <v>0.20377358490566039</v>
      </c>
      <c r="T32" s="510"/>
      <c r="U32" s="1"/>
      <c r="V32" s="1"/>
      <c r="W32" s="1"/>
      <c r="X32" s="1"/>
    </row>
    <row r="33" spans="1:24" ht="18.399999999999999" customHeight="1" x14ac:dyDescent="0.35">
      <c r="F33" s="631"/>
      <c r="G33" s="631"/>
      <c r="I33" s="631"/>
      <c r="N33" s="631"/>
      <c r="P33" s="631"/>
    </row>
    <row r="34" spans="1:24" x14ac:dyDescent="0.35">
      <c r="A34" s="1"/>
      <c r="B34" s="1217" t="s">
        <v>375</v>
      </c>
      <c r="C34" s="993" t="s">
        <v>360</v>
      </c>
      <c r="D34" s="950">
        <f>'year end'!AD129</f>
        <v>3389</v>
      </c>
      <c r="E34" s="48">
        <f>Masterlist!AN124</f>
        <v>261</v>
      </c>
      <c r="F34" s="475">
        <f>Masterlist!AO124</f>
        <v>277</v>
      </c>
      <c r="G34" s="475">
        <f>Masterlist!AP124</f>
        <v>266</v>
      </c>
      <c r="H34" s="475">
        <f>Masterlist!AQ124</f>
        <v>272</v>
      </c>
      <c r="I34" s="475">
        <f>Masterlist!AR124</f>
        <v>257</v>
      </c>
      <c r="J34" s="475">
        <f>Masterlist!AS124</f>
        <v>260</v>
      </c>
      <c r="K34" s="475">
        <f>Masterlist!AT124</f>
        <v>253</v>
      </c>
      <c r="L34" s="475">
        <f>Masterlist!AU124</f>
        <v>250</v>
      </c>
      <c r="M34" s="475">
        <f>Masterlist!AV124</f>
        <v>270</v>
      </c>
      <c r="N34" s="475">
        <f>Masterlist!AW124</f>
        <v>247</v>
      </c>
      <c r="O34" s="475">
        <f>Masterlist!AX124</f>
        <v>246</v>
      </c>
      <c r="P34" s="475">
        <f>Masterlist!AY124</f>
        <v>246</v>
      </c>
      <c r="Q34" s="47">
        <f t="shared" ref="Q34" si="12">SUM(E34:P34)</f>
        <v>3105</v>
      </c>
      <c r="R34" s="297">
        <f>(Q34-(HLOOKUP($D$1,yearendcumulative,128,FALSE)))/(HLOOKUP($D$1,yearendcumulative,128,FALSE))</f>
        <v>-8.3800531130126879E-2</v>
      </c>
      <c r="S34" s="294">
        <f>(Q34-(HLOOKUP($D$1,Monthlyaveragecumulative,128,FALSE)))/(HLOOKUP($D$1,Monthlyaveragecumulative,128,FALSE))</f>
        <v>-0.11412268188302425</v>
      </c>
      <c r="T34" s="510"/>
      <c r="U34" s="1"/>
      <c r="V34" s="1"/>
      <c r="W34" s="1"/>
      <c r="X34" s="1"/>
    </row>
    <row r="35" spans="1:24" x14ac:dyDescent="0.35">
      <c r="A35" s="1"/>
      <c r="B35" s="1217"/>
      <c r="C35" s="993" t="s">
        <v>361</v>
      </c>
      <c r="D35" s="951">
        <f>'year end'!AD131</f>
        <v>42</v>
      </c>
      <c r="E35" s="49">
        <f>Masterlist!AN126</f>
        <v>4</v>
      </c>
      <c r="F35" s="97">
        <f>Masterlist!AO126</f>
        <v>3</v>
      </c>
      <c r="G35" s="97">
        <f>Masterlist!AP126</f>
        <v>5</v>
      </c>
      <c r="H35" s="97">
        <f>Masterlist!AQ126</f>
        <v>3</v>
      </c>
      <c r="I35" s="97">
        <f>Masterlist!AR126</f>
        <v>7</v>
      </c>
      <c r="J35" s="97">
        <f>Masterlist!AS126</f>
        <v>4</v>
      </c>
      <c r="K35" s="97">
        <f>Masterlist!AT126</f>
        <v>1</v>
      </c>
      <c r="L35" s="97">
        <f>Masterlist!AU126</f>
        <v>4</v>
      </c>
      <c r="M35" s="97">
        <f>Masterlist!AV126</f>
        <v>3</v>
      </c>
      <c r="N35" s="97">
        <f>Masterlist!AW126</f>
        <v>3</v>
      </c>
      <c r="O35" s="97">
        <f>Masterlist!AX126</f>
        <v>9</v>
      </c>
      <c r="P35" s="97">
        <f>Masterlist!AY126</f>
        <v>9</v>
      </c>
      <c r="Q35" s="46">
        <f t="shared" ref="Q35:Q37" si="13">SUM(E35:P35)</f>
        <v>55</v>
      </c>
      <c r="R35" s="298">
        <f>(Q35-(HLOOKUP($D$1,yearendcumulative,130,FALSE)))/(HLOOKUP($D$1,yearendcumulative,130,FALSE))</f>
        <v>0.30952380952380953</v>
      </c>
      <c r="S35" s="295">
        <f>(Q35-(HLOOKUP($D$1,Monthlyaveragecumulative,130,FALSE)))/(HLOOKUP($D$1,Monthlyaveragecumulative,130,FALSE))</f>
        <v>0.83333333333333337</v>
      </c>
      <c r="T35" s="510"/>
      <c r="U35" s="1"/>
      <c r="V35" s="1"/>
      <c r="W35" s="1"/>
      <c r="X35" s="1"/>
    </row>
    <row r="36" spans="1:24" hidden="1" x14ac:dyDescent="0.35">
      <c r="A36" s="1"/>
      <c r="B36" s="1217"/>
      <c r="C36" s="993" t="s">
        <v>368</v>
      </c>
      <c r="D36" s="951">
        <f>'year end'!AD422</f>
        <v>0</v>
      </c>
      <c r="E36" s="687">
        <f>Masterlist!AN511</f>
        <v>0</v>
      </c>
      <c r="F36" s="1127">
        <f>Masterlist!AO511</f>
        <v>0</v>
      </c>
      <c r="G36" s="1127">
        <f>Masterlist!AP511</f>
        <v>0</v>
      </c>
      <c r="H36" s="1127">
        <f>Masterlist!AQ511</f>
        <v>0</v>
      </c>
      <c r="I36" s="1127">
        <f>Masterlist!AR511</f>
        <v>0</v>
      </c>
      <c r="J36" s="1127">
        <f>Masterlist!AS511</f>
        <v>0</v>
      </c>
      <c r="K36" s="1127">
        <f>Masterlist!AT511</f>
        <v>0</v>
      </c>
      <c r="L36" s="1127">
        <f>Masterlist!AU511</f>
        <v>0</v>
      </c>
      <c r="M36" s="1127">
        <f>Masterlist!AV511</f>
        <v>0</v>
      </c>
      <c r="N36" s="1127">
        <f>Masterlist!AW511</f>
        <v>0</v>
      </c>
      <c r="O36" s="1127">
        <f>Masterlist!AX511</f>
        <v>0</v>
      </c>
      <c r="P36" s="1127">
        <f>Masterlist!AY511</f>
        <v>0</v>
      </c>
      <c r="Q36" s="46">
        <f t="shared" si="13"/>
        <v>0</v>
      </c>
      <c r="R36" s="298">
        <f>(Q36-(HLOOKUP($D$1,yearendcumulative,130,FALSE)))/(HLOOKUP($D$1,yearendcumulative,130,FALSE))</f>
        <v>-1</v>
      </c>
      <c r="S36" s="295">
        <v>0</v>
      </c>
      <c r="T36" s="510"/>
      <c r="U36" s="1"/>
      <c r="V36" s="1"/>
      <c r="W36" s="1"/>
      <c r="X36" s="1"/>
    </row>
    <row r="37" spans="1:24" ht="20.65" customHeight="1" x14ac:dyDescent="0.35">
      <c r="A37" s="1"/>
      <c r="B37" s="1217"/>
      <c r="C37" s="993" t="s">
        <v>367</v>
      </c>
      <c r="D37" s="952">
        <f>'year end'!AD430</f>
        <v>0</v>
      </c>
      <c r="E37" s="688">
        <f>Masterlist!AN520</f>
        <v>0</v>
      </c>
      <c r="F37" s="1128">
        <f>Masterlist!AO520</f>
        <v>0</v>
      </c>
      <c r="G37" s="1128">
        <f>Masterlist!AP520</f>
        <v>0</v>
      </c>
      <c r="H37" s="1128">
        <f>Masterlist!AQ520</f>
        <v>0</v>
      </c>
      <c r="I37" s="1128">
        <f>Masterlist!AR520</f>
        <v>0</v>
      </c>
      <c r="J37" s="1128">
        <f>Masterlist!AS520</f>
        <v>0</v>
      </c>
      <c r="K37" s="1128">
        <f>Masterlist!AT520</f>
        <v>0</v>
      </c>
      <c r="L37" s="1128">
        <f>Masterlist!AU520</f>
        <v>0</v>
      </c>
      <c r="M37" s="1128">
        <f>Masterlist!AV520</f>
        <v>0</v>
      </c>
      <c r="N37" s="1128">
        <f>Masterlist!AW520</f>
        <v>0</v>
      </c>
      <c r="O37" s="1128">
        <f>Masterlist!AX520</f>
        <v>0</v>
      </c>
      <c r="P37" s="1128">
        <f>Masterlist!AY520</f>
        <v>0</v>
      </c>
      <c r="Q37" s="442">
        <f t="shared" si="13"/>
        <v>0</v>
      </c>
      <c r="R37" s="860">
        <v>0</v>
      </c>
      <c r="S37" s="299">
        <f>(Q37-(HLOOKUP($D$1,Monthlyaveragecumulative,462,FALSE)))/(HLOOKUP($D$1,Monthlyaveragecumulative,462,FALSE))</f>
        <v>-1</v>
      </c>
      <c r="T37" s="510"/>
      <c r="U37" s="1"/>
      <c r="V37" s="1"/>
      <c r="W37" s="1"/>
      <c r="X37" s="1"/>
    </row>
    <row r="38" spans="1:24" x14ac:dyDescent="0.35">
      <c r="A38" s="1"/>
      <c r="B38" s="1"/>
      <c r="C38" s="120"/>
      <c r="D38" s="156"/>
      <c r="E38" s="96"/>
      <c r="F38" s="96"/>
      <c r="G38" s="96"/>
      <c r="H38" s="96"/>
      <c r="I38" s="96"/>
      <c r="J38" s="96"/>
      <c r="K38" s="96"/>
      <c r="L38" s="96"/>
      <c r="M38" s="96"/>
      <c r="N38" s="96"/>
      <c r="O38" s="96"/>
      <c r="P38" s="96"/>
      <c r="Q38" s="2"/>
      <c r="R38" s="293"/>
      <c r="S38" s="293"/>
      <c r="T38" s="510"/>
      <c r="U38" s="1"/>
      <c r="V38" s="1"/>
      <c r="W38" s="1"/>
      <c r="X38" s="1"/>
    </row>
    <row r="39" spans="1:24" ht="20.25" customHeight="1" x14ac:dyDescent="0.35">
      <c r="A39" s="1"/>
      <c r="B39" s="1216" t="s">
        <v>240</v>
      </c>
      <c r="C39" s="966" t="s">
        <v>174</v>
      </c>
      <c r="D39" s="968">
        <f>'year end'!AD114</f>
        <v>335</v>
      </c>
      <c r="E39" s="48">
        <f>Masterlist!AN107+Masterlist!AN108</f>
        <v>26</v>
      </c>
      <c r="F39" s="475">
        <f>Masterlist!AO107+Masterlist!AO108</f>
        <v>50</v>
      </c>
      <c r="G39" s="475">
        <f>Masterlist!AP107+Masterlist!AP108</f>
        <v>27</v>
      </c>
      <c r="H39" s="475">
        <f>Masterlist!AQ107+Masterlist!AQ108</f>
        <v>26</v>
      </c>
      <c r="I39" s="475">
        <f>Masterlist!AR107+Masterlist!AR108</f>
        <v>15</v>
      </c>
      <c r="J39" s="475">
        <f>Masterlist!AS107+Masterlist!AS108</f>
        <v>8</v>
      </c>
      <c r="K39" s="475">
        <f>Masterlist!AT107+Masterlist!AT108</f>
        <v>20</v>
      </c>
      <c r="L39" s="475">
        <f>Masterlist!AU107+Masterlist!AU108</f>
        <v>23</v>
      </c>
      <c r="M39" s="475">
        <f>Masterlist!AV107+Masterlist!AV108</f>
        <v>20</v>
      </c>
      <c r="N39" s="475">
        <f>Masterlist!AW107+Masterlist!AW108</f>
        <v>20</v>
      </c>
      <c r="O39" s="475">
        <f>Masterlist!AX107+Masterlist!AX108</f>
        <v>12</v>
      </c>
      <c r="P39" s="475">
        <f>Masterlist!AY107+Masterlist!AY108</f>
        <v>16</v>
      </c>
      <c r="Q39" s="236">
        <f>SUM(E39:P39)</f>
        <v>263</v>
      </c>
      <c r="R39" s="297">
        <f>(Q39-(HLOOKUP($D$1,yearendcumulative,113,FALSE)))/(HLOOKUP($D$1,yearendcumulative,113,FALSE))</f>
        <v>-0.21492537313432836</v>
      </c>
      <c r="S39" s="297">
        <f>(Q39-(HLOOKUP($D$1,Monthlyaveragecumulative,113,FALSE)))/(HLOOKUP($D$1,Monthlyaveragecumulative,113,FALSE))</f>
        <v>-0.44042553191489364</v>
      </c>
      <c r="T39" s="510"/>
      <c r="U39" s="1"/>
      <c r="V39" s="1"/>
      <c r="W39" s="1"/>
      <c r="X39" s="1"/>
    </row>
    <row r="40" spans="1:24" ht="18" customHeight="1" x14ac:dyDescent="0.35">
      <c r="A40" s="1"/>
      <c r="B40" s="1216"/>
      <c r="C40" s="967" t="s">
        <v>173</v>
      </c>
      <c r="D40" s="969">
        <f>'year end'!AD117</f>
        <v>25</v>
      </c>
      <c r="E40" s="105">
        <f>Masterlist!AN109+Masterlist!AN110</f>
        <v>5</v>
      </c>
      <c r="F40" s="30">
        <f>Masterlist!AO109+Masterlist!AO110</f>
        <v>4</v>
      </c>
      <c r="G40" s="30">
        <f>Masterlist!AP109+Masterlist!AP110</f>
        <v>2</v>
      </c>
      <c r="H40" s="30">
        <f>Masterlist!AQ109+Masterlist!AQ110</f>
        <v>1</v>
      </c>
      <c r="I40" s="30">
        <f>Masterlist!AR109+Masterlist!AR110</f>
        <v>3</v>
      </c>
      <c r="J40" s="30">
        <f>Masterlist!AS109+Masterlist!AS110</f>
        <v>3</v>
      </c>
      <c r="K40" s="30">
        <f>Masterlist!AT109+Masterlist!AT110</f>
        <v>1</v>
      </c>
      <c r="L40" s="30">
        <f>Masterlist!AU109+Masterlist!AU110</f>
        <v>0</v>
      </c>
      <c r="M40" s="30">
        <f>Masterlist!AV109+Masterlist!AV110</f>
        <v>1</v>
      </c>
      <c r="N40" s="30">
        <f>Masterlist!AW109+Masterlist!AW110</f>
        <v>3</v>
      </c>
      <c r="O40" s="30">
        <f>Masterlist!AX109+Masterlist!AX110</f>
        <v>0</v>
      </c>
      <c r="P40" s="30">
        <f>Masterlist!AY109+Masterlist!AY110</f>
        <v>0</v>
      </c>
      <c r="Q40" s="238">
        <f t="shared" ref="Q40:Q42" si="14">SUM(E40:P40)</f>
        <v>23</v>
      </c>
      <c r="R40" s="298">
        <f>(Q40-(HLOOKUP($D$1,yearendcumulative,116,FALSE)))/(HLOOKUP($D$1,yearendcumulative,116,FALSE))</f>
        <v>-0.08</v>
      </c>
      <c r="S40" s="298">
        <f>(Q40-(HLOOKUP($D$1,Monthlyaveragecumulative,116,FALSE)))/(HLOOKUP($D$1,Monthlyaveragecumulative,116,FALSE))</f>
        <v>-0.34285714285714286</v>
      </c>
      <c r="T40" s="510"/>
      <c r="U40" s="1"/>
      <c r="V40" s="1"/>
      <c r="W40" s="1"/>
      <c r="X40" s="1"/>
    </row>
    <row r="41" spans="1:24" ht="15.75" customHeight="1" x14ac:dyDescent="0.35">
      <c r="A41" s="1"/>
      <c r="B41" s="1216"/>
      <c r="C41" s="984" t="s">
        <v>370</v>
      </c>
      <c r="D41" s="969">
        <f>'year end'!AD438</f>
        <v>115</v>
      </c>
      <c r="E41" s="687">
        <f>Masterlist!AN529</f>
        <v>9</v>
      </c>
      <c r="F41" s="1127">
        <f>Masterlist!AO529</f>
        <v>12</v>
      </c>
      <c r="G41" s="1127">
        <f>Masterlist!AP529</f>
        <v>15</v>
      </c>
      <c r="H41" s="1127">
        <f>Masterlist!AQ529</f>
        <v>11</v>
      </c>
      <c r="I41" s="1127">
        <f>Masterlist!AR529</f>
        <v>7</v>
      </c>
      <c r="J41" s="1127">
        <f>Masterlist!AS529</f>
        <v>8</v>
      </c>
      <c r="K41" s="1127">
        <f>Masterlist!AT529</f>
        <v>12</v>
      </c>
      <c r="L41" s="1127">
        <f>Masterlist!AU529</f>
        <v>13</v>
      </c>
      <c r="M41" s="1127">
        <f>Masterlist!AV529</f>
        <v>10</v>
      </c>
      <c r="N41" s="1127">
        <f>Masterlist!AW529</f>
        <v>6</v>
      </c>
      <c r="O41" s="1127">
        <f>Masterlist!AX529</f>
        <v>12</v>
      </c>
      <c r="P41" s="1127">
        <f>Masterlist!AY529</f>
        <v>11</v>
      </c>
      <c r="Q41" s="238">
        <f t="shared" si="14"/>
        <v>126</v>
      </c>
      <c r="R41" s="298">
        <f>(Q41-(HLOOKUP($D$1,yearendcumulative,437,FALSE)))/(HLOOKUP($D$1,yearendcumulative,437,FALSE))</f>
        <v>9.5652173913043481E-2</v>
      </c>
      <c r="S41" s="298">
        <f>(Q41-(HLOOKUP($D$1,Monthlyaveragecumulative,470,FALSE)))/(HLOOKUP($D$1,Monthlyaveragecumulative,470,FALSE))</f>
        <v>-8.0291970802919707E-2</v>
      </c>
      <c r="T41" s="510"/>
      <c r="U41" s="1"/>
      <c r="V41" s="1"/>
      <c r="W41" s="1"/>
      <c r="X41" s="1"/>
    </row>
    <row r="42" spans="1:24" ht="15.75" customHeight="1" x14ac:dyDescent="0.35">
      <c r="A42" s="1"/>
      <c r="B42" s="1216"/>
      <c r="C42" s="984" t="s">
        <v>371</v>
      </c>
      <c r="D42" s="969">
        <f>'year end'!AD446</f>
        <v>68</v>
      </c>
      <c r="E42" s="687">
        <f>Masterlist!AN538</f>
        <v>4</v>
      </c>
      <c r="F42" s="1127">
        <f>Masterlist!AO538</f>
        <v>4</v>
      </c>
      <c r="G42" s="1127">
        <f>Masterlist!AP538</f>
        <v>8</v>
      </c>
      <c r="H42" s="1127">
        <f>Masterlist!AQ538</f>
        <v>5</v>
      </c>
      <c r="I42" s="1127">
        <f>Masterlist!AR538</f>
        <v>6</v>
      </c>
      <c r="J42" s="1127">
        <f>Masterlist!AS538</f>
        <v>4</v>
      </c>
      <c r="K42" s="1127">
        <f>Masterlist!AT538</f>
        <v>8</v>
      </c>
      <c r="L42" s="1127">
        <f>Masterlist!AU538</f>
        <v>1</v>
      </c>
      <c r="M42" s="1127">
        <f>Masterlist!AV538</f>
        <v>7</v>
      </c>
      <c r="N42" s="1127">
        <f>Masterlist!AW538</f>
        <v>1</v>
      </c>
      <c r="O42" s="1127">
        <f>Masterlist!AX538</f>
        <v>4</v>
      </c>
      <c r="P42" s="1127">
        <f>Masterlist!AY538</f>
        <v>1</v>
      </c>
      <c r="Q42" s="238">
        <f t="shared" si="14"/>
        <v>53</v>
      </c>
      <c r="R42" s="298">
        <f>(Q42-(HLOOKUP($D$1,yearendcumulative,445,FALSE)))/(HLOOKUP($D$1,yearendcumulative,445,FALSE))</f>
        <v>-0.22058823529411764</v>
      </c>
      <c r="S42" s="298">
        <f>(Q42-(HLOOKUP($D$1,Monthlyaveragecumulative,478,FALSE)))/(HLOOKUP($D$1,Monthlyaveragecumulative,478,FALSE))</f>
        <v>-0.51376146788990829</v>
      </c>
      <c r="T42" s="510"/>
      <c r="U42" s="1"/>
      <c r="V42" s="1"/>
      <c r="W42" s="1"/>
      <c r="X42" s="1"/>
    </row>
    <row r="43" spans="1:24" ht="15.75" customHeight="1" x14ac:dyDescent="0.35">
      <c r="A43" s="1"/>
      <c r="B43" s="1216"/>
      <c r="C43" s="985" t="s">
        <v>405</v>
      </c>
      <c r="D43" s="970">
        <f>'year end'!AD455</f>
        <v>123</v>
      </c>
      <c r="E43" s="688">
        <f>Masterlist!AN547</f>
        <v>12</v>
      </c>
      <c r="F43" s="1128">
        <f>Masterlist!AO547</f>
        <v>7</v>
      </c>
      <c r="G43" s="1128">
        <f>Masterlist!AP547</f>
        <v>10</v>
      </c>
      <c r="H43" s="1128">
        <f>Masterlist!AQ547</f>
        <v>10</v>
      </c>
      <c r="I43" s="1128">
        <f>Masterlist!AR547</f>
        <v>9</v>
      </c>
      <c r="J43" s="1128">
        <f>Masterlist!AS547</f>
        <v>14</v>
      </c>
      <c r="K43" s="1128">
        <f>Masterlist!AT547</f>
        <v>10</v>
      </c>
      <c r="L43" s="1128">
        <f>Masterlist!AU547</f>
        <v>20</v>
      </c>
      <c r="M43" s="1128">
        <f>Masterlist!AV547</f>
        <v>3</v>
      </c>
      <c r="N43" s="1128">
        <f>Masterlist!AW547</f>
        <v>18</v>
      </c>
      <c r="O43" s="1128">
        <f>Masterlist!AX547</f>
        <v>12</v>
      </c>
      <c r="P43" s="1128">
        <f>Masterlist!AY547</f>
        <v>7</v>
      </c>
      <c r="Q43" s="237">
        <f>SUM(E43:P43)</f>
        <v>132</v>
      </c>
      <c r="R43" s="299">
        <f>(Q43-(HLOOKUP($D$1,yearendcumulative,453,FALSE)))/(HLOOKUP($D$1,yearendcumulative,453,FALSE))</f>
        <v>0.13793103448275862</v>
      </c>
      <c r="S43" s="299" t="s">
        <v>206</v>
      </c>
      <c r="T43" s="510"/>
      <c r="U43" s="1"/>
      <c r="V43" s="1"/>
      <c r="W43" s="1"/>
      <c r="X43" s="1"/>
    </row>
    <row r="44" spans="1:24" x14ac:dyDescent="0.35">
      <c r="A44" s="1"/>
      <c r="B44" s="1"/>
      <c r="C44" s="120"/>
      <c r="D44" s="774"/>
      <c r="E44" s="96"/>
      <c r="F44" s="96"/>
      <c r="G44" s="96"/>
      <c r="H44" s="96"/>
      <c r="I44" s="96"/>
      <c r="J44" s="96"/>
      <c r="K44" s="96"/>
      <c r="L44" s="96"/>
      <c r="M44" s="96"/>
      <c r="N44" s="96"/>
      <c r="O44" s="96"/>
      <c r="P44" s="96"/>
      <c r="Q44" s="2"/>
      <c r="R44" s="293"/>
      <c r="S44" s="293"/>
      <c r="T44" s="510"/>
      <c r="U44" s="1"/>
      <c r="V44" s="1"/>
      <c r="W44" s="1"/>
      <c r="X44" s="1"/>
    </row>
    <row r="45" spans="1:24" ht="15" customHeight="1" x14ac:dyDescent="0.35">
      <c r="A45" s="1"/>
      <c r="B45" s="1212" t="s">
        <v>241</v>
      </c>
      <c r="C45" s="416" t="s">
        <v>64</v>
      </c>
      <c r="D45" s="106">
        <f>'year end'!AD135</f>
        <v>2376</v>
      </c>
      <c r="E45" s="475">
        <f>Masterlist!AN363</f>
        <v>242</v>
      </c>
      <c r="F45" s="475">
        <f>Masterlist!AO363</f>
        <v>295</v>
      </c>
      <c r="G45" s="475">
        <f>Masterlist!AP363</f>
        <v>256</v>
      </c>
      <c r="H45" s="475">
        <f>Masterlist!AQ363</f>
        <v>254</v>
      </c>
      <c r="I45" s="475">
        <f>Masterlist!AR363</f>
        <v>275</v>
      </c>
      <c r="J45" s="475">
        <f>Masterlist!AS363</f>
        <v>249</v>
      </c>
      <c r="K45" s="475">
        <f>Masterlist!AT363</f>
        <v>231</v>
      </c>
      <c r="L45" s="475">
        <f>Masterlist!AU363</f>
        <v>198</v>
      </c>
      <c r="M45" s="475">
        <f>Masterlist!AV363</f>
        <v>176</v>
      </c>
      <c r="N45" s="475">
        <f>Masterlist!AW363</f>
        <v>195</v>
      </c>
      <c r="O45" s="475">
        <f>Masterlist!AX363</f>
        <v>204</v>
      </c>
      <c r="P45" s="475">
        <f>Masterlist!AY363</f>
        <v>281</v>
      </c>
      <c r="Q45" s="47">
        <f>SUM(E45:P45)</f>
        <v>2856</v>
      </c>
      <c r="R45" s="297">
        <f>(Q45-(HLOOKUP($D$1,yearendcumulative,134,FALSE)))/(HLOOKUP($D$1,yearendcumulative,134,FALSE))</f>
        <v>0.20202020202020202</v>
      </c>
      <c r="S45" s="297">
        <f>(Q45-(HLOOKUP($D$1,Monthlyaveragecumulative,134,FALSE)))/(HLOOKUP($D$1,Monthlyaveragecumulative,134,FALSE))</f>
        <v>-0.30629098858392034</v>
      </c>
      <c r="T45" s="510"/>
      <c r="U45" s="1"/>
      <c r="V45" s="1"/>
      <c r="W45" s="1"/>
      <c r="X45" s="1"/>
    </row>
    <row r="46" spans="1:24" ht="15" customHeight="1" x14ac:dyDescent="0.35">
      <c r="A46" s="1"/>
      <c r="B46" s="1212"/>
      <c r="C46" s="229" t="s">
        <v>11</v>
      </c>
      <c r="D46" s="106">
        <f>'year end'!AD136</f>
        <v>497</v>
      </c>
      <c r="E46" s="97">
        <f>Masterlist!AN364</f>
        <v>63</v>
      </c>
      <c r="F46" s="97">
        <f>Masterlist!AO364</f>
        <v>71</v>
      </c>
      <c r="G46" s="97">
        <f>Masterlist!AP364</f>
        <v>69</v>
      </c>
      <c r="H46" s="97">
        <f>Masterlist!AQ364</f>
        <v>64</v>
      </c>
      <c r="I46" s="97">
        <f>Masterlist!AR364</f>
        <v>66</v>
      </c>
      <c r="J46" s="97">
        <f>Masterlist!AS364</f>
        <v>60</v>
      </c>
      <c r="K46" s="97">
        <f>Masterlist!AT364</f>
        <v>55</v>
      </c>
      <c r="L46" s="97">
        <f>Masterlist!AU364</f>
        <v>47</v>
      </c>
      <c r="M46" s="97">
        <f>Masterlist!AV364</f>
        <v>50</v>
      </c>
      <c r="N46" s="97">
        <f>Masterlist!AW364</f>
        <v>47</v>
      </c>
      <c r="O46" s="97">
        <f>Masterlist!AX364</f>
        <v>50</v>
      </c>
      <c r="P46" s="97">
        <f>Masterlist!AY364</f>
        <v>50</v>
      </c>
      <c r="Q46" s="46">
        <f t="shared" ref="Q46:Q48" si="15">SUM(E46:P46)</f>
        <v>692</v>
      </c>
      <c r="R46" s="298">
        <f>(Q46-(HLOOKUP($D$1,yearendcumulative,135,FALSE)))/(HLOOKUP($D$1,yearendcumulative,135,FALSE))</f>
        <v>0.39235412474849096</v>
      </c>
      <c r="S46" s="298">
        <f>(Q46-(HLOOKUP($D$1,Monthlyaveragecumulative,135,FALSE)))/(HLOOKUP($D$1,Monthlyaveragecumulative,135,FALSE))</f>
        <v>5.4878048780487805E-2</v>
      </c>
      <c r="T46" s="510"/>
      <c r="U46" s="1"/>
      <c r="V46" s="1"/>
      <c r="W46" s="1"/>
      <c r="X46" s="1"/>
    </row>
    <row r="47" spans="1:24" x14ac:dyDescent="0.35">
      <c r="A47" s="1"/>
      <c r="B47" s="1212"/>
      <c r="C47" s="229" t="s">
        <v>12</v>
      </c>
      <c r="D47" s="106">
        <f>'year end'!AD137</f>
        <v>1628</v>
      </c>
      <c r="E47" s="97">
        <f>Masterlist!AN365</f>
        <v>154</v>
      </c>
      <c r="F47" s="97">
        <f>Masterlist!AO365</f>
        <v>196</v>
      </c>
      <c r="G47" s="97">
        <f>Masterlist!AP365</f>
        <v>169</v>
      </c>
      <c r="H47" s="97">
        <f>Masterlist!AQ365</f>
        <v>162</v>
      </c>
      <c r="I47" s="97">
        <f>Masterlist!AR365</f>
        <v>191</v>
      </c>
      <c r="J47" s="97">
        <f>Masterlist!AS365</f>
        <v>176</v>
      </c>
      <c r="K47" s="97">
        <f>Masterlist!AT365</f>
        <v>151</v>
      </c>
      <c r="L47" s="97">
        <f>Masterlist!AU365</f>
        <v>136</v>
      </c>
      <c r="M47" s="97">
        <f>Masterlist!AV365</f>
        <v>114</v>
      </c>
      <c r="N47" s="97">
        <f>Masterlist!AW365</f>
        <v>132</v>
      </c>
      <c r="O47" s="97">
        <f>Masterlist!AX365</f>
        <v>140</v>
      </c>
      <c r="P47" s="97">
        <f>Masterlist!AY365</f>
        <v>216</v>
      </c>
      <c r="Q47" s="46">
        <f t="shared" si="15"/>
        <v>1937</v>
      </c>
      <c r="R47" s="298">
        <f>(Q47-(HLOOKUP($D$1,yearendcumulative,136,FALSE)))/(HLOOKUP($D$1,yearendcumulative,136,FALSE))</f>
        <v>0.18980343980343981</v>
      </c>
      <c r="S47" s="298">
        <f>(Q47-(HLOOKUP($D$1,Monthlyaveragecumulative,136,FALSE)))/(HLOOKUP($D$1,Monthlyaveragecumulative,136,FALSE))</f>
        <v>-0.33229920716994138</v>
      </c>
      <c r="T47" s="510"/>
      <c r="U47" s="1"/>
      <c r="V47" s="1"/>
      <c r="W47" s="1"/>
      <c r="X47" s="1"/>
    </row>
    <row r="48" spans="1:24" x14ac:dyDescent="0.35">
      <c r="A48" s="1"/>
      <c r="B48" s="1212"/>
      <c r="C48" s="290" t="s">
        <v>13</v>
      </c>
      <c r="D48" s="247">
        <f>'year end'!AD138</f>
        <v>251</v>
      </c>
      <c r="E48" s="239">
        <f>Masterlist!AN366</f>
        <v>25</v>
      </c>
      <c r="F48" s="239">
        <f>Masterlist!AO366</f>
        <v>28</v>
      </c>
      <c r="G48" s="239">
        <f>Masterlist!AP366</f>
        <v>18</v>
      </c>
      <c r="H48" s="239">
        <f>Masterlist!AQ366</f>
        <v>28</v>
      </c>
      <c r="I48" s="239">
        <f>Masterlist!AR366</f>
        <v>18</v>
      </c>
      <c r="J48" s="239">
        <f>Masterlist!AS366</f>
        <v>13</v>
      </c>
      <c r="K48" s="239">
        <f>Masterlist!AT366</f>
        <v>25</v>
      </c>
      <c r="L48" s="239">
        <f>Masterlist!AU366</f>
        <v>15</v>
      </c>
      <c r="M48" s="239">
        <f>Masterlist!AV366</f>
        <v>12</v>
      </c>
      <c r="N48" s="239">
        <f>Masterlist!AW366</f>
        <v>16</v>
      </c>
      <c r="O48" s="239">
        <f>Masterlist!AX366</f>
        <v>14</v>
      </c>
      <c r="P48" s="239">
        <f>Masterlist!AY366</f>
        <v>15</v>
      </c>
      <c r="Q48" s="46">
        <f t="shared" si="15"/>
        <v>227</v>
      </c>
      <c r="R48" s="299">
        <f>(Q48-(HLOOKUP($D$1,yearendcumulative,137,FALSE)))/(HLOOKUP($D$1,yearendcumulative,137,FALSE))</f>
        <v>-9.5617529880478086E-2</v>
      </c>
      <c r="S48" s="299">
        <f>(Q48-(HLOOKUP($D$1,Monthlyaveragecumulative,137,FALSE)))/(HLOOKUP($D$1,Monthlyaveragecumulative,137,FALSE))</f>
        <v>-0.59464285714285714</v>
      </c>
      <c r="T48" s="510"/>
      <c r="U48" s="1"/>
      <c r="V48" s="1"/>
      <c r="W48" s="1"/>
      <c r="X48" s="1"/>
    </row>
    <row r="49" spans="1:24" hidden="1" x14ac:dyDescent="0.35">
      <c r="A49" s="1"/>
      <c r="B49" s="1212"/>
      <c r="C49" s="266" t="s">
        <v>257</v>
      </c>
      <c r="D49" s="247">
        <f>'year end'!AD138</f>
        <v>251</v>
      </c>
      <c r="E49" s="53" t="s">
        <v>210</v>
      </c>
      <c r="F49" s="118">
        <f>Masterlist!AO431</f>
        <v>0</v>
      </c>
      <c r="G49" s="53">
        <f>Masterlist!AP431</f>
        <v>0</v>
      </c>
      <c r="H49" s="53">
        <f>Masterlist!AQ431</f>
        <v>0</v>
      </c>
      <c r="I49" s="53">
        <f>Masterlist!AR431</f>
        <v>0</v>
      </c>
      <c r="J49" s="53">
        <f>Masterlist!AS431</f>
        <v>0</v>
      </c>
      <c r="K49" s="53">
        <f>Masterlist!AT431</f>
        <v>0</v>
      </c>
      <c r="L49" s="53">
        <f>Masterlist!AU431</f>
        <v>0</v>
      </c>
      <c r="M49" s="53">
        <f>Masterlist!AV431</f>
        <v>0</v>
      </c>
      <c r="N49" s="53">
        <f>Masterlist!AW431</f>
        <v>0</v>
      </c>
      <c r="O49" s="53">
        <f>Masterlist!AX431</f>
        <v>0</v>
      </c>
      <c r="P49" s="53">
        <f>Masterlist!AY431</f>
        <v>0</v>
      </c>
      <c r="Q49" s="418">
        <f>SUM(E49:P49)</f>
        <v>0</v>
      </c>
      <c r="R49" s="296">
        <f>(Q49-(HLOOKUP($D$1,yearendcumulative,138,FALSE)))/(HLOOKUP($D$1,yearendcumulative,138,FALSE))</f>
        <v>-1</v>
      </c>
      <c r="S49" s="296">
        <f>(Q49-(HLOOKUP($D$1,Monthlyaveragecumulative,138,FALSE)))/(HLOOKUP($D$1,Monthlyaveragecumulative,138,FALSE))</f>
        <v>-1</v>
      </c>
      <c r="T49" s="510"/>
      <c r="U49" s="1"/>
      <c r="V49" s="1"/>
      <c r="W49" s="1"/>
      <c r="X49" s="1"/>
    </row>
    <row r="50" spans="1:24" x14ac:dyDescent="0.35">
      <c r="A50" s="1"/>
      <c r="B50" s="1215"/>
      <c r="C50" s="265" t="s">
        <v>385</v>
      </c>
      <c r="D50" s="246">
        <f>'year end'!AD139</f>
        <v>104</v>
      </c>
      <c r="E50" s="699">
        <f>Masterlist!AN335</f>
        <v>8</v>
      </c>
      <c r="F50" s="1137">
        <f>Masterlist!AO335</f>
        <v>4</v>
      </c>
      <c r="G50" s="1137">
        <f>Masterlist!AP335</f>
        <v>5</v>
      </c>
      <c r="H50" s="1137">
        <f>Masterlist!AQ335</f>
        <v>15</v>
      </c>
      <c r="I50" s="1137">
        <f>Masterlist!AR335</f>
        <v>14</v>
      </c>
      <c r="J50" s="1062">
        <f>Masterlist!AS335</f>
        <v>9</v>
      </c>
      <c r="K50" s="1062">
        <f>Masterlist!AT335</f>
        <v>7</v>
      </c>
      <c r="L50" s="1062">
        <f>Masterlist!AU335</f>
        <v>3</v>
      </c>
      <c r="M50" s="1062">
        <f>Masterlist!AV335</f>
        <v>1</v>
      </c>
      <c r="N50" s="1062">
        <f>Masterlist!AW335</f>
        <v>3</v>
      </c>
      <c r="O50" s="1062">
        <f>Masterlist!AX335</f>
        <v>4</v>
      </c>
      <c r="P50" s="1062">
        <f>Masterlist!AY335</f>
        <v>4</v>
      </c>
      <c r="Q50" s="437">
        <f>SUM(E50:I50)</f>
        <v>46</v>
      </c>
      <c r="R50" s="299">
        <f>(Q50-(HLOOKUP($D$1,yearendcumulative,138,FALSE)))/(HLOOKUP($D$1,yearendcumulative,138,FALSE))</f>
        <v>-0.55769230769230771</v>
      </c>
      <c r="S50" s="606">
        <f>(Q50-(HLOOKUP($D$1,Monthlyaveragecumulative,138,FALSE)))/(HLOOKUP($D$1,Monthlyaveragecumulative,138,FALSE))</f>
        <v>-0.5892857142857143</v>
      </c>
      <c r="T50" s="510"/>
      <c r="U50" s="1"/>
      <c r="V50" s="1"/>
      <c r="W50" s="1"/>
      <c r="X50" s="1"/>
    </row>
    <row r="51" spans="1:24" s="141" customFormat="1" x14ac:dyDescent="0.35">
      <c r="A51" s="120"/>
      <c r="B51" s="446"/>
      <c r="C51" s="449"/>
      <c r="D51" s="447"/>
      <c r="E51" s="15"/>
      <c r="F51" s="192"/>
      <c r="G51" s="192"/>
      <c r="H51" s="192"/>
      <c r="I51" s="192"/>
      <c r="J51" s="192"/>
      <c r="K51" s="192"/>
      <c r="L51" s="192"/>
      <c r="M51" s="192"/>
      <c r="N51" s="192"/>
      <c r="O51" s="192"/>
      <c r="P51" s="192"/>
      <c r="Q51" s="15"/>
      <c r="R51" s="448"/>
      <c r="S51" s="448"/>
      <c r="T51" s="516"/>
      <c r="U51" s="120"/>
      <c r="V51" s="120"/>
      <c r="W51" s="120"/>
      <c r="X51" s="120"/>
    </row>
    <row r="52" spans="1:24" x14ac:dyDescent="0.35">
      <c r="A52" s="1"/>
      <c r="B52" s="701" t="s">
        <v>261</v>
      </c>
      <c r="C52" s="759" t="s">
        <v>314</v>
      </c>
      <c r="D52" s="455">
        <f>'year end'!AD352</f>
        <v>70</v>
      </c>
      <c r="E52" s="480">
        <f>Masterlist!AN481</f>
        <v>5</v>
      </c>
      <c r="F52" s="480">
        <f>Masterlist!AO481</f>
        <v>4</v>
      </c>
      <c r="G52" s="480">
        <f>Masterlist!AP481</f>
        <v>6</v>
      </c>
      <c r="H52" s="480">
        <f>Masterlist!AQ481</f>
        <v>6</v>
      </c>
      <c r="I52" s="480">
        <f>Masterlist!AR481</f>
        <v>3</v>
      </c>
      <c r="J52" s="480">
        <f>Masterlist!AS481</f>
        <v>6</v>
      </c>
      <c r="K52" s="480">
        <f>Masterlist!AT481</f>
        <v>5</v>
      </c>
      <c r="L52" s="480">
        <f>Masterlist!AU481</f>
        <v>3</v>
      </c>
      <c r="M52" s="480">
        <f>Masterlist!AV481</f>
        <v>7</v>
      </c>
      <c r="N52" s="480">
        <f>Masterlist!AW481</f>
        <v>1</v>
      </c>
      <c r="O52" s="480">
        <f>Masterlist!AX481</f>
        <v>1</v>
      </c>
      <c r="P52" s="480">
        <f>Masterlist!AY481</f>
        <v>5</v>
      </c>
      <c r="Q52" s="607">
        <f>SUM(E52:P52)</f>
        <v>52</v>
      </c>
      <c r="R52" s="606">
        <f>(Q52-(HLOOKUP($D$1,yearendcumulative,351,FALSE)))/(HLOOKUP($D$1,yearendcumulative,351,FALSE))</f>
        <v>-0.25714285714285712</v>
      </c>
      <c r="S52" s="606" t="s">
        <v>206</v>
      </c>
      <c r="T52" s="510"/>
      <c r="U52" s="1"/>
      <c r="V52" s="1"/>
      <c r="W52" s="1"/>
      <c r="X52" s="1"/>
    </row>
    <row r="53" spans="1:24" s="635" customFormat="1" x14ac:dyDescent="0.35">
      <c r="B53" s="807"/>
      <c r="C53" s="976"/>
      <c r="D53" s="914"/>
      <c r="E53" s="915"/>
      <c r="F53" s="931"/>
      <c r="G53" s="931"/>
      <c r="H53" s="915"/>
      <c r="I53" s="931"/>
      <c r="J53" s="915"/>
      <c r="K53" s="915"/>
      <c r="L53" s="915"/>
      <c r="M53" s="915"/>
      <c r="N53" s="931"/>
      <c r="O53" s="915"/>
      <c r="P53" s="931"/>
      <c r="Q53" s="809"/>
      <c r="R53" s="819"/>
      <c r="S53" s="808"/>
      <c r="T53" s="511"/>
      <c r="U53" s="483"/>
      <c r="V53" s="483"/>
      <c r="W53" s="483"/>
      <c r="X53" s="483"/>
    </row>
    <row r="54" spans="1:24" s="635" customFormat="1" ht="85.5" customHeight="1" x14ac:dyDescent="0.35">
      <c r="A54" s="719"/>
      <c r="B54" s="822" t="s">
        <v>80</v>
      </c>
      <c r="C54" s="813" t="s">
        <v>522</v>
      </c>
      <c r="D54" s="1199" t="s">
        <v>468</v>
      </c>
      <c r="E54" s="1200"/>
      <c r="F54" s="1200"/>
      <c r="G54" s="1200"/>
      <c r="H54" s="1200"/>
      <c r="I54" s="1200"/>
      <c r="J54" s="1200"/>
      <c r="K54" s="1200"/>
      <c r="L54" s="1200"/>
      <c r="M54" s="1200"/>
      <c r="N54" s="1200"/>
      <c r="O54" s="1200"/>
      <c r="P54" s="1200"/>
      <c r="Q54" s="1200"/>
      <c r="R54" s="1200"/>
      <c r="S54" s="1200"/>
      <c r="T54" s="511"/>
      <c r="U54" s="483"/>
      <c r="V54" s="483"/>
      <c r="W54" s="483"/>
      <c r="X54" s="483"/>
    </row>
    <row r="55" spans="1:24" s="635" customFormat="1" x14ac:dyDescent="0.35">
      <c r="A55" s="719"/>
      <c r="B55" s="822"/>
      <c r="C55" s="813" t="s">
        <v>182</v>
      </c>
      <c r="D55" s="977"/>
      <c r="E55" s="977"/>
      <c r="F55" s="1094"/>
      <c r="G55" s="1094"/>
      <c r="H55" s="1042"/>
      <c r="I55" s="1094"/>
      <c r="J55" s="1042"/>
      <c r="K55" s="1042"/>
      <c r="L55" s="1042"/>
      <c r="M55" s="1042"/>
      <c r="N55" s="1094"/>
      <c r="O55" s="1042"/>
      <c r="P55" s="1094"/>
      <c r="Q55" s="977"/>
      <c r="R55" s="977"/>
      <c r="S55" s="977"/>
      <c r="T55" s="511"/>
      <c r="U55" s="483"/>
      <c r="V55" s="483"/>
      <c r="W55" s="483"/>
      <c r="X55" s="483"/>
    </row>
    <row r="56" spans="1:24" s="635" customFormat="1" x14ac:dyDescent="0.35">
      <c r="B56" s="807"/>
      <c r="C56" s="978" t="s">
        <v>452</v>
      </c>
      <c r="D56" s="915"/>
      <c r="E56" s="915"/>
      <c r="F56" s="931"/>
      <c r="G56" s="931"/>
      <c r="H56" s="915"/>
      <c r="I56" s="931"/>
      <c r="J56" s="915"/>
      <c r="K56" s="915"/>
      <c r="L56" s="915"/>
      <c r="M56" s="915"/>
      <c r="N56" s="931"/>
      <c r="O56" s="915"/>
      <c r="P56" s="931"/>
      <c r="Q56" s="809"/>
      <c r="R56" s="819"/>
      <c r="S56" s="808"/>
      <c r="T56" s="511"/>
      <c r="U56" s="483"/>
      <c r="V56" s="483"/>
      <c r="W56" s="483"/>
      <c r="X56" s="483"/>
    </row>
    <row r="57" spans="1:24" s="635" customFormat="1" x14ac:dyDescent="0.35">
      <c r="B57" s="807"/>
      <c r="C57" s="978" t="s">
        <v>453</v>
      </c>
      <c r="D57" s="915"/>
      <c r="E57" s="915"/>
      <c r="F57" s="931"/>
      <c r="G57" s="931"/>
      <c r="H57" s="915"/>
      <c r="I57" s="931"/>
      <c r="J57" s="915"/>
      <c r="K57" s="915"/>
      <c r="L57" s="915"/>
      <c r="M57" s="915"/>
      <c r="N57" s="931"/>
      <c r="O57" s="915"/>
      <c r="P57" s="931"/>
      <c r="Q57" s="809"/>
      <c r="R57" s="819"/>
      <c r="S57" s="808"/>
      <c r="T57" s="511"/>
      <c r="U57" s="483"/>
      <c r="V57" s="483"/>
      <c r="W57" s="483"/>
      <c r="X57" s="483"/>
    </row>
    <row r="58" spans="1:24" s="635" customFormat="1" x14ac:dyDescent="0.35">
      <c r="B58" s="807"/>
      <c r="C58" s="976"/>
      <c r="D58" s="915"/>
      <c r="E58" s="915"/>
      <c r="F58" s="931"/>
      <c r="G58" s="931"/>
      <c r="H58" s="915"/>
      <c r="I58" s="931"/>
      <c r="J58" s="915"/>
      <c r="K58" s="915"/>
      <c r="L58" s="915"/>
      <c r="M58" s="915"/>
      <c r="N58" s="931"/>
      <c r="O58" s="915"/>
      <c r="P58" s="931"/>
      <c r="Q58" s="809"/>
      <c r="R58" s="819"/>
      <c r="S58" s="808"/>
      <c r="T58" s="511"/>
      <c r="U58" s="483"/>
      <c r="V58" s="483"/>
      <c r="W58" s="483"/>
      <c r="X58" s="483"/>
    </row>
    <row r="59" spans="1:24" s="635" customFormat="1" x14ac:dyDescent="0.35">
      <c r="A59" s="10"/>
      <c r="B59" s="10" t="s">
        <v>211</v>
      </c>
      <c r="C59" s="809"/>
      <c r="D59" s="916"/>
      <c r="E59" s="809"/>
      <c r="F59" s="931"/>
      <c r="G59" s="931"/>
      <c r="H59" s="915"/>
      <c r="I59" s="931"/>
      <c r="J59" s="915"/>
      <c r="K59" s="915"/>
      <c r="L59" s="915"/>
      <c r="M59" s="915"/>
      <c r="N59" s="931"/>
      <c r="O59" s="915"/>
      <c r="P59" s="931"/>
      <c r="Q59" s="809"/>
      <c r="R59" s="819"/>
      <c r="S59" s="809"/>
      <c r="T59" s="511"/>
      <c r="U59" s="483"/>
      <c r="V59" s="483"/>
      <c r="W59" s="483"/>
      <c r="X59" s="483"/>
    </row>
    <row r="60" spans="1:24" s="635" customFormat="1" x14ac:dyDescent="0.35">
      <c r="A60" s="2"/>
      <c r="B60" s="758"/>
      <c r="C60" s="809"/>
      <c r="D60" s="809"/>
      <c r="E60" s="809"/>
      <c r="F60" s="931"/>
      <c r="G60" s="931"/>
      <c r="H60" s="915"/>
      <c r="I60" s="931"/>
      <c r="J60" s="915"/>
      <c r="K60" s="915"/>
      <c r="L60" s="915"/>
      <c r="M60" s="915"/>
      <c r="N60" s="931"/>
      <c r="O60" s="915"/>
      <c r="P60" s="931"/>
      <c r="Q60" s="809"/>
      <c r="R60" s="819"/>
      <c r="S60" s="809"/>
      <c r="T60" s="511"/>
      <c r="U60" s="483"/>
      <c r="V60" s="483"/>
      <c r="W60" s="483"/>
      <c r="X60" s="483"/>
    </row>
    <row r="133" spans="2:36" x14ac:dyDescent="0.35">
      <c r="C133" s="629"/>
      <c r="D133" s="629"/>
      <c r="E133" s="644"/>
      <c r="F133" s="935"/>
      <c r="G133" s="935"/>
      <c r="H133" s="644"/>
      <c r="I133" s="935"/>
      <c r="J133" s="644"/>
      <c r="K133" s="644"/>
      <c r="L133" s="644"/>
      <c r="M133" s="644"/>
      <c r="N133" s="935"/>
      <c r="O133" s="644"/>
      <c r="P133" s="935"/>
      <c r="Q133" s="629"/>
      <c r="R133" s="645"/>
      <c r="S133" s="629"/>
      <c r="T133" s="646"/>
      <c r="U133" s="629"/>
      <c r="V133" s="629"/>
      <c r="W133" s="629"/>
      <c r="X133" s="629"/>
      <c r="Y133" s="629"/>
      <c r="Z133" s="629"/>
      <c r="AA133" s="629"/>
      <c r="AB133" s="629"/>
      <c r="AC133" s="629"/>
      <c r="AD133" s="629"/>
      <c r="AE133" s="629"/>
      <c r="AF133" s="629"/>
      <c r="AG133" s="629"/>
      <c r="AH133" s="629"/>
      <c r="AI133" s="629"/>
      <c r="AJ133" s="629"/>
    </row>
    <row r="134" spans="2:36" x14ac:dyDescent="0.35">
      <c r="B134" s="637"/>
      <c r="C134" s="633"/>
      <c r="D134" s="633"/>
      <c r="E134" s="647"/>
      <c r="F134" s="936"/>
      <c r="G134" s="936"/>
      <c r="H134" s="647"/>
      <c r="I134" s="936"/>
      <c r="J134" s="647"/>
      <c r="K134" s="647"/>
      <c r="L134" s="647"/>
      <c r="M134" s="647"/>
      <c r="N134" s="936"/>
      <c r="O134" s="647"/>
      <c r="P134" s="936"/>
      <c r="Q134" s="633"/>
      <c r="R134" s="648"/>
      <c r="S134" s="633"/>
      <c r="T134" s="649"/>
      <c r="U134" s="633"/>
      <c r="V134" s="633"/>
      <c r="W134" s="633"/>
      <c r="X134" s="633"/>
      <c r="Y134" s="633"/>
      <c r="Z134" s="633"/>
      <c r="AA134" s="633"/>
      <c r="AB134" s="633"/>
      <c r="AC134" s="633"/>
      <c r="AD134" s="633"/>
      <c r="AE134" s="633"/>
      <c r="AF134" s="633"/>
      <c r="AG134" s="633"/>
      <c r="AH134" s="633"/>
      <c r="AI134" s="633"/>
      <c r="AJ134" s="633"/>
    </row>
    <row r="135" spans="2:36" x14ac:dyDescent="0.35">
      <c r="B135" s="637"/>
      <c r="C135" s="633"/>
      <c r="D135" s="633"/>
      <c r="E135" s="647"/>
      <c r="F135" s="936"/>
      <c r="G135" s="936"/>
      <c r="H135" s="647"/>
      <c r="I135" s="936"/>
      <c r="J135" s="647"/>
      <c r="K135" s="647"/>
      <c r="L135" s="647"/>
      <c r="M135" s="647"/>
      <c r="N135" s="936"/>
      <c r="O135" s="647"/>
      <c r="P135" s="936"/>
      <c r="Q135" s="633"/>
      <c r="R135" s="648"/>
      <c r="S135" s="633"/>
      <c r="T135" s="649"/>
      <c r="U135" s="633"/>
      <c r="V135" s="633"/>
      <c r="W135" s="633"/>
      <c r="X135" s="633"/>
      <c r="Y135" s="633"/>
      <c r="Z135" s="633"/>
      <c r="AA135" s="633"/>
      <c r="AB135" s="633"/>
      <c r="AC135" s="633"/>
      <c r="AD135" s="633"/>
      <c r="AE135" s="633"/>
      <c r="AF135" s="633"/>
      <c r="AG135" s="633"/>
      <c r="AH135" s="633"/>
      <c r="AI135" s="633"/>
      <c r="AJ135" s="633"/>
    </row>
    <row r="137" spans="2:36" x14ac:dyDescent="0.35">
      <c r="C137" s="629"/>
      <c r="D137" s="629"/>
      <c r="E137" s="644"/>
      <c r="F137" s="935"/>
      <c r="G137" s="935"/>
      <c r="H137" s="644"/>
      <c r="I137" s="935"/>
      <c r="J137" s="644"/>
      <c r="K137" s="644"/>
      <c r="L137" s="644"/>
      <c r="M137" s="644"/>
      <c r="N137" s="935"/>
      <c r="O137" s="644"/>
      <c r="P137" s="935"/>
      <c r="Q137" s="629"/>
      <c r="R137" s="645"/>
      <c r="S137" s="629"/>
      <c r="T137" s="646"/>
      <c r="U137" s="629"/>
      <c r="V137" s="629"/>
      <c r="W137" s="629"/>
      <c r="X137" s="629"/>
      <c r="Y137" s="629"/>
      <c r="Z137" s="629"/>
      <c r="AA137" s="629"/>
      <c r="AB137" s="629"/>
      <c r="AC137" s="629"/>
      <c r="AD137" s="629"/>
      <c r="AE137" s="629"/>
      <c r="AF137" s="629"/>
      <c r="AG137" s="629"/>
      <c r="AH137" s="629"/>
      <c r="AI137" s="629"/>
      <c r="AJ137" s="629"/>
    </row>
    <row r="138" spans="2:36" x14ac:dyDescent="0.35">
      <c r="B138" s="637"/>
      <c r="C138" s="633"/>
      <c r="D138" s="633"/>
      <c r="E138" s="647"/>
      <c r="F138" s="936"/>
      <c r="G138" s="936"/>
      <c r="H138" s="647"/>
      <c r="I138" s="936"/>
      <c r="J138" s="647"/>
      <c r="K138" s="647"/>
      <c r="L138" s="647"/>
      <c r="M138" s="647"/>
      <c r="N138" s="936"/>
      <c r="O138" s="647"/>
      <c r="P138" s="936"/>
      <c r="Q138" s="633"/>
      <c r="R138" s="648"/>
      <c r="S138" s="633"/>
      <c r="T138" s="649"/>
      <c r="U138" s="633"/>
      <c r="V138" s="633"/>
      <c r="W138" s="633"/>
      <c r="X138" s="633"/>
      <c r="Y138" s="633"/>
      <c r="Z138" s="633"/>
      <c r="AA138" s="633"/>
      <c r="AB138" s="633"/>
      <c r="AC138" s="633"/>
      <c r="AD138" s="633"/>
      <c r="AE138" s="633"/>
      <c r="AF138" s="633"/>
      <c r="AG138" s="633"/>
      <c r="AH138" s="633"/>
      <c r="AI138" s="633"/>
      <c r="AJ138" s="633"/>
    </row>
    <row r="139" spans="2:36" x14ac:dyDescent="0.35">
      <c r="B139" s="637"/>
      <c r="C139" s="633"/>
      <c r="D139" s="633"/>
      <c r="E139" s="647"/>
      <c r="F139" s="936"/>
      <c r="G139" s="936"/>
      <c r="H139" s="647"/>
      <c r="I139" s="936"/>
      <c r="J139" s="647"/>
      <c r="K139" s="647"/>
      <c r="L139" s="647"/>
      <c r="M139" s="647"/>
      <c r="N139" s="936"/>
      <c r="O139" s="647"/>
      <c r="P139" s="936"/>
      <c r="Q139" s="633"/>
      <c r="R139" s="648"/>
      <c r="S139" s="633"/>
      <c r="T139" s="649"/>
      <c r="U139" s="633"/>
      <c r="V139" s="633"/>
      <c r="W139" s="633"/>
      <c r="X139" s="633"/>
      <c r="Y139" s="633"/>
      <c r="Z139" s="633"/>
      <c r="AA139" s="633"/>
      <c r="AB139" s="633"/>
      <c r="AC139" s="633"/>
      <c r="AD139" s="633"/>
      <c r="AE139" s="633"/>
      <c r="AF139" s="633"/>
      <c r="AG139" s="633"/>
      <c r="AH139" s="633"/>
      <c r="AI139" s="633"/>
      <c r="AJ139" s="633"/>
    </row>
    <row r="141" spans="2:36" x14ac:dyDescent="0.35">
      <c r="C141" s="629"/>
      <c r="D141" s="629"/>
      <c r="E141" s="644"/>
      <c r="F141" s="935"/>
      <c r="G141" s="935"/>
      <c r="H141" s="644"/>
      <c r="I141" s="935"/>
      <c r="J141" s="644"/>
      <c r="K141" s="644"/>
      <c r="L141" s="644"/>
      <c r="M141" s="644"/>
      <c r="N141" s="935"/>
      <c r="O141" s="644"/>
      <c r="P141" s="935"/>
      <c r="Q141" s="629"/>
      <c r="R141" s="645"/>
      <c r="S141" s="629"/>
      <c r="T141" s="646"/>
      <c r="U141" s="629"/>
      <c r="V141" s="629"/>
      <c r="W141" s="629"/>
      <c r="X141" s="629"/>
      <c r="Y141" s="629"/>
      <c r="Z141" s="629"/>
      <c r="AA141" s="629"/>
      <c r="AB141" s="629"/>
      <c r="AC141" s="629"/>
      <c r="AD141" s="629"/>
      <c r="AE141" s="629"/>
      <c r="AF141" s="629"/>
      <c r="AG141" s="629"/>
      <c r="AH141" s="629"/>
      <c r="AI141" s="629"/>
      <c r="AJ141" s="629"/>
    </row>
    <row r="142" spans="2:36" x14ac:dyDescent="0.35">
      <c r="B142" s="637"/>
      <c r="C142" s="654"/>
      <c r="D142" s="654"/>
      <c r="E142" s="655"/>
      <c r="F142" s="1097"/>
      <c r="G142" s="1097"/>
      <c r="H142" s="655"/>
      <c r="I142" s="1097"/>
      <c r="J142" s="655"/>
      <c r="K142" s="655"/>
      <c r="L142" s="655"/>
      <c r="M142" s="655"/>
      <c r="N142" s="1097"/>
    </row>
    <row r="144" spans="2:36" x14ac:dyDescent="0.35">
      <c r="C144" s="629"/>
      <c r="D144" s="629"/>
      <c r="E144" s="644"/>
      <c r="F144" s="935"/>
      <c r="G144" s="935"/>
      <c r="H144" s="644"/>
      <c r="I144" s="935"/>
      <c r="J144" s="644"/>
      <c r="K144" s="644"/>
      <c r="L144" s="644"/>
      <c r="M144" s="644"/>
      <c r="N144" s="935"/>
      <c r="O144" s="644"/>
      <c r="P144" s="935"/>
      <c r="Q144" s="629"/>
      <c r="R144" s="645"/>
      <c r="S144" s="629"/>
      <c r="T144" s="646"/>
      <c r="U144" s="629"/>
      <c r="V144" s="629"/>
      <c r="W144" s="629"/>
      <c r="X144" s="629"/>
      <c r="Y144" s="629"/>
      <c r="Z144" s="629"/>
      <c r="AA144" s="629"/>
      <c r="AB144" s="629"/>
      <c r="AC144" s="629"/>
      <c r="AD144" s="629"/>
      <c r="AE144" s="629"/>
      <c r="AF144" s="629"/>
      <c r="AG144" s="629"/>
      <c r="AH144" s="629"/>
      <c r="AI144" s="629"/>
      <c r="AJ144" s="629"/>
    </row>
    <row r="145" spans="2:36" x14ac:dyDescent="0.35">
      <c r="B145" s="637"/>
      <c r="C145" s="633"/>
      <c r="D145" s="633"/>
      <c r="E145" s="647"/>
      <c r="F145" s="936"/>
      <c r="G145" s="936"/>
      <c r="H145" s="647"/>
      <c r="I145" s="936"/>
      <c r="J145" s="647"/>
      <c r="K145" s="647"/>
      <c r="L145" s="647"/>
      <c r="M145" s="647"/>
      <c r="N145" s="936"/>
      <c r="O145" s="647"/>
      <c r="P145" s="936"/>
      <c r="Q145" s="633"/>
      <c r="R145" s="648"/>
      <c r="S145" s="633"/>
      <c r="T145" s="649"/>
      <c r="U145" s="633"/>
      <c r="V145" s="633"/>
      <c r="W145" s="633"/>
      <c r="X145" s="633"/>
      <c r="Y145" s="633"/>
      <c r="Z145" s="633"/>
      <c r="AA145" s="633"/>
      <c r="AB145" s="633"/>
      <c r="AC145" s="633"/>
      <c r="AD145" s="633"/>
      <c r="AE145" s="633"/>
      <c r="AF145" s="633"/>
      <c r="AG145" s="633"/>
      <c r="AH145" s="633"/>
      <c r="AI145" s="633"/>
      <c r="AJ145" s="633"/>
    </row>
    <row r="146" spans="2:36" x14ac:dyDescent="0.35">
      <c r="B146" s="637"/>
      <c r="C146" s="633"/>
      <c r="D146" s="633"/>
      <c r="E146" s="647"/>
      <c r="F146" s="936"/>
      <c r="G146" s="936"/>
      <c r="H146" s="647"/>
      <c r="I146" s="936"/>
      <c r="J146" s="647"/>
      <c r="K146" s="647"/>
      <c r="L146" s="647"/>
      <c r="M146" s="647"/>
      <c r="N146" s="936"/>
      <c r="O146" s="647"/>
      <c r="P146" s="936"/>
      <c r="Q146" s="633"/>
      <c r="R146" s="648"/>
      <c r="S146" s="633"/>
      <c r="T146" s="649"/>
      <c r="U146" s="633"/>
      <c r="V146" s="633"/>
      <c r="W146" s="633"/>
      <c r="X146" s="633"/>
      <c r="Y146" s="633"/>
      <c r="Z146" s="633"/>
      <c r="AA146" s="633"/>
      <c r="AB146" s="633"/>
      <c r="AC146" s="633"/>
      <c r="AD146" s="633"/>
      <c r="AE146" s="633"/>
      <c r="AF146" s="633"/>
      <c r="AG146" s="633"/>
      <c r="AH146" s="633"/>
      <c r="AI146" s="633"/>
      <c r="AJ146" s="633"/>
    </row>
  </sheetData>
  <mergeCells count="6">
    <mergeCell ref="B6:B24"/>
    <mergeCell ref="D54:S54"/>
    <mergeCell ref="B45:B50"/>
    <mergeCell ref="B39:B43"/>
    <mergeCell ref="B34:B37"/>
    <mergeCell ref="B27:B30"/>
  </mergeCells>
  <conditionalFormatting sqref="R18:R24">
    <cfRule type="cellIs" dxfId="161" priority="1" operator="lessThan">
      <formula>-0.05</formula>
    </cfRule>
    <cfRule type="cellIs" dxfId="160" priority="2" operator="between">
      <formula>-5%</formula>
      <formula>5%</formula>
    </cfRule>
    <cfRule type="cellIs" dxfId="159" priority="3" operator="greaterThan">
      <formula>5%</formula>
    </cfRule>
  </conditionalFormatting>
  <conditionalFormatting sqref="R39:R43">
    <cfRule type="cellIs" dxfId="158" priority="43" operator="lessThan">
      <formula>-0.05</formula>
    </cfRule>
    <cfRule type="cellIs" dxfId="157" priority="45" operator="greaterThan">
      <formula>5%</formula>
    </cfRule>
    <cfRule type="cellIs" dxfId="156" priority="44" operator="between">
      <formula>-5%</formula>
      <formula>5%</formula>
    </cfRule>
  </conditionalFormatting>
  <conditionalFormatting sqref="R52">
    <cfRule type="cellIs" dxfId="155" priority="22" operator="lessThan">
      <formula>-0.05</formula>
    </cfRule>
    <cfRule type="cellIs" dxfId="154" priority="23" operator="between">
      <formula>-5%</formula>
      <formula>5%</formula>
    </cfRule>
    <cfRule type="cellIs" dxfId="153" priority="24" operator="greaterThan">
      <formula>5%</formula>
    </cfRule>
  </conditionalFormatting>
  <conditionalFormatting sqref="R6:S17">
    <cfRule type="cellIs" dxfId="152" priority="4" operator="lessThan">
      <formula>-0.05</formula>
    </cfRule>
    <cfRule type="cellIs" dxfId="151" priority="5" operator="between">
      <formula>-5%</formula>
      <formula>5%</formula>
    </cfRule>
    <cfRule type="cellIs" dxfId="150" priority="6" operator="greaterThan">
      <formula>5%</formula>
    </cfRule>
  </conditionalFormatting>
  <conditionalFormatting sqref="R26:S30">
    <cfRule type="cellIs" dxfId="149" priority="117" operator="greaterThan">
      <formula>5%</formula>
    </cfRule>
    <cfRule type="cellIs" dxfId="148" priority="116" operator="between">
      <formula>-5%</formula>
      <formula>5%</formula>
    </cfRule>
    <cfRule type="cellIs" dxfId="147" priority="115" operator="lessThan">
      <formula>-0.05</formula>
    </cfRule>
  </conditionalFormatting>
  <conditionalFormatting sqref="R32:S32">
    <cfRule type="cellIs" dxfId="146" priority="158" operator="between">
      <formula>-5%</formula>
      <formula>5%</formula>
    </cfRule>
    <cfRule type="cellIs" dxfId="145" priority="159" operator="greaterThan">
      <formula>5%</formula>
    </cfRule>
    <cfRule type="cellIs" dxfId="144" priority="157" operator="lessThan">
      <formula>-0.05</formula>
    </cfRule>
  </conditionalFormatting>
  <conditionalFormatting sqref="R34:S37">
    <cfRule type="cellIs" dxfId="143" priority="10" operator="greaterThan">
      <formula>5%</formula>
    </cfRule>
    <cfRule type="cellIs" dxfId="142" priority="12" operator="between">
      <formula>-5%</formula>
      <formula>5%</formula>
    </cfRule>
    <cfRule type="cellIs" dxfId="141" priority="11" operator="lessThan">
      <formula>-0.05</formula>
    </cfRule>
  </conditionalFormatting>
  <conditionalFormatting sqref="R45:S50">
    <cfRule type="cellIs" dxfId="140" priority="73" operator="lessThan">
      <formula>-0.05</formula>
    </cfRule>
    <cfRule type="cellIs" dxfId="139" priority="74" operator="between">
      <formula>-5%</formula>
      <formula>5%</formula>
    </cfRule>
    <cfRule type="cellIs" dxfId="138" priority="75" operator="greaterThan">
      <formula>5%</formula>
    </cfRule>
  </conditionalFormatting>
  <conditionalFormatting sqref="S23">
    <cfRule type="cellIs" dxfId="137" priority="36" operator="greaterThan">
      <formula>5%</formula>
    </cfRule>
    <cfRule type="cellIs" dxfId="136" priority="34" operator="lessThan">
      <formula>-0.05</formula>
    </cfRule>
    <cfRule type="cellIs" dxfId="135" priority="35" operator="between">
      <formula>-5%</formula>
      <formula>5%</formula>
    </cfRule>
  </conditionalFormatting>
  <conditionalFormatting sqref="S39:S42">
    <cfRule type="cellIs" dxfId="134" priority="33" operator="greaterThan">
      <formula>5%</formula>
    </cfRule>
    <cfRule type="cellIs" dxfId="133" priority="32" operator="between">
      <formula>-5%</formula>
      <formula>5%</formula>
    </cfRule>
    <cfRule type="cellIs" dxfId="132" priority="31" operator="lessThan">
      <formula>-0.05</formula>
    </cfRule>
  </conditionalFormatting>
  <pageMargins left="0.23622047244094491" right="0.23622047244094491" top="0.74803149606299213" bottom="0.74803149606299213" header="0.31496062992125984" footer="0.31496062992125984"/>
  <pageSetup paperSize="9" scale="73" fitToHeight="0" orientation="landscape" r:id="rId1"/>
  <headerFooter>
    <oddFooter>&amp;C&amp;1#&amp;"Calibri"&amp;10&amp;K000000OFFICIAL</oddFooter>
  </headerFooter>
  <ignoredErrors>
    <ignoredError sqref="E8 E11 Q35:S35 F44 F8 R8:S11 Q15:S15 F38 F25:F26 S37 F31 Q29 F51 Q49 F11 Q12:S12 Q13:S13 Q14:S14 G8:P8 G11:P11 G12:P12 Q28:S28 Q27:S27 Q30:S30 Q34:S34 Q40:S40 Q39:S39 S50 Q44:S44 Q38:S38 Q25:S26 Q31:S31 Q51:S51 G22:H22 G19:H19 K19:M19 G20:H20 K20:M20 G21:H21 K21:M21 K22:M22 O19 O20 O21 O22" evalError="1"/>
    <ignoredError sqref="Q8:Q11" evalError="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S152"/>
  <sheetViews>
    <sheetView showGridLines="0" topLeftCell="A16" zoomScaleNormal="100" workbookViewId="0">
      <selection activeCell="R18" sqref="R18:R22"/>
    </sheetView>
  </sheetViews>
  <sheetFormatPr defaultColWidth="8.84375" defaultRowHeight="15.5" x14ac:dyDescent="0.35"/>
  <cols>
    <col min="1" max="1" width="3.23046875" style="130" customWidth="1"/>
    <col min="2" max="2" width="14.23046875" style="130" customWidth="1"/>
    <col min="3" max="3" width="52.4609375" style="130" customWidth="1"/>
    <col min="4" max="4" width="8.84375" style="130"/>
    <col min="5" max="5" width="6" style="130" bestFit="1"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130"/>
    <col min="18" max="18" width="10.3046875" style="641" customWidth="1"/>
    <col min="19" max="19" width="10.304687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1"/>
      <c r="B1" s="9" t="s">
        <v>79</v>
      </c>
      <c r="C1" s="1"/>
      <c r="D1" s="760" t="s">
        <v>30</v>
      </c>
      <c r="E1" s="1"/>
      <c r="F1" s="930"/>
      <c r="G1" s="930"/>
      <c r="H1" s="95"/>
      <c r="I1" s="930"/>
      <c r="J1" s="95"/>
      <c r="K1" s="95"/>
      <c r="L1" s="95"/>
      <c r="M1" s="95"/>
      <c r="N1" s="930"/>
      <c r="O1" s="95"/>
      <c r="P1" s="930"/>
      <c r="Q1" s="1"/>
      <c r="R1" s="7"/>
      <c r="S1" s="1"/>
      <c r="T1" s="510"/>
      <c r="U1" s="1"/>
      <c r="V1" s="1"/>
      <c r="W1" s="1"/>
      <c r="X1" s="1"/>
    </row>
    <row r="2" spans="1:24" x14ac:dyDescent="0.35">
      <c r="A2" s="1"/>
      <c r="B2" s="1"/>
      <c r="C2" s="1"/>
      <c r="D2" s="1"/>
      <c r="E2" s="1"/>
      <c r="F2" s="930"/>
      <c r="G2" s="930"/>
      <c r="H2" s="95"/>
      <c r="I2" s="930"/>
      <c r="J2" s="95"/>
      <c r="K2" s="95"/>
      <c r="L2" s="95"/>
      <c r="M2" s="95"/>
      <c r="N2" s="930"/>
      <c r="O2" s="95"/>
      <c r="P2" s="930"/>
      <c r="Q2" s="1"/>
      <c r="R2" s="7"/>
      <c r="S2" s="1"/>
      <c r="T2" s="510"/>
      <c r="U2" s="7" t="s">
        <v>69</v>
      </c>
      <c r="V2" s="1"/>
      <c r="W2" s="1"/>
      <c r="X2" s="1"/>
    </row>
    <row r="3" spans="1:24" ht="26" x14ac:dyDescent="0.6">
      <c r="A3" s="1"/>
      <c r="B3" s="925" t="s">
        <v>502</v>
      </c>
      <c r="C3" s="2"/>
      <c r="D3" s="2"/>
      <c r="E3" s="2"/>
      <c r="F3" s="465"/>
      <c r="G3" s="465"/>
      <c r="H3" s="96"/>
      <c r="I3" s="465"/>
      <c r="J3" s="96"/>
      <c r="K3" s="96"/>
      <c r="L3" s="96"/>
      <c r="M3" s="96"/>
      <c r="N3" s="465"/>
      <c r="O3" s="96"/>
      <c r="P3" s="465"/>
      <c r="Q3" s="2"/>
      <c r="R3" s="293"/>
      <c r="S3" s="1"/>
      <c r="T3" s="510"/>
      <c r="U3" s="1"/>
      <c r="V3" s="1"/>
      <c r="W3" s="1"/>
      <c r="X3" s="1"/>
    </row>
    <row r="4" spans="1:24" x14ac:dyDescent="0.35">
      <c r="A4" s="1"/>
      <c r="B4" s="2"/>
      <c r="C4" s="2"/>
      <c r="D4" s="2"/>
      <c r="E4" s="2"/>
      <c r="F4" s="465"/>
      <c r="G4" s="465"/>
      <c r="H4" s="96"/>
      <c r="I4" s="465"/>
      <c r="J4" s="96"/>
      <c r="K4" s="96"/>
      <c r="L4" s="96"/>
      <c r="M4" s="96"/>
      <c r="N4" s="465"/>
      <c r="O4" s="96"/>
      <c r="P4" s="465"/>
      <c r="Q4" s="2"/>
      <c r="R4" s="293"/>
      <c r="S4" s="1"/>
      <c r="T4" s="510"/>
      <c r="U4" s="1"/>
      <c r="V4" s="1"/>
      <c r="W4" s="1"/>
      <c r="X4" s="1"/>
    </row>
    <row r="5" spans="1:24" ht="51.75" customHeight="1" x14ac:dyDescent="0.35">
      <c r="A5" s="1"/>
      <c r="B5" s="2"/>
      <c r="C5" s="128" t="s">
        <v>1</v>
      </c>
      <c r="D5" s="996" t="s">
        <v>497</v>
      </c>
      <c r="E5" s="12" t="s">
        <v>132</v>
      </c>
      <c r="F5" s="12" t="s">
        <v>20</v>
      </c>
      <c r="G5" s="12" t="s">
        <v>21</v>
      </c>
      <c r="H5" s="12" t="s">
        <v>22</v>
      </c>
      <c r="I5" s="12" t="s">
        <v>23</v>
      </c>
      <c r="J5" s="12" t="s">
        <v>24</v>
      </c>
      <c r="K5" s="12" t="s">
        <v>25</v>
      </c>
      <c r="L5" s="12" t="s">
        <v>26</v>
      </c>
      <c r="M5" s="12" t="s">
        <v>27</v>
      </c>
      <c r="N5" s="12" t="s">
        <v>28</v>
      </c>
      <c r="O5" s="12" t="s">
        <v>29</v>
      </c>
      <c r="P5" s="12" t="s">
        <v>30</v>
      </c>
      <c r="Q5" s="252" t="s">
        <v>32</v>
      </c>
      <c r="R5" s="997" t="s">
        <v>498</v>
      </c>
      <c r="S5" s="508" t="s">
        <v>351</v>
      </c>
      <c r="T5" s="510"/>
      <c r="U5" s="1"/>
      <c r="V5" s="1"/>
      <c r="W5" s="1"/>
      <c r="X5" s="1"/>
    </row>
    <row r="6" spans="1:24" ht="15" customHeight="1" x14ac:dyDescent="0.35">
      <c r="A6" s="1"/>
      <c r="B6" s="1219" t="s">
        <v>378</v>
      </c>
      <c r="C6" s="219" t="s">
        <v>2</v>
      </c>
      <c r="D6" s="441">
        <f>'year end'!AD146</f>
        <v>856</v>
      </c>
      <c r="E6" s="117">
        <f>Masterlist!AN136</f>
        <v>66</v>
      </c>
      <c r="F6" s="1118">
        <f>Masterlist!AO136</f>
        <v>68</v>
      </c>
      <c r="G6" s="1118">
        <f>Masterlist!AP136</f>
        <v>69</v>
      </c>
      <c r="H6" s="1118">
        <f>Masterlist!AQ136</f>
        <v>91</v>
      </c>
      <c r="I6" s="1118">
        <f>Masterlist!AR136</f>
        <v>90</v>
      </c>
      <c r="J6" s="1118">
        <f>Masterlist!AS136</f>
        <v>51</v>
      </c>
      <c r="K6" s="1118">
        <f>Masterlist!AT136</f>
        <v>61</v>
      </c>
      <c r="L6" s="1118">
        <f>Masterlist!AU136</f>
        <v>71</v>
      </c>
      <c r="M6" s="1118">
        <f>Masterlist!AV136</f>
        <v>80</v>
      </c>
      <c r="N6" s="1118">
        <f>Masterlist!AW136</f>
        <v>71</v>
      </c>
      <c r="O6" s="1118">
        <f>Masterlist!AX136</f>
        <v>66</v>
      </c>
      <c r="P6" s="1118">
        <f>Masterlist!AY136</f>
        <v>87</v>
      </c>
      <c r="Q6" s="255">
        <f t="shared" ref="Q6:Q13" si="0">SUM(E6:P6)</f>
        <v>871</v>
      </c>
      <c r="R6" s="303">
        <f>(Q6-(HLOOKUP($D$1,yearendcumulative,145,FALSE)))/(HLOOKUP($D$1,yearendcumulative,145,FALSE))</f>
        <v>1.7523364485981307E-2</v>
      </c>
      <c r="S6" s="303">
        <f>(Q6-(HLOOKUP($D$1,Monthlyaveragecumulative,145,FALSE)))/(HLOOKUP($D$1,Monthlyaveragecumulative,145,FALSE))</f>
        <v>2.7122641509433963E-2</v>
      </c>
      <c r="T6" s="510"/>
      <c r="U6" s="1"/>
      <c r="V6" s="1"/>
      <c r="W6" s="1"/>
      <c r="X6" s="1"/>
    </row>
    <row r="7" spans="1:24" x14ac:dyDescent="0.35">
      <c r="A7" s="1"/>
      <c r="B7" s="1220"/>
      <c r="C7" s="127" t="s">
        <v>3</v>
      </c>
      <c r="D7" s="611">
        <f>'year end'!AD165</f>
        <v>304</v>
      </c>
      <c r="E7" s="105">
        <f>Masterlist!AN154</f>
        <v>27</v>
      </c>
      <c r="F7" s="30">
        <f>Masterlist!AO154</f>
        <v>23</v>
      </c>
      <c r="G7" s="30">
        <f>Masterlist!AP154</f>
        <v>26</v>
      </c>
      <c r="H7" s="30">
        <f>Masterlist!AQ154</f>
        <v>34</v>
      </c>
      <c r="I7" s="30">
        <f>Masterlist!AR154</f>
        <v>29</v>
      </c>
      <c r="J7" s="30">
        <f>Masterlist!AS154</f>
        <v>15</v>
      </c>
      <c r="K7" s="30">
        <f>Masterlist!AT154</f>
        <v>18</v>
      </c>
      <c r="L7" s="30">
        <f>Masterlist!AU154</f>
        <v>28</v>
      </c>
      <c r="M7" s="30">
        <f>Masterlist!AV154</f>
        <v>23</v>
      </c>
      <c r="N7" s="30">
        <f>Masterlist!AW154</f>
        <v>24</v>
      </c>
      <c r="O7" s="30">
        <f>Masterlist!AX154</f>
        <v>29</v>
      </c>
      <c r="P7" s="30">
        <f>Masterlist!AY154</f>
        <v>31</v>
      </c>
      <c r="Q7" s="190">
        <f t="shared" si="0"/>
        <v>307</v>
      </c>
      <c r="R7" s="304">
        <f>(Q7-(HLOOKUP($D$1,yearendcumulative,164,FALSE)))/(HLOOKUP($D$1,yearendcumulative,164,FALSE))</f>
        <v>9.8684210526315784E-3</v>
      </c>
      <c r="S7" s="304">
        <f>(Q7-(HLOOKUP($D$1,Monthlyaveragecumulative,164,FALSE)))/(HLOOKUP($D$1,Monthlyaveragecumulative,164,FALSE))</f>
        <v>-2.8481012658227847E-2</v>
      </c>
      <c r="T7" s="510"/>
      <c r="U7" s="1"/>
      <c r="V7" s="1"/>
      <c r="W7" s="1"/>
      <c r="X7" s="1"/>
    </row>
    <row r="8" spans="1:24" x14ac:dyDescent="0.35">
      <c r="A8" s="1"/>
      <c r="B8" s="1220"/>
      <c r="C8" s="20" t="s">
        <v>235</v>
      </c>
      <c r="D8" s="612">
        <f>D7/D6</f>
        <v>0.35514018691588783</v>
      </c>
      <c r="E8" s="278">
        <f>E7/E6</f>
        <v>0.40909090909090912</v>
      </c>
      <c r="F8" s="50">
        <f t="shared" ref="F8" si="1">F7/F6</f>
        <v>0.33823529411764708</v>
      </c>
      <c r="G8" s="50">
        <f t="shared" ref="G8:P8" si="2">G7/G6</f>
        <v>0.37681159420289856</v>
      </c>
      <c r="H8" s="50">
        <f t="shared" si="2"/>
        <v>0.37362637362637363</v>
      </c>
      <c r="I8" s="50">
        <f t="shared" si="2"/>
        <v>0.32222222222222224</v>
      </c>
      <c r="J8" s="50">
        <f t="shared" si="2"/>
        <v>0.29411764705882354</v>
      </c>
      <c r="K8" s="50">
        <f t="shared" si="2"/>
        <v>0.29508196721311475</v>
      </c>
      <c r="L8" s="50">
        <f t="shared" si="2"/>
        <v>0.39436619718309857</v>
      </c>
      <c r="M8" s="50">
        <f t="shared" si="2"/>
        <v>0.28749999999999998</v>
      </c>
      <c r="N8" s="50">
        <f t="shared" si="2"/>
        <v>0.3380281690140845</v>
      </c>
      <c r="O8" s="50">
        <f t="shared" si="2"/>
        <v>0.43939393939393939</v>
      </c>
      <c r="P8" s="50">
        <f t="shared" si="2"/>
        <v>0.35632183908045978</v>
      </c>
      <c r="Q8" s="270">
        <f t="shared" ref="Q8" si="3">Q7/Q6</f>
        <v>0.35246842709529275</v>
      </c>
      <c r="R8" s="304">
        <f>Q8-(HLOOKUP($D$1,yearendcumulative,390,FALSE))</f>
        <v>-2.6717598205950877E-3</v>
      </c>
      <c r="S8" s="304">
        <f>(Q8-(HLOOKUP($D$1,Monthlyaveragecumulative,390,FALSE)))</f>
        <v>-2.017308233866949E-2</v>
      </c>
      <c r="T8" s="510"/>
      <c r="U8" s="1"/>
      <c r="V8" s="1"/>
      <c r="W8" s="1"/>
      <c r="X8" s="1"/>
    </row>
    <row r="9" spans="1:24" x14ac:dyDescent="0.35">
      <c r="A9" s="1"/>
      <c r="B9" s="1220"/>
      <c r="C9" s="127" t="s">
        <v>4</v>
      </c>
      <c r="D9" s="611">
        <f>'year end'!AD147</f>
        <v>1894</v>
      </c>
      <c r="E9" s="105">
        <f>Masterlist!AN137</f>
        <v>174</v>
      </c>
      <c r="F9" s="30">
        <f>Masterlist!AO137</f>
        <v>136</v>
      </c>
      <c r="G9" s="30">
        <f>Masterlist!AP137</f>
        <v>136</v>
      </c>
      <c r="H9" s="30">
        <f>Masterlist!AQ137</f>
        <v>157</v>
      </c>
      <c r="I9" s="30">
        <f>Masterlist!AR137</f>
        <v>137</v>
      </c>
      <c r="J9" s="30">
        <f>Masterlist!AS137</f>
        <v>135</v>
      </c>
      <c r="K9" s="30">
        <f>Masterlist!AT137</f>
        <v>129</v>
      </c>
      <c r="L9" s="30">
        <f>Masterlist!AU137</f>
        <v>136</v>
      </c>
      <c r="M9" s="30">
        <f>Masterlist!AV137</f>
        <v>164</v>
      </c>
      <c r="N9" s="30">
        <f>Masterlist!AW137</f>
        <v>142</v>
      </c>
      <c r="O9" s="30">
        <f>Masterlist!AX137</f>
        <v>126</v>
      </c>
      <c r="P9" s="30">
        <f>Masterlist!AY137</f>
        <v>142</v>
      </c>
      <c r="Q9" s="190">
        <f t="shared" si="0"/>
        <v>1714</v>
      </c>
      <c r="R9" s="304">
        <f>(Q9-(HLOOKUP($D$1,yearendcumulative,146,FALSE)))/(HLOOKUP($D$1,yearendcumulative,146,FALSE))</f>
        <v>-9.5036958817317843E-2</v>
      </c>
      <c r="S9" s="304">
        <f>(Q9-(HLOOKUP($D$1,Monthlyaveragecumulative,146,FALSE)))/(HLOOKUP($D$1,Monthlyaveragecumulative,146,FALSE))</f>
        <v>-0.11191709844559586</v>
      </c>
      <c r="T9" s="510"/>
      <c r="U9" s="1"/>
      <c r="V9" s="1"/>
      <c r="W9" s="1"/>
      <c r="X9" s="1"/>
    </row>
    <row r="10" spans="1:24" x14ac:dyDescent="0.35">
      <c r="A10" s="1"/>
      <c r="B10" s="1220"/>
      <c r="C10" s="127" t="s">
        <v>158</v>
      </c>
      <c r="D10" s="611">
        <f>'year end'!AD166</f>
        <v>654</v>
      </c>
      <c r="E10" s="105">
        <f>Masterlist!AN155</f>
        <v>77</v>
      </c>
      <c r="F10" s="30">
        <f>Masterlist!AO155</f>
        <v>56</v>
      </c>
      <c r="G10" s="30">
        <f>Masterlist!AP155</f>
        <v>56</v>
      </c>
      <c r="H10" s="30">
        <f>Masterlist!AQ155</f>
        <v>64</v>
      </c>
      <c r="I10" s="30">
        <f>Masterlist!AR155</f>
        <v>72</v>
      </c>
      <c r="J10" s="30">
        <f>Masterlist!AS155</f>
        <v>46</v>
      </c>
      <c r="K10" s="30">
        <f>Masterlist!AT155</f>
        <v>41</v>
      </c>
      <c r="L10" s="30">
        <f>Masterlist!AU155</f>
        <v>50</v>
      </c>
      <c r="M10" s="30">
        <f>Masterlist!AV155</f>
        <v>69</v>
      </c>
      <c r="N10" s="30">
        <f>Masterlist!AW155</f>
        <v>54</v>
      </c>
      <c r="O10" s="30">
        <f>Masterlist!AX155</f>
        <v>56</v>
      </c>
      <c r="P10" s="30">
        <f>Masterlist!AY155</f>
        <v>60</v>
      </c>
      <c r="Q10" s="190">
        <f t="shared" si="0"/>
        <v>701</v>
      </c>
      <c r="R10" s="304">
        <f>(Q10-(HLOOKUP($D$1,yearendcumulative,165,FALSE)))/(HLOOKUP($D$1,yearendcumulative,165,FALSE))</f>
        <v>7.1865443425076447E-2</v>
      </c>
      <c r="S10" s="304">
        <f>(Q10-(HLOOKUP($D$1,Monthlyaveragecumulative,165,FALSE)))/(HLOOKUP($D$1,Monthlyaveragecumulative,165,FALSE))</f>
        <v>-0.12045169385194479</v>
      </c>
      <c r="T10" s="510"/>
      <c r="U10" s="1"/>
      <c r="V10" s="1"/>
      <c r="W10" s="1"/>
      <c r="X10" s="1"/>
    </row>
    <row r="11" spans="1:24" x14ac:dyDescent="0.35">
      <c r="A11" s="1"/>
      <c r="B11" s="1220"/>
      <c r="C11" s="20" t="s">
        <v>236</v>
      </c>
      <c r="D11" s="613">
        <f>D10/D9</f>
        <v>0.34530095036958819</v>
      </c>
      <c r="E11" s="279">
        <f>E10/E9</f>
        <v>0.44252873563218392</v>
      </c>
      <c r="F11" s="1129">
        <f t="shared" ref="F11" si="4">F10/F9</f>
        <v>0.41176470588235292</v>
      </c>
      <c r="G11" s="1129">
        <f t="shared" ref="G11:P11" si="5">G10/G9</f>
        <v>0.41176470588235292</v>
      </c>
      <c r="H11" s="1129">
        <f t="shared" si="5"/>
        <v>0.40764331210191085</v>
      </c>
      <c r="I11" s="1129">
        <f t="shared" si="5"/>
        <v>0.52554744525547448</v>
      </c>
      <c r="J11" s="1129">
        <f t="shared" si="5"/>
        <v>0.34074074074074073</v>
      </c>
      <c r="K11" s="1129">
        <f t="shared" si="5"/>
        <v>0.31782945736434109</v>
      </c>
      <c r="L11" s="1129">
        <f t="shared" si="5"/>
        <v>0.36764705882352944</v>
      </c>
      <c r="M11" s="1129">
        <f t="shared" si="5"/>
        <v>0.42073170731707316</v>
      </c>
      <c r="N11" s="1129">
        <f t="shared" si="5"/>
        <v>0.38028169014084506</v>
      </c>
      <c r="O11" s="1129">
        <f t="shared" si="5"/>
        <v>0.44444444444444442</v>
      </c>
      <c r="P11" s="1129">
        <f t="shared" si="5"/>
        <v>0.42253521126760563</v>
      </c>
      <c r="Q11" s="973">
        <f t="shared" ref="Q11" si="6">Q10/Q9</f>
        <v>0.4089848308051342</v>
      </c>
      <c r="R11" s="304">
        <f>Q11-(HLOOKUP($D$1,yearendcumulative,397,FALSE))</f>
        <v>6.3683880435546014E-2</v>
      </c>
      <c r="S11" s="304">
        <f>(Q11-(HLOOKUP($D$1,Monthlyaveragecumulative,397,FALSE)))</f>
        <v>-3.9685370705134781E-3</v>
      </c>
      <c r="T11" s="510"/>
      <c r="U11" s="1"/>
      <c r="V11" s="1"/>
      <c r="W11" s="1"/>
      <c r="X11" s="1"/>
    </row>
    <row r="12" spans="1:24" x14ac:dyDescent="0.35">
      <c r="A12" s="1"/>
      <c r="B12" s="1220"/>
      <c r="C12" s="244" t="s">
        <v>73</v>
      </c>
      <c r="D12" s="268">
        <f>'year end'!AD167</f>
        <v>73</v>
      </c>
      <c r="E12" s="30">
        <f>Masterlist!AN157</f>
        <v>3</v>
      </c>
      <c r="F12" s="30">
        <f>Masterlist!AO157</f>
        <v>5</v>
      </c>
      <c r="G12" s="30">
        <f>Masterlist!AP157</f>
        <v>4</v>
      </c>
      <c r="H12" s="30">
        <f>Masterlist!AQ157</f>
        <v>7</v>
      </c>
      <c r="I12" s="30">
        <f>Masterlist!AR157</f>
        <v>4</v>
      </c>
      <c r="J12" s="30">
        <f>Masterlist!AS157</f>
        <v>3</v>
      </c>
      <c r="K12" s="30">
        <f>Masterlist!AT157</f>
        <v>4</v>
      </c>
      <c r="L12" s="30">
        <f>Masterlist!AU157</f>
        <v>7</v>
      </c>
      <c r="M12" s="30">
        <f>Masterlist!AV157</f>
        <v>6</v>
      </c>
      <c r="N12" s="30">
        <f>Masterlist!AW157</f>
        <v>6</v>
      </c>
      <c r="O12" s="30">
        <f>Masterlist!AX157</f>
        <v>2</v>
      </c>
      <c r="P12" s="30">
        <f>Masterlist!AY157</f>
        <v>4</v>
      </c>
      <c r="Q12" s="48">
        <f t="shared" si="0"/>
        <v>55</v>
      </c>
      <c r="R12" s="303">
        <f>(Q12-(HLOOKUP($D$1,yearendcumulative,166,FALSE)))/(HLOOKUP($D$1,yearendcumulative,166,FALSE))</f>
        <v>-0.24657534246575341</v>
      </c>
      <c r="S12" s="303">
        <f>(Q12-(HLOOKUP($D$1,Monthlyaveragecumulative,166,FALSE)))/(HLOOKUP($D$1,Monthlyaveragecumulative,166,FALSE))</f>
        <v>-0.27631578947368424</v>
      </c>
      <c r="T12" s="510"/>
      <c r="U12" s="1"/>
      <c r="V12" s="1"/>
      <c r="W12" s="1"/>
      <c r="X12" s="1"/>
    </row>
    <row r="13" spans="1:24" x14ac:dyDescent="0.35">
      <c r="A13" s="1"/>
      <c r="B13" s="1220"/>
      <c r="C13" s="21" t="s">
        <v>74</v>
      </c>
      <c r="D13" s="269">
        <f>'year end'!AD168</f>
        <v>32</v>
      </c>
      <c r="E13" s="30">
        <f>Masterlist!AN158</f>
        <v>3</v>
      </c>
      <c r="F13" s="30">
        <f>Masterlist!AO158</f>
        <v>5</v>
      </c>
      <c r="G13" s="30">
        <f>Masterlist!AP158</f>
        <v>7</v>
      </c>
      <c r="H13" s="30">
        <f>Masterlist!AQ158</f>
        <v>5</v>
      </c>
      <c r="I13" s="30">
        <f>Masterlist!AR158</f>
        <v>1</v>
      </c>
      <c r="J13" s="30">
        <f>Masterlist!AS158</f>
        <v>2</v>
      </c>
      <c r="K13" s="30">
        <f>Masterlist!AT158</f>
        <v>6</v>
      </c>
      <c r="L13" s="30">
        <f>Masterlist!AU158</f>
        <v>3</v>
      </c>
      <c r="M13" s="30">
        <f>Masterlist!AV158</f>
        <v>3</v>
      </c>
      <c r="N13" s="30">
        <f>Masterlist!AW158</f>
        <v>1</v>
      </c>
      <c r="O13" s="30">
        <f>Masterlist!AX158</f>
        <v>2</v>
      </c>
      <c r="P13" s="30">
        <f>Masterlist!AY158</f>
        <v>2</v>
      </c>
      <c r="Q13" s="241">
        <f t="shared" si="0"/>
        <v>40</v>
      </c>
      <c r="R13" s="305">
        <f>(Q13-(HLOOKUP($D$1,yearendcumulative,167,FALSE)))/(HLOOKUP($D$1,yearendcumulative,167,FALSE))</f>
        <v>0.25</v>
      </c>
      <c r="S13" s="305">
        <f>(Q13-(HLOOKUP($D$1,Monthlyaveragecumulative,167,FALSE)))/(HLOOKUP($D$1,Monthlyaveragecumulative,167,FALSE))</f>
        <v>-0.18367346938775511</v>
      </c>
      <c r="T13" s="510"/>
      <c r="U13" s="1"/>
      <c r="V13" s="1"/>
      <c r="W13" s="1"/>
      <c r="X13" s="1"/>
    </row>
    <row r="14" spans="1:24" ht="15.75" customHeight="1" x14ac:dyDescent="0.35">
      <c r="A14" s="1"/>
      <c r="B14" s="1220"/>
      <c r="C14" s="753" t="s">
        <v>424</v>
      </c>
      <c r="D14" s="441">
        <f>'year end'!AF343</f>
        <v>57</v>
      </c>
      <c r="E14" s="117">
        <f>Masterlist!AN472</f>
        <v>3</v>
      </c>
      <c r="F14" s="118">
        <f>Masterlist!AO472</f>
        <v>5</v>
      </c>
      <c r="G14" s="118">
        <f>Masterlist!AP472</f>
        <v>5</v>
      </c>
      <c r="H14" s="118">
        <f>Masterlist!AQ472</f>
        <v>11</v>
      </c>
      <c r="I14" s="118">
        <f>Masterlist!AR472</f>
        <v>5</v>
      </c>
      <c r="J14" s="118">
        <f>Masterlist!AS472</f>
        <v>5</v>
      </c>
      <c r="K14" s="118">
        <f>Masterlist!AT472</f>
        <v>5</v>
      </c>
      <c r="L14" s="118">
        <f>Masterlist!AU472</f>
        <v>8</v>
      </c>
      <c r="M14" s="118">
        <f>Masterlist!AV472</f>
        <v>5</v>
      </c>
      <c r="N14" s="118">
        <f>Masterlist!AW472</f>
        <v>6</v>
      </c>
      <c r="O14" s="118">
        <f>Masterlist!AX472</f>
        <v>2</v>
      </c>
      <c r="P14" s="118">
        <f>Masterlist!AY472</f>
        <v>7</v>
      </c>
      <c r="Q14" s="255">
        <f t="shared" ref="Q14:Q15" si="7">SUM(E14:P14)</f>
        <v>67</v>
      </c>
      <c r="R14" s="303">
        <f>(Q14-(HLOOKUP($D$1,yearendcumulative,342,FALSE)))/(HLOOKUP($D$1,yearendcumulative,342,FALSE))</f>
        <v>0.17543859649122806</v>
      </c>
      <c r="S14" s="303">
        <f>(Q14-(HLOOKUP($D$1,Monthlyaveragecumulative,342,FALSE)))/(HLOOKUP($D$1,Monthlyaveragecumulative,342,FALSE))</f>
        <v>0.26415094339622641</v>
      </c>
      <c r="T14" s="510"/>
      <c r="U14" s="1"/>
      <c r="V14" s="1"/>
      <c r="W14" s="1"/>
      <c r="X14" s="1"/>
    </row>
    <row r="15" spans="1:24" ht="15.75" customHeight="1" x14ac:dyDescent="0.35">
      <c r="A15" s="1"/>
      <c r="B15" s="1220"/>
      <c r="C15" s="781" t="s">
        <v>425</v>
      </c>
      <c r="D15" s="269">
        <f>'year end'!AF460</f>
        <v>9</v>
      </c>
      <c r="E15" s="105">
        <f>Masterlist!AN555</f>
        <v>0</v>
      </c>
      <c r="F15" s="1062">
        <f>Masterlist!AO555</f>
        <v>0</v>
      </c>
      <c r="G15" s="1062">
        <f>Masterlist!AP555</f>
        <v>1</v>
      </c>
      <c r="H15" s="1062">
        <f>Masterlist!AQ555</f>
        <v>1</v>
      </c>
      <c r="I15" s="1062">
        <f>Masterlist!AR555</f>
        <v>2</v>
      </c>
      <c r="J15" s="1062">
        <f>Masterlist!AS555</f>
        <v>0</v>
      </c>
      <c r="K15" s="1062">
        <f>Masterlist!AT555</f>
        <v>1</v>
      </c>
      <c r="L15" s="1062">
        <f>Masterlist!AU555</f>
        <v>2</v>
      </c>
      <c r="M15" s="1062">
        <f>Masterlist!AV555</f>
        <v>0</v>
      </c>
      <c r="N15" s="1062">
        <f>Masterlist!AW555</f>
        <v>0</v>
      </c>
      <c r="O15" s="1062">
        <f>Masterlist!AX555</f>
        <v>0</v>
      </c>
      <c r="P15" s="1128">
        <f>Masterlist!AY555</f>
        <v>2</v>
      </c>
      <c r="Q15" s="191">
        <f t="shared" si="7"/>
        <v>9</v>
      </c>
      <c r="R15" s="304">
        <f>(Q15-(HLOOKUP($D$1,yearendcumulative,459,FALSE)))/(HLOOKUP($D$1,yearendcumulative,459,FALSE))</f>
        <v>0</v>
      </c>
      <c r="S15" s="304" t="s">
        <v>206</v>
      </c>
      <c r="T15" s="510"/>
      <c r="U15" s="1"/>
      <c r="V15" s="1"/>
      <c r="W15" s="1"/>
      <c r="X15" s="1"/>
    </row>
    <row r="16" spans="1:24" ht="25.5" customHeight="1" x14ac:dyDescent="0.35">
      <c r="A16" s="1"/>
      <c r="B16" s="1220"/>
      <c r="C16" s="627" t="s">
        <v>373</v>
      </c>
      <c r="D16" s="683">
        <f>'year end'!AD407</f>
        <v>26</v>
      </c>
      <c r="E16" s="681">
        <f>Masterlist!AN494</f>
        <v>2</v>
      </c>
      <c r="F16" s="1133">
        <f>Masterlist!AO494</f>
        <v>2</v>
      </c>
      <c r="G16" s="1125">
        <f>Masterlist!AP494</f>
        <v>2</v>
      </c>
      <c r="H16" s="1125">
        <f>Masterlist!AQ494</f>
        <v>2</v>
      </c>
      <c r="I16" s="1125">
        <f>Masterlist!AR494</f>
        <v>2</v>
      </c>
      <c r="J16" s="1125">
        <f>Masterlist!AS494</f>
        <v>2</v>
      </c>
      <c r="K16" s="1125">
        <f>Masterlist!AT494</f>
        <v>3</v>
      </c>
      <c r="L16" s="1125">
        <f>Masterlist!AU494</f>
        <v>0</v>
      </c>
      <c r="M16" s="1125">
        <f>Masterlist!AV494</f>
        <v>1</v>
      </c>
      <c r="N16" s="1125">
        <f>Masterlist!AW494</f>
        <v>0</v>
      </c>
      <c r="O16" s="1125">
        <f>Masterlist!AX494</f>
        <v>1</v>
      </c>
      <c r="P16" s="1125">
        <f>Masterlist!AY494</f>
        <v>0</v>
      </c>
      <c r="Q16" s="255">
        <f t="shared" ref="Q16:Q17" si="8">SUM(E16:P16)</f>
        <v>17</v>
      </c>
      <c r="R16" s="304">
        <f>(Q16-(HLOOKUP($D$1,yearendcumulative,406,FALSE)))/(HLOOKUP($D$1,yearendcumulative,406,FALSE))</f>
        <v>-0.34615384615384615</v>
      </c>
      <c r="S16" s="297">
        <f>(Q16-(HLOOKUP($D$1,Monthlyaveragecumulative,439,FALSE)))/(HLOOKUP($D$1,Monthlyaveragecumulative,439,FALSE))</f>
        <v>-0.63829787234042556</v>
      </c>
      <c r="T16" s="510"/>
      <c r="U16" s="1"/>
      <c r="V16" s="1"/>
      <c r="W16" s="1"/>
      <c r="X16" s="1"/>
    </row>
    <row r="17" spans="1:45" x14ac:dyDescent="0.35">
      <c r="A17" s="1"/>
      <c r="B17" s="1220"/>
      <c r="C17" s="628" t="s">
        <v>372</v>
      </c>
      <c r="D17" s="684">
        <f>'year end'!AD415</f>
        <v>69</v>
      </c>
      <c r="E17" s="682">
        <f>Masterlist!AN503</f>
        <v>4</v>
      </c>
      <c r="F17" s="1120">
        <f>Masterlist!AO503</f>
        <v>6</v>
      </c>
      <c r="G17" s="1120">
        <f>Masterlist!AP503</f>
        <v>3</v>
      </c>
      <c r="H17" s="1120">
        <f>Masterlist!AQ503</f>
        <v>3</v>
      </c>
      <c r="I17" s="1120">
        <f>Masterlist!AR503</f>
        <v>4</v>
      </c>
      <c r="J17" s="1120">
        <f>Masterlist!AS503</f>
        <v>1</v>
      </c>
      <c r="K17" s="1120">
        <f>Masterlist!AT503</f>
        <v>2</v>
      </c>
      <c r="L17" s="1120">
        <f>Masterlist!AU503</f>
        <v>3</v>
      </c>
      <c r="M17" s="1120">
        <f>Masterlist!AV503</f>
        <v>7</v>
      </c>
      <c r="N17" s="1120">
        <f>Masterlist!AW503</f>
        <v>7</v>
      </c>
      <c r="O17" s="1120">
        <f>Masterlist!AX503</f>
        <v>5</v>
      </c>
      <c r="P17" s="1120">
        <f>Masterlist!AY503</f>
        <v>5</v>
      </c>
      <c r="Q17" s="191">
        <f t="shared" si="8"/>
        <v>50</v>
      </c>
      <c r="R17" s="305">
        <f>(Q17-(HLOOKUP($D$1,yearendcumulative,414,FALSE)))/(HLOOKUP($D$1,yearendcumulative,414,FALSE))</f>
        <v>-0.27536231884057971</v>
      </c>
      <c r="S17" s="299" t="s">
        <v>206</v>
      </c>
      <c r="T17" s="510"/>
      <c r="U17" s="1"/>
      <c r="V17" s="1"/>
      <c r="W17" s="1"/>
      <c r="X17" s="1"/>
    </row>
    <row r="18" spans="1:45" x14ac:dyDescent="0.35">
      <c r="A18" s="1"/>
      <c r="B18" s="1220"/>
      <c r="C18" s="782" t="s">
        <v>493</v>
      </c>
      <c r="D18" s="746">
        <f>'[3]23-24'!O36</f>
        <v>169</v>
      </c>
      <c r="E18" s="1149">
        <f>'[3]24-25'!C37</f>
        <v>15</v>
      </c>
      <c r="F18" s="1149">
        <f>'[3]24-25'!D37</f>
        <v>24</v>
      </c>
      <c r="G18" s="1149">
        <f>'[3]24-25'!E37</f>
        <v>15</v>
      </c>
      <c r="H18" s="1149">
        <f>'[3]24-25'!F37</f>
        <v>17</v>
      </c>
      <c r="I18" s="1149">
        <f>'[3]24-25'!G37</f>
        <v>18</v>
      </c>
      <c r="J18" s="1149">
        <f>'[3]24-25'!H37</f>
        <v>19</v>
      </c>
      <c r="K18" s="1149">
        <f>'[3]24-25'!I37</f>
        <v>15</v>
      </c>
      <c r="L18" s="1149">
        <f>'[3]24-25'!J37</f>
        <v>15</v>
      </c>
      <c r="M18" s="1149">
        <f>'[3]24-25'!K37</f>
        <v>14</v>
      </c>
      <c r="N18" s="1149">
        <f>'[3]24-25'!L37</f>
        <v>15</v>
      </c>
      <c r="O18" s="1149">
        <f>'[3]24-25'!M37</f>
        <v>12</v>
      </c>
      <c r="P18" s="1149">
        <f>'[3]24-25'!N37</f>
        <v>14</v>
      </c>
      <c r="Q18" s="787">
        <f>'[3]24-25'!O37</f>
        <v>193</v>
      </c>
      <c r="R18" s="846">
        <f>(Q18-'[3]24-25'!$R$37)/'[3]24-25'!$R$37</f>
        <v>0.14201183431952663</v>
      </c>
      <c r="S18" s="787" t="s">
        <v>210</v>
      </c>
      <c r="T18" s="510"/>
      <c r="U18" s="1"/>
      <c r="V18" s="1"/>
      <c r="W18" s="1"/>
      <c r="X18" s="1"/>
    </row>
    <row r="19" spans="1:45" x14ac:dyDescent="0.35">
      <c r="A19" s="1"/>
      <c r="B19" s="1220"/>
      <c r="C19" s="804" t="s">
        <v>451</v>
      </c>
      <c r="D19" s="747">
        <f>'[3]23-24'!O44</f>
        <v>0.29585798816568049</v>
      </c>
      <c r="E19" s="1147">
        <f>'[3]24-25'!C45</f>
        <v>0.4</v>
      </c>
      <c r="F19" s="1147">
        <f>'[3]24-25'!D45</f>
        <v>0.16666666666666666</v>
      </c>
      <c r="G19" s="1147">
        <f>'[3]24-25'!E45</f>
        <v>0.26666666666666666</v>
      </c>
      <c r="H19" s="1147">
        <f>'[3]24-25'!F45</f>
        <v>0.23529411764705882</v>
      </c>
      <c r="I19" s="1147">
        <f>'[3]24-25'!G45</f>
        <v>0.33333333333333331</v>
      </c>
      <c r="J19" s="1147">
        <f>'[3]24-25'!H45</f>
        <v>0.42105263157894735</v>
      </c>
      <c r="K19" s="1147">
        <f>'[3]24-25'!I45</f>
        <v>0.33333333333333331</v>
      </c>
      <c r="L19" s="1147">
        <f>'[3]24-25'!J45</f>
        <v>0.26666666666666666</v>
      </c>
      <c r="M19" s="1147">
        <f>'[3]24-25'!K45</f>
        <v>0.21428571428571427</v>
      </c>
      <c r="N19" s="1147">
        <f>'[3]24-25'!L45</f>
        <v>0.13333333333333333</v>
      </c>
      <c r="O19" s="1147">
        <f>'[3]24-25'!M45</f>
        <v>0.25</v>
      </c>
      <c r="P19" s="1147">
        <f>'[3]24-25'!N45</f>
        <v>0.2857142857142857</v>
      </c>
      <c r="Q19" s="1139">
        <f>'[3]24-25'!O45</f>
        <v>0.27461139896373055</v>
      </c>
      <c r="R19" s="846">
        <f>Q19-'[3]24-25'!$R$45</f>
        <v>-2.1246589201949939E-2</v>
      </c>
      <c r="S19" s="788" t="s">
        <v>210</v>
      </c>
      <c r="T19" s="510"/>
      <c r="U19" s="1"/>
      <c r="V19" s="1"/>
      <c r="W19" s="1"/>
      <c r="X19" s="1"/>
    </row>
    <row r="20" spans="1:45" x14ac:dyDescent="0.35">
      <c r="A20" s="1"/>
      <c r="B20" s="1220"/>
      <c r="C20" s="230" t="s">
        <v>232</v>
      </c>
      <c r="D20" s="747">
        <f>'[3]23-24'!O41</f>
        <v>0.71597633136094674</v>
      </c>
      <c r="E20" s="1147">
        <f>'[3]24-25'!C42</f>
        <v>0.6</v>
      </c>
      <c r="F20" s="1147">
        <f>'[3]24-25'!D42</f>
        <v>0.29166666666666669</v>
      </c>
      <c r="G20" s="1147">
        <f>'[3]24-25'!E42</f>
        <v>0.33333333333333331</v>
      </c>
      <c r="H20" s="1147">
        <f>'[3]24-25'!F42</f>
        <v>0.52941176470588236</v>
      </c>
      <c r="I20" s="1147">
        <f>'[3]24-25'!G42</f>
        <v>0.3888888888888889</v>
      </c>
      <c r="J20" s="1147">
        <f>'[3]24-25'!H42</f>
        <v>0.57894736842105265</v>
      </c>
      <c r="K20" s="1147">
        <f>'[3]24-25'!I42</f>
        <v>0.26666666666666666</v>
      </c>
      <c r="L20" s="1147">
        <f>'[3]24-25'!J42</f>
        <v>0.4</v>
      </c>
      <c r="M20" s="1147">
        <f>'[3]24-25'!K42</f>
        <v>0.8571428571428571</v>
      </c>
      <c r="N20" s="1147">
        <f>'[3]24-25'!L42</f>
        <v>0.2</v>
      </c>
      <c r="O20" s="1147">
        <f>'[3]24-25'!M42</f>
        <v>0.33333333333333331</v>
      </c>
      <c r="P20" s="1147">
        <f>'[3]24-25'!N42</f>
        <v>0.9285714285714286</v>
      </c>
      <c r="Q20" s="1139">
        <f>'[3]24-25'!O42</f>
        <v>0.46632124352331605</v>
      </c>
      <c r="R20" s="846">
        <f>Q20-'[3]24-25'!$R$42</f>
        <v>-0.24965508783763068</v>
      </c>
      <c r="S20" s="788" t="s">
        <v>210</v>
      </c>
      <c r="T20" s="510"/>
      <c r="U20" s="1"/>
      <c r="V20" s="1"/>
      <c r="W20" s="1"/>
      <c r="X20" s="1"/>
    </row>
    <row r="21" spans="1:45" x14ac:dyDescent="0.35">
      <c r="A21" s="1"/>
      <c r="B21" s="1220"/>
      <c r="C21" s="230" t="s">
        <v>233</v>
      </c>
      <c r="D21" s="747">
        <f>'[3]23-24'!O42</f>
        <v>0.62130177514792895</v>
      </c>
      <c r="E21" s="1147">
        <f>'[3]24-25'!C43</f>
        <v>0.53333333333333333</v>
      </c>
      <c r="F21" s="1147">
        <f>'[3]24-25'!D43</f>
        <v>0.66666666666666663</v>
      </c>
      <c r="G21" s="1147">
        <f>'[3]24-25'!E43</f>
        <v>0.46666666666666667</v>
      </c>
      <c r="H21" s="1147">
        <f>'[3]24-25'!F43</f>
        <v>0.29411764705882354</v>
      </c>
      <c r="I21" s="1147">
        <f>'[3]24-25'!G43</f>
        <v>0.44444444444444442</v>
      </c>
      <c r="J21" s="1147">
        <f>'[3]24-25'!H43</f>
        <v>0.47368421052631576</v>
      </c>
      <c r="K21" s="1147">
        <f>'[3]24-25'!I43</f>
        <v>0.8</v>
      </c>
      <c r="L21" s="1147">
        <f>'[3]24-25'!J43</f>
        <v>0.66666666666666663</v>
      </c>
      <c r="M21" s="1147">
        <f>'[3]24-25'!K43</f>
        <v>0.9285714285714286</v>
      </c>
      <c r="N21" s="1147">
        <f>'[3]24-25'!L43</f>
        <v>0.53333333333333333</v>
      </c>
      <c r="O21" s="1147">
        <f>'[3]24-25'!M43</f>
        <v>0.5</v>
      </c>
      <c r="P21" s="1147">
        <f>'[3]24-25'!N43</f>
        <v>0.6428571428571429</v>
      </c>
      <c r="Q21" s="1139">
        <f>'[3]24-25'!O43</f>
        <v>0.57512953367875652</v>
      </c>
      <c r="R21" s="846">
        <f>Q21-'[3]24-25'!$R$43</f>
        <v>-4.6172241469172426E-2</v>
      </c>
      <c r="S21" s="788" t="s">
        <v>210</v>
      </c>
      <c r="T21" s="510"/>
      <c r="U21" s="1"/>
      <c r="V21" s="1"/>
      <c r="W21" s="1"/>
      <c r="X21" s="1"/>
    </row>
    <row r="22" spans="1:45" x14ac:dyDescent="0.35">
      <c r="A22" s="1"/>
      <c r="B22" s="1220"/>
      <c r="C22" s="783" t="s">
        <v>234</v>
      </c>
      <c r="D22" s="748">
        <f>'[3]23-24'!O43</f>
        <v>0.61538461538461542</v>
      </c>
      <c r="E22" s="1169">
        <f>'[3]24-25'!C44</f>
        <v>0.6</v>
      </c>
      <c r="F22" s="1148">
        <f>'[3]24-25'!D44</f>
        <v>0.375</v>
      </c>
      <c r="G22" s="1148">
        <f>'[3]24-25'!E44</f>
        <v>0.33333333333333331</v>
      </c>
      <c r="H22" s="1148">
        <f>'[3]24-25'!F44</f>
        <v>0.41176470588235292</v>
      </c>
      <c r="I22" s="1148">
        <f>'[3]24-25'!G44</f>
        <v>0.61111111111111116</v>
      </c>
      <c r="J22" s="1148">
        <f>'[3]24-25'!H44</f>
        <v>0.47368421052631576</v>
      </c>
      <c r="K22" s="1148">
        <f>'[3]24-25'!I44</f>
        <v>0.66666666666666663</v>
      </c>
      <c r="L22" s="1148">
        <f>'[3]24-25'!J44</f>
        <v>0.46666666666666667</v>
      </c>
      <c r="M22" s="1148">
        <f>'[3]24-25'!K44</f>
        <v>0.7142857142857143</v>
      </c>
      <c r="N22" s="1148">
        <f>'[3]24-25'!L44</f>
        <v>0.26666666666666666</v>
      </c>
      <c r="O22" s="1148">
        <f>'[3]24-25'!M44</f>
        <v>0.5</v>
      </c>
      <c r="P22" s="1148">
        <f>'[3]24-25'!N44</f>
        <v>0.42857142857142855</v>
      </c>
      <c r="Q22" s="1140">
        <f>'[3]24-25'!O44</f>
        <v>0.48186528497409326</v>
      </c>
      <c r="R22" s="846">
        <f>Q22-'[3]24-25'!$R$44</f>
        <v>-0.13351933041052216</v>
      </c>
      <c r="S22" s="789" t="s">
        <v>210</v>
      </c>
      <c r="T22" s="510"/>
      <c r="U22" s="1"/>
      <c r="V22" s="1"/>
      <c r="W22" s="1"/>
      <c r="X22" s="1"/>
    </row>
    <row r="23" spans="1:45" s="1" customFormat="1" ht="8.25" customHeight="1" x14ac:dyDescent="0.35">
      <c r="B23" s="3"/>
      <c r="F23" s="95"/>
      <c r="G23" s="95"/>
      <c r="H23" s="95"/>
      <c r="I23" s="95"/>
      <c r="J23" s="95"/>
      <c r="K23" s="95"/>
      <c r="L23" s="95"/>
      <c r="M23" s="95"/>
      <c r="N23" s="95"/>
      <c r="O23" s="95"/>
      <c r="P23" s="95"/>
    </row>
    <row r="24" spans="1:45" ht="15" customHeight="1" x14ac:dyDescent="0.35">
      <c r="A24" s="1"/>
      <c r="B24" s="3"/>
      <c r="C24" s="26"/>
      <c r="D24" s="51"/>
      <c r="E24" s="51"/>
      <c r="F24" s="51"/>
      <c r="G24" s="51"/>
      <c r="H24" s="51"/>
      <c r="I24" s="51"/>
      <c r="J24" s="51"/>
      <c r="K24" s="51"/>
      <c r="L24" s="51"/>
      <c r="M24" s="51"/>
      <c r="N24" s="51"/>
      <c r="O24" s="51"/>
      <c r="P24" s="51"/>
      <c r="Q24" s="192"/>
      <c r="R24" s="306"/>
      <c r="S24" s="306"/>
      <c r="T24" s="510"/>
      <c r="U24" s="1"/>
      <c r="V24" s="1"/>
      <c r="W24" s="1"/>
      <c r="X24" s="1"/>
    </row>
    <row r="25" spans="1:45" ht="45" customHeight="1" x14ac:dyDescent="0.35">
      <c r="A25" s="1"/>
      <c r="B25" s="218" t="s">
        <v>231</v>
      </c>
      <c r="C25" s="415" t="s">
        <v>37</v>
      </c>
      <c r="D25" s="217">
        <f>'year end'!AD151</f>
        <v>33</v>
      </c>
      <c r="E25" s="258">
        <f>Masterlist!AN141</f>
        <v>8</v>
      </c>
      <c r="F25" s="1130">
        <f>Masterlist!AO141</f>
        <v>3</v>
      </c>
      <c r="G25" s="1130">
        <f>Masterlist!AP141</f>
        <v>4</v>
      </c>
      <c r="H25" s="1130">
        <f>Masterlist!AQ141</f>
        <v>13</v>
      </c>
      <c r="I25" s="1130">
        <f>Masterlist!AR141</f>
        <v>2</v>
      </c>
      <c r="J25" s="1130">
        <f>Masterlist!AS141</f>
        <v>6</v>
      </c>
      <c r="K25" s="1130">
        <f>Masterlist!AT141</f>
        <v>2</v>
      </c>
      <c r="L25" s="1130">
        <f>Masterlist!AU141</f>
        <v>0</v>
      </c>
      <c r="M25" s="1130">
        <f>Masterlist!AV141</f>
        <v>2</v>
      </c>
      <c r="N25" s="1130">
        <f>Masterlist!AW141</f>
        <v>4</v>
      </c>
      <c r="O25" s="1130">
        <f>Masterlist!AX141</f>
        <v>1</v>
      </c>
      <c r="P25" s="1130">
        <f>Masterlist!AY141</f>
        <v>8</v>
      </c>
      <c r="Q25" s="948">
        <f t="shared" ref="Q25" si="9">SUM(E25:P25)</f>
        <v>53</v>
      </c>
      <c r="R25" s="307">
        <f>(Q25-(HLOOKUP($D$1,yearendcumulative,150,FALSE)))/(HLOOKUP($D$1,yearendcumulative,150,FALSE))</f>
        <v>0.60606060606060608</v>
      </c>
      <c r="S25" s="307">
        <f>(Q25-(HLOOKUP($D$1,Monthlyaveragecumulative,150,FALSE)))/(HLOOKUP($D$1,Monthlyaveragecumulative,150,FALSE))</f>
        <v>-0.28378378378378377</v>
      </c>
      <c r="T25" s="510"/>
      <c r="U25" s="1"/>
      <c r="V25" s="1"/>
      <c r="W25" s="1"/>
      <c r="X25" s="1"/>
      <c r="AN25" s="152"/>
      <c r="AO25" s="152"/>
      <c r="AP25" s="152"/>
      <c r="AQ25" s="152"/>
      <c r="AR25" s="152"/>
      <c r="AS25" s="152"/>
    </row>
    <row r="26" spans="1:45" ht="15.75" customHeight="1" x14ac:dyDescent="0.35">
      <c r="A26" s="1"/>
      <c r="B26" s="7"/>
      <c r="C26" s="18"/>
      <c r="D26" s="19"/>
      <c r="E26" s="19"/>
      <c r="F26" s="19"/>
      <c r="G26" s="19"/>
      <c r="H26" s="19"/>
      <c r="I26" s="19"/>
      <c r="J26" s="19"/>
      <c r="K26" s="19"/>
      <c r="L26" s="19"/>
      <c r="M26" s="19"/>
      <c r="N26" s="19"/>
      <c r="O26" s="19"/>
      <c r="P26" s="19"/>
      <c r="Q26" s="271"/>
      <c r="R26" s="308"/>
      <c r="S26" s="308"/>
      <c r="T26" s="510"/>
      <c r="U26" s="1"/>
      <c r="V26" s="1"/>
      <c r="W26" s="1"/>
      <c r="X26" s="1"/>
    </row>
    <row r="27" spans="1:45" x14ac:dyDescent="0.35">
      <c r="A27" s="1"/>
      <c r="B27" s="1224" t="s">
        <v>374</v>
      </c>
      <c r="C27" s="622" t="s">
        <v>52</v>
      </c>
      <c r="D27" s="1059">
        <f>'year end'!AD178</f>
        <v>1267</v>
      </c>
      <c r="E27" s="625">
        <f>Masterlist!AN171</f>
        <v>109</v>
      </c>
      <c r="F27" s="625">
        <f>Masterlist!AO171</f>
        <v>113</v>
      </c>
      <c r="G27" s="625">
        <f>Masterlist!AP171</f>
        <v>87</v>
      </c>
      <c r="H27" s="625">
        <f>Masterlist!AQ171</f>
        <v>104</v>
      </c>
      <c r="I27" s="625">
        <f>Masterlist!AR171</f>
        <v>88</v>
      </c>
      <c r="J27" s="625">
        <f>Masterlist!AS171</f>
        <v>89</v>
      </c>
      <c r="K27" s="625">
        <f>Masterlist!AT171</f>
        <v>111</v>
      </c>
      <c r="L27" s="625">
        <f>Masterlist!AU171</f>
        <v>88</v>
      </c>
      <c r="M27" s="625">
        <f>Masterlist!AV171</f>
        <v>83</v>
      </c>
      <c r="N27" s="625">
        <f>Masterlist!AW171</f>
        <v>78</v>
      </c>
      <c r="O27" s="625">
        <f>Masterlist!AX171</f>
        <v>85</v>
      </c>
      <c r="P27" s="625">
        <f>Masterlist!AY171</f>
        <v>66</v>
      </c>
      <c r="Q27" s="48">
        <f>SUM(E27:P27)</f>
        <v>1101</v>
      </c>
      <c r="R27" s="303">
        <f>(Q27-(HLOOKUP($D$1,yearendcumulative,177,FALSE)))/(HLOOKUP($D$1,yearendcumulative,177,FALSE))</f>
        <v>-0.13101815311760062</v>
      </c>
      <c r="S27" s="303">
        <f>(Q27-(HLOOKUP($D$1,Monthlyaveragecumulative,177,FALSE)))/(HLOOKUP($D$1,Monthlyaveragecumulative,177,FALSE))</f>
        <v>7.51953125E-2</v>
      </c>
      <c r="T27" s="510"/>
      <c r="U27" s="1"/>
      <c r="V27" s="1"/>
      <c r="W27" s="1"/>
      <c r="X27" s="1"/>
    </row>
    <row r="28" spans="1:45" ht="15" customHeight="1" x14ac:dyDescent="0.35">
      <c r="A28" s="1"/>
      <c r="B28" s="1224"/>
      <c r="C28" s="623" t="s">
        <v>17</v>
      </c>
      <c r="D28" s="1060">
        <f>'year end'!AD155</f>
        <v>604</v>
      </c>
      <c r="E28" s="620">
        <f>Masterlist!AN145</f>
        <v>69</v>
      </c>
      <c r="F28" s="620">
        <f>Masterlist!AO145</f>
        <v>51</v>
      </c>
      <c r="G28" s="620">
        <f>Masterlist!AP145</f>
        <v>33</v>
      </c>
      <c r="H28" s="620">
        <f>Masterlist!AQ145</f>
        <v>50</v>
      </c>
      <c r="I28" s="620">
        <f>Masterlist!AR145</f>
        <v>40</v>
      </c>
      <c r="J28" s="620">
        <f>Masterlist!AS145</f>
        <v>38</v>
      </c>
      <c r="K28" s="620">
        <f>Masterlist!AT145</f>
        <v>66</v>
      </c>
      <c r="L28" s="620">
        <f>Masterlist!AU145</f>
        <v>46</v>
      </c>
      <c r="M28" s="620">
        <f>Masterlist!AV145</f>
        <v>44</v>
      </c>
      <c r="N28" s="620">
        <f>Masterlist!AW145</f>
        <v>36</v>
      </c>
      <c r="O28" s="620">
        <f>Masterlist!AX145</f>
        <v>53</v>
      </c>
      <c r="P28" s="620">
        <f>Masterlist!AY145</f>
        <v>43</v>
      </c>
      <c r="Q28" s="49">
        <f t="shared" ref="Q28:Q29" si="10">SUM(E28:P28)</f>
        <v>569</v>
      </c>
      <c r="R28" s="304">
        <f>(Q28-(HLOOKUP($D$1,yearendcumulative,154,FALSE)))/(HLOOKUP($D$1,yearendcumulative,154,FALSE))</f>
        <v>-5.7947019867549666E-2</v>
      </c>
      <c r="S28" s="304">
        <f>(Q28-(HLOOKUP($D$1,Monthlyaveragecumulative,154,FALSE)))/(HLOOKUP($D$1,Monthlyaveragecumulative,154,FALSE))</f>
        <v>7.0796460176991149E-3</v>
      </c>
      <c r="T28" s="510"/>
      <c r="U28" s="1"/>
      <c r="V28" s="1"/>
      <c r="W28" s="1"/>
      <c r="X28" s="1"/>
    </row>
    <row r="29" spans="1:45" ht="15.75" customHeight="1" x14ac:dyDescent="0.35">
      <c r="A29" s="1"/>
      <c r="B29" s="1224"/>
      <c r="C29" s="624" t="s">
        <v>365</v>
      </c>
      <c r="D29" s="1061">
        <f>'year end'!AD403</f>
        <v>60</v>
      </c>
      <c r="E29" s="408">
        <f>Masterlist!AN489</f>
        <v>5</v>
      </c>
      <c r="F29" s="408">
        <f>Masterlist!AO489</f>
        <v>5</v>
      </c>
      <c r="G29" s="408">
        <f>Masterlist!AP489</f>
        <v>7</v>
      </c>
      <c r="H29" s="408">
        <f>Masterlist!AQ489</f>
        <v>9</v>
      </c>
      <c r="I29" s="408">
        <f>Masterlist!AR489</f>
        <v>4</v>
      </c>
      <c r="J29" s="408">
        <f>Masterlist!AS489</f>
        <v>8</v>
      </c>
      <c r="K29" s="408">
        <f>Masterlist!AT489</f>
        <v>6</v>
      </c>
      <c r="L29" s="408">
        <f>Masterlist!AU489</f>
        <v>4</v>
      </c>
      <c r="M29" s="408">
        <f>Masterlist!AV489</f>
        <v>5</v>
      </c>
      <c r="N29" s="408">
        <f>Masterlist!AW489</f>
        <v>2</v>
      </c>
      <c r="O29" s="408">
        <f>Masterlist!AX489</f>
        <v>5</v>
      </c>
      <c r="P29" s="408">
        <f>Masterlist!AY489</f>
        <v>4</v>
      </c>
      <c r="Q29" s="241">
        <f t="shared" si="10"/>
        <v>64</v>
      </c>
      <c r="R29" s="305">
        <f>(Q29-(HLOOKUP($D$1,yearendcumulative,402,FALSE)))/(HLOOKUP($D$1,yearendcumulative,402,FALSE))</f>
        <v>6.6666666666666666E-2</v>
      </c>
      <c r="S29" s="305">
        <f>(Q29-(HLOOKUP($D$1,Monthlyaveragecumulative,435,FALSE)))/(HLOOKUP($D$1,Monthlyaveragecumulative,435,FALSE))</f>
        <v>-0.189873417721519</v>
      </c>
      <c r="T29" s="510"/>
      <c r="U29" s="1"/>
      <c r="V29" s="1"/>
      <c r="W29" s="1"/>
      <c r="X29" s="1"/>
    </row>
    <row r="30" spans="1:45" ht="15" customHeight="1" x14ac:dyDescent="0.35">
      <c r="A30" s="1"/>
      <c r="B30" s="7"/>
      <c r="C30" s="18"/>
      <c r="D30" s="19"/>
      <c r="E30" s="19"/>
      <c r="F30" s="19"/>
      <c r="G30" s="19"/>
      <c r="H30" s="19"/>
      <c r="I30" s="19"/>
      <c r="J30" s="19"/>
      <c r="K30" s="19"/>
      <c r="L30" s="19"/>
      <c r="M30" s="19"/>
      <c r="N30" s="19"/>
      <c r="O30" s="19"/>
      <c r="P30" s="19"/>
      <c r="Q30" s="271"/>
      <c r="R30" s="309"/>
      <c r="S30" s="309"/>
      <c r="T30" s="510"/>
      <c r="U30" s="1"/>
      <c r="V30" s="1"/>
      <c r="W30" s="1"/>
      <c r="X30" s="1"/>
    </row>
    <row r="31" spans="1:45" ht="20.25" customHeight="1" x14ac:dyDescent="0.35">
      <c r="A31" s="1"/>
      <c r="B31" s="1222" t="s">
        <v>379</v>
      </c>
      <c r="C31" s="987" t="s">
        <v>359</v>
      </c>
      <c r="D31" s="955">
        <f>'year end'!AD174</f>
        <v>197</v>
      </c>
      <c r="E31" s="689">
        <f>Masterlist!AN166</f>
        <v>10</v>
      </c>
      <c r="F31" s="1131">
        <f>Masterlist!AO166</f>
        <v>18</v>
      </c>
      <c r="G31" s="1131">
        <f>Masterlist!AP166</f>
        <v>17</v>
      </c>
      <c r="H31" s="1131">
        <f>Masterlist!AQ166</f>
        <v>24</v>
      </c>
      <c r="I31" s="1131">
        <f>Masterlist!AR166</f>
        <v>24</v>
      </c>
      <c r="J31" s="1131">
        <f>Masterlist!AS166</f>
        <v>19</v>
      </c>
      <c r="K31" s="1131">
        <f>Masterlist!AT166</f>
        <v>15</v>
      </c>
      <c r="L31" s="1131">
        <f>Masterlist!AU166</f>
        <v>18</v>
      </c>
      <c r="M31" s="1131">
        <f>Masterlist!AV166</f>
        <v>8</v>
      </c>
      <c r="N31" s="1131">
        <f>Masterlist!AW166</f>
        <v>14</v>
      </c>
      <c r="O31" s="1131">
        <f>Masterlist!AX166</f>
        <v>13</v>
      </c>
      <c r="P31" s="1131">
        <f>Masterlist!AY166</f>
        <v>12</v>
      </c>
      <c r="Q31" s="691">
        <f t="shared" ref="Q31:Q32" si="11">SUM(E31:P31)</f>
        <v>192</v>
      </c>
      <c r="R31" s="694">
        <f>(Q31-(HLOOKUP($D$1,yearendcumulative,173,FALSE)))/(HLOOKUP($D$1,yearendcumulative,173,FALSE))</f>
        <v>-2.5380710659898477E-2</v>
      </c>
      <c r="S31" s="694">
        <f>(Q31-(HLOOKUP($D$1,Monthlyaveragecumulative,173,FALSE)))/(HLOOKUP($D$1,Monthlyaveragecumulative,173,FALSE))</f>
        <v>1.0526315789473684E-2</v>
      </c>
      <c r="T31" s="510"/>
      <c r="U31" s="1"/>
      <c r="V31" s="1"/>
      <c r="W31" s="1"/>
      <c r="X31" s="1"/>
    </row>
    <row r="32" spans="1:45" ht="21" customHeight="1" x14ac:dyDescent="0.35">
      <c r="A32" s="1"/>
      <c r="B32" s="1223"/>
      <c r="C32" s="987" t="s">
        <v>360</v>
      </c>
      <c r="D32" s="956">
        <f>'year end'!AD175</f>
        <v>1793</v>
      </c>
      <c r="E32" s="690">
        <f>Masterlist!AN167</f>
        <v>176</v>
      </c>
      <c r="F32" s="1132">
        <f>Masterlist!AO167</f>
        <v>155</v>
      </c>
      <c r="G32" s="1132">
        <f>Masterlist!AP167</f>
        <v>158</v>
      </c>
      <c r="H32" s="1132">
        <f>Masterlist!AQ167</f>
        <v>174</v>
      </c>
      <c r="I32" s="1132">
        <f>Masterlist!AR167</f>
        <v>170</v>
      </c>
      <c r="J32" s="1132">
        <f>Masterlist!AS167</f>
        <v>143</v>
      </c>
      <c r="K32" s="1132">
        <f>Masterlist!AT167</f>
        <v>136</v>
      </c>
      <c r="L32" s="1132">
        <f>Masterlist!AU167</f>
        <v>136</v>
      </c>
      <c r="M32" s="1132">
        <f>Masterlist!AV167</f>
        <v>179</v>
      </c>
      <c r="N32" s="1132">
        <f>Masterlist!AW167</f>
        <v>143</v>
      </c>
      <c r="O32" s="1132">
        <f>Masterlist!AX167</f>
        <v>150</v>
      </c>
      <c r="P32" s="1132">
        <f>Masterlist!AY167</f>
        <v>154</v>
      </c>
      <c r="Q32" s="692">
        <f t="shared" si="11"/>
        <v>1874</v>
      </c>
      <c r="R32" s="695">
        <f>(Q32-(HLOOKUP($D$1,yearendcumulative,174,FALSE)))/(HLOOKUP($D$1,yearendcumulative,174,FALSE))</f>
        <v>4.5175683212493031E-2</v>
      </c>
      <c r="S32" s="695">
        <f>(Q32-(HLOOKUP($D$1,Monthlyaveragecumulative,174,FALSE)))/(HLOOKUP($D$1,Monthlyaveragecumulative,174,FALSE))</f>
        <v>-0.12018779342723004</v>
      </c>
      <c r="T32" s="510"/>
      <c r="U32" s="1"/>
      <c r="V32" s="1"/>
      <c r="W32" s="1"/>
      <c r="X32" s="1"/>
    </row>
    <row r="33" spans="1:24" ht="28" customHeight="1" x14ac:dyDescent="0.35">
      <c r="A33" s="1"/>
      <c r="B33" s="1223"/>
      <c r="C33" s="987" t="s">
        <v>361</v>
      </c>
      <c r="D33" s="957">
        <f>'year end'!AD177</f>
        <v>27</v>
      </c>
      <c r="E33" s="690">
        <f>Masterlist!AN169</f>
        <v>6</v>
      </c>
      <c r="F33" s="1132">
        <f>Masterlist!AO169</f>
        <v>7</v>
      </c>
      <c r="G33" s="1132">
        <f>Masterlist!AP169</f>
        <v>3</v>
      </c>
      <c r="H33" s="1132">
        <f>Masterlist!AQ169</f>
        <v>1</v>
      </c>
      <c r="I33" s="1132">
        <f>Masterlist!AR169</f>
        <v>8</v>
      </c>
      <c r="J33" s="1132">
        <f>Masterlist!AS169</f>
        <v>0</v>
      </c>
      <c r="K33" s="1132">
        <f>Masterlist!AT169</f>
        <v>1</v>
      </c>
      <c r="L33" s="1132">
        <f>Masterlist!AU169</f>
        <v>1</v>
      </c>
      <c r="M33" s="1132">
        <f>Masterlist!AV169</f>
        <v>0</v>
      </c>
      <c r="N33" s="1132">
        <f>Masterlist!AW169</f>
        <v>3</v>
      </c>
      <c r="O33" s="1132">
        <f>Masterlist!AX169</f>
        <v>1</v>
      </c>
      <c r="P33" s="1132">
        <f>Masterlist!AY169</f>
        <v>2</v>
      </c>
      <c r="Q33" s="692">
        <f t="shared" ref="Q33:Q35" si="12">SUM(E33:P33)</f>
        <v>33</v>
      </c>
      <c r="R33" s="695">
        <f>(Q33-(HLOOKUP($D$1,yearendcumulative,223,FALSE)))/(HLOOKUP($D$1,yearendcumulative,223,FALSE))</f>
        <v>0.5714285714285714</v>
      </c>
      <c r="S33" s="695">
        <f>(Q33-(HLOOKUP($D$1,Monthlyaveragecumulative,176,FALSE)))/(HLOOKUP($D$1,Monthlyaveragecumulative,176,FALSE))</f>
        <v>3.125E-2</v>
      </c>
      <c r="T33" s="510"/>
      <c r="U33" s="1"/>
      <c r="V33" s="1"/>
      <c r="W33" s="1"/>
      <c r="X33" s="1"/>
    </row>
    <row r="34" spans="1:24" hidden="1" x14ac:dyDescent="0.35">
      <c r="A34" s="1"/>
      <c r="B34" s="1223"/>
      <c r="C34" s="987" t="s">
        <v>368</v>
      </c>
      <c r="D34" s="957">
        <f>'year end'!AD423</f>
        <v>0</v>
      </c>
      <c r="E34" s="687">
        <f>Masterlist!AN512</f>
        <v>0</v>
      </c>
      <c r="F34" s="1127">
        <f>Masterlist!AO512</f>
        <v>0</v>
      </c>
      <c r="G34" s="1127">
        <f>Masterlist!AP512</f>
        <v>0</v>
      </c>
      <c r="H34" s="1127">
        <f>Masterlist!AQ512</f>
        <v>0</v>
      </c>
      <c r="I34" s="1127">
        <f>Masterlist!AR512</f>
        <v>0</v>
      </c>
      <c r="J34" s="1127">
        <f>Masterlist!AS512</f>
        <v>0</v>
      </c>
      <c r="K34" s="1127">
        <f>Masterlist!AT512</f>
        <v>0</v>
      </c>
      <c r="L34" s="1127">
        <f>Masterlist!AU512</f>
        <v>0</v>
      </c>
      <c r="M34" s="1127">
        <f>Masterlist!AV512</f>
        <v>0</v>
      </c>
      <c r="N34" s="1127">
        <f>Masterlist!AW512</f>
        <v>0</v>
      </c>
      <c r="O34" s="1127">
        <f>Masterlist!AX512</f>
        <v>0</v>
      </c>
      <c r="P34" s="1127">
        <f>Masterlist!AY512</f>
        <v>0</v>
      </c>
      <c r="Q34" s="692">
        <f t="shared" si="12"/>
        <v>0</v>
      </c>
      <c r="R34" s="695">
        <f>(Q34-(HLOOKUP($D$1,yearendcumulative,176,FALSE)))/(HLOOKUP($D$1,yearendcumulative,176,FALSE))</f>
        <v>-1</v>
      </c>
      <c r="S34" s="295" t="s">
        <v>206</v>
      </c>
      <c r="T34" s="510"/>
      <c r="U34" s="1"/>
      <c r="V34" s="1"/>
      <c r="W34" s="1"/>
      <c r="X34" s="1"/>
    </row>
    <row r="35" spans="1:24" ht="25.5" customHeight="1" x14ac:dyDescent="0.35">
      <c r="A35" s="1"/>
      <c r="B35" s="1223"/>
      <c r="C35" s="987" t="s">
        <v>367</v>
      </c>
      <c r="D35" s="958">
        <f>'year end'!AD431</f>
        <v>0</v>
      </c>
      <c r="E35" s="688">
        <f>Masterlist!AN521</f>
        <v>0</v>
      </c>
      <c r="F35" s="1128">
        <f>Masterlist!AO521</f>
        <v>0</v>
      </c>
      <c r="G35" s="1128">
        <f>Masterlist!AP521</f>
        <v>0</v>
      </c>
      <c r="H35" s="1128">
        <f>Masterlist!AQ521</f>
        <v>0</v>
      </c>
      <c r="I35" s="1128">
        <f>Masterlist!AR521</f>
        <v>0</v>
      </c>
      <c r="J35" s="1128">
        <f>Masterlist!AS521</f>
        <v>0</v>
      </c>
      <c r="K35" s="1128">
        <f>Masterlist!AT521</f>
        <v>0</v>
      </c>
      <c r="L35" s="1128">
        <f>Masterlist!AU521</f>
        <v>0</v>
      </c>
      <c r="M35" s="1128">
        <f>Masterlist!AV521</f>
        <v>0</v>
      </c>
      <c r="N35" s="1128">
        <f>Masterlist!AW521</f>
        <v>0</v>
      </c>
      <c r="O35" s="1128">
        <f>Masterlist!AX521</f>
        <v>0</v>
      </c>
      <c r="P35" s="1128">
        <f>Masterlist!AY521</f>
        <v>0</v>
      </c>
      <c r="Q35" s="693">
        <f t="shared" si="12"/>
        <v>0</v>
      </c>
      <c r="R35" s="860">
        <v>0</v>
      </c>
      <c r="S35" s="299">
        <f>(Q35-(HLOOKUP($D$1,Monthlyaveragecumulative,463,FALSE)))/(HLOOKUP($D$1,Monthlyaveragecumulative,463,FALSE))</f>
        <v>-1</v>
      </c>
      <c r="T35" s="510"/>
      <c r="U35" s="1"/>
      <c r="V35" s="1"/>
      <c r="W35" s="1"/>
      <c r="X35" s="1"/>
    </row>
    <row r="36" spans="1:24" x14ac:dyDescent="0.35">
      <c r="A36" s="1"/>
      <c r="B36" s="1"/>
      <c r="C36" s="1"/>
      <c r="D36" s="1"/>
      <c r="E36" s="1"/>
      <c r="F36" s="95"/>
      <c r="G36" s="95"/>
      <c r="H36" s="95"/>
      <c r="I36" s="95"/>
      <c r="J36" s="95"/>
      <c r="K36" s="95"/>
      <c r="L36" s="95"/>
      <c r="M36" s="95"/>
      <c r="N36" s="95"/>
      <c r="O36" s="95"/>
      <c r="P36" s="95"/>
      <c r="Q36" s="1"/>
      <c r="R36" s="1"/>
      <c r="S36" s="1"/>
      <c r="T36" s="1"/>
      <c r="U36" s="1"/>
      <c r="V36" s="1"/>
      <c r="W36" s="1"/>
      <c r="X36" s="1"/>
    </row>
    <row r="37" spans="1:24" ht="26" x14ac:dyDescent="0.35">
      <c r="A37" s="1"/>
      <c r="B37" s="700" t="s">
        <v>380</v>
      </c>
      <c r="C37" s="759" t="s">
        <v>314</v>
      </c>
      <c r="D37" s="455">
        <f>'year end'!AD353</f>
        <v>51</v>
      </c>
      <c r="E37" s="480">
        <f>Masterlist!AN482</f>
        <v>3</v>
      </c>
      <c r="F37" s="480">
        <f>Masterlist!AO482</f>
        <v>6</v>
      </c>
      <c r="G37" s="480">
        <f>Masterlist!AP482</f>
        <v>1</v>
      </c>
      <c r="H37" s="480">
        <f>Masterlist!AQ482</f>
        <v>3</v>
      </c>
      <c r="I37" s="480">
        <f>Masterlist!AR482</f>
        <v>4</v>
      </c>
      <c r="J37" s="480">
        <f>Masterlist!AS482</f>
        <v>4</v>
      </c>
      <c r="K37" s="480">
        <f>Masterlist!AT482</f>
        <v>0</v>
      </c>
      <c r="L37" s="480">
        <f>Masterlist!AU482</f>
        <v>6</v>
      </c>
      <c r="M37" s="480">
        <f>Masterlist!AV482</f>
        <v>3</v>
      </c>
      <c r="N37" s="480">
        <f>Masterlist!AW482</f>
        <v>1</v>
      </c>
      <c r="O37" s="480">
        <f>Masterlist!AX482</f>
        <v>3</v>
      </c>
      <c r="P37" s="480">
        <f>Masterlist!AY482</f>
        <v>2</v>
      </c>
      <c r="Q37" s="437">
        <f>SUM(E37:P37)</f>
        <v>36</v>
      </c>
      <c r="R37" s="300">
        <f>(Q37-(HLOOKUP($D$1,yearendcumulative,352,FALSE)))/(HLOOKUP($D$1,yearendcumulative,352,FALSE))</f>
        <v>-0.29411764705882354</v>
      </c>
      <c r="S37" s="481" t="s">
        <v>206</v>
      </c>
      <c r="T37" s="510"/>
      <c r="U37" s="1"/>
      <c r="V37" s="1"/>
      <c r="W37" s="1"/>
      <c r="X37" s="1"/>
    </row>
    <row r="38" spans="1:24" ht="15" customHeight="1" x14ac:dyDescent="0.35">
      <c r="A38" s="1"/>
      <c r="B38" s="240"/>
      <c r="C38" s="18"/>
      <c r="D38" s="19"/>
      <c r="E38" s="19"/>
      <c r="F38" s="19"/>
      <c r="G38" s="19"/>
      <c r="H38" s="19"/>
      <c r="I38" s="19"/>
      <c r="J38" s="19"/>
      <c r="K38" s="19"/>
      <c r="L38" s="19"/>
      <c r="M38" s="19"/>
      <c r="N38" s="19"/>
      <c r="O38" s="19"/>
      <c r="P38" s="19"/>
      <c r="Q38" s="271"/>
      <c r="R38" s="308"/>
      <c r="S38" s="308"/>
      <c r="T38" s="510"/>
      <c r="U38" s="1"/>
      <c r="V38" s="1"/>
      <c r="W38" s="1"/>
      <c r="X38" s="1"/>
    </row>
    <row r="39" spans="1:24" ht="15" customHeight="1" x14ac:dyDescent="0.35">
      <c r="A39" s="1"/>
      <c r="B39" s="1216" t="s">
        <v>240</v>
      </c>
      <c r="C39" s="966" t="s">
        <v>174</v>
      </c>
      <c r="D39" s="971">
        <f>'year end'!AD161</f>
        <v>200</v>
      </c>
      <c r="E39" s="689">
        <f>Masterlist!AN150+Masterlist!AN151</f>
        <v>13</v>
      </c>
      <c r="F39" s="1131">
        <f>Masterlist!AO150+Masterlist!AO151</f>
        <v>16</v>
      </c>
      <c r="G39" s="1131">
        <f>Masterlist!AP150+Masterlist!AP151</f>
        <v>8</v>
      </c>
      <c r="H39" s="1131">
        <f>Masterlist!AQ150+Masterlist!AQ151</f>
        <v>15</v>
      </c>
      <c r="I39" s="1131">
        <f>Masterlist!AR150+Masterlist!AR151</f>
        <v>12</v>
      </c>
      <c r="J39" s="1131">
        <f>Masterlist!AS150+Masterlist!AS151</f>
        <v>12</v>
      </c>
      <c r="K39" s="1131">
        <f>Masterlist!AT150+Masterlist!AT151</f>
        <v>13</v>
      </c>
      <c r="L39" s="1131">
        <f>Masterlist!AU150+Masterlist!AU151</f>
        <v>12</v>
      </c>
      <c r="M39" s="1131">
        <f>Masterlist!AV150+Masterlist!AV151</f>
        <v>10</v>
      </c>
      <c r="N39" s="1131">
        <f>Masterlist!AW150+Masterlist!AW151</f>
        <v>12</v>
      </c>
      <c r="O39" s="1131">
        <f>Masterlist!AX150+Masterlist!AX151</f>
        <v>14</v>
      </c>
      <c r="P39" s="1131">
        <f>Masterlist!AY150+Masterlist!AY151</f>
        <v>12</v>
      </c>
      <c r="Q39" s="255">
        <f>SUM(E39:P39)</f>
        <v>149</v>
      </c>
      <c r="R39" s="696">
        <f>(Q39-(HLOOKUP($D$1,yearendcumulative,160,FALSE)))/(HLOOKUP($D$1,yearendcumulative,160,FALSE))</f>
        <v>-0.255</v>
      </c>
      <c r="S39" s="696">
        <f>(Q39-(HLOOKUP($D$1,Monthlyaveragecumulative,160,FALSE)))/(HLOOKUP($D$1,Monthlyaveragecumulative,160,FALSE))</f>
        <v>-0.47719298245614034</v>
      </c>
      <c r="T39" s="510"/>
      <c r="U39" s="1"/>
      <c r="V39" s="1"/>
      <c r="W39" s="1"/>
      <c r="X39" s="1"/>
    </row>
    <row r="40" spans="1:24" ht="15" customHeight="1" x14ac:dyDescent="0.35">
      <c r="A40" s="1"/>
      <c r="B40" s="1216"/>
      <c r="C40" s="967" t="s">
        <v>173</v>
      </c>
      <c r="D40" s="972">
        <f>'year end'!AD164</f>
        <v>12</v>
      </c>
      <c r="E40" s="687">
        <f>Masterlist!AN152+Masterlist!AN153</f>
        <v>1</v>
      </c>
      <c r="F40" s="1127">
        <f>Masterlist!AO152+Masterlist!AO153</f>
        <v>6</v>
      </c>
      <c r="G40" s="1127">
        <f>Masterlist!AP152+Masterlist!AP153</f>
        <v>1</v>
      </c>
      <c r="H40" s="1127">
        <f>Masterlist!AQ152+Masterlist!AQ153</f>
        <v>4</v>
      </c>
      <c r="I40" s="1127">
        <f>Masterlist!AR152+Masterlist!AR153</f>
        <v>1</v>
      </c>
      <c r="J40" s="1127">
        <f>Masterlist!AS152+Masterlist!AS153</f>
        <v>0</v>
      </c>
      <c r="K40" s="1127">
        <f>Masterlist!AT152+Masterlist!AT153</f>
        <v>0</v>
      </c>
      <c r="L40" s="1127">
        <f>Masterlist!AU152+Masterlist!AU153</f>
        <v>0</v>
      </c>
      <c r="M40" s="1127">
        <f>Masterlist!AV152+Masterlist!AV153</f>
        <v>1</v>
      </c>
      <c r="N40" s="1127">
        <f>Masterlist!AW152+Masterlist!AW153</f>
        <v>1</v>
      </c>
      <c r="O40" s="1127">
        <f>Masterlist!AX152+Masterlist!AX153</f>
        <v>0</v>
      </c>
      <c r="P40" s="1127">
        <f>Masterlist!AY152+Masterlist!AY153</f>
        <v>1</v>
      </c>
      <c r="Q40" s="190">
        <f t="shared" ref="Q40:Q43" si="13">SUM(E40:P40)</f>
        <v>16</v>
      </c>
      <c r="R40" s="697">
        <f>(Q40-(HLOOKUP($D$1,yearendcumulative,22,FALSE)))/(HLOOKUP($D$1,yearendcumulative,22,FALSE))</f>
        <v>-0.79746835443037978</v>
      </c>
      <c r="S40" s="697">
        <f>(Q40-(HLOOKUP($D$1,Monthlyaveragecumulative,163,FALSE)))/(HLOOKUP($D$1,Monthlyaveragecumulative,163,FALSE))</f>
        <v>0</v>
      </c>
      <c r="T40" s="510"/>
      <c r="U40" s="1"/>
      <c r="V40" s="1"/>
      <c r="W40" s="1"/>
      <c r="X40" s="1"/>
    </row>
    <row r="41" spans="1:24" ht="15.75" customHeight="1" x14ac:dyDescent="0.35">
      <c r="A41" s="1"/>
      <c r="B41" s="1216"/>
      <c r="C41" s="984" t="s">
        <v>370</v>
      </c>
      <c r="D41" s="969">
        <f>'year end'!AD439</f>
        <v>81</v>
      </c>
      <c r="E41" s="687">
        <f>Masterlist!AN530</f>
        <v>18</v>
      </c>
      <c r="F41" s="1127">
        <f>Masterlist!AO530</f>
        <v>10</v>
      </c>
      <c r="G41" s="1127">
        <f>Masterlist!AP530</f>
        <v>7</v>
      </c>
      <c r="H41" s="1127">
        <f>Masterlist!AQ530</f>
        <v>10</v>
      </c>
      <c r="I41" s="1127">
        <f>Masterlist!AR530</f>
        <v>7</v>
      </c>
      <c r="J41" s="1127">
        <f>Masterlist!AS530</f>
        <v>7</v>
      </c>
      <c r="K41" s="1127">
        <f>Masterlist!AT530</f>
        <v>5</v>
      </c>
      <c r="L41" s="1127">
        <f>Masterlist!AU530</f>
        <v>2</v>
      </c>
      <c r="M41" s="1127">
        <f>Masterlist!AV530</f>
        <v>7</v>
      </c>
      <c r="N41" s="1127">
        <f>Masterlist!AW530</f>
        <v>6</v>
      </c>
      <c r="O41" s="1127">
        <f>Masterlist!AX530</f>
        <v>6</v>
      </c>
      <c r="P41" s="1127">
        <f>Masterlist!AY530</f>
        <v>3</v>
      </c>
      <c r="Q41" s="190">
        <f t="shared" si="13"/>
        <v>88</v>
      </c>
      <c r="R41" s="697">
        <f>(Q41-(HLOOKUP($D$1,yearendcumulative,438,FALSE)))/(HLOOKUP($D$1,yearendcumulative,438,FALSE))</f>
        <v>8.6419753086419748E-2</v>
      </c>
      <c r="S41" s="298">
        <f>(Q41-(HLOOKUP($D$1,Monthlyaveragecumulative,471,FALSE)))/(HLOOKUP($D$1,Monthlyaveragecumulative,471,FALSE))</f>
        <v>-0.35766423357664234</v>
      </c>
      <c r="T41" s="510"/>
      <c r="U41" s="1"/>
      <c r="V41" s="1"/>
      <c r="W41" s="1"/>
      <c r="X41" s="1"/>
    </row>
    <row r="42" spans="1:24" ht="15.75" customHeight="1" x14ac:dyDescent="0.35">
      <c r="A42" s="1"/>
      <c r="B42" s="1216"/>
      <c r="C42" s="984" t="s">
        <v>371</v>
      </c>
      <c r="D42" s="969">
        <f>'year end'!AD447</f>
        <v>42</v>
      </c>
      <c r="E42" s="687">
        <f>Masterlist!AN539</f>
        <v>3</v>
      </c>
      <c r="F42" s="1127">
        <f>Masterlist!AO539</f>
        <v>2</v>
      </c>
      <c r="G42" s="1127">
        <f>Masterlist!AP539</f>
        <v>4</v>
      </c>
      <c r="H42" s="1127">
        <f>Masterlist!AQ539</f>
        <v>3</v>
      </c>
      <c r="I42" s="1127">
        <f>Masterlist!AR539</f>
        <v>3</v>
      </c>
      <c r="J42" s="1127">
        <f>Masterlist!AS539</f>
        <v>4</v>
      </c>
      <c r="K42" s="1127">
        <f>Masterlist!AT539</f>
        <v>2</v>
      </c>
      <c r="L42" s="1127">
        <f>Masterlist!AU539</f>
        <v>1</v>
      </c>
      <c r="M42" s="1127">
        <f>Masterlist!AV539</f>
        <v>4</v>
      </c>
      <c r="N42" s="1127">
        <f>Masterlist!AW539</f>
        <v>2</v>
      </c>
      <c r="O42" s="1127">
        <f>Masterlist!AX539</f>
        <v>1</v>
      </c>
      <c r="P42" s="1127">
        <f>Masterlist!AY539</f>
        <v>2</v>
      </c>
      <c r="Q42" s="190">
        <f t="shared" si="13"/>
        <v>31</v>
      </c>
      <c r="R42" s="697">
        <f>(Q42-(HLOOKUP($D$1,yearendcumulative,446,FALSE)))/(HLOOKUP($D$1,yearendcumulative,446,FALSE))</f>
        <v>-0.26190476190476192</v>
      </c>
      <c r="S42" s="298">
        <f>(Q42-(HLOOKUP($D$1,Monthlyaveragecumulative,479,FALSE)))/(HLOOKUP($D$1,Monthlyaveragecumulative,479,FALSE))</f>
        <v>-0.7155963302752294</v>
      </c>
      <c r="T42" s="510"/>
      <c r="U42" s="1"/>
      <c r="V42" s="1"/>
      <c r="W42" s="1"/>
      <c r="X42" s="1"/>
    </row>
    <row r="43" spans="1:24" ht="15.75" customHeight="1" x14ac:dyDescent="0.35">
      <c r="A43" s="1"/>
      <c r="B43" s="1216"/>
      <c r="C43" s="985" t="s">
        <v>405</v>
      </c>
      <c r="D43" s="970">
        <f>'year end'!AD455</f>
        <v>123</v>
      </c>
      <c r="E43" s="688">
        <f>Masterlist!AN548</f>
        <v>9</v>
      </c>
      <c r="F43" s="1128">
        <f>Masterlist!AO548</f>
        <v>11</v>
      </c>
      <c r="G43" s="1128">
        <f>Masterlist!AP548</f>
        <v>8</v>
      </c>
      <c r="H43" s="1128">
        <f>Masterlist!AQ548</f>
        <v>8</v>
      </c>
      <c r="I43" s="1128">
        <f>Masterlist!AR548</f>
        <v>6</v>
      </c>
      <c r="J43" s="1128">
        <f>Masterlist!AS548</f>
        <v>10</v>
      </c>
      <c r="K43" s="1128">
        <f>Masterlist!AT548</f>
        <v>14</v>
      </c>
      <c r="L43" s="1128">
        <f>Masterlist!AU548</f>
        <v>35</v>
      </c>
      <c r="M43" s="1128">
        <f>Masterlist!AV548</f>
        <v>22</v>
      </c>
      <c r="N43" s="1128">
        <f>Masterlist!AW548</f>
        <v>27</v>
      </c>
      <c r="O43" s="1128">
        <f>Masterlist!AX548</f>
        <v>11</v>
      </c>
      <c r="P43" s="1128">
        <f>Masterlist!AY548</f>
        <v>15</v>
      </c>
      <c r="Q43" s="191">
        <f t="shared" si="13"/>
        <v>176</v>
      </c>
      <c r="R43" s="698">
        <f>(Q43-(HLOOKUP($D$1,yearendcumulative,454,FALSE)))/(HLOOKUP($D$1,yearendcumulative,454,FALSE))</f>
        <v>0.43089430894308944</v>
      </c>
      <c r="S43" s="299" t="s">
        <v>206</v>
      </c>
      <c r="T43" s="510"/>
      <c r="U43" s="1"/>
      <c r="V43" s="1"/>
      <c r="W43" s="1"/>
      <c r="X43" s="1"/>
    </row>
    <row r="44" spans="1:24" ht="15" customHeight="1" x14ac:dyDescent="0.35">
      <c r="A44" s="1"/>
      <c r="B44" s="7"/>
      <c r="C44" s="18"/>
      <c r="D44" s="686"/>
      <c r="E44" s="19"/>
      <c r="F44" s="19"/>
      <c r="G44" s="19"/>
      <c r="H44" s="19"/>
      <c r="I44" s="19"/>
      <c r="J44" s="19"/>
      <c r="K44" s="19"/>
      <c r="L44" s="19"/>
      <c r="M44" s="19"/>
      <c r="N44" s="19"/>
      <c r="O44" s="19"/>
      <c r="P44" s="19"/>
      <c r="Q44" s="271"/>
      <c r="R44" s="778"/>
      <c r="S44" s="308"/>
      <c r="T44" s="510"/>
      <c r="U44" s="1"/>
      <c r="V44" s="1"/>
      <c r="W44" s="1"/>
      <c r="X44" s="1"/>
    </row>
    <row r="45" spans="1:24" ht="15" customHeight="1" x14ac:dyDescent="0.35">
      <c r="A45" s="1"/>
      <c r="B45" s="1212" t="s">
        <v>241</v>
      </c>
      <c r="C45" s="228" t="s">
        <v>64</v>
      </c>
      <c r="D45" s="775">
        <f>'year end'!AD180</f>
        <v>1075</v>
      </c>
      <c r="E45" s="475">
        <f>Masterlist!AN371</f>
        <v>87</v>
      </c>
      <c r="F45" s="475">
        <f>Masterlist!AO371</f>
        <v>128</v>
      </c>
      <c r="G45" s="475">
        <f>Masterlist!AP371</f>
        <v>105</v>
      </c>
      <c r="H45" s="475">
        <f>Masterlist!AQ371</f>
        <v>118</v>
      </c>
      <c r="I45" s="475">
        <f>Masterlist!AR371</f>
        <v>114</v>
      </c>
      <c r="J45" s="475">
        <f>Masterlist!AS371</f>
        <v>99</v>
      </c>
      <c r="K45" s="475">
        <f>Masterlist!AT371</f>
        <v>96</v>
      </c>
      <c r="L45" s="475">
        <f>Masterlist!AU371</f>
        <v>93</v>
      </c>
      <c r="M45" s="475">
        <f>Masterlist!AV371</f>
        <v>82</v>
      </c>
      <c r="N45" s="475">
        <f>Masterlist!AW371</f>
        <v>76</v>
      </c>
      <c r="O45" s="475">
        <f>Masterlist!AX371</f>
        <v>99</v>
      </c>
      <c r="P45" s="475">
        <f>Masterlist!AY371</f>
        <v>143</v>
      </c>
      <c r="Q45" s="48">
        <f>SUM(E45:P45)</f>
        <v>1240</v>
      </c>
      <c r="R45" s="297">
        <f>(Q45-(HLOOKUP($D$1,yearendcumulative,179,FALSE)))/(HLOOKUP($D$1,yearendcumulative,179,FALSE))</f>
        <v>0.15348837209302327</v>
      </c>
      <c r="S45" s="297">
        <f>(Q45-(HLOOKUP($D$1,Monthlyaveragecumulative,179,FALSE)))/(HLOOKUP($D$1,Monthlyaveragecumulative,179,FALSE))</f>
        <v>-0.48547717842323651</v>
      </c>
      <c r="T45" s="510"/>
      <c r="U45" s="1"/>
      <c r="V45" s="1"/>
      <c r="W45" s="1"/>
      <c r="X45" s="1"/>
    </row>
    <row r="46" spans="1:24" ht="15" customHeight="1" x14ac:dyDescent="0.35">
      <c r="A46" s="1"/>
      <c r="B46" s="1212"/>
      <c r="C46" s="229" t="s">
        <v>11</v>
      </c>
      <c r="D46" s="776">
        <f>'year end'!AD181</f>
        <v>283</v>
      </c>
      <c r="E46" s="97">
        <f>Masterlist!AN372</f>
        <v>30</v>
      </c>
      <c r="F46" s="97">
        <f>Masterlist!AO372</f>
        <v>43</v>
      </c>
      <c r="G46" s="97">
        <f>Masterlist!AP372</f>
        <v>34</v>
      </c>
      <c r="H46" s="97">
        <f>Masterlist!AQ372</f>
        <v>45</v>
      </c>
      <c r="I46" s="97">
        <f>Masterlist!AR372</f>
        <v>32</v>
      </c>
      <c r="J46" s="97">
        <f>Masterlist!AS372</f>
        <v>37</v>
      </c>
      <c r="K46" s="97">
        <f>Masterlist!AT372</f>
        <v>34</v>
      </c>
      <c r="L46" s="97">
        <f>Masterlist!AU372</f>
        <v>32</v>
      </c>
      <c r="M46" s="97">
        <f>Masterlist!AV372</f>
        <v>24</v>
      </c>
      <c r="N46" s="97">
        <f>Masterlist!AW372</f>
        <v>24</v>
      </c>
      <c r="O46" s="97">
        <f>Masterlist!AX372</f>
        <v>23</v>
      </c>
      <c r="P46" s="97">
        <f>Masterlist!AY372</f>
        <v>40</v>
      </c>
      <c r="Q46" s="49">
        <f t="shared" ref="Q46:Q48" si="14">SUM(E46:P46)</f>
        <v>398</v>
      </c>
      <c r="R46" s="298">
        <f>(Q46-(HLOOKUP($D$1,yearendcumulative,180,FALSE)))/(HLOOKUP($D$1,yearendcumulative,180,FALSE))</f>
        <v>0.40636042402826855</v>
      </c>
      <c r="S46" s="298">
        <f>(Q46-(HLOOKUP($D$1,Monthlyaveragecumulative,180,FALSE)))/(HLOOKUP($D$1,Monthlyaveragecumulative,180,FALSE))</f>
        <v>9.6418732782369149E-2</v>
      </c>
      <c r="T46" s="510"/>
      <c r="U46" s="1"/>
      <c r="V46" s="1"/>
      <c r="W46" s="1"/>
      <c r="X46" s="1"/>
    </row>
    <row r="47" spans="1:24" x14ac:dyDescent="0.35">
      <c r="A47" s="1"/>
      <c r="B47" s="1212"/>
      <c r="C47" s="229" t="s">
        <v>12</v>
      </c>
      <c r="D47" s="776">
        <f>'year end'!AD182</f>
        <v>694</v>
      </c>
      <c r="E47" s="97">
        <f>Masterlist!AN373</f>
        <v>47</v>
      </c>
      <c r="F47" s="97">
        <f>Masterlist!AO373</f>
        <v>71</v>
      </c>
      <c r="G47" s="97">
        <f>Masterlist!AP373</f>
        <v>65</v>
      </c>
      <c r="H47" s="97">
        <f>Masterlist!AQ373</f>
        <v>56</v>
      </c>
      <c r="I47" s="97">
        <f>Masterlist!AR373</f>
        <v>68</v>
      </c>
      <c r="J47" s="97">
        <f>Masterlist!AS373</f>
        <v>58</v>
      </c>
      <c r="K47" s="97">
        <f>Masterlist!AT373</f>
        <v>54</v>
      </c>
      <c r="L47" s="97">
        <f>Masterlist!AU373</f>
        <v>55</v>
      </c>
      <c r="M47" s="97">
        <f>Masterlist!AV373</f>
        <v>52</v>
      </c>
      <c r="N47" s="97">
        <f>Masterlist!AW373</f>
        <v>44</v>
      </c>
      <c r="O47" s="97">
        <f>Masterlist!AX373</f>
        <v>68</v>
      </c>
      <c r="P47" s="97">
        <f>Masterlist!AY373</f>
        <v>93</v>
      </c>
      <c r="Q47" s="49">
        <f t="shared" si="14"/>
        <v>731</v>
      </c>
      <c r="R47" s="298">
        <f>(Q47-(HLOOKUP($D$1,yearendcumulative,181,FALSE)))/(HLOOKUP($D$1,yearendcumulative,181,FALSE))</f>
        <v>5.3314121037463975E-2</v>
      </c>
      <c r="S47" s="298">
        <f>(Q47-(HLOOKUP($D$1,Monthlyaveragecumulative,181,FALSE)))/(HLOOKUP($D$1,Monthlyaveragecumulative,181,FALSE))</f>
        <v>-0.56898584905660377</v>
      </c>
      <c r="T47" s="510"/>
      <c r="U47" s="1"/>
      <c r="V47" s="1"/>
      <c r="W47" s="1"/>
      <c r="X47" s="1"/>
    </row>
    <row r="48" spans="1:24" x14ac:dyDescent="0.35">
      <c r="A48" s="1"/>
      <c r="B48" s="1212"/>
      <c r="C48" s="290" t="s">
        <v>13</v>
      </c>
      <c r="D48" s="777">
        <f>'year end'!AD183</f>
        <v>98</v>
      </c>
      <c r="E48" s="239">
        <f>Masterlist!AN374</f>
        <v>10</v>
      </c>
      <c r="F48" s="239">
        <f>Masterlist!AO374</f>
        <v>14</v>
      </c>
      <c r="G48" s="239">
        <f>Masterlist!AP374</f>
        <v>6</v>
      </c>
      <c r="H48" s="239">
        <f>Masterlist!AQ374</f>
        <v>17</v>
      </c>
      <c r="I48" s="239">
        <f>Masterlist!AR374</f>
        <v>14</v>
      </c>
      <c r="J48" s="239">
        <f>Masterlist!AS374</f>
        <v>4</v>
      </c>
      <c r="K48" s="239">
        <f>Masterlist!AT374</f>
        <v>8</v>
      </c>
      <c r="L48" s="239">
        <f>Masterlist!AU374</f>
        <v>6</v>
      </c>
      <c r="M48" s="239">
        <f>Masterlist!AV374</f>
        <v>6</v>
      </c>
      <c r="N48" s="239">
        <f>Masterlist!AW374</f>
        <v>8</v>
      </c>
      <c r="O48" s="239">
        <f>Masterlist!AX374</f>
        <v>8</v>
      </c>
      <c r="P48" s="239">
        <f>Masterlist!AY374</f>
        <v>10</v>
      </c>
      <c r="Q48" s="49">
        <f t="shared" si="14"/>
        <v>111</v>
      </c>
      <c r="R48" s="299">
        <f>(Q48-(HLOOKUP($D$1,yearendcumulative,182,FALSE)))/(HLOOKUP($D$1,yearendcumulative,182,FALSE))</f>
        <v>0.1326530612244898</v>
      </c>
      <c r="S48" s="299">
        <f>(Q48-(HLOOKUP($D$1,Monthlyaveragecumulative,182,FALSE)))/(HLOOKUP($D$1,Monthlyaveragecumulative,182,FALSE))</f>
        <v>-0.68285714285714283</v>
      </c>
      <c r="T48" s="510"/>
      <c r="U48" s="1"/>
      <c r="V48" s="1"/>
      <c r="W48" s="1"/>
      <c r="X48" s="1"/>
    </row>
    <row r="49" spans="1:24" hidden="1" x14ac:dyDescent="0.35">
      <c r="A49" s="1"/>
      <c r="B49" s="1212"/>
      <c r="C49" s="266" t="s">
        <v>257</v>
      </c>
      <c r="D49" s="272">
        <f>'year end'!AD183</f>
        <v>98</v>
      </c>
      <c r="E49" s="53" t="s">
        <v>210</v>
      </c>
      <c r="F49" s="118">
        <f>Masterlist!AO439</f>
        <v>0</v>
      </c>
      <c r="G49" s="53">
        <f>Masterlist!AP439</f>
        <v>0</v>
      </c>
      <c r="H49" s="53">
        <f>Masterlist!AQ439</f>
        <v>0</v>
      </c>
      <c r="I49" s="53">
        <f>Masterlist!AR439</f>
        <v>0</v>
      </c>
      <c r="J49" s="53">
        <f>Masterlist!AS439</f>
        <v>0</v>
      </c>
      <c r="K49" s="53">
        <f>Masterlist!AT439</f>
        <v>0</v>
      </c>
      <c r="L49" s="53">
        <f>Masterlist!AU439</f>
        <v>0</v>
      </c>
      <c r="M49" s="53">
        <f>Masterlist!AV439</f>
        <v>0</v>
      </c>
      <c r="N49" s="53">
        <f>Masterlist!AW439</f>
        <v>0</v>
      </c>
      <c r="O49" s="53">
        <f>Masterlist!AX439</f>
        <v>0</v>
      </c>
      <c r="P49" s="53">
        <f>Masterlist!AY439</f>
        <v>0</v>
      </c>
      <c r="Q49" s="273">
        <f>SUM(E49:P49)</f>
        <v>0</v>
      </c>
      <c r="R49" s="299">
        <f>(Q49-(HLOOKUP($D$1,yearendcumulative,183,FALSE)))/(HLOOKUP($D$1,yearendcumulative,183,FALSE))</f>
        <v>-1</v>
      </c>
      <c r="S49" s="299">
        <f>(Q49-(HLOOKUP($D$1,Monthlyaveragecumulative,183,FALSE)))/(HLOOKUP($D$1,Monthlyaveragecumulative,183,FALSE))</f>
        <v>-1</v>
      </c>
      <c r="T49" s="510"/>
      <c r="U49" s="1"/>
      <c r="V49" s="1"/>
      <c r="W49" s="1"/>
      <c r="X49" s="1"/>
    </row>
    <row r="50" spans="1:24" x14ac:dyDescent="0.35">
      <c r="A50" s="1"/>
      <c r="B50" s="1211"/>
      <c r="C50" s="265" t="s">
        <v>385</v>
      </c>
      <c r="D50" s="272">
        <f>'year end'!AD184</f>
        <v>34</v>
      </c>
      <c r="E50" s="443">
        <f>Masterlist!AN337</f>
        <v>3</v>
      </c>
      <c r="F50" s="239">
        <f>Masterlist!AO337</f>
        <v>1</v>
      </c>
      <c r="G50" s="239">
        <f>Masterlist!AP337</f>
        <v>2</v>
      </c>
      <c r="H50" s="239">
        <f>Masterlist!AQ337</f>
        <v>2</v>
      </c>
      <c r="I50" s="239">
        <f>Masterlist!AR337</f>
        <v>7</v>
      </c>
      <c r="J50" s="53">
        <f>Masterlist!AS337</f>
        <v>1</v>
      </c>
      <c r="K50" s="53">
        <f>Masterlist!AT337</f>
        <v>3</v>
      </c>
      <c r="L50" s="53">
        <f>Masterlist!AU337</f>
        <v>1</v>
      </c>
      <c r="M50" s="53">
        <f>Masterlist!AV337</f>
        <v>0</v>
      </c>
      <c r="N50" s="53">
        <f>Masterlist!AW337</f>
        <v>3</v>
      </c>
      <c r="O50" s="53">
        <f>Masterlist!AX337</f>
        <v>4</v>
      </c>
      <c r="P50" s="53">
        <f>Masterlist!AY337</f>
        <v>4</v>
      </c>
      <c r="Q50" s="437">
        <f>SUM(E50:I50)</f>
        <v>15</v>
      </c>
      <c r="R50" s="299">
        <f>(Q50-(HLOOKUP($D$1,yearendcumulative,183,FALSE)))/(HLOOKUP($D$1,yearendcumulative,183,FALSE))</f>
        <v>-0.55882352941176472</v>
      </c>
      <c r="S50" s="299">
        <f>(Q50-(HLOOKUP($D$1,Monthlyaveragecumulative,183,FALSE)))/(HLOOKUP($D$1,Monthlyaveragecumulative,183,FALSE))</f>
        <v>-0.69387755102040816</v>
      </c>
      <c r="T50" s="510"/>
      <c r="U50" s="1"/>
      <c r="V50" s="1"/>
      <c r="W50" s="1"/>
      <c r="X50" s="1"/>
    </row>
    <row r="51" spans="1:24" x14ac:dyDescent="0.35">
      <c r="A51" s="1"/>
      <c r="B51" s="446"/>
      <c r="C51" s="449"/>
      <c r="D51" s="450"/>
      <c r="E51" s="192"/>
      <c r="F51" s="192"/>
      <c r="G51" s="192"/>
      <c r="H51" s="192"/>
      <c r="I51" s="192"/>
      <c r="J51" s="192"/>
      <c r="K51" s="192"/>
      <c r="L51" s="192"/>
      <c r="M51" s="192"/>
      <c r="N51" s="192"/>
      <c r="O51" s="192"/>
      <c r="P51" s="1179"/>
      <c r="Q51" s="192"/>
      <c r="R51" s="448"/>
      <c r="S51" s="448"/>
      <c r="T51" s="510"/>
      <c r="U51" s="1"/>
      <c r="V51" s="1"/>
      <c r="W51" s="1"/>
      <c r="X51" s="1"/>
    </row>
    <row r="52" spans="1:24" ht="15" customHeight="1" x14ac:dyDescent="0.35">
      <c r="A52" s="1"/>
      <c r="B52" s="1221" t="s">
        <v>384</v>
      </c>
      <c r="C52" s="770" t="s">
        <v>420</v>
      </c>
      <c r="D52" s="767">
        <f>'year end'!AD185</f>
        <v>61</v>
      </c>
      <c r="E52" s="1121">
        <f>Masterlist!AN317</f>
        <v>5</v>
      </c>
      <c r="F52" s="1121">
        <f>Masterlist!AO317</f>
        <v>3</v>
      </c>
      <c r="G52" s="1121">
        <f>Masterlist!AP317</f>
        <v>6</v>
      </c>
      <c r="H52" s="1121">
        <f>Masterlist!AQ317</f>
        <v>2</v>
      </c>
      <c r="I52" s="1121">
        <f>Masterlist!AR317</f>
        <v>11</v>
      </c>
      <c r="J52" s="1121">
        <f>Masterlist!AS317</f>
        <v>6</v>
      </c>
      <c r="K52" s="1121">
        <f>Masterlist!AT317</f>
        <v>7</v>
      </c>
      <c r="L52" s="1121">
        <f>Masterlist!AU317</f>
        <v>4</v>
      </c>
      <c r="M52" s="1121">
        <f>Masterlist!AV317</f>
        <v>7</v>
      </c>
      <c r="N52" s="1121">
        <f>Masterlist!AW317</f>
        <v>3</v>
      </c>
      <c r="O52" s="1121">
        <f>Masterlist!AX317</f>
        <v>2</v>
      </c>
      <c r="P52" s="1121" t="s">
        <v>210</v>
      </c>
      <c r="Q52" s="947" t="s">
        <v>210</v>
      </c>
      <c r="R52" s="512" t="s">
        <v>210</v>
      </c>
      <c r="S52" s="512" t="s">
        <v>210</v>
      </c>
      <c r="T52" s="510"/>
      <c r="U52" s="1"/>
      <c r="V52" s="1"/>
      <c r="W52" s="1"/>
      <c r="X52" s="1"/>
    </row>
    <row r="53" spans="1:24" x14ac:dyDescent="0.35">
      <c r="A53" s="1"/>
      <c r="B53" s="1221"/>
      <c r="C53" s="122" t="s">
        <v>66</v>
      </c>
      <c r="D53" s="768">
        <f>'year end'!AD186</f>
        <v>4</v>
      </c>
      <c r="E53" s="1122">
        <f>Masterlist!AN318</f>
        <v>1</v>
      </c>
      <c r="F53" s="1122">
        <f>Masterlist!AO318</f>
        <v>0</v>
      </c>
      <c r="G53" s="1122">
        <f>Masterlist!AP318</f>
        <v>2</v>
      </c>
      <c r="H53" s="1122">
        <f>Masterlist!AQ318</f>
        <v>1</v>
      </c>
      <c r="I53" s="1122">
        <f>Masterlist!AR318</f>
        <v>3</v>
      </c>
      <c r="J53" s="1122">
        <f>Masterlist!AS318</f>
        <v>0</v>
      </c>
      <c r="K53" s="1122">
        <f>Masterlist!AT318</f>
        <v>2</v>
      </c>
      <c r="L53" s="1122">
        <f>Masterlist!AU318</f>
        <v>0</v>
      </c>
      <c r="M53" s="1122">
        <f>Masterlist!AV318</f>
        <v>0</v>
      </c>
      <c r="N53" s="1122">
        <f>Masterlist!AW318</f>
        <v>1</v>
      </c>
      <c r="O53" s="1122">
        <f>Masterlist!AX318</f>
        <v>0</v>
      </c>
      <c r="P53" s="1122" t="s">
        <v>210</v>
      </c>
      <c r="Q53" s="473" t="s">
        <v>210</v>
      </c>
      <c r="R53" s="513" t="s">
        <v>210</v>
      </c>
      <c r="S53" s="513" t="s">
        <v>210</v>
      </c>
      <c r="T53" s="510"/>
      <c r="U53" s="1"/>
      <c r="V53" s="1"/>
      <c r="W53" s="1"/>
      <c r="X53" s="1"/>
    </row>
    <row r="54" spans="1:24" x14ac:dyDescent="0.35">
      <c r="A54" s="1"/>
      <c r="B54" s="1221"/>
      <c r="C54" s="766" t="s">
        <v>67</v>
      </c>
      <c r="D54" s="769">
        <f>'year end'!AD187</f>
        <v>57</v>
      </c>
      <c r="E54" s="1123">
        <f>Masterlist!AN319</f>
        <v>4</v>
      </c>
      <c r="F54" s="1123">
        <f>Masterlist!AO319</f>
        <v>3</v>
      </c>
      <c r="G54" s="1123">
        <f>Masterlist!AP319</f>
        <v>4</v>
      </c>
      <c r="H54" s="1123">
        <f>Masterlist!AQ319</f>
        <v>1</v>
      </c>
      <c r="I54" s="1123">
        <f>Masterlist!AR319</f>
        <v>8</v>
      </c>
      <c r="J54" s="1123">
        <f>Masterlist!AS319</f>
        <v>6</v>
      </c>
      <c r="K54" s="1123">
        <f>Masterlist!AT319</f>
        <v>5</v>
      </c>
      <c r="L54" s="1123">
        <f>Masterlist!AU319</f>
        <v>4</v>
      </c>
      <c r="M54" s="1123">
        <f>Masterlist!AV319</f>
        <v>7</v>
      </c>
      <c r="N54" s="1123">
        <f>Masterlist!AW319</f>
        <v>2</v>
      </c>
      <c r="O54" s="1123">
        <f>Masterlist!AX319</f>
        <v>2</v>
      </c>
      <c r="P54" s="1123" t="s">
        <v>210</v>
      </c>
      <c r="Q54" s="474" t="s">
        <v>210</v>
      </c>
      <c r="R54" s="514" t="s">
        <v>210</v>
      </c>
      <c r="S54" s="514" t="s">
        <v>210</v>
      </c>
      <c r="T54" s="510"/>
      <c r="U54" s="1"/>
      <c r="V54" s="1"/>
      <c r="W54" s="1"/>
      <c r="X54" s="1"/>
    </row>
    <row r="55" spans="1:24" s="635" customFormat="1" x14ac:dyDescent="0.35">
      <c r="B55" s="807"/>
      <c r="C55" s="976"/>
      <c r="D55" s="915"/>
      <c r="E55" s="915"/>
      <c r="F55" s="931"/>
      <c r="G55" s="931"/>
      <c r="H55" s="915"/>
      <c r="I55" s="931"/>
      <c r="J55" s="915"/>
      <c r="K55" s="915"/>
      <c r="L55" s="915"/>
      <c r="M55" s="915"/>
      <c r="N55" s="931"/>
      <c r="O55" s="915"/>
      <c r="P55" s="931"/>
      <c r="Q55" s="809"/>
      <c r="R55" s="819"/>
      <c r="S55" s="808"/>
      <c r="T55" s="511"/>
      <c r="U55" s="483"/>
      <c r="V55" s="483"/>
      <c r="W55" s="483"/>
      <c r="X55" s="483"/>
    </row>
    <row r="56" spans="1:24" s="635" customFormat="1" ht="85.5" customHeight="1" x14ac:dyDescent="0.35">
      <c r="A56" s="719"/>
      <c r="B56" s="822" t="s">
        <v>80</v>
      </c>
      <c r="C56" s="813" t="s">
        <v>522</v>
      </c>
      <c r="D56" s="1200" t="s">
        <v>468</v>
      </c>
      <c r="E56" s="1200"/>
      <c r="F56" s="1200"/>
      <c r="G56" s="1200"/>
      <c r="H56" s="1200"/>
      <c r="I56" s="1200"/>
      <c r="J56" s="1200"/>
      <c r="K56" s="1200"/>
      <c r="L56" s="1200"/>
      <c r="M56" s="1200"/>
      <c r="N56" s="1200"/>
      <c r="O56" s="1200"/>
      <c r="P56" s="1200"/>
      <c r="Q56" s="1200"/>
      <c r="R56" s="1200"/>
      <c r="S56" s="1200"/>
      <c r="T56" s="511"/>
      <c r="U56" s="483"/>
      <c r="V56" s="483"/>
      <c r="W56" s="483"/>
      <c r="X56" s="483"/>
    </row>
    <row r="57" spans="1:24" s="635" customFormat="1" x14ac:dyDescent="0.35">
      <c r="A57" s="719"/>
      <c r="B57" s="822"/>
      <c r="C57" s="813" t="s">
        <v>182</v>
      </c>
      <c r="D57" s="977"/>
      <c r="E57" s="977"/>
      <c r="F57" s="1094"/>
      <c r="G57" s="1094"/>
      <c r="H57" s="1042"/>
      <c r="I57" s="1094"/>
      <c r="J57" s="1042"/>
      <c r="K57" s="1042"/>
      <c r="L57" s="1042"/>
      <c r="M57" s="1042"/>
      <c r="N57" s="1094"/>
      <c r="O57" s="1042"/>
      <c r="P57" s="1094"/>
      <c r="Q57" s="977"/>
      <c r="R57" s="977"/>
      <c r="S57" s="977"/>
      <c r="T57" s="511"/>
      <c r="U57" s="483"/>
      <c r="V57" s="483"/>
      <c r="W57" s="483"/>
      <c r="X57" s="483"/>
    </row>
    <row r="58" spans="1:24" s="635" customFormat="1" x14ac:dyDescent="0.35">
      <c r="B58" s="807"/>
      <c r="C58" s="978" t="s">
        <v>452</v>
      </c>
      <c r="D58" s="915"/>
      <c r="E58" s="915"/>
      <c r="F58" s="931"/>
      <c r="G58" s="931"/>
      <c r="H58" s="915"/>
      <c r="I58" s="931"/>
      <c r="J58" s="915"/>
      <c r="K58" s="915"/>
      <c r="L58" s="915"/>
      <c r="M58" s="915"/>
      <c r="N58" s="931"/>
      <c r="O58" s="915"/>
      <c r="P58" s="931"/>
      <c r="Q58" s="809"/>
      <c r="R58" s="819"/>
      <c r="S58" s="808"/>
      <c r="T58" s="511"/>
      <c r="U58" s="483"/>
      <c r="V58" s="483"/>
      <c r="W58" s="483"/>
      <c r="X58" s="483"/>
    </row>
    <row r="59" spans="1:24" s="635" customFormat="1" x14ac:dyDescent="0.35">
      <c r="B59" s="807"/>
      <c r="C59" s="978" t="s">
        <v>453</v>
      </c>
      <c r="D59" s="915"/>
      <c r="E59" s="915"/>
      <c r="F59" s="931"/>
      <c r="G59" s="931"/>
      <c r="H59" s="915"/>
      <c r="I59" s="931"/>
      <c r="J59" s="915"/>
      <c r="K59" s="915"/>
      <c r="L59" s="915"/>
      <c r="M59" s="915"/>
      <c r="N59" s="931"/>
      <c r="O59" s="915"/>
      <c r="P59" s="931"/>
      <c r="Q59" s="809"/>
      <c r="R59" s="819"/>
      <c r="S59" s="808"/>
      <c r="T59" s="511"/>
      <c r="U59" s="483"/>
      <c r="V59" s="483"/>
      <c r="W59" s="483"/>
      <c r="X59" s="483"/>
    </row>
    <row r="60" spans="1:24" s="635" customFormat="1" x14ac:dyDescent="0.35">
      <c r="B60" s="807"/>
      <c r="C60" s="976"/>
      <c r="D60" s="915"/>
      <c r="E60" s="915"/>
      <c r="F60" s="931"/>
      <c r="G60" s="931"/>
      <c r="H60" s="915"/>
      <c r="I60" s="931"/>
      <c r="J60" s="915"/>
      <c r="K60" s="915"/>
      <c r="L60" s="915"/>
      <c r="M60" s="915"/>
      <c r="N60" s="931"/>
      <c r="O60" s="915"/>
      <c r="P60" s="931"/>
      <c r="Q60" s="809"/>
      <c r="R60" s="819"/>
      <c r="S60" s="808"/>
      <c r="T60" s="511"/>
      <c r="U60" s="483"/>
      <c r="V60" s="483"/>
      <c r="W60" s="483"/>
      <c r="X60" s="483"/>
    </row>
    <row r="61" spans="1:24" s="635" customFormat="1" x14ac:dyDescent="0.35">
      <c r="A61" s="10"/>
      <c r="B61" s="10" t="s">
        <v>211</v>
      </c>
      <c r="C61" s="809"/>
      <c r="D61" s="916"/>
      <c r="E61" s="809"/>
      <c r="F61" s="931"/>
      <c r="G61" s="931"/>
      <c r="H61" s="915"/>
      <c r="I61" s="931"/>
      <c r="J61" s="915"/>
      <c r="K61" s="915"/>
      <c r="L61" s="915"/>
      <c r="M61" s="915"/>
      <c r="N61" s="931"/>
      <c r="O61" s="915"/>
      <c r="P61" s="931"/>
      <c r="Q61" s="809"/>
      <c r="R61" s="819"/>
      <c r="S61" s="809"/>
      <c r="T61" s="511"/>
      <c r="U61" s="483"/>
      <c r="V61" s="483"/>
      <c r="W61" s="483"/>
      <c r="X61" s="483"/>
    </row>
    <row r="62" spans="1:24" s="635" customFormat="1" x14ac:dyDescent="0.35">
      <c r="A62" s="2"/>
      <c r="B62" s="758"/>
      <c r="C62" s="809"/>
      <c r="D62" s="809"/>
      <c r="E62" s="809"/>
      <c r="F62" s="931"/>
      <c r="G62" s="931"/>
      <c r="H62" s="915"/>
      <c r="I62" s="931"/>
      <c r="J62" s="915"/>
      <c r="K62" s="915"/>
      <c r="L62" s="915"/>
      <c r="M62" s="915"/>
      <c r="N62" s="931"/>
      <c r="O62" s="915"/>
      <c r="P62" s="931"/>
      <c r="Q62" s="809"/>
      <c r="R62" s="819"/>
      <c r="S62" s="809"/>
      <c r="T62" s="511"/>
      <c r="U62" s="483"/>
      <c r="V62" s="483"/>
      <c r="W62" s="483"/>
      <c r="X62" s="483"/>
    </row>
    <row r="63" spans="1:24" x14ac:dyDescent="0.35">
      <c r="B63" s="716"/>
      <c r="C63" s="54"/>
    </row>
    <row r="64" spans="1:24" x14ac:dyDescent="0.35">
      <c r="C64" s="2"/>
    </row>
    <row r="138" spans="2:36" x14ac:dyDescent="0.35">
      <c r="C138" s="629"/>
      <c r="E138" s="629"/>
      <c r="F138" s="935"/>
      <c r="G138" s="935"/>
      <c r="H138" s="644"/>
      <c r="I138" s="935"/>
      <c r="J138" s="644"/>
      <c r="K138" s="644"/>
      <c r="L138" s="644"/>
      <c r="M138" s="644"/>
      <c r="N138" s="935"/>
      <c r="O138" s="644"/>
      <c r="P138" s="935"/>
      <c r="Q138" s="629"/>
      <c r="R138" s="645"/>
      <c r="S138" s="629"/>
      <c r="T138" s="646"/>
      <c r="U138" s="629"/>
      <c r="V138" s="629"/>
      <c r="W138" s="629"/>
      <c r="X138" s="629"/>
      <c r="Y138" s="629"/>
      <c r="Z138" s="629"/>
      <c r="AA138" s="629"/>
      <c r="AB138" s="629"/>
      <c r="AC138" s="629"/>
      <c r="AD138" s="629"/>
      <c r="AE138" s="629"/>
      <c r="AF138" s="629"/>
      <c r="AG138" s="629"/>
      <c r="AH138" s="629"/>
      <c r="AI138" s="629"/>
      <c r="AJ138" s="629"/>
    </row>
    <row r="139" spans="2:36" x14ac:dyDescent="0.35">
      <c r="B139" s="637"/>
      <c r="C139" s="633"/>
      <c r="D139" s="629"/>
      <c r="E139" s="633"/>
      <c r="F139" s="936"/>
      <c r="G139" s="936"/>
      <c r="H139" s="647"/>
      <c r="I139" s="936"/>
      <c r="J139" s="647"/>
      <c r="K139" s="647"/>
      <c r="L139" s="647"/>
      <c r="M139" s="647"/>
      <c r="N139" s="936"/>
      <c r="O139" s="656"/>
      <c r="P139" s="1098"/>
      <c r="Q139" s="630"/>
      <c r="R139" s="657"/>
      <c r="S139" s="630"/>
      <c r="T139" s="658"/>
      <c r="U139" s="630"/>
      <c r="V139" s="630"/>
      <c r="W139" s="630"/>
      <c r="X139" s="630"/>
      <c r="Y139" s="630"/>
      <c r="Z139" s="630"/>
      <c r="AA139" s="630"/>
      <c r="AB139" s="630"/>
      <c r="AC139" s="630"/>
      <c r="AD139" s="630"/>
      <c r="AE139" s="630"/>
      <c r="AF139" s="630"/>
      <c r="AG139" s="630"/>
      <c r="AH139" s="630"/>
      <c r="AI139" s="630"/>
      <c r="AJ139" s="630"/>
    </row>
    <row r="140" spans="2:36" x14ac:dyDescent="0.35">
      <c r="B140" s="637"/>
      <c r="C140" s="633"/>
      <c r="D140" s="633"/>
      <c r="E140" s="633"/>
      <c r="F140" s="936"/>
      <c r="G140" s="936"/>
      <c r="H140" s="647"/>
      <c r="I140" s="936"/>
      <c r="J140" s="647"/>
      <c r="K140" s="647"/>
      <c r="L140" s="647"/>
      <c r="M140" s="647"/>
      <c r="N140" s="936"/>
      <c r="O140" s="656"/>
      <c r="P140" s="1098"/>
      <c r="Q140" s="630"/>
      <c r="R140" s="657"/>
      <c r="S140" s="630"/>
      <c r="T140" s="658"/>
      <c r="U140" s="630"/>
      <c r="V140" s="630"/>
      <c r="W140" s="630"/>
      <c r="X140" s="630"/>
      <c r="Y140" s="630"/>
      <c r="Z140" s="630"/>
      <c r="AA140" s="630"/>
      <c r="AB140" s="630"/>
      <c r="AC140" s="630"/>
      <c r="AD140" s="630"/>
      <c r="AE140" s="630"/>
      <c r="AF140" s="630"/>
      <c r="AG140" s="630"/>
      <c r="AH140" s="630"/>
      <c r="AI140" s="630"/>
      <c r="AJ140" s="630"/>
    </row>
    <row r="141" spans="2:36" x14ac:dyDescent="0.35">
      <c r="D141" s="633"/>
    </row>
    <row r="142" spans="2:36" x14ac:dyDescent="0.35">
      <c r="C142" s="629"/>
      <c r="E142" s="629"/>
      <c r="F142" s="935"/>
      <c r="G142" s="935"/>
      <c r="H142" s="644"/>
      <c r="I142" s="935"/>
      <c r="J142" s="644"/>
      <c r="K142" s="644"/>
      <c r="L142" s="644"/>
      <c r="M142" s="644"/>
      <c r="N142" s="935"/>
      <c r="O142" s="644"/>
      <c r="P142" s="935"/>
      <c r="Q142" s="629"/>
      <c r="R142" s="645"/>
      <c r="S142" s="629"/>
      <c r="T142" s="646"/>
      <c r="U142" s="629"/>
      <c r="V142" s="629"/>
      <c r="W142" s="629"/>
      <c r="X142" s="629"/>
      <c r="Y142" s="629"/>
      <c r="Z142" s="629"/>
      <c r="AA142" s="629"/>
      <c r="AB142" s="629"/>
      <c r="AC142" s="629"/>
      <c r="AD142" s="629"/>
      <c r="AE142" s="629"/>
      <c r="AF142" s="629"/>
      <c r="AG142" s="629"/>
      <c r="AH142" s="629"/>
      <c r="AI142" s="629"/>
      <c r="AJ142" s="629"/>
    </row>
    <row r="143" spans="2:36" x14ac:dyDescent="0.35">
      <c r="B143" s="637"/>
      <c r="C143" s="633"/>
      <c r="D143" s="629"/>
      <c r="E143" s="633"/>
      <c r="F143" s="936"/>
      <c r="G143" s="936"/>
      <c r="H143" s="647"/>
      <c r="I143" s="936"/>
      <c r="J143" s="647"/>
      <c r="K143" s="647"/>
      <c r="L143" s="647"/>
      <c r="M143" s="647"/>
      <c r="N143" s="936"/>
    </row>
    <row r="144" spans="2:36" x14ac:dyDescent="0.35">
      <c r="B144" s="637"/>
      <c r="C144" s="633"/>
      <c r="D144" s="633"/>
      <c r="E144" s="633"/>
      <c r="F144" s="936"/>
      <c r="G144" s="936"/>
      <c r="H144" s="647"/>
      <c r="I144" s="936"/>
      <c r="J144" s="647"/>
      <c r="K144" s="647"/>
      <c r="L144" s="647"/>
      <c r="M144" s="647"/>
      <c r="N144" s="936"/>
    </row>
    <row r="145" spans="2:36" x14ac:dyDescent="0.35">
      <c r="D145" s="633"/>
    </row>
    <row r="146" spans="2:36" x14ac:dyDescent="0.35">
      <c r="C146" s="629"/>
    </row>
    <row r="147" spans="2:36" x14ac:dyDescent="0.35">
      <c r="B147" s="637"/>
      <c r="C147" s="152"/>
    </row>
    <row r="149" spans="2:36" x14ac:dyDescent="0.35">
      <c r="C149" s="629"/>
      <c r="E149" s="629"/>
      <c r="F149" s="935"/>
      <c r="G149" s="935"/>
      <c r="H149" s="644"/>
      <c r="I149" s="935"/>
      <c r="J149" s="644"/>
      <c r="K149" s="644"/>
      <c r="L149" s="644"/>
      <c r="M149" s="644"/>
      <c r="N149" s="935"/>
      <c r="O149" s="644"/>
      <c r="P149" s="935"/>
      <c r="Q149" s="629"/>
      <c r="R149" s="645"/>
      <c r="S149" s="629"/>
      <c r="T149" s="646"/>
      <c r="U149" s="629"/>
      <c r="V149" s="629"/>
      <c r="W149" s="629"/>
      <c r="X149" s="629"/>
      <c r="Y149" s="629"/>
      <c r="Z149" s="629"/>
      <c r="AA149" s="629"/>
      <c r="AB149" s="629"/>
      <c r="AC149" s="629"/>
      <c r="AD149" s="629"/>
      <c r="AE149" s="629"/>
      <c r="AF149" s="629"/>
      <c r="AG149" s="629"/>
      <c r="AH149" s="629"/>
      <c r="AI149" s="629"/>
      <c r="AJ149" s="629"/>
    </row>
    <row r="150" spans="2:36" x14ac:dyDescent="0.35">
      <c r="B150" s="637"/>
      <c r="C150" s="633"/>
      <c r="D150" s="629"/>
      <c r="E150" s="633"/>
      <c r="F150" s="936"/>
      <c r="G150" s="936"/>
      <c r="H150" s="647"/>
      <c r="I150" s="936"/>
      <c r="J150" s="647"/>
      <c r="K150" s="647"/>
      <c r="L150" s="647"/>
      <c r="M150" s="647"/>
      <c r="N150" s="936"/>
    </row>
    <row r="151" spans="2:36" x14ac:dyDescent="0.35">
      <c r="B151" s="637"/>
      <c r="C151" s="633"/>
      <c r="D151" s="633"/>
      <c r="E151" s="633"/>
      <c r="F151" s="936"/>
      <c r="G151" s="936"/>
      <c r="H151" s="647"/>
      <c r="I151" s="936"/>
      <c r="J151" s="647"/>
      <c r="K151" s="647"/>
      <c r="L151" s="647"/>
      <c r="M151" s="647"/>
      <c r="N151" s="936"/>
    </row>
    <row r="152" spans="2:36" x14ac:dyDescent="0.35">
      <c r="D152" s="633"/>
    </row>
  </sheetData>
  <mergeCells count="7">
    <mergeCell ref="B6:B22"/>
    <mergeCell ref="D56:S56"/>
    <mergeCell ref="B45:B50"/>
    <mergeCell ref="B52:B54"/>
    <mergeCell ref="B31:B35"/>
    <mergeCell ref="B27:B29"/>
    <mergeCell ref="B39:B43"/>
  </mergeCells>
  <conditionalFormatting sqref="R18:R22">
    <cfRule type="cellIs" dxfId="131" priority="1" operator="lessThan">
      <formula>-0.05</formula>
    </cfRule>
    <cfRule type="cellIs" dxfId="130" priority="2" operator="between">
      <formula>-5%</formula>
      <formula>5%</formula>
    </cfRule>
    <cfRule type="cellIs" dxfId="129" priority="3" operator="greaterThan">
      <formula>5%</formula>
    </cfRule>
  </conditionalFormatting>
  <conditionalFormatting sqref="R37">
    <cfRule type="cellIs" dxfId="128" priority="10" operator="lessThan">
      <formula>-0.05</formula>
    </cfRule>
    <cfRule type="cellIs" dxfId="127" priority="11" operator="between">
      <formula>-5%</formula>
      <formula>5%</formula>
    </cfRule>
    <cfRule type="cellIs" dxfId="126" priority="12" operator="greaterThan">
      <formula>5%</formula>
    </cfRule>
  </conditionalFormatting>
  <conditionalFormatting sqref="R39:R43">
    <cfRule type="cellIs" dxfId="125" priority="103" operator="lessThan">
      <formula>-0.05</formula>
    </cfRule>
    <cfRule type="cellIs" dxfId="124" priority="104" operator="between">
      <formula>-5%</formula>
      <formula>5%</formula>
    </cfRule>
    <cfRule type="cellIs" dxfId="123" priority="105" operator="greaterThan">
      <formula>5%</formula>
    </cfRule>
  </conditionalFormatting>
  <conditionalFormatting sqref="R6:S17">
    <cfRule type="cellIs" dxfId="122" priority="13" operator="lessThan">
      <formula>-0.05</formula>
    </cfRule>
    <cfRule type="cellIs" dxfId="121" priority="14" operator="between">
      <formula>-5%</formula>
      <formula>5%</formula>
    </cfRule>
    <cfRule type="cellIs" dxfId="120" priority="15" operator="greaterThan">
      <formula>5%</formula>
    </cfRule>
  </conditionalFormatting>
  <conditionalFormatting sqref="R25:S25">
    <cfRule type="cellIs" dxfId="119" priority="82" operator="lessThan">
      <formula>-0.05</formula>
    </cfRule>
    <cfRule type="cellIs" dxfId="118" priority="83" operator="between">
      <formula>-5%</formula>
      <formula>5%</formula>
    </cfRule>
    <cfRule type="cellIs" dxfId="117" priority="84" operator="greaterThan">
      <formula>5%</formula>
    </cfRule>
  </conditionalFormatting>
  <conditionalFormatting sqref="R27:S29">
    <cfRule type="cellIs" dxfId="116" priority="67" operator="lessThan">
      <formula>-0.05</formula>
    </cfRule>
    <cfRule type="cellIs" dxfId="115" priority="68" operator="between">
      <formula>-5%</formula>
      <formula>5%</formula>
    </cfRule>
    <cfRule type="cellIs" dxfId="114" priority="69" operator="greaterThan">
      <formula>5%</formula>
    </cfRule>
  </conditionalFormatting>
  <conditionalFormatting sqref="R31:S35">
    <cfRule type="cellIs" dxfId="113" priority="4" operator="greaterThan">
      <formula>5%</formula>
    </cfRule>
    <cfRule type="cellIs" dxfId="112" priority="5" operator="lessThan">
      <formula>-0.05</formula>
    </cfRule>
    <cfRule type="cellIs" dxfId="111" priority="6" operator="between">
      <formula>-5%</formula>
      <formula>5%</formula>
    </cfRule>
  </conditionalFormatting>
  <conditionalFormatting sqref="R45:S50">
    <cfRule type="cellIs" dxfId="110" priority="46" operator="lessThan">
      <formula>-0.05</formula>
    </cfRule>
    <cfRule type="cellIs" dxfId="109" priority="47" operator="between">
      <formula>-5%</formula>
      <formula>5%</formula>
    </cfRule>
    <cfRule type="cellIs" dxfId="108" priority="48" operator="greaterThan">
      <formula>5%</formula>
    </cfRule>
  </conditionalFormatting>
  <conditionalFormatting sqref="S39:S42">
    <cfRule type="cellIs" dxfId="107" priority="19" operator="lessThan">
      <formula>-0.05</formula>
    </cfRule>
    <cfRule type="cellIs" dxfId="106" priority="20" operator="between">
      <formula>-5%</formula>
      <formula>5%</formula>
    </cfRule>
    <cfRule type="cellIs" dxfId="105" priority="21" operator="greaterThan">
      <formula>5%</formula>
    </cfRule>
  </conditionalFormatting>
  <pageMargins left="0.23622047244094491" right="0.23622047244094491" top="0.74803149606299213" bottom="0.74803149606299213" header="0.31496062992125984" footer="0.31496062992125984"/>
  <pageSetup paperSize="9" scale="72" fitToHeight="0" orientation="landscape" r:id="rId1"/>
  <headerFooter>
    <oddFooter>&amp;C&amp;1#&amp;"Calibri"&amp;10&amp;K000000OFFICIAL</oddFooter>
  </headerFooter>
  <ignoredErrors>
    <ignoredError sqref="E8 E11 F44 F8 R8:S11 F24:S24 Q13:S13 F38 F30 F51 Q49 F11 Q12:S12 F26 Q25:S25 Q27:S27 Q33 Q31:S31 Q32:S32 Q40 Q39:S39 Q44:S44 Q38:S38 Q30:S30 Q51:S51 Q26:S26 G8:P8 G11:P11 S50 S40 S33 O22 O19 O20 O21" evalError="1"/>
    <ignoredError sqref="Q8:Q11" evalError="1" formula="1"/>
    <ignoredError sqref="R28:S28"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142"/>
  <sheetViews>
    <sheetView showGridLines="0" topLeftCell="A19" zoomScaleNormal="100" workbookViewId="0">
      <selection activeCell="P35" sqref="P35:R35"/>
    </sheetView>
  </sheetViews>
  <sheetFormatPr defaultColWidth="8.84375" defaultRowHeight="15.5" x14ac:dyDescent="0.35"/>
  <cols>
    <col min="1" max="1" width="3.23046875" style="130" customWidth="1"/>
    <col min="2" max="2" width="13" style="130" customWidth="1"/>
    <col min="3" max="3" width="51.53515625" style="130" customWidth="1"/>
    <col min="4" max="4" width="8.84375" style="130"/>
    <col min="5" max="5" width="5.84375" style="130" customWidth="1"/>
    <col min="6" max="6" width="5.84375" style="934" customWidth="1"/>
    <col min="7" max="7" width="5.76562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130" customWidth="1"/>
    <col min="18" max="18" width="10.69140625" style="641" customWidth="1"/>
    <col min="19" max="19" width="10.304687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37" customFormat="1" ht="26" x14ac:dyDescent="0.6">
      <c r="A1" s="1"/>
      <c r="B1" s="9" t="s">
        <v>79</v>
      </c>
      <c r="C1" s="1"/>
      <c r="D1" s="760" t="s">
        <v>30</v>
      </c>
      <c r="E1" s="1"/>
      <c r="F1" s="930"/>
      <c r="G1" s="930"/>
      <c r="H1" s="95"/>
      <c r="I1" s="930"/>
      <c r="J1" s="95"/>
      <c r="K1" s="95"/>
      <c r="L1" s="95"/>
      <c r="M1" s="95"/>
      <c r="N1" s="930"/>
      <c r="O1" s="95"/>
      <c r="P1" s="930"/>
      <c r="Q1" s="1"/>
      <c r="R1" s="7"/>
      <c r="S1" s="1"/>
      <c r="T1" s="510"/>
      <c r="U1" s="1"/>
      <c r="V1" s="1"/>
      <c r="W1" s="1"/>
      <c r="X1" s="1"/>
      <c r="Y1" s="1"/>
      <c r="Z1" s="1"/>
      <c r="AA1" s="1"/>
      <c r="AB1" s="1"/>
      <c r="AC1" s="1"/>
      <c r="AD1" s="1"/>
      <c r="AE1" s="1"/>
      <c r="AF1" s="1"/>
      <c r="AG1" s="1"/>
      <c r="AH1" s="1"/>
      <c r="AI1" s="1"/>
      <c r="AJ1" s="1"/>
      <c r="AK1" s="1"/>
    </row>
    <row r="2" spans="1:37" customFormat="1" x14ac:dyDescent="0.35">
      <c r="A2" s="1"/>
      <c r="B2" s="1"/>
      <c r="C2" s="1"/>
      <c r="D2" s="1"/>
      <c r="E2" s="1"/>
      <c r="F2" s="930"/>
      <c r="G2" s="930"/>
      <c r="H2" s="95"/>
      <c r="I2" s="930"/>
      <c r="J2" s="95"/>
      <c r="K2" s="95"/>
      <c r="L2" s="95"/>
      <c r="M2" s="95"/>
      <c r="N2" s="930"/>
      <c r="O2" s="95"/>
      <c r="P2" s="930"/>
      <c r="Q2" s="1"/>
      <c r="R2" s="7"/>
      <c r="S2" s="2"/>
      <c r="T2" s="510"/>
      <c r="U2" s="7" t="s">
        <v>69</v>
      </c>
      <c r="V2" s="1"/>
      <c r="W2" s="1"/>
      <c r="X2" s="1"/>
      <c r="Y2" s="1"/>
      <c r="Z2" s="1"/>
      <c r="AA2" s="1"/>
      <c r="AB2" s="1"/>
      <c r="AC2" s="1"/>
      <c r="AD2" s="1"/>
      <c r="AE2" s="1"/>
      <c r="AF2" s="1"/>
      <c r="AG2" s="1"/>
      <c r="AH2" s="1"/>
      <c r="AI2" s="1"/>
      <c r="AJ2" s="1"/>
      <c r="AK2" s="1"/>
    </row>
    <row r="3" spans="1:37" customFormat="1" ht="26" x14ac:dyDescent="0.6">
      <c r="A3" s="1"/>
      <c r="B3" s="925" t="s">
        <v>503</v>
      </c>
      <c r="C3" s="2"/>
      <c r="D3" s="2"/>
      <c r="E3" s="2"/>
      <c r="F3" s="465"/>
      <c r="G3" s="465"/>
      <c r="H3" s="96"/>
      <c r="I3" s="465"/>
      <c r="J3" s="96"/>
      <c r="K3" s="96"/>
      <c r="L3" s="96"/>
      <c r="M3" s="96"/>
      <c r="N3" s="465"/>
      <c r="O3" s="96"/>
      <c r="P3" s="465"/>
      <c r="Q3" s="2"/>
      <c r="R3" s="293"/>
      <c r="S3" s="2"/>
      <c r="T3" s="510"/>
      <c r="U3" s="1"/>
      <c r="V3" s="1"/>
      <c r="W3" s="1"/>
      <c r="X3" s="1"/>
      <c r="Y3" s="1"/>
      <c r="Z3" s="1"/>
      <c r="AA3" s="1"/>
      <c r="AB3" s="1"/>
      <c r="AC3" s="1"/>
      <c r="AD3" s="1"/>
      <c r="AE3" s="1"/>
      <c r="AF3" s="1"/>
      <c r="AG3" s="1"/>
      <c r="AH3" s="1"/>
      <c r="AI3" s="1"/>
      <c r="AJ3" s="1"/>
      <c r="AK3" s="1"/>
    </row>
    <row r="4" spans="1:37" customFormat="1" ht="52.5" customHeight="1" x14ac:dyDescent="0.35">
      <c r="A4" s="1"/>
      <c r="B4" s="2"/>
      <c r="C4" s="214" t="s">
        <v>1</v>
      </c>
      <c r="D4" s="996" t="s">
        <v>497</v>
      </c>
      <c r="E4" s="12" t="s">
        <v>132</v>
      </c>
      <c r="F4" s="12" t="s">
        <v>20</v>
      </c>
      <c r="G4" s="12" t="s">
        <v>21</v>
      </c>
      <c r="H4" s="12" t="s">
        <v>22</v>
      </c>
      <c r="I4" s="12" t="s">
        <v>23</v>
      </c>
      <c r="J4" s="12" t="s">
        <v>24</v>
      </c>
      <c r="K4" s="12" t="s">
        <v>25</v>
      </c>
      <c r="L4" s="12" t="s">
        <v>26</v>
      </c>
      <c r="M4" s="12" t="s">
        <v>27</v>
      </c>
      <c r="N4" s="12" t="s">
        <v>28</v>
      </c>
      <c r="O4" s="12" t="s">
        <v>29</v>
      </c>
      <c r="P4" s="12" t="s">
        <v>30</v>
      </c>
      <c r="Q4" s="252" t="s">
        <v>32</v>
      </c>
      <c r="R4" s="997" t="s">
        <v>498</v>
      </c>
      <c r="S4" s="508" t="s">
        <v>351</v>
      </c>
      <c r="T4" s="510"/>
      <c r="U4" s="1"/>
      <c r="V4" s="1"/>
      <c r="W4" s="1"/>
      <c r="X4" s="1"/>
      <c r="Y4" s="1"/>
      <c r="Z4" s="1"/>
      <c r="AA4" s="1"/>
      <c r="AB4" s="1"/>
      <c r="AC4" s="1"/>
      <c r="AD4" s="1"/>
      <c r="AE4" s="1"/>
      <c r="AF4" s="1"/>
      <c r="AG4" s="1"/>
      <c r="AH4" s="1"/>
      <c r="AI4" s="1"/>
      <c r="AJ4" s="1"/>
      <c r="AK4" s="1"/>
    </row>
    <row r="5" spans="1:37" s="64" customFormat="1" ht="15" customHeight="1" x14ac:dyDescent="0.35">
      <c r="A5" s="1"/>
      <c r="B5" s="1225" t="s">
        <v>459</v>
      </c>
      <c r="C5" s="127" t="s">
        <v>2</v>
      </c>
      <c r="D5" s="250">
        <f>'year end'!AD191</f>
        <v>899</v>
      </c>
      <c r="E5" s="412">
        <f>Masterlist!AN179</f>
        <v>72</v>
      </c>
      <c r="F5" s="1118">
        <f>Masterlist!AO179</f>
        <v>81</v>
      </c>
      <c r="G5" s="1118">
        <f>Masterlist!AP179</f>
        <v>76</v>
      </c>
      <c r="H5" s="1118">
        <f>Masterlist!AQ179</f>
        <v>95</v>
      </c>
      <c r="I5" s="1118">
        <f>Masterlist!AR179</f>
        <v>71</v>
      </c>
      <c r="J5" s="1118">
        <f>Masterlist!AS179</f>
        <v>65</v>
      </c>
      <c r="K5" s="1118">
        <f>Masterlist!AT179</f>
        <v>83</v>
      </c>
      <c r="L5" s="1118">
        <f>Masterlist!AU179</f>
        <v>69</v>
      </c>
      <c r="M5" s="1118">
        <f>Masterlist!AV179</f>
        <v>65</v>
      </c>
      <c r="N5" s="1118">
        <f>Masterlist!AW179</f>
        <v>82</v>
      </c>
      <c r="O5" s="1118">
        <f>Masterlist!AX179</f>
        <v>55</v>
      </c>
      <c r="P5" s="1118">
        <f>Masterlist!AY179</f>
        <v>55</v>
      </c>
      <c r="Q5" s="255">
        <f t="shared" ref="Q5:Q9" si="0">SUM(E5:P5)</f>
        <v>869</v>
      </c>
      <c r="R5" s="294">
        <f>(Q5-(HLOOKUP($D$1,yearendcumulative,190,FALSE)))/(HLOOKUP($D$1,yearendcumulative,190,FALSE))</f>
        <v>-3.3370411568409343E-2</v>
      </c>
      <c r="S5" s="294">
        <f>(Q5-(HLOOKUP($D$1,Monthlyaveragecumulative,190,FALSE)))/(HLOOKUP($D$1,Monthlyaveragecumulative,190,FALSE))</f>
        <v>0.31866464339908951</v>
      </c>
      <c r="T5" s="510"/>
      <c r="U5" s="1"/>
      <c r="V5" s="1"/>
      <c r="W5" s="1"/>
      <c r="X5" s="1"/>
      <c r="Y5" s="1"/>
      <c r="Z5" s="1"/>
      <c r="AA5" s="1"/>
      <c r="AB5" s="1"/>
      <c r="AC5" s="1"/>
      <c r="AD5" s="1"/>
      <c r="AE5" s="1"/>
      <c r="AF5" s="1"/>
      <c r="AG5" s="1"/>
      <c r="AH5" s="1"/>
      <c r="AI5" s="1"/>
      <c r="AJ5" s="1"/>
      <c r="AK5" s="1"/>
    </row>
    <row r="6" spans="1:37" s="64" customFormat="1" x14ac:dyDescent="0.35">
      <c r="A6" s="1"/>
      <c r="B6" s="1220"/>
      <c r="C6" s="20" t="s">
        <v>3</v>
      </c>
      <c r="D6" s="250">
        <f>'year end'!AD211</f>
        <v>287</v>
      </c>
      <c r="E6" s="177">
        <f>Masterlist!AN197</f>
        <v>29</v>
      </c>
      <c r="F6" s="30">
        <f>Masterlist!AO197</f>
        <v>29</v>
      </c>
      <c r="G6" s="30">
        <f>Masterlist!AP197</f>
        <v>28</v>
      </c>
      <c r="H6" s="30">
        <f>Masterlist!AQ197</f>
        <v>26</v>
      </c>
      <c r="I6" s="30">
        <f>Masterlist!AR197</f>
        <v>32</v>
      </c>
      <c r="J6" s="30">
        <f>Masterlist!AS197</f>
        <v>25</v>
      </c>
      <c r="K6" s="30">
        <f>Masterlist!AT197</f>
        <v>27</v>
      </c>
      <c r="L6" s="30">
        <f>Masterlist!AU197</f>
        <v>21</v>
      </c>
      <c r="M6" s="30">
        <f>Masterlist!AV197</f>
        <v>23</v>
      </c>
      <c r="N6" s="30">
        <f>Masterlist!AW197</f>
        <v>29</v>
      </c>
      <c r="O6" s="30">
        <f>Masterlist!AX197</f>
        <v>24</v>
      </c>
      <c r="P6" s="30">
        <f>Masterlist!AY197</f>
        <v>20</v>
      </c>
      <c r="Q6" s="190">
        <f t="shared" si="0"/>
        <v>313</v>
      </c>
      <c r="R6" s="295">
        <f>(Q6-(HLOOKUP($D$1,yearendcumulative,210,FALSE)))/(HLOOKUP($D$1,yearendcumulative,210,FALSE))</f>
        <v>9.0592334494773524E-2</v>
      </c>
      <c r="S6" s="295">
        <f>(Q6-(HLOOKUP($D$1,Monthlyaveragecumulative,210,FALSE)))/(HLOOKUP($D$1,Monthlyaveragecumulative,210,FALSE))</f>
        <v>0.19923371647509577</v>
      </c>
      <c r="T6" s="510"/>
      <c r="U6" s="1"/>
      <c r="V6" s="1"/>
      <c r="W6" s="1"/>
      <c r="X6" s="1"/>
      <c r="Y6" s="1"/>
      <c r="Z6" s="1"/>
      <c r="AA6" s="1"/>
      <c r="AB6" s="1"/>
      <c r="AC6" s="1"/>
      <c r="AD6" s="1"/>
      <c r="AE6" s="1"/>
      <c r="AF6" s="1"/>
      <c r="AG6" s="1"/>
      <c r="AH6" s="1"/>
      <c r="AI6" s="1"/>
      <c r="AJ6" s="1"/>
      <c r="AK6" s="1"/>
    </row>
    <row r="7" spans="1:37" s="64" customFormat="1" x14ac:dyDescent="0.35">
      <c r="A7" s="1"/>
      <c r="B7" s="1220"/>
      <c r="C7" s="20" t="s">
        <v>235</v>
      </c>
      <c r="D7" s="274">
        <f>D6/D5</f>
        <v>0.3192436040044494</v>
      </c>
      <c r="E7" s="104">
        <f>E6/E5</f>
        <v>0.40277777777777779</v>
      </c>
      <c r="F7" s="50">
        <f t="shared" ref="F7" si="1">F6/F5</f>
        <v>0.35802469135802467</v>
      </c>
      <c r="G7" s="50">
        <f t="shared" ref="G7:P7" si="2">G6/G5</f>
        <v>0.36842105263157893</v>
      </c>
      <c r="H7" s="50">
        <f t="shared" si="2"/>
        <v>0.27368421052631581</v>
      </c>
      <c r="I7" s="50">
        <f t="shared" si="2"/>
        <v>0.45070422535211269</v>
      </c>
      <c r="J7" s="50">
        <f t="shared" si="2"/>
        <v>0.38461538461538464</v>
      </c>
      <c r="K7" s="50">
        <f t="shared" si="2"/>
        <v>0.3253012048192771</v>
      </c>
      <c r="L7" s="50">
        <f t="shared" si="2"/>
        <v>0.30434782608695654</v>
      </c>
      <c r="M7" s="50">
        <f t="shared" si="2"/>
        <v>0.35384615384615387</v>
      </c>
      <c r="N7" s="50">
        <f t="shared" si="2"/>
        <v>0.35365853658536583</v>
      </c>
      <c r="O7" s="50">
        <f t="shared" si="2"/>
        <v>0.43636363636363634</v>
      </c>
      <c r="P7" s="50">
        <f t="shared" si="2"/>
        <v>0.36363636363636365</v>
      </c>
      <c r="Q7" s="270">
        <f t="shared" ref="Q7" si="3">Q6/Q5</f>
        <v>0.36018411967779057</v>
      </c>
      <c r="R7" s="295">
        <f>Q7-(HLOOKUP($D$1,yearendcumulative,392,FALSE))</f>
        <v>4.0940515673341171E-2</v>
      </c>
      <c r="S7" s="295">
        <f>(Q7-(HLOOKUP($D$1,Monthlyaveragecumulative,392,FALSE)))</f>
        <v>-3.5870508546792135E-2</v>
      </c>
      <c r="T7" s="510"/>
      <c r="U7" s="1"/>
      <c r="V7" s="1"/>
      <c r="W7" s="1"/>
      <c r="X7" s="1"/>
      <c r="Y7" s="1"/>
      <c r="Z7" s="1"/>
      <c r="AA7" s="1"/>
      <c r="AB7" s="1"/>
      <c r="AC7" s="1"/>
      <c r="AD7" s="1"/>
      <c r="AE7" s="1"/>
      <c r="AF7" s="1"/>
      <c r="AG7" s="1"/>
      <c r="AH7" s="1"/>
      <c r="AI7" s="1"/>
      <c r="AJ7" s="1"/>
      <c r="AK7" s="1"/>
    </row>
    <row r="8" spans="1:37" s="64" customFormat="1" x14ac:dyDescent="0.35">
      <c r="A8" s="1"/>
      <c r="B8" s="1220"/>
      <c r="C8" s="127" t="s">
        <v>4</v>
      </c>
      <c r="D8" s="250">
        <f>'year end'!AD192</f>
        <v>1864</v>
      </c>
      <c r="E8" s="177">
        <f>Masterlist!AN180</f>
        <v>153</v>
      </c>
      <c r="F8" s="30">
        <f>Masterlist!AO180</f>
        <v>160</v>
      </c>
      <c r="G8" s="30">
        <f>Masterlist!AP180</f>
        <v>163</v>
      </c>
      <c r="H8" s="30">
        <f>Masterlist!AQ180</f>
        <v>164</v>
      </c>
      <c r="I8" s="30">
        <f>Masterlist!AR180</f>
        <v>147</v>
      </c>
      <c r="J8" s="30">
        <f>Masterlist!AS180</f>
        <v>135</v>
      </c>
      <c r="K8" s="30">
        <f>Masterlist!AT180</f>
        <v>156</v>
      </c>
      <c r="L8" s="30">
        <f>Masterlist!AU180</f>
        <v>152</v>
      </c>
      <c r="M8" s="30">
        <f>Masterlist!AV180</f>
        <v>138</v>
      </c>
      <c r="N8" s="30">
        <f>Masterlist!AW180</f>
        <v>127</v>
      </c>
      <c r="O8" s="30">
        <f>Masterlist!AX180</f>
        <v>170</v>
      </c>
      <c r="P8" s="30">
        <f>Masterlist!AY180</f>
        <v>158</v>
      </c>
      <c r="Q8" s="190">
        <f t="shared" si="0"/>
        <v>1823</v>
      </c>
      <c r="R8" s="295">
        <f>(Q8-(HLOOKUP($D$1,yearendcumulative,191,FALSE)))/(HLOOKUP($D$1,yearendcumulative,191,FALSE))</f>
        <v>-2.1995708154506438E-2</v>
      </c>
      <c r="S8" s="295">
        <f>(Q8-(HLOOKUP($D$1,Monthlyaveragecumulative,191,FALSE)))/(HLOOKUP($D$1,Monthlyaveragecumulative,191,FALSE))</f>
        <v>0.14151534126487164</v>
      </c>
      <c r="T8" s="510"/>
      <c r="U8" s="1"/>
      <c r="V8" s="1"/>
      <c r="W8" s="1"/>
      <c r="X8" s="1"/>
      <c r="Y8" s="1"/>
      <c r="Z8" s="1"/>
      <c r="AA8" s="1"/>
      <c r="AB8" s="1"/>
      <c r="AC8" s="1"/>
      <c r="AD8" s="1"/>
      <c r="AE8" s="1"/>
      <c r="AF8" s="1"/>
      <c r="AG8" s="1"/>
      <c r="AH8" s="1"/>
      <c r="AI8" s="1"/>
      <c r="AJ8" s="1"/>
      <c r="AK8" s="1"/>
    </row>
    <row r="9" spans="1:37" s="64" customFormat="1" x14ac:dyDescent="0.35">
      <c r="A9" s="1"/>
      <c r="B9" s="1220"/>
      <c r="C9" s="20" t="s">
        <v>158</v>
      </c>
      <c r="D9" s="250">
        <f>'year end'!AD212</f>
        <v>681</v>
      </c>
      <c r="E9" s="177">
        <f>Masterlist!AN198</f>
        <v>58</v>
      </c>
      <c r="F9" s="30">
        <f>Masterlist!AO198</f>
        <v>47</v>
      </c>
      <c r="G9" s="30">
        <f>Masterlist!AP198</f>
        <v>53</v>
      </c>
      <c r="H9" s="30">
        <f>Masterlist!AQ198</f>
        <v>63</v>
      </c>
      <c r="I9" s="30">
        <f>Masterlist!AR198</f>
        <v>56</v>
      </c>
      <c r="J9" s="30">
        <f>Masterlist!AS198</f>
        <v>53</v>
      </c>
      <c r="K9" s="30">
        <f>Masterlist!AT198</f>
        <v>55</v>
      </c>
      <c r="L9" s="30">
        <f>Masterlist!AU198</f>
        <v>54</v>
      </c>
      <c r="M9" s="30">
        <f>Masterlist!AV198</f>
        <v>60</v>
      </c>
      <c r="N9" s="30">
        <f>Masterlist!AW198</f>
        <v>49</v>
      </c>
      <c r="O9" s="30">
        <f>Masterlist!AX198</f>
        <v>64</v>
      </c>
      <c r="P9" s="30">
        <f>Masterlist!AY198</f>
        <v>61</v>
      </c>
      <c r="Q9" s="190">
        <f t="shared" si="0"/>
        <v>673</v>
      </c>
      <c r="R9" s="295">
        <f>(Q9-(HLOOKUP($D$1,yearendcumulative,211,FALSE)))/(HLOOKUP($D$1,yearendcumulative,211,FALSE))</f>
        <v>-1.1747430249632892E-2</v>
      </c>
      <c r="S9" s="295">
        <f>(Q9-(HLOOKUP($D$1,Monthlyaveragecumulative,211,FALSE)))/(HLOOKUP($D$1,Monthlyaveragecumulative,211,FALSE))</f>
        <v>1.5082956259426848E-2</v>
      </c>
      <c r="T9" s="510"/>
      <c r="U9" s="1"/>
      <c r="V9" s="1"/>
      <c r="W9" s="1"/>
      <c r="X9" s="1"/>
      <c r="Y9" s="1"/>
      <c r="Z9" s="1"/>
      <c r="AA9" s="1"/>
      <c r="AB9" s="1"/>
      <c r="AC9" s="1"/>
      <c r="AD9" s="1"/>
      <c r="AE9" s="1"/>
      <c r="AF9" s="1"/>
      <c r="AG9" s="1"/>
      <c r="AH9" s="1"/>
      <c r="AI9" s="1"/>
      <c r="AJ9" s="1"/>
      <c r="AK9" s="1"/>
    </row>
    <row r="10" spans="1:37" s="64" customFormat="1" ht="26" x14ac:dyDescent="0.35">
      <c r="A10" s="1"/>
      <c r="B10" s="1220"/>
      <c r="C10" s="1045" t="s">
        <v>236</v>
      </c>
      <c r="D10" s="1043">
        <f>D9/D8</f>
        <v>0.36534334763948501</v>
      </c>
      <c r="E10" s="1044">
        <f>E9/E8</f>
        <v>0.37908496732026142</v>
      </c>
      <c r="F10" s="1129">
        <f t="shared" ref="F10" si="4">F9/F8</f>
        <v>0.29375000000000001</v>
      </c>
      <c r="G10" s="1129">
        <f t="shared" ref="G10:P10" si="5">G9/G8</f>
        <v>0.32515337423312884</v>
      </c>
      <c r="H10" s="1129">
        <f t="shared" si="5"/>
        <v>0.38414634146341464</v>
      </c>
      <c r="I10" s="1129">
        <f t="shared" si="5"/>
        <v>0.38095238095238093</v>
      </c>
      <c r="J10" s="1129">
        <f t="shared" si="5"/>
        <v>0.3925925925925926</v>
      </c>
      <c r="K10" s="1129">
        <f t="shared" si="5"/>
        <v>0.35256410256410259</v>
      </c>
      <c r="L10" s="1129">
        <f t="shared" si="5"/>
        <v>0.35526315789473684</v>
      </c>
      <c r="M10" s="1129">
        <f t="shared" si="5"/>
        <v>0.43478260869565216</v>
      </c>
      <c r="N10" s="1129">
        <f t="shared" si="5"/>
        <v>0.38582677165354329</v>
      </c>
      <c r="O10" s="1129">
        <f t="shared" si="5"/>
        <v>0.37647058823529411</v>
      </c>
      <c r="P10" s="1129">
        <f t="shared" si="5"/>
        <v>0.38607594936708861</v>
      </c>
      <c r="Q10" s="973">
        <f t="shared" ref="Q10" si="6">Q9/Q8</f>
        <v>0.36917169500822822</v>
      </c>
      <c r="R10" s="296">
        <f>(Q10-HLOOKUP($D$1,yearendcumulative,398,FALSE))</f>
        <v>1.5087049338936898E-2</v>
      </c>
      <c r="S10" s="295">
        <f>(Q10-(HLOOKUP($D$1,Monthlyaveragecumulative,399,FALSE)))</f>
        <v>-4.598171764048814E-2</v>
      </c>
      <c r="T10" s="510"/>
      <c r="U10" s="1"/>
      <c r="V10" s="1"/>
      <c r="W10" s="1"/>
      <c r="X10" s="1"/>
      <c r="Y10" s="1"/>
      <c r="Z10" s="1"/>
      <c r="AA10" s="1"/>
      <c r="AB10" s="1"/>
      <c r="AC10" s="1"/>
      <c r="AD10" s="1"/>
      <c r="AE10" s="1"/>
      <c r="AF10" s="1"/>
      <c r="AG10" s="1"/>
      <c r="AH10" s="1"/>
      <c r="AI10" s="1"/>
      <c r="AJ10" s="1"/>
      <c r="AK10" s="1"/>
    </row>
    <row r="11" spans="1:37" s="64" customFormat="1" ht="15" customHeight="1" x14ac:dyDescent="0.35">
      <c r="A11" s="1"/>
      <c r="B11" s="3"/>
      <c r="C11" s="4"/>
      <c r="D11" s="211"/>
      <c r="E11" s="51"/>
      <c r="F11" s="51"/>
      <c r="G11" s="51"/>
      <c r="H11" s="51"/>
      <c r="I11" s="51"/>
      <c r="J11" s="51"/>
      <c r="K11" s="51"/>
      <c r="L11" s="51"/>
      <c r="M11" s="51"/>
      <c r="N11" s="51"/>
      <c r="O11" s="51"/>
      <c r="P11" s="51"/>
      <c r="Q11" s="192"/>
      <c r="R11" s="311"/>
      <c r="S11" s="311"/>
      <c r="T11" s="510"/>
      <c r="U11" s="1"/>
      <c r="V11" s="1"/>
      <c r="W11" s="1"/>
      <c r="X11" s="1"/>
      <c r="Y11" s="1"/>
      <c r="Z11" s="1"/>
      <c r="AA11" s="1"/>
      <c r="AB11" s="1"/>
      <c r="AC11" s="1"/>
      <c r="AD11" s="1"/>
      <c r="AE11" s="1"/>
      <c r="AF11" s="1"/>
      <c r="AG11" s="1"/>
      <c r="AH11" s="1"/>
      <c r="AI11" s="1"/>
      <c r="AJ11" s="1"/>
      <c r="AK11" s="1"/>
    </row>
    <row r="12" spans="1:37" s="64" customFormat="1" x14ac:dyDescent="0.35">
      <c r="A12" s="1"/>
      <c r="B12" s="1226" t="s">
        <v>454</v>
      </c>
      <c r="C12" s="127" t="s">
        <v>5</v>
      </c>
      <c r="D12" s="233">
        <f>'year end'!AD193</f>
        <v>98</v>
      </c>
      <c r="E12" s="412">
        <f>Masterlist!AN181</f>
        <v>6</v>
      </c>
      <c r="F12" s="1118">
        <f>Masterlist!AO181</f>
        <v>9</v>
      </c>
      <c r="G12" s="1118">
        <f>Masterlist!AP181</f>
        <v>8</v>
      </c>
      <c r="H12" s="1118">
        <f>Masterlist!AQ181</f>
        <v>6</v>
      </c>
      <c r="I12" s="1118">
        <f>Masterlist!AR181</f>
        <v>8</v>
      </c>
      <c r="J12" s="1118">
        <f>Masterlist!AS181</f>
        <v>2</v>
      </c>
      <c r="K12" s="1118">
        <f>Masterlist!AT181</f>
        <v>15</v>
      </c>
      <c r="L12" s="1118">
        <f>Masterlist!AU181</f>
        <v>9</v>
      </c>
      <c r="M12" s="1118">
        <f>Masterlist!AV181</f>
        <v>9</v>
      </c>
      <c r="N12" s="1118">
        <f>Masterlist!AW181</f>
        <v>11</v>
      </c>
      <c r="O12" s="1118">
        <f>Masterlist!AX181</f>
        <v>5</v>
      </c>
      <c r="P12" s="1118">
        <f>Masterlist!AY181</f>
        <v>5</v>
      </c>
      <c r="Q12" s="255">
        <f>SUM(E12:P12)</f>
        <v>93</v>
      </c>
      <c r="R12" s="297">
        <f>(Q12-(HLOOKUP($D$1,yearendcumulative,192,FALSE)))/(HLOOKUP($D$1,yearendcumulative,192,FALSE))</f>
        <v>-5.1020408163265307E-2</v>
      </c>
      <c r="S12" s="294">
        <f>(Q12-(HLOOKUP($D$1,Monthlyaveragecumulative,192,FALSE)))/(HLOOKUP($D$1,Monthlyaveragecumulative,192,FALSE))</f>
        <v>0.25675675675675674</v>
      </c>
      <c r="T12" s="510"/>
      <c r="U12" s="1"/>
      <c r="V12" s="1"/>
      <c r="W12" s="1"/>
      <c r="X12" s="1"/>
      <c r="Y12" s="1"/>
      <c r="Z12" s="1"/>
      <c r="AA12" s="1"/>
      <c r="AB12" s="1"/>
      <c r="AC12" s="1"/>
      <c r="AD12" s="1"/>
      <c r="AE12" s="1"/>
      <c r="AF12" s="1"/>
      <c r="AG12" s="1"/>
      <c r="AH12" s="1"/>
      <c r="AI12" s="1"/>
      <c r="AJ12" s="1"/>
      <c r="AK12" s="1"/>
    </row>
    <row r="13" spans="1:37" s="64" customFormat="1" ht="31.5" customHeight="1" x14ac:dyDescent="0.35">
      <c r="A13" s="1"/>
      <c r="B13" s="1227"/>
      <c r="C13" s="983" t="s">
        <v>6</v>
      </c>
      <c r="D13" s="243">
        <f>'year end'!AD194</f>
        <v>208</v>
      </c>
      <c r="E13" s="253">
        <f>Masterlist!AN182</f>
        <v>16</v>
      </c>
      <c r="F13" s="1062">
        <f>Masterlist!AO182</f>
        <v>15</v>
      </c>
      <c r="G13" s="1062">
        <f>Masterlist!AP182</f>
        <v>22</v>
      </c>
      <c r="H13" s="1062">
        <f>Masterlist!AQ182</f>
        <v>14</v>
      </c>
      <c r="I13" s="1062">
        <f>Masterlist!AR182</f>
        <v>19</v>
      </c>
      <c r="J13" s="1062">
        <f>Masterlist!AS182</f>
        <v>13</v>
      </c>
      <c r="K13" s="1062">
        <f>Masterlist!AT182</f>
        <v>21</v>
      </c>
      <c r="L13" s="1062">
        <f>Masterlist!AU182</f>
        <v>17</v>
      </c>
      <c r="M13" s="1062">
        <f>Masterlist!AV182</f>
        <v>25</v>
      </c>
      <c r="N13" s="1062">
        <f>Masterlist!AW182</f>
        <v>21</v>
      </c>
      <c r="O13" s="1062">
        <f>Masterlist!AX182</f>
        <v>15</v>
      </c>
      <c r="P13" s="1062">
        <f>Masterlist!AY182</f>
        <v>29</v>
      </c>
      <c r="Q13" s="191">
        <f>SUM(E13:P13)</f>
        <v>227</v>
      </c>
      <c r="R13" s="299">
        <f>(Q13-(HLOOKUP($D$1,yearendcumulative,193,FALSE)))/(HLOOKUP($D$1,yearendcumulative,193,FALSE))</f>
        <v>9.1346153846153841E-2</v>
      </c>
      <c r="S13" s="414">
        <f>(Q13-(HLOOKUP($D$1,Monthlyaveragecumulative,193,FALSE)))/(HLOOKUP($D$1,Monthlyaveragecumulative,193,FALSE))</f>
        <v>0.50331125827814571</v>
      </c>
      <c r="T13" s="510"/>
      <c r="U13" s="1"/>
      <c r="V13" s="1"/>
      <c r="W13" s="1"/>
      <c r="X13" s="1"/>
      <c r="Y13" s="1"/>
      <c r="Z13" s="1"/>
      <c r="AA13" s="1"/>
      <c r="AB13" s="1"/>
      <c r="AC13" s="1"/>
      <c r="AD13" s="1"/>
      <c r="AE13" s="1"/>
      <c r="AF13" s="1"/>
      <c r="AG13" s="1"/>
      <c r="AH13" s="1"/>
      <c r="AI13" s="1"/>
      <c r="AJ13" s="1"/>
      <c r="AK13" s="1"/>
    </row>
    <row r="14" spans="1:37" s="64" customFormat="1" ht="15" customHeight="1" x14ac:dyDescent="0.35">
      <c r="A14" s="1"/>
      <c r="B14" s="3"/>
      <c r="C14" s="4"/>
      <c r="D14" s="211"/>
      <c r="E14" s="51"/>
      <c r="F14" s="51"/>
      <c r="G14" s="51"/>
      <c r="H14" s="51"/>
      <c r="I14" s="51"/>
      <c r="J14" s="51"/>
      <c r="K14" s="51"/>
      <c r="L14" s="51"/>
      <c r="M14" s="51"/>
      <c r="N14" s="51"/>
      <c r="O14" s="51"/>
      <c r="P14" s="51"/>
      <c r="Q14" s="192"/>
      <c r="R14" s="311"/>
      <c r="S14" s="311"/>
      <c r="T14" s="510"/>
      <c r="U14" s="1"/>
      <c r="V14" s="1"/>
      <c r="W14" s="1"/>
      <c r="X14" s="1"/>
      <c r="Y14" s="1"/>
      <c r="Z14" s="1"/>
      <c r="AA14" s="1"/>
      <c r="AB14" s="1"/>
      <c r="AC14" s="1"/>
      <c r="AD14" s="1"/>
      <c r="AE14" s="1"/>
      <c r="AF14" s="1"/>
      <c r="AG14" s="1"/>
      <c r="AH14" s="1"/>
      <c r="AI14" s="1"/>
      <c r="AJ14" s="1"/>
      <c r="AK14" s="1"/>
    </row>
    <row r="15" spans="1:37" s="64" customFormat="1" x14ac:dyDescent="0.35">
      <c r="A15" s="1"/>
      <c r="B15" s="1231" t="s">
        <v>460</v>
      </c>
      <c r="C15" s="1003" t="s">
        <v>237</v>
      </c>
      <c r="D15" s="1019">
        <f>'year end'!AD213</f>
        <v>54</v>
      </c>
      <c r="E15" s="412">
        <f>Masterlist!AN200</f>
        <v>6</v>
      </c>
      <c r="F15" s="1118">
        <f>Masterlist!AO200</f>
        <v>6</v>
      </c>
      <c r="G15" s="1118">
        <f>Masterlist!AP200</f>
        <v>4</v>
      </c>
      <c r="H15" s="1118">
        <f>Masterlist!AQ200</f>
        <v>4</v>
      </c>
      <c r="I15" s="1118">
        <f>Masterlist!AR200</f>
        <v>6</v>
      </c>
      <c r="J15" s="1118">
        <f>Masterlist!AS200</f>
        <v>5</v>
      </c>
      <c r="K15" s="1118">
        <f>Masterlist!AT200</f>
        <v>5</v>
      </c>
      <c r="L15" s="1118">
        <f>Masterlist!AU200</f>
        <v>6</v>
      </c>
      <c r="M15" s="1118">
        <f>Masterlist!AV200</f>
        <v>2</v>
      </c>
      <c r="N15" s="1118">
        <f>Masterlist!AW200</f>
        <v>5</v>
      </c>
      <c r="O15" s="1118">
        <f>Masterlist!AX200</f>
        <v>4</v>
      </c>
      <c r="P15" s="1118">
        <f>Masterlist!AY200</f>
        <v>4</v>
      </c>
      <c r="Q15" s="975">
        <f>SUM(E15:P15)</f>
        <v>57</v>
      </c>
      <c r="R15" s="297">
        <f>(Q15-(HLOOKUP($D$1,yearendcumulative,212,FALSE)))/(HLOOKUP($D$1,yearendcumulative,212,FALSE))</f>
        <v>5.5555555555555552E-2</v>
      </c>
      <c r="S15" s="295">
        <f>(Q15-(HLOOKUP($D$1,Monthlyaveragecumulative,212,FALSE)))/(HLOOKUP($D$1,Monthlyaveragecumulative,212,FALSE))</f>
        <v>0.78125</v>
      </c>
      <c r="T15" s="510"/>
      <c r="U15" s="1"/>
      <c r="V15" s="1"/>
      <c r="W15" s="1"/>
      <c r="X15" s="1"/>
      <c r="Y15" s="1"/>
      <c r="Z15" s="1"/>
      <c r="AA15" s="1"/>
      <c r="AB15" s="1"/>
      <c r="AC15" s="1"/>
      <c r="AD15" s="1"/>
      <c r="AE15" s="1"/>
      <c r="AF15" s="1"/>
      <c r="AG15" s="1"/>
      <c r="AH15" s="1"/>
      <c r="AI15" s="1"/>
      <c r="AJ15" s="1"/>
      <c r="AK15" s="1"/>
    </row>
    <row r="16" spans="1:37" s="64" customFormat="1" ht="15.75" customHeight="1" x14ac:dyDescent="0.35">
      <c r="A16" s="1"/>
      <c r="B16" s="1232"/>
      <c r="C16" s="1006" t="s">
        <v>238</v>
      </c>
      <c r="D16" s="1020">
        <f>'year end'!AD214</f>
        <v>24</v>
      </c>
      <c r="E16" s="177">
        <f>Masterlist!AN201</f>
        <v>2</v>
      </c>
      <c r="F16" s="30">
        <f>Masterlist!AO201</f>
        <v>4</v>
      </c>
      <c r="G16" s="30">
        <f>Masterlist!AP201</f>
        <v>9</v>
      </c>
      <c r="H16" s="30">
        <f>Masterlist!AQ201</f>
        <v>4</v>
      </c>
      <c r="I16" s="30">
        <f>Masterlist!AR201</f>
        <v>5</v>
      </c>
      <c r="J16" s="30">
        <f>Masterlist!AS201</f>
        <v>1</v>
      </c>
      <c r="K16" s="30">
        <f>Masterlist!AT201</f>
        <v>8</v>
      </c>
      <c r="L16" s="30">
        <f>Masterlist!AU201</f>
        <v>2</v>
      </c>
      <c r="M16" s="30">
        <f>Masterlist!AV201</f>
        <v>3</v>
      </c>
      <c r="N16" s="30">
        <f>Masterlist!AW201</f>
        <v>2</v>
      </c>
      <c r="O16" s="30">
        <f>Masterlist!AX201</f>
        <v>3</v>
      </c>
      <c r="P16" s="30">
        <f>Masterlist!AY201</f>
        <v>2</v>
      </c>
      <c r="Q16" s="190">
        <f>SUM(E16:P16)</f>
        <v>45</v>
      </c>
      <c r="R16" s="295">
        <f>(Q16-(HLOOKUP($D$1,yearendcumulative,213,FALSE)))/(HLOOKUP($D$1,yearendcumulative,213,FALSE))</f>
        <v>0.875</v>
      </c>
      <c r="S16" s="295">
        <f>(Q16-(HLOOKUP($D$1,Monthlyaveragecumulative,213,FALSE)))/(HLOOKUP($D$1,Monthlyaveragecumulative,213,FALSE))</f>
        <v>0.3235294117647059</v>
      </c>
      <c r="T16" s="510"/>
      <c r="U16" s="1"/>
      <c r="V16" s="1"/>
      <c r="W16" s="1"/>
      <c r="X16" s="1"/>
      <c r="Y16" s="1"/>
      <c r="Z16" s="1"/>
      <c r="AA16" s="1"/>
      <c r="AB16" s="1"/>
      <c r="AC16" s="1"/>
      <c r="AD16" s="1"/>
      <c r="AE16" s="1"/>
      <c r="AF16" s="1"/>
      <c r="AG16" s="1"/>
      <c r="AH16" s="1"/>
      <c r="AI16" s="1"/>
      <c r="AJ16" s="1"/>
      <c r="AK16" s="1"/>
    </row>
    <row r="17" spans="1:37" s="64" customFormat="1" ht="15.75" customHeight="1" x14ac:dyDescent="0.35">
      <c r="A17" s="1"/>
      <c r="B17" s="1232"/>
      <c r="C17" s="1007" t="s">
        <v>404</v>
      </c>
      <c r="D17" s="1093">
        <f>'year end'!AF344</f>
        <v>45</v>
      </c>
      <c r="E17" s="118">
        <f>Masterlist!AN473</f>
        <v>5</v>
      </c>
      <c r="F17" s="118">
        <f>Masterlist!AO473</f>
        <v>2</v>
      </c>
      <c r="G17" s="118">
        <f>Masterlist!AP473</f>
        <v>3</v>
      </c>
      <c r="H17" s="118">
        <f>Masterlist!AQ473</f>
        <v>3</v>
      </c>
      <c r="I17" s="118">
        <f>Masterlist!AR473</f>
        <v>2</v>
      </c>
      <c r="J17" s="118">
        <f>Masterlist!AS473</f>
        <v>2</v>
      </c>
      <c r="K17" s="118">
        <f>Masterlist!AT473</f>
        <v>3</v>
      </c>
      <c r="L17" s="118">
        <f>Masterlist!AU473</f>
        <v>4</v>
      </c>
      <c r="M17" s="118">
        <f>Masterlist!AV473</f>
        <v>2</v>
      </c>
      <c r="N17" s="118">
        <f>Masterlist!AW473</f>
        <v>2</v>
      </c>
      <c r="O17" s="118">
        <f>Masterlist!AX473</f>
        <v>4</v>
      </c>
      <c r="P17" s="118">
        <f>Masterlist!AY473</f>
        <v>2</v>
      </c>
      <c r="Q17" s="255">
        <f t="shared" ref="Q17:Q18" si="7">SUM(E17:P17)</f>
        <v>34</v>
      </c>
      <c r="R17" s="297">
        <f>(Q17-(HLOOKUP($D$1,yearendcumulative,343,FALSE)))/(HLOOKUP($D$1,yearendcumulative,343,FALSE))</f>
        <v>-0.24444444444444444</v>
      </c>
      <c r="S17" s="300">
        <f>(Q17-(HLOOKUP($D$1,Monthlyaveragecumulative,343,FALSE)))/(HLOOKUP($D$1,Monthlyaveragecumulative,343,FALSE))</f>
        <v>6.25E-2</v>
      </c>
      <c r="T17" s="510"/>
      <c r="U17" s="1"/>
      <c r="V17" s="1"/>
      <c r="W17" s="1"/>
      <c r="X17" s="1"/>
      <c r="Y17" s="1"/>
      <c r="Z17" s="1"/>
      <c r="AA17" s="1"/>
      <c r="AB17" s="1"/>
      <c r="AC17" s="1"/>
      <c r="AD17" s="1"/>
      <c r="AE17" s="1"/>
      <c r="AF17" s="1"/>
      <c r="AG17" s="1"/>
      <c r="AH17" s="1"/>
      <c r="AI17" s="1"/>
      <c r="AJ17" s="1"/>
      <c r="AK17" s="1"/>
    </row>
    <row r="18" spans="1:37" ht="15.75" customHeight="1" x14ac:dyDescent="0.35">
      <c r="A18" s="1"/>
      <c r="B18" s="1232"/>
      <c r="C18" s="1090" t="s">
        <v>425</v>
      </c>
      <c r="D18" s="1089">
        <f>'year end'!AF480</f>
        <v>5</v>
      </c>
      <c r="E18" s="1062">
        <f>Masterlist!AN578</f>
        <v>3</v>
      </c>
      <c r="F18" s="1062">
        <f>Masterlist!AO578</f>
        <v>2</v>
      </c>
      <c r="G18" s="1062">
        <f>Masterlist!AP578</f>
        <v>6</v>
      </c>
      <c r="H18" s="1062">
        <f>Masterlist!AQ578</f>
        <v>0</v>
      </c>
      <c r="I18" s="1062">
        <f>Masterlist!AR578</f>
        <v>0</v>
      </c>
      <c r="J18" s="1062">
        <f>Masterlist!AS578</f>
        <v>0</v>
      </c>
      <c r="K18" s="1062">
        <f>Masterlist!AT578</f>
        <v>0</v>
      </c>
      <c r="L18" s="1062">
        <f>Masterlist!AU578</f>
        <v>0</v>
      </c>
      <c r="M18" s="1062">
        <f>Masterlist!AV578</f>
        <v>0</v>
      </c>
      <c r="N18" s="1062">
        <f>Masterlist!AW578</f>
        <v>0</v>
      </c>
      <c r="O18" s="1062">
        <f>Masterlist!AX578</f>
        <v>0</v>
      </c>
      <c r="P18" s="1062">
        <f>Masterlist!AY578</f>
        <v>0</v>
      </c>
      <c r="Q18" s="191">
        <f t="shared" si="7"/>
        <v>11</v>
      </c>
      <c r="R18" s="295">
        <f>(Q18-(HLOOKUP($D$1,yearendcumulative,479,FALSE)))/(HLOOKUP($D$1,yearendcumulative,479,FALSE))</f>
        <v>1.2</v>
      </c>
      <c r="S18" s="304" t="s">
        <v>206</v>
      </c>
      <c r="T18" s="510"/>
      <c r="U18" s="1"/>
      <c r="V18" s="1"/>
      <c r="W18" s="1"/>
      <c r="X18" s="1"/>
    </row>
    <row r="19" spans="1:37" ht="15" customHeight="1" x14ac:dyDescent="0.35">
      <c r="A19" s="1"/>
      <c r="B19" s="1232"/>
      <c r="C19" s="1008" t="s">
        <v>373</v>
      </c>
      <c r="D19" s="1091">
        <f>'year end'!AD408</f>
        <v>43</v>
      </c>
      <c r="E19" s="1092">
        <f>Masterlist!AN495</f>
        <v>3</v>
      </c>
      <c r="F19" s="1133">
        <f>Masterlist!AO495</f>
        <v>1</v>
      </c>
      <c r="G19" s="1133">
        <f>Masterlist!AP495</f>
        <v>2</v>
      </c>
      <c r="H19" s="1133">
        <f>Masterlist!AQ495</f>
        <v>3</v>
      </c>
      <c r="I19" s="1133">
        <f>Masterlist!AR495</f>
        <v>2</v>
      </c>
      <c r="J19" s="1133">
        <f>Masterlist!AS495</f>
        <v>3</v>
      </c>
      <c r="K19" s="1133">
        <f>Masterlist!AT495</f>
        <v>1</v>
      </c>
      <c r="L19" s="1133">
        <f>Masterlist!AU495</f>
        <v>1</v>
      </c>
      <c r="M19" s="1133">
        <f>Masterlist!AV495</f>
        <v>1</v>
      </c>
      <c r="N19" s="1133">
        <f>Masterlist!AW495</f>
        <v>1</v>
      </c>
      <c r="O19" s="1133">
        <f>Masterlist!AX495</f>
        <v>2</v>
      </c>
      <c r="P19" s="1133">
        <f>Masterlist!AY495</f>
        <v>1</v>
      </c>
      <c r="Q19" s="190">
        <f t="shared" ref="Q19:Q20" si="8">SUM(E19:P19)</f>
        <v>21</v>
      </c>
      <c r="R19" s="696">
        <f>(Q19-(HLOOKUP($D$1,yearendcumulative,407,FALSE)))/(HLOOKUP($D$1,yearendcumulative,407,FALSE))</f>
        <v>-0.51162790697674421</v>
      </c>
      <c r="S19" s="297">
        <f>(Q19-(HLOOKUP($D$1,Monthlyaveragecumulative,440,FALSE)))/(HLOOKUP($D$1,Monthlyaveragecumulative,440,FALSE))</f>
        <v>-0.3</v>
      </c>
      <c r="T19" s="1"/>
      <c r="U19" s="1"/>
      <c r="V19" s="1"/>
      <c r="W19" s="1"/>
      <c r="X19" s="1"/>
    </row>
    <row r="20" spans="1:37" ht="15" customHeight="1" x14ac:dyDescent="0.35">
      <c r="A20" s="1"/>
      <c r="B20" s="1232"/>
      <c r="C20" s="1009" t="s">
        <v>372</v>
      </c>
      <c r="D20" s="1021">
        <f>'year end'!AD416</f>
        <v>51</v>
      </c>
      <c r="E20" s="682">
        <f>Masterlist!AN504</f>
        <v>6</v>
      </c>
      <c r="F20" s="1120">
        <f>Masterlist!AO504</f>
        <v>4</v>
      </c>
      <c r="G20" s="1120">
        <f>Masterlist!AP504</f>
        <v>2</v>
      </c>
      <c r="H20" s="1120">
        <f>Masterlist!AQ504</f>
        <v>5</v>
      </c>
      <c r="I20" s="1120">
        <f>Masterlist!AR504</f>
        <v>4</v>
      </c>
      <c r="J20" s="1120">
        <f>Masterlist!AS504</f>
        <v>5</v>
      </c>
      <c r="K20" s="1120">
        <f>Masterlist!AT504</f>
        <v>3</v>
      </c>
      <c r="L20" s="1120">
        <f>Masterlist!AU504</f>
        <v>4</v>
      </c>
      <c r="M20" s="1120">
        <f>Masterlist!AV504</f>
        <v>4</v>
      </c>
      <c r="N20" s="1120">
        <f>Masterlist!AW504</f>
        <v>4</v>
      </c>
      <c r="O20" s="1120">
        <f>Masterlist!AX504</f>
        <v>3</v>
      </c>
      <c r="P20" s="1120">
        <f>Masterlist!AY504</f>
        <v>0</v>
      </c>
      <c r="Q20" s="191">
        <f t="shared" si="8"/>
        <v>44</v>
      </c>
      <c r="R20" s="698">
        <f>(Q20-(HLOOKUP($D$1,yearendcumulative,415,FALSE)))/(HLOOKUP($D$1,yearendcumulative,415,FALSE))</f>
        <v>-0.13725490196078433</v>
      </c>
      <c r="S20" s="299" t="s">
        <v>206</v>
      </c>
      <c r="T20" s="1"/>
      <c r="U20" s="1"/>
      <c r="V20" s="1"/>
      <c r="W20" s="1"/>
      <c r="X20" s="1"/>
    </row>
    <row r="21" spans="1:37" s="64" customFormat="1" ht="15" customHeight="1" x14ac:dyDescent="0.35">
      <c r="A21" s="1"/>
      <c r="B21" s="1232"/>
      <c r="C21" s="1002" t="s">
        <v>174</v>
      </c>
      <c r="D21" s="1028">
        <f>'year end'!AD206</f>
        <v>192</v>
      </c>
      <c r="E21" s="689">
        <f>Masterlist!AN193+Masterlist!AN194</f>
        <v>14</v>
      </c>
      <c r="F21" s="1131">
        <f>Masterlist!AO193+Masterlist!AO194</f>
        <v>17</v>
      </c>
      <c r="G21" s="1131">
        <f>Masterlist!AP193+Masterlist!AP194</f>
        <v>18</v>
      </c>
      <c r="H21" s="1131">
        <f>Masterlist!AQ193+Masterlist!AQ194</f>
        <v>17</v>
      </c>
      <c r="I21" s="1131">
        <f>Masterlist!AR193+Masterlist!AR194</f>
        <v>7</v>
      </c>
      <c r="J21" s="1131">
        <f>Masterlist!AS193+Masterlist!AS194</f>
        <v>11</v>
      </c>
      <c r="K21" s="1131">
        <f>Masterlist!AT193+Masterlist!AT194</f>
        <v>18</v>
      </c>
      <c r="L21" s="1131">
        <f>Masterlist!AU193+Masterlist!AU194</f>
        <v>14</v>
      </c>
      <c r="M21" s="1131">
        <f>Masterlist!AV193+Masterlist!AV194</f>
        <v>13</v>
      </c>
      <c r="N21" s="1131">
        <f>Masterlist!AW193+Masterlist!AW194</f>
        <v>12</v>
      </c>
      <c r="O21" s="1131">
        <f>Masterlist!AX193+Masterlist!AX194</f>
        <v>17</v>
      </c>
      <c r="P21" s="1131">
        <f>Masterlist!AY193+Masterlist!AY194</f>
        <v>9</v>
      </c>
      <c r="Q21" s="255">
        <f>SUM(E21:P21)</f>
        <v>167</v>
      </c>
      <c r="R21" s="696">
        <f>(Q21-(HLOOKUP($D$1,yearendcumulative,205,FALSE)))/(HLOOKUP($D$1,yearendcumulative,205,FALSE))</f>
        <v>-0.13020833333333334</v>
      </c>
      <c r="S21" s="294">
        <f>(Q21-(HLOOKUP($D$1,Monthlyaveragecumulative,205,FALSE)))/(HLOOKUP($D$1,Monthlyaveragecumulative,205,FALSE))</f>
        <v>-0.20095693779904306</v>
      </c>
      <c r="T21" s="510"/>
      <c r="U21" s="1"/>
      <c r="V21" s="1"/>
      <c r="W21" s="1"/>
      <c r="X21" s="1"/>
      <c r="Y21" s="1"/>
      <c r="Z21" s="1"/>
      <c r="AA21" s="1"/>
      <c r="AB21" s="1"/>
      <c r="AC21" s="1"/>
      <c r="AD21" s="1"/>
      <c r="AE21" s="1"/>
      <c r="AF21" s="1"/>
      <c r="AG21" s="1"/>
      <c r="AH21" s="1"/>
      <c r="AI21" s="1"/>
      <c r="AJ21" s="1"/>
      <c r="AK21" s="1"/>
    </row>
    <row r="22" spans="1:37" s="64" customFormat="1" ht="24.75" customHeight="1" x14ac:dyDescent="0.35">
      <c r="A22" s="1"/>
      <c r="B22" s="1232"/>
      <c r="C22" s="1003" t="s">
        <v>173</v>
      </c>
      <c r="D22" s="1025">
        <f>'year end'!AD209</f>
        <v>13</v>
      </c>
      <c r="E22" s="690">
        <f>Masterlist!AN195+Masterlist!AN196</f>
        <v>1</v>
      </c>
      <c r="F22" s="1132">
        <f>Masterlist!AO195+Masterlist!AO196</f>
        <v>0</v>
      </c>
      <c r="G22" s="1132">
        <f>Masterlist!AP195+Masterlist!AP196</f>
        <v>1</v>
      </c>
      <c r="H22" s="1132">
        <f>Masterlist!AQ195+Masterlist!AQ196</f>
        <v>1</v>
      </c>
      <c r="I22" s="1132">
        <f>Masterlist!AR195+Masterlist!AR196</f>
        <v>0</v>
      </c>
      <c r="J22" s="1132">
        <f>Masterlist!AS195+Masterlist!AS196</f>
        <v>0</v>
      </c>
      <c r="K22" s="1132">
        <f>Masterlist!AT195+Masterlist!AT196</f>
        <v>0</v>
      </c>
      <c r="L22" s="1132">
        <f>Masterlist!AU195+Masterlist!AU196</f>
        <v>1</v>
      </c>
      <c r="M22" s="1132">
        <f>Masterlist!AV195+Masterlist!AV196</f>
        <v>1</v>
      </c>
      <c r="N22" s="1132">
        <f>Masterlist!AW195+Masterlist!AW196</f>
        <v>0</v>
      </c>
      <c r="O22" s="1132">
        <f>Masterlist!AX195+Masterlist!AX196</f>
        <v>0</v>
      </c>
      <c r="P22" s="1132">
        <f>Masterlist!AY195+Masterlist!AY196</f>
        <v>1</v>
      </c>
      <c r="Q22" s="190">
        <f t="shared" ref="Q22:Q25" si="9">SUM(E22:P22)</f>
        <v>6</v>
      </c>
      <c r="R22" s="697">
        <f>(Q22-(HLOOKUP($D$1,yearendcumulative,208,FALSE)))/(HLOOKUP($D$1,yearendcumulative,208,FALSE))</f>
        <v>-0.53846153846153844</v>
      </c>
      <c r="S22" s="299" t="s">
        <v>206</v>
      </c>
      <c r="T22" s="510"/>
      <c r="U22" s="1"/>
      <c r="V22" s="1"/>
      <c r="W22" s="1"/>
      <c r="X22" s="1"/>
      <c r="Y22" s="1"/>
      <c r="Z22" s="1"/>
      <c r="AA22" s="1"/>
      <c r="AB22" s="1"/>
      <c r="AC22" s="1"/>
      <c r="AD22" s="1"/>
      <c r="AE22" s="1"/>
      <c r="AF22" s="1"/>
      <c r="AG22" s="1"/>
      <c r="AH22" s="1"/>
      <c r="AI22" s="1"/>
      <c r="AJ22" s="1"/>
      <c r="AK22" s="1"/>
    </row>
    <row r="23" spans="1:37" s="64" customFormat="1" ht="15.75" customHeight="1" x14ac:dyDescent="0.35">
      <c r="A23" s="1"/>
      <c r="B23" s="1232"/>
      <c r="C23" s="1003" t="s">
        <v>370</v>
      </c>
      <c r="D23" s="1025">
        <f>'year end'!AD440</f>
        <v>57</v>
      </c>
      <c r="E23" s="687">
        <f>Masterlist!AN531</f>
        <v>7</v>
      </c>
      <c r="F23" s="1127">
        <f>Masterlist!AO531</f>
        <v>6</v>
      </c>
      <c r="G23" s="1127">
        <f>Masterlist!AP531</f>
        <v>8</v>
      </c>
      <c r="H23" s="1127">
        <f>Masterlist!AQ531</f>
        <v>3</v>
      </c>
      <c r="I23" s="1127">
        <f>Masterlist!AR531</f>
        <v>6</v>
      </c>
      <c r="J23" s="1127">
        <f>Masterlist!AS531</f>
        <v>4</v>
      </c>
      <c r="K23" s="1127">
        <f>Masterlist!AT531</f>
        <v>6</v>
      </c>
      <c r="L23" s="1127">
        <f>Masterlist!AU531</f>
        <v>2</v>
      </c>
      <c r="M23" s="1127">
        <f>Masterlist!AV531</f>
        <v>5</v>
      </c>
      <c r="N23" s="1127">
        <f>Masterlist!AW531</f>
        <v>3</v>
      </c>
      <c r="O23" s="1127">
        <f>Masterlist!AX531</f>
        <v>5</v>
      </c>
      <c r="P23" s="1127">
        <f>Masterlist!AY531</f>
        <v>8</v>
      </c>
      <c r="Q23" s="190">
        <f t="shared" si="9"/>
        <v>63</v>
      </c>
      <c r="R23" s="697">
        <f>(Q23-(HLOOKUP($D$1,yearendcumulative,439,FALSE)))/(HLOOKUP($D$1,yearendcumulative,439,FALSE))</f>
        <v>0.10526315789473684</v>
      </c>
      <c r="S23" s="298">
        <f>(Q23-(HLOOKUP($D$1,Monthlyaveragecumulative,472,FALSE)))/(HLOOKUP($D$1,Monthlyaveragecumulative,472,FALSE))</f>
        <v>-0.31521739130434784</v>
      </c>
      <c r="T23" s="510"/>
      <c r="U23" s="1"/>
      <c r="V23" s="1"/>
      <c r="W23" s="1"/>
      <c r="X23" s="1"/>
      <c r="Y23" s="1"/>
      <c r="Z23" s="1"/>
      <c r="AA23" s="1"/>
      <c r="AB23" s="1"/>
      <c r="AC23" s="1"/>
      <c r="AD23" s="1"/>
      <c r="AE23" s="1"/>
      <c r="AF23" s="1"/>
      <c r="AG23" s="1"/>
      <c r="AH23" s="1"/>
      <c r="AI23" s="1"/>
      <c r="AJ23" s="1"/>
      <c r="AK23" s="1"/>
    </row>
    <row r="24" spans="1:37" s="64" customFormat="1" ht="15.75" customHeight="1" x14ac:dyDescent="0.35">
      <c r="A24" s="1"/>
      <c r="B24" s="1232"/>
      <c r="C24" s="1003" t="s">
        <v>371</v>
      </c>
      <c r="D24" s="1025">
        <f>'year end'!AD448</f>
        <v>29</v>
      </c>
      <c r="E24" s="687">
        <f>Masterlist!AN540</f>
        <v>5</v>
      </c>
      <c r="F24" s="1127">
        <f>Masterlist!AO540</f>
        <v>1</v>
      </c>
      <c r="G24" s="1127">
        <f>Masterlist!AP540</f>
        <v>6</v>
      </c>
      <c r="H24" s="1127">
        <f>Masterlist!AQ540</f>
        <v>2</v>
      </c>
      <c r="I24" s="1127">
        <f>Masterlist!AR540</f>
        <v>2</v>
      </c>
      <c r="J24" s="1127">
        <f>Masterlist!AS540</f>
        <v>2</v>
      </c>
      <c r="K24" s="1127">
        <f>Masterlist!AT540</f>
        <v>0</v>
      </c>
      <c r="L24" s="1127">
        <f>Masterlist!AU540</f>
        <v>3</v>
      </c>
      <c r="M24" s="1127">
        <f>Masterlist!AV540</f>
        <v>3</v>
      </c>
      <c r="N24" s="1127">
        <f>Masterlist!AW540</f>
        <v>1</v>
      </c>
      <c r="O24" s="1127">
        <f>Masterlist!AX540</f>
        <v>3</v>
      </c>
      <c r="P24" s="1127">
        <f>Masterlist!AY540</f>
        <v>2</v>
      </c>
      <c r="Q24" s="190">
        <f t="shared" si="9"/>
        <v>30</v>
      </c>
      <c r="R24" s="697">
        <f>(Q24-(HLOOKUP($D$1,yearendcumulative,447,FALSE)))/(HLOOKUP($D$1,yearendcumulative,447,FALSE))</f>
        <v>3.4482758620689655E-2</v>
      </c>
      <c r="S24" s="298">
        <f>(Q24-(HLOOKUP($D$1,Monthlyaveragecumulative,480,FALSE)))/(HLOOKUP($D$1,Monthlyaveragecumulative,480,FALSE))</f>
        <v>-0.55223880597014929</v>
      </c>
      <c r="T24" s="510"/>
      <c r="U24" s="1"/>
      <c r="V24" s="1"/>
      <c r="W24" s="1"/>
      <c r="X24" s="1"/>
      <c r="Y24" s="1"/>
      <c r="Z24" s="1"/>
      <c r="AA24" s="1"/>
      <c r="AB24" s="1"/>
      <c r="AC24" s="1"/>
      <c r="AD24" s="1"/>
      <c r="AE24" s="1"/>
      <c r="AF24" s="1"/>
      <c r="AG24" s="1"/>
      <c r="AH24" s="1"/>
      <c r="AI24" s="1"/>
      <c r="AJ24" s="1"/>
      <c r="AK24" s="1"/>
    </row>
    <row r="25" spans="1:37" s="64" customFormat="1" ht="15.75" customHeight="1" x14ac:dyDescent="0.35">
      <c r="A25" s="1"/>
      <c r="B25" s="1232"/>
      <c r="C25" s="1004" t="s">
        <v>405</v>
      </c>
      <c r="D25" s="1024">
        <f>'year end'!AD456</f>
        <v>71</v>
      </c>
      <c r="E25" s="688">
        <f>Masterlist!AN549</f>
        <v>3</v>
      </c>
      <c r="F25" s="1128">
        <f>Masterlist!AO549</f>
        <v>4</v>
      </c>
      <c r="G25" s="1128">
        <f>Masterlist!AP549</f>
        <v>5</v>
      </c>
      <c r="H25" s="1128">
        <f>Masterlist!AQ549</f>
        <v>6</v>
      </c>
      <c r="I25" s="1128">
        <f>Masterlist!AR549</f>
        <v>1</v>
      </c>
      <c r="J25" s="1128">
        <f>Masterlist!AS549</f>
        <v>6</v>
      </c>
      <c r="K25" s="1128">
        <f>Masterlist!AT549</f>
        <v>5</v>
      </c>
      <c r="L25" s="1128">
        <f>Masterlist!AU549</f>
        <v>4</v>
      </c>
      <c r="M25" s="1128">
        <f>Masterlist!AV549</f>
        <v>5</v>
      </c>
      <c r="N25" s="1128">
        <f>Masterlist!AW549</f>
        <v>3</v>
      </c>
      <c r="O25" s="1128">
        <f>Masterlist!AX549</f>
        <v>7</v>
      </c>
      <c r="P25" s="1128">
        <f>Masterlist!AY549</f>
        <v>7</v>
      </c>
      <c r="Q25" s="191">
        <f t="shared" si="9"/>
        <v>56</v>
      </c>
      <c r="R25" s="698">
        <f>(Q25-(HLOOKUP($D$1,yearendcumulative,455,FALSE)))/(HLOOKUP($D$1,yearendcumulative,455,FALSE))</f>
        <v>-0.21126760563380281</v>
      </c>
      <c r="S25" s="299" t="s">
        <v>206</v>
      </c>
      <c r="T25" s="510"/>
      <c r="U25" s="1"/>
      <c r="V25" s="1"/>
      <c r="W25" s="1"/>
      <c r="X25" s="1"/>
      <c r="Y25" s="1"/>
      <c r="Z25" s="1"/>
      <c r="AA25" s="1"/>
      <c r="AB25" s="1"/>
      <c r="AC25" s="1"/>
      <c r="AD25" s="1"/>
      <c r="AE25" s="1"/>
      <c r="AF25" s="1"/>
      <c r="AG25" s="1"/>
      <c r="AH25" s="1"/>
      <c r="AI25" s="1"/>
      <c r="AJ25" s="1"/>
      <c r="AK25" s="1"/>
    </row>
    <row r="26" spans="1:37" s="64" customFormat="1" x14ac:dyDescent="0.35">
      <c r="A26" s="1"/>
      <c r="B26" s="1232"/>
      <c r="C26" s="1018" t="s">
        <v>361</v>
      </c>
      <c r="D26" s="1023">
        <f>'year end'!AD224</f>
        <v>21</v>
      </c>
      <c r="E26" s="690">
        <f>Masterlist!AN212</f>
        <v>6</v>
      </c>
      <c r="F26" s="1132">
        <f>Masterlist!AO212</f>
        <v>5</v>
      </c>
      <c r="G26" s="1132">
        <f>Masterlist!AP212</f>
        <v>1</v>
      </c>
      <c r="H26" s="1132">
        <f>Masterlist!AQ212</f>
        <v>0</v>
      </c>
      <c r="I26" s="1132">
        <f>Masterlist!AR212</f>
        <v>2</v>
      </c>
      <c r="J26" s="1132">
        <f>Masterlist!AS212</f>
        <v>2</v>
      </c>
      <c r="K26" s="1132">
        <f>Masterlist!AT212</f>
        <v>5</v>
      </c>
      <c r="L26" s="1132">
        <f>Masterlist!AU212</f>
        <v>2</v>
      </c>
      <c r="M26" s="1132">
        <f>Masterlist!AV212</f>
        <v>2</v>
      </c>
      <c r="N26" s="1132">
        <f>Masterlist!AW212</f>
        <v>1</v>
      </c>
      <c r="O26" s="1132">
        <f>Masterlist!AX212</f>
        <v>7</v>
      </c>
      <c r="P26" s="1132">
        <f>Masterlist!AY212</f>
        <v>4</v>
      </c>
      <c r="Q26" s="690">
        <f t="shared" ref="Q26:Q27" si="10">SUM(E26:P26)</f>
        <v>37</v>
      </c>
      <c r="R26" s="697">
        <f>(Q26-(HLOOKUP($D$1,yearendcumulative,223,FALSE)))/(HLOOKUP($D$1,yearendcumulative,223,FALSE))</f>
        <v>0.76190476190476186</v>
      </c>
      <c r="S26" s="295">
        <f>(Q26-(HLOOKUP($D$1,Monthlyaveragecumulative,223,FALSE)))/(HLOOKUP($D$1,Monthlyaveragecumulative,223,FALSE))</f>
        <v>0.37037037037037035</v>
      </c>
      <c r="T26" s="510"/>
      <c r="U26" s="1"/>
      <c r="V26" s="1"/>
      <c r="W26" s="1"/>
      <c r="X26" s="1"/>
      <c r="Y26" s="1"/>
      <c r="Z26" s="1"/>
      <c r="AA26" s="1"/>
      <c r="AB26" s="1"/>
      <c r="AC26" s="1"/>
      <c r="AD26" s="1"/>
      <c r="AE26" s="1"/>
      <c r="AF26" s="1"/>
      <c r="AG26" s="1"/>
      <c r="AH26" s="1"/>
      <c r="AI26" s="1"/>
      <c r="AJ26" s="1"/>
      <c r="AK26" s="1"/>
    </row>
    <row r="27" spans="1:37" x14ac:dyDescent="0.35">
      <c r="A27" s="1"/>
      <c r="B27" s="1233"/>
      <c r="C27" s="1018" t="s">
        <v>367</v>
      </c>
      <c r="D27" s="1029">
        <f>'year end'!AD432</f>
        <v>0</v>
      </c>
      <c r="E27" s="688">
        <f>Masterlist!AN522</f>
        <v>0</v>
      </c>
      <c r="F27" s="1128">
        <f>Masterlist!AO522</f>
        <v>0</v>
      </c>
      <c r="G27" s="1128">
        <f>Masterlist!AP522</f>
        <v>0</v>
      </c>
      <c r="H27" s="1128">
        <f>Masterlist!AQ522</f>
        <v>0</v>
      </c>
      <c r="I27" s="1128">
        <f>Masterlist!AR522</f>
        <v>0</v>
      </c>
      <c r="J27" s="1128">
        <f>Masterlist!AS522</f>
        <v>0</v>
      </c>
      <c r="K27" s="1128">
        <f>Masterlist!AT522</f>
        <v>0</v>
      </c>
      <c r="L27" s="1128">
        <f>Masterlist!AU522</f>
        <v>0</v>
      </c>
      <c r="M27" s="1128">
        <f>Masterlist!AV522</f>
        <v>0</v>
      </c>
      <c r="N27" s="1128">
        <f>Masterlist!AW522</f>
        <v>0</v>
      </c>
      <c r="O27" s="1128">
        <f>Masterlist!AX522</f>
        <v>0</v>
      </c>
      <c r="P27" s="1128">
        <f>Masterlist!AY522</f>
        <v>0</v>
      </c>
      <c r="Q27" s="786">
        <f t="shared" si="10"/>
        <v>0</v>
      </c>
      <c r="R27" s="860">
        <v>0</v>
      </c>
      <c r="S27" s="296">
        <v>0</v>
      </c>
      <c r="T27" s="510"/>
      <c r="U27" s="1"/>
      <c r="V27" s="1"/>
      <c r="W27" s="1"/>
      <c r="X27" s="1"/>
    </row>
    <row r="28" spans="1:37" ht="15" customHeight="1" x14ac:dyDescent="0.35">
      <c r="A28" s="1"/>
      <c r="B28" s="1"/>
      <c r="C28" s="1"/>
      <c r="D28" s="1"/>
      <c r="E28" s="1"/>
      <c r="F28" s="95"/>
      <c r="G28" s="95"/>
      <c r="H28" s="95"/>
      <c r="I28" s="95"/>
      <c r="J28" s="95"/>
      <c r="K28" s="95"/>
      <c r="L28" s="95"/>
      <c r="M28" s="95"/>
      <c r="N28" s="95"/>
      <c r="O28" s="95"/>
      <c r="P28" s="95"/>
      <c r="Q28" s="1"/>
      <c r="R28" s="1"/>
      <c r="S28" s="1"/>
      <c r="T28" s="1"/>
      <c r="U28" s="758"/>
      <c r="V28" s="1"/>
      <c r="W28" s="1"/>
      <c r="X28" s="1"/>
    </row>
    <row r="29" spans="1:37" s="64" customFormat="1" ht="15" hidden="1" customHeight="1" x14ac:dyDescent="0.35">
      <c r="A29" s="1"/>
      <c r="B29" s="1228" t="s">
        <v>176</v>
      </c>
      <c r="C29" s="454" t="s">
        <v>197</v>
      </c>
      <c r="D29" s="275">
        <f>'year end'!AD227</f>
        <v>1160</v>
      </c>
      <c r="E29" s="117">
        <f>SUM(E30:E33)</f>
        <v>65</v>
      </c>
      <c r="F29" s="1118">
        <f t="shared" ref="F29" si="11">SUM(F30:F33)</f>
        <v>113</v>
      </c>
      <c r="G29" s="1118">
        <f t="shared" ref="G29:P29" si="12">SUM(G30:G33)</f>
        <v>98</v>
      </c>
      <c r="H29" s="1118">
        <f t="shared" si="12"/>
        <v>99</v>
      </c>
      <c r="I29" s="1118">
        <f t="shared" si="12"/>
        <v>63</v>
      </c>
      <c r="J29" s="1118">
        <f t="shared" si="12"/>
        <v>69</v>
      </c>
      <c r="K29" s="1118">
        <f t="shared" si="12"/>
        <v>101</v>
      </c>
      <c r="L29" s="1118">
        <f t="shared" si="12"/>
        <v>102</v>
      </c>
      <c r="M29" s="1118">
        <f t="shared" si="12"/>
        <v>80</v>
      </c>
      <c r="N29" s="1118">
        <f t="shared" si="12"/>
        <v>82</v>
      </c>
      <c r="O29" s="1118">
        <f t="shared" si="12"/>
        <v>81</v>
      </c>
      <c r="P29" s="1118">
        <f t="shared" si="12"/>
        <v>96</v>
      </c>
      <c r="Q29" s="475">
        <f t="shared" ref="Q29" si="13">SUM(E29:P29)</f>
        <v>1049</v>
      </c>
      <c r="R29" s="312">
        <f>(Q29-(HLOOKUP($D$1,yearendcumulative,226,FALSE)))/(HLOOKUP($D$1,yearendcumulative,226,FALSE))</f>
        <v>-9.568965517241379E-2</v>
      </c>
      <c r="S29" s="312">
        <f>(Q29-(HLOOKUP($D$1,Monthlyaveragecumulative,226,FALSE)))/(HLOOKUP($D$1,Monthlyaveragecumulative,226,FALSE))</f>
        <v>-0.34600997506234416</v>
      </c>
      <c r="T29" s="510"/>
      <c r="U29" s="1"/>
      <c r="V29" s="1"/>
      <c r="W29" s="1"/>
      <c r="X29" s="1"/>
      <c r="Y29" s="1"/>
      <c r="Z29" s="1"/>
      <c r="AA29" s="1"/>
      <c r="AB29" s="1"/>
      <c r="AC29" s="1"/>
      <c r="AD29" s="1"/>
      <c r="AE29" s="1"/>
      <c r="AF29" s="1"/>
      <c r="AG29" s="1"/>
      <c r="AH29" s="1"/>
      <c r="AI29" s="1"/>
      <c r="AJ29" s="1"/>
      <c r="AK29" s="1"/>
    </row>
    <row r="30" spans="1:37" s="64" customFormat="1" ht="15" customHeight="1" x14ac:dyDescent="0.35">
      <c r="A30" s="1"/>
      <c r="B30" s="1229"/>
      <c r="C30" s="980" t="s">
        <v>470</v>
      </c>
      <c r="D30" s="275">
        <f>'year end'!AD226</f>
        <v>257</v>
      </c>
      <c r="E30" s="117">
        <f>Masterlist!AN216</f>
        <v>22</v>
      </c>
      <c r="F30" s="118">
        <f>Masterlist!AO216</f>
        <v>25</v>
      </c>
      <c r="G30" s="118">
        <f>Masterlist!AP216</f>
        <v>21</v>
      </c>
      <c r="H30" s="118">
        <f>Masterlist!AQ216</f>
        <v>40</v>
      </c>
      <c r="I30" s="118">
        <f>Masterlist!AR216</f>
        <v>14</v>
      </c>
      <c r="J30" s="118">
        <f>Masterlist!AS216</f>
        <v>32</v>
      </c>
      <c r="K30" s="118">
        <f>Masterlist!AT216</f>
        <v>20</v>
      </c>
      <c r="L30" s="118">
        <f>Masterlist!AU216</f>
        <v>24</v>
      </c>
      <c r="M30" s="118">
        <f>Masterlist!AV216</f>
        <v>20</v>
      </c>
      <c r="N30" s="118">
        <f>Masterlist!AW216</f>
        <v>20</v>
      </c>
      <c r="O30" s="118">
        <f>Masterlist!AX216</f>
        <v>35</v>
      </c>
      <c r="P30" s="1057">
        <f>Masterlist!AY216</f>
        <v>34</v>
      </c>
      <c r="Q30" s="1038">
        <f t="shared" ref="Q30" si="14">SUM(E30:P30)</f>
        <v>307</v>
      </c>
      <c r="R30" s="312">
        <f>(Q30-(HLOOKUP($D$1,yearendcumulative,225,FALSE)))/(HLOOKUP($D$1,yearendcumulative,225,FALSE))</f>
        <v>0.19455252918287938</v>
      </c>
      <c r="S30" s="312">
        <f>(Q30-(HLOOKUP($D$1,Monthlyaveragecumulative,196,FALSE)))/(HLOOKUP($D$1,Monthlyaveragecumulative,196,FALSE))</f>
        <v>-0.44982078853046598</v>
      </c>
      <c r="T30" s="510"/>
      <c r="U30" s="1"/>
      <c r="V30" s="1"/>
      <c r="W30" s="1"/>
      <c r="X30" s="1"/>
      <c r="Y30" s="1"/>
      <c r="Z30" s="1"/>
      <c r="AA30" s="1"/>
      <c r="AB30" s="1"/>
      <c r="AC30" s="1"/>
      <c r="AD30" s="1"/>
      <c r="AE30" s="1"/>
      <c r="AF30" s="1"/>
      <c r="AG30" s="1"/>
      <c r="AH30" s="1"/>
      <c r="AI30" s="1"/>
      <c r="AJ30" s="1"/>
      <c r="AK30" s="1"/>
    </row>
    <row r="31" spans="1:37" s="64" customFormat="1" x14ac:dyDescent="0.35">
      <c r="A31" s="1"/>
      <c r="B31" s="1229"/>
      <c r="C31" s="981" t="s">
        <v>16</v>
      </c>
      <c r="D31" s="276">
        <f>'year end'!AD217</f>
        <v>530</v>
      </c>
      <c r="E31" s="105">
        <f>Masterlist!AN205</f>
        <v>30</v>
      </c>
      <c r="F31" s="30">
        <f>Masterlist!AO205</f>
        <v>57</v>
      </c>
      <c r="G31" s="30">
        <f>Masterlist!AP205</f>
        <v>52</v>
      </c>
      <c r="H31" s="30">
        <f>Masterlist!AQ205</f>
        <v>40</v>
      </c>
      <c r="I31" s="30">
        <f>Masterlist!AR205</f>
        <v>28</v>
      </c>
      <c r="J31" s="30">
        <f>Masterlist!AS205</f>
        <v>16</v>
      </c>
      <c r="K31" s="30">
        <f>Masterlist!AT205</f>
        <v>56</v>
      </c>
      <c r="L31" s="30">
        <f>Masterlist!AU205</f>
        <v>54</v>
      </c>
      <c r="M31" s="30">
        <f>Masterlist!AV205</f>
        <v>32</v>
      </c>
      <c r="N31" s="30">
        <f>Masterlist!AW205</f>
        <v>30</v>
      </c>
      <c r="O31" s="30">
        <f>Masterlist!AX205</f>
        <v>22</v>
      </c>
      <c r="P31" s="1180">
        <f>Masterlist!AY205</f>
        <v>33</v>
      </c>
      <c r="Q31" s="1034">
        <f>SUM(E31:P31)</f>
        <v>450</v>
      </c>
      <c r="R31" s="313">
        <f>(Q31-(HLOOKUP($D$1,yearendcumulative,216,FALSE)))/(HLOOKUP($D$1,yearendcumulative,216,FALSE))</f>
        <v>-0.15094339622641509</v>
      </c>
      <c r="S31" s="313">
        <f>(Q31-(HLOOKUP($D$1,Monthlyaveragecumulative,216,FALSE)))/(HLOOKUP($D$1,Monthlyaveragecumulative,216,FALSE))</f>
        <v>-0.12109375</v>
      </c>
      <c r="T31" s="510"/>
      <c r="U31" s="1"/>
      <c r="V31" s="1"/>
      <c r="W31" s="1"/>
      <c r="X31" s="1"/>
      <c r="Y31" s="1"/>
      <c r="Z31" s="1"/>
      <c r="AA31" s="1"/>
      <c r="AB31" s="1"/>
      <c r="AC31" s="1"/>
      <c r="AD31" s="1"/>
      <c r="AE31" s="1"/>
      <c r="AF31" s="1"/>
      <c r="AG31" s="1"/>
      <c r="AH31" s="1"/>
      <c r="AI31" s="1"/>
      <c r="AJ31" s="1"/>
      <c r="AK31" s="1"/>
    </row>
    <row r="32" spans="1:37" s="64" customFormat="1" x14ac:dyDescent="0.35">
      <c r="A32" s="1"/>
      <c r="B32" s="1229"/>
      <c r="C32" s="981" t="s">
        <v>15</v>
      </c>
      <c r="D32" s="614">
        <f>'year end'!AD219</f>
        <v>188</v>
      </c>
      <c r="E32" s="105">
        <f>Masterlist!AN203+Masterlist!AN206</f>
        <v>13</v>
      </c>
      <c r="F32" s="30">
        <f>Masterlist!AO203+Masterlist!AO206</f>
        <v>28</v>
      </c>
      <c r="G32" s="30">
        <f>Masterlist!AP203+Masterlist!AP206</f>
        <v>17</v>
      </c>
      <c r="H32" s="30">
        <f>Masterlist!AQ203+Masterlist!AQ206</f>
        <v>12</v>
      </c>
      <c r="I32" s="30">
        <f>Masterlist!AR203+Masterlist!AR206</f>
        <v>12</v>
      </c>
      <c r="J32" s="30">
        <f>Masterlist!AS203+Masterlist!AS206</f>
        <v>17</v>
      </c>
      <c r="K32" s="30">
        <f>Masterlist!AT203+Masterlist!AT206</f>
        <v>20</v>
      </c>
      <c r="L32" s="30">
        <f>Masterlist!AU203+Masterlist!AU206</f>
        <v>21</v>
      </c>
      <c r="M32" s="30">
        <f>Masterlist!AV203+Masterlist!AV206</f>
        <v>26</v>
      </c>
      <c r="N32" s="30">
        <f>Masterlist!AW203+Masterlist!AW206</f>
        <v>31</v>
      </c>
      <c r="O32" s="30">
        <f>Masterlist!AX203+Masterlist!AX206</f>
        <v>17</v>
      </c>
      <c r="P32" s="1180">
        <f>Masterlist!AY203+Masterlist!AY206</f>
        <v>25</v>
      </c>
      <c r="Q32" s="1034">
        <f>SUM(E32:P32)</f>
        <v>239</v>
      </c>
      <c r="R32" s="313">
        <f>(Q32-(HLOOKUP($D$1,yearendcumulative,218,FALSE)))/(HLOOKUP($D$1,yearendcumulative,218,FALSE))</f>
        <v>0.27127659574468083</v>
      </c>
      <c r="S32" s="313">
        <f>(Q32-(HLOOKUP($D$1,Monthlyaveragecumulative,218,FALSE)))/(HLOOKUP($D$1,Monthlyaveragecumulative,218,FALSE))</f>
        <v>0.62585034013605445</v>
      </c>
      <c r="T32" s="510"/>
      <c r="U32" s="1"/>
      <c r="V32" s="1"/>
      <c r="W32" s="1"/>
      <c r="X32" s="1"/>
      <c r="Y32" s="1"/>
      <c r="Z32" s="1"/>
      <c r="AA32" s="1"/>
      <c r="AB32" s="1"/>
      <c r="AC32" s="1"/>
      <c r="AD32" s="1"/>
      <c r="AE32" s="1"/>
      <c r="AF32" s="1"/>
      <c r="AG32" s="1"/>
      <c r="AH32" s="1"/>
      <c r="AI32" s="1"/>
      <c r="AJ32" s="1"/>
      <c r="AK32" s="1"/>
    </row>
    <row r="33" spans="1:45" s="64" customFormat="1" x14ac:dyDescent="0.35">
      <c r="A33" s="1"/>
      <c r="B33" s="1230"/>
      <c r="C33" s="982" t="s">
        <v>37</v>
      </c>
      <c r="D33" s="277">
        <f>'year end'!AD196</f>
        <v>47</v>
      </c>
      <c r="E33" s="101">
        <f>Masterlist!AN184</f>
        <v>0</v>
      </c>
      <c r="F33" s="1062">
        <f>Masterlist!AO184</f>
        <v>3</v>
      </c>
      <c r="G33" s="1062">
        <f>Masterlist!AP184</f>
        <v>8</v>
      </c>
      <c r="H33" s="1062">
        <f>Masterlist!AQ184</f>
        <v>7</v>
      </c>
      <c r="I33" s="1062">
        <f>Masterlist!AR184</f>
        <v>9</v>
      </c>
      <c r="J33" s="1062">
        <f>Masterlist!AS184</f>
        <v>4</v>
      </c>
      <c r="K33" s="1062">
        <f>Masterlist!AT184</f>
        <v>5</v>
      </c>
      <c r="L33" s="1062">
        <f>Masterlist!AU184</f>
        <v>3</v>
      </c>
      <c r="M33" s="1062">
        <f>Masterlist!AV184</f>
        <v>2</v>
      </c>
      <c r="N33" s="1062">
        <f>Masterlist!AW184</f>
        <v>1</v>
      </c>
      <c r="O33" s="1062">
        <f>Masterlist!AX184</f>
        <v>7</v>
      </c>
      <c r="P33" s="1181">
        <f>Masterlist!AY184</f>
        <v>4</v>
      </c>
      <c r="Q33" s="1039">
        <f>SUM(E33:P33)</f>
        <v>53</v>
      </c>
      <c r="R33" s="314">
        <f>(Q33-(HLOOKUP($D$1,yearendcumulative,195,FALSE)))/(HLOOKUP($D$1,yearendcumulative,195,FALSE))</f>
        <v>0.1276595744680851</v>
      </c>
      <c r="S33" s="314">
        <f>(Q33-(HLOOKUP($D$1,Monthlyaveragecumulative,195,FALSE)))/(HLOOKUP($D$1,Monthlyaveragecumulative,195,FALSE))</f>
        <v>3.9215686274509803E-2</v>
      </c>
      <c r="T33" s="510"/>
      <c r="U33" s="1"/>
      <c r="V33" s="1"/>
      <c r="W33" s="1"/>
      <c r="X33" s="1"/>
      <c r="Y33" s="1"/>
      <c r="Z33" s="1"/>
      <c r="AA33" s="1"/>
      <c r="AB33" s="1"/>
      <c r="AC33" s="1"/>
      <c r="AD33" s="1"/>
      <c r="AE33" s="1"/>
      <c r="AF33" s="1"/>
      <c r="AG33" s="1"/>
      <c r="AH33" s="1"/>
      <c r="AI33" s="1"/>
      <c r="AJ33" s="1"/>
      <c r="AK33" s="1"/>
    </row>
    <row r="34" spans="1:45" s="64" customFormat="1" ht="15" customHeight="1" x14ac:dyDescent="0.35">
      <c r="A34" s="1"/>
      <c r="B34" s="3"/>
      <c r="C34" s="4"/>
      <c r="D34" s="211"/>
      <c r="E34" s="51"/>
      <c r="F34" s="51"/>
      <c r="G34" s="51"/>
      <c r="H34" s="51"/>
      <c r="I34" s="51"/>
      <c r="J34" s="51"/>
      <c r="K34" s="51"/>
      <c r="L34" s="51"/>
      <c r="M34" s="51"/>
      <c r="N34" s="51"/>
      <c r="O34" s="51"/>
      <c r="P34" s="51"/>
      <c r="Q34" s="192"/>
      <c r="R34" s="192"/>
      <c r="S34" s="192"/>
      <c r="T34" s="510"/>
      <c r="U34" s="1"/>
      <c r="V34" s="1"/>
      <c r="W34" s="1"/>
      <c r="X34" s="1"/>
      <c r="Y34" s="1"/>
      <c r="Z34" s="1"/>
      <c r="AA34" s="1"/>
      <c r="AB34" s="1"/>
      <c r="AC34" s="1"/>
      <c r="AD34" s="1"/>
      <c r="AE34" s="1"/>
      <c r="AF34" s="1"/>
      <c r="AG34" s="1"/>
      <c r="AH34" s="1"/>
      <c r="AI34" s="1"/>
      <c r="AJ34" s="1"/>
      <c r="AK34" s="1"/>
    </row>
    <row r="35" spans="1:45" s="64" customFormat="1" ht="45.75" customHeight="1" x14ac:dyDescent="0.35">
      <c r="A35" s="1"/>
      <c r="B35" s="959" t="s">
        <v>242</v>
      </c>
      <c r="C35" s="1054" t="s">
        <v>465</v>
      </c>
      <c r="D35" s="960">
        <f>'year end'!AD336</f>
        <v>310</v>
      </c>
      <c r="E35" s="55">
        <f>Masterlist!AN405</f>
        <v>26</v>
      </c>
      <c r="F35" s="55">
        <f>Masterlist!AO405</f>
        <v>30</v>
      </c>
      <c r="G35" s="55">
        <f>Masterlist!AP405</f>
        <v>39</v>
      </c>
      <c r="H35" s="55">
        <f>Masterlist!AQ405</f>
        <v>42</v>
      </c>
      <c r="I35" s="55">
        <f>Masterlist!AR405</f>
        <v>38</v>
      </c>
      <c r="J35" s="55">
        <f>Masterlist!AS405</f>
        <v>46</v>
      </c>
      <c r="K35" s="55">
        <f>Masterlist!AT405</f>
        <v>54</v>
      </c>
      <c r="L35" s="55">
        <f>Masterlist!AU405</f>
        <v>29</v>
      </c>
      <c r="M35" s="55">
        <f>Masterlist!AV405</f>
        <v>58</v>
      </c>
      <c r="N35" s="55">
        <f>Masterlist!AW405</f>
        <v>48</v>
      </c>
      <c r="O35" s="55">
        <f>Masterlist!AX405</f>
        <v>39</v>
      </c>
      <c r="P35" s="1251" t="s">
        <v>210</v>
      </c>
      <c r="Q35" s="1252" t="s">
        <v>210</v>
      </c>
      <c r="R35" s="1253" t="s">
        <v>210</v>
      </c>
      <c r="S35" s="300" t="e">
        <f>(Q35-(HLOOKUP($D$1,Monthlyaveragecumulative,335,FALSE)))/(HLOOKUP($D$1,Monthlyaveragecumulative,335,FALSE))</f>
        <v>#VALUE!</v>
      </c>
      <c r="T35" s="510"/>
      <c r="U35" s="1"/>
      <c r="V35" s="1"/>
      <c r="W35" s="1"/>
      <c r="X35" s="1"/>
      <c r="Y35" s="1"/>
      <c r="Z35" s="1"/>
      <c r="AA35" s="1"/>
      <c r="AB35" s="1"/>
      <c r="AC35" s="1"/>
      <c r="AD35" s="1"/>
      <c r="AE35" s="1"/>
      <c r="AF35" s="1"/>
      <c r="AG35" s="1"/>
      <c r="AH35" s="1"/>
      <c r="AI35" s="1"/>
      <c r="AJ35" s="1"/>
      <c r="AK35" s="1"/>
    </row>
    <row r="36" spans="1:45" s="64" customFormat="1" ht="15" customHeight="1" x14ac:dyDescent="0.35">
      <c r="A36" s="1"/>
      <c r="B36" s="2"/>
      <c r="C36" s="2"/>
      <c r="D36" s="17"/>
      <c r="E36" s="52"/>
      <c r="F36" s="52"/>
      <c r="G36" s="52"/>
      <c r="H36" s="52"/>
      <c r="I36" s="52"/>
      <c r="J36" s="52"/>
      <c r="K36" s="52"/>
      <c r="L36" s="52"/>
      <c r="M36" s="52"/>
      <c r="N36" s="52"/>
      <c r="O36" s="52"/>
      <c r="P36" s="52"/>
      <c r="Q36" s="271"/>
      <c r="R36" s="315"/>
      <c r="S36" s="315"/>
      <c r="T36" s="510"/>
      <c r="U36" s="1"/>
      <c r="V36" s="1"/>
      <c r="W36" s="1"/>
      <c r="X36" s="1"/>
      <c r="Y36" s="1"/>
      <c r="Z36" s="1"/>
      <c r="AA36" s="1"/>
      <c r="AB36" s="1"/>
      <c r="AC36" s="1"/>
      <c r="AD36" s="1"/>
      <c r="AE36" s="1"/>
      <c r="AF36" s="1"/>
      <c r="AG36" s="1"/>
      <c r="AH36" s="1"/>
      <c r="AI36" s="1"/>
      <c r="AJ36" s="1"/>
      <c r="AK36" s="1"/>
      <c r="AN36" s="8"/>
      <c r="AO36" s="8"/>
      <c r="AP36" s="8"/>
      <c r="AQ36" s="8"/>
      <c r="AR36" s="8"/>
      <c r="AS36" s="8"/>
    </row>
    <row r="37" spans="1:45" s="64" customFormat="1" ht="26" x14ac:dyDescent="0.35">
      <c r="A37" s="1"/>
      <c r="B37" s="965" t="s">
        <v>377</v>
      </c>
      <c r="C37" s="979" t="s">
        <v>359</v>
      </c>
      <c r="D37" s="954">
        <f>'year end'!AD221</f>
        <v>176</v>
      </c>
      <c r="E37" s="702">
        <f>Masterlist!AN209</f>
        <v>9</v>
      </c>
      <c r="F37" s="1134">
        <f>Masterlist!AO209</f>
        <v>18</v>
      </c>
      <c r="G37" s="1134">
        <f>Masterlist!AP209</f>
        <v>10</v>
      </c>
      <c r="H37" s="1134">
        <f>Masterlist!AQ209</f>
        <v>15</v>
      </c>
      <c r="I37" s="1134">
        <f>Masterlist!AR209</f>
        <v>30</v>
      </c>
      <c r="J37" s="1134">
        <f>Masterlist!AS209</f>
        <v>14</v>
      </c>
      <c r="K37" s="1134">
        <f>Masterlist!AT209</f>
        <v>13</v>
      </c>
      <c r="L37" s="1134">
        <f>Masterlist!AU209</f>
        <v>14</v>
      </c>
      <c r="M37" s="1134">
        <f>Masterlist!AV209</f>
        <v>15</v>
      </c>
      <c r="N37" s="1134">
        <f>Masterlist!AW209</f>
        <v>5</v>
      </c>
      <c r="O37" s="1134">
        <f>Masterlist!AX209</f>
        <v>13</v>
      </c>
      <c r="P37" s="1134">
        <f>Masterlist!AY209</f>
        <v>20</v>
      </c>
      <c r="Q37" s="705">
        <f t="shared" ref="Q37" si="15">SUM(E37:P37)</f>
        <v>176</v>
      </c>
      <c r="R37" s="704">
        <f>(Q37-(HLOOKUP($D$1,yearendcumulative,220,FALSE)))/(HLOOKUP($D$1,yearendcumulative,220,FALSE))</f>
        <v>0</v>
      </c>
      <c r="S37" s="606">
        <f>(Q37-(HLOOKUP($D$1,Monthlyaveragecumulative,220,FALSE)))/(HLOOKUP($D$1,Monthlyaveragecumulative,220,FALSE))</f>
        <v>0.5304347826086957</v>
      </c>
      <c r="T37" s="510"/>
      <c r="U37" s="1"/>
      <c r="V37" s="1"/>
      <c r="W37" s="1"/>
      <c r="X37" s="1"/>
      <c r="Y37" s="1"/>
      <c r="Z37" s="1"/>
      <c r="AA37" s="1"/>
      <c r="AB37" s="1"/>
      <c r="AC37" s="1"/>
      <c r="AD37" s="1"/>
      <c r="AE37" s="1"/>
      <c r="AF37" s="1"/>
      <c r="AG37" s="1"/>
      <c r="AH37" s="1"/>
      <c r="AI37" s="1"/>
      <c r="AJ37" s="1"/>
      <c r="AK37" s="1"/>
    </row>
    <row r="38" spans="1:45" s="64" customFormat="1" ht="15" customHeight="1" x14ac:dyDescent="0.35">
      <c r="A38" s="1"/>
      <c r="B38" s="1"/>
      <c r="C38" s="1"/>
      <c r="D38" s="1"/>
      <c r="E38" s="1"/>
      <c r="F38" s="95"/>
      <c r="G38" s="95"/>
      <c r="H38" s="95"/>
      <c r="I38" s="95"/>
      <c r="J38" s="95"/>
      <c r="K38" s="95"/>
      <c r="L38" s="95"/>
      <c r="M38" s="95"/>
      <c r="N38" s="95"/>
      <c r="O38" s="95"/>
      <c r="P38" s="95"/>
      <c r="Q38" s="1"/>
      <c r="R38" s="1"/>
      <c r="S38" s="1"/>
      <c r="T38" s="1"/>
      <c r="U38" s="1"/>
      <c r="V38" s="1"/>
      <c r="W38" s="1"/>
      <c r="X38" s="1"/>
      <c r="Y38" s="1"/>
      <c r="Z38" s="1"/>
      <c r="AA38" s="1"/>
      <c r="AB38" s="1"/>
      <c r="AC38" s="1"/>
      <c r="AD38" s="1"/>
      <c r="AE38" s="1"/>
      <c r="AF38" s="1"/>
      <c r="AG38" s="1"/>
      <c r="AH38" s="1"/>
      <c r="AI38" s="1"/>
      <c r="AJ38" s="1"/>
      <c r="AK38" s="1"/>
    </row>
    <row r="39" spans="1:45" s="64" customFormat="1" ht="24.75" customHeight="1" x14ac:dyDescent="0.35">
      <c r="A39" s="1"/>
      <c r="B39" s="700" t="s">
        <v>382</v>
      </c>
      <c r="C39" s="1055" t="s">
        <v>314</v>
      </c>
      <c r="D39" s="455">
        <f>'year end'!AD354</f>
        <v>57</v>
      </c>
      <c r="E39" s="480">
        <f>Masterlist!AN483</f>
        <v>1</v>
      </c>
      <c r="F39" s="480">
        <f>Masterlist!AO483</f>
        <v>3</v>
      </c>
      <c r="G39" s="480">
        <f>Masterlist!AP483</f>
        <v>3</v>
      </c>
      <c r="H39" s="480">
        <f>Masterlist!AQ483</f>
        <v>2</v>
      </c>
      <c r="I39" s="480">
        <f>Masterlist!AR483</f>
        <v>3</v>
      </c>
      <c r="J39" s="480">
        <f>Masterlist!AS483</f>
        <v>2</v>
      </c>
      <c r="K39" s="480">
        <f>Masterlist!AT483</f>
        <v>4</v>
      </c>
      <c r="L39" s="480">
        <f>Masterlist!AU483</f>
        <v>4</v>
      </c>
      <c r="M39" s="480">
        <f>Masterlist!AV483</f>
        <v>4</v>
      </c>
      <c r="N39" s="480">
        <f>Masterlist!AW483</f>
        <v>6</v>
      </c>
      <c r="O39" s="480">
        <f>Masterlist!AX483</f>
        <v>0</v>
      </c>
      <c r="P39" s="480">
        <f>Masterlist!AY483</f>
        <v>4</v>
      </c>
      <c r="Q39" s="437">
        <f>SUM(E39:P39)</f>
        <v>36</v>
      </c>
      <c r="R39" s="439">
        <f>(Q39-(HLOOKUP($D$1,yearendcumulative,353,FALSE)))/(HLOOKUP($D$1,yearendcumulative,353,FALSE))</f>
        <v>-0.36842105263157893</v>
      </c>
      <c r="S39" s="481" t="s">
        <v>206</v>
      </c>
      <c r="T39" s="510"/>
      <c r="U39" s="1"/>
      <c r="V39" s="1"/>
      <c r="W39" s="1"/>
      <c r="X39" s="1"/>
      <c r="Y39" s="1"/>
      <c r="Z39" s="1"/>
      <c r="AA39" s="1"/>
      <c r="AB39" s="1"/>
      <c r="AC39" s="1"/>
      <c r="AD39" s="1"/>
      <c r="AE39" s="1"/>
      <c r="AF39" s="1"/>
      <c r="AG39" s="1"/>
      <c r="AH39" s="1"/>
      <c r="AI39" s="1"/>
      <c r="AJ39" s="1"/>
      <c r="AK39" s="1"/>
    </row>
    <row r="40" spans="1:45" x14ac:dyDescent="0.35">
      <c r="B40" s="150"/>
      <c r="C40" s="154"/>
      <c r="D40" s="135"/>
      <c r="E40" s="212"/>
      <c r="F40" s="212"/>
      <c r="G40" s="212"/>
      <c r="H40" s="212"/>
      <c r="I40" s="212"/>
      <c r="J40" s="212"/>
      <c r="K40" s="212"/>
      <c r="L40" s="212"/>
      <c r="M40" s="212"/>
      <c r="N40" s="212"/>
      <c r="O40" s="212"/>
      <c r="P40" s="212"/>
      <c r="Q40" s="212"/>
      <c r="R40" s="317"/>
      <c r="S40" s="317"/>
      <c r="T40" s="510"/>
    </row>
    <row r="41" spans="1:45" s="64" customFormat="1" ht="15" customHeight="1" x14ac:dyDescent="0.35">
      <c r="A41" s="1"/>
      <c r="B41" s="1212" t="s">
        <v>381</v>
      </c>
      <c r="C41" s="416" t="s">
        <v>64</v>
      </c>
      <c r="D41" s="245">
        <f>'year end'!AD228</f>
        <v>1560</v>
      </c>
      <c r="E41" s="475">
        <f>Masterlist!AN379</f>
        <v>141</v>
      </c>
      <c r="F41" s="475">
        <f>Masterlist!AO379</f>
        <v>133</v>
      </c>
      <c r="G41" s="475">
        <f>Masterlist!AP379</f>
        <v>164</v>
      </c>
      <c r="H41" s="475">
        <f>Masterlist!AQ379</f>
        <v>150</v>
      </c>
      <c r="I41" s="475">
        <f>Masterlist!AR379</f>
        <v>153</v>
      </c>
      <c r="J41" s="475">
        <f>Masterlist!AS379</f>
        <v>146</v>
      </c>
      <c r="K41" s="475">
        <f>Masterlist!AT379</f>
        <v>137</v>
      </c>
      <c r="L41" s="475">
        <f>Masterlist!AU379</f>
        <v>124</v>
      </c>
      <c r="M41" s="475">
        <f>Masterlist!AV379</f>
        <v>97</v>
      </c>
      <c r="N41" s="475">
        <f>Masterlist!AW379</f>
        <v>106</v>
      </c>
      <c r="O41" s="475">
        <f>Masterlist!AX379</f>
        <v>111</v>
      </c>
      <c r="P41" s="475">
        <f>Masterlist!AY379</f>
        <v>135</v>
      </c>
      <c r="Q41" s="255">
        <f t="shared" ref="Q41" si="16">SUM(E41:P41)</f>
        <v>1597</v>
      </c>
      <c r="R41" s="303">
        <f>(Q41-(HLOOKUP($D$1,yearendcumulative,227,FALSE)))/(HLOOKUP($D$1,yearendcumulative,227,FALSE))</f>
        <v>2.3717948717948717E-2</v>
      </c>
      <c r="S41" s="303">
        <f>(Q41-(HLOOKUP($D$1,Monthlyaveragecumulative,227,FALSE)))/(HLOOKUP($D$1,Monthlyaveragecumulative,227,FALSE))</f>
        <v>-0.35966319165998395</v>
      </c>
      <c r="T41" s="510"/>
      <c r="U41" s="1"/>
      <c r="V41" s="1"/>
      <c r="W41" s="1"/>
      <c r="X41" s="1"/>
      <c r="Y41" s="1"/>
      <c r="Z41" s="1"/>
      <c r="AA41" s="1"/>
      <c r="AB41" s="1"/>
      <c r="AC41" s="1"/>
      <c r="AD41" s="1"/>
      <c r="AE41" s="1"/>
      <c r="AF41" s="1"/>
      <c r="AG41" s="1"/>
      <c r="AH41" s="1"/>
      <c r="AI41" s="1"/>
      <c r="AJ41" s="1"/>
      <c r="AK41" s="1"/>
    </row>
    <row r="42" spans="1:45" s="64" customFormat="1" x14ac:dyDescent="0.35">
      <c r="A42" s="1"/>
      <c r="B42" s="1212"/>
      <c r="C42" s="229" t="s">
        <v>11</v>
      </c>
      <c r="D42" s="106">
        <f>'year end'!AD229</f>
        <v>367</v>
      </c>
      <c r="E42" s="97">
        <f>Masterlist!AN380</f>
        <v>61</v>
      </c>
      <c r="F42" s="97">
        <f>Masterlist!AO380</f>
        <v>51</v>
      </c>
      <c r="G42" s="97">
        <f>Masterlist!AP380</f>
        <v>51</v>
      </c>
      <c r="H42" s="97">
        <f>Masterlist!AQ380</f>
        <v>45</v>
      </c>
      <c r="I42" s="97">
        <f>Masterlist!AR380</f>
        <v>32</v>
      </c>
      <c r="J42" s="97">
        <f>Masterlist!AS380</f>
        <v>59</v>
      </c>
      <c r="K42" s="97">
        <f>Masterlist!AT380</f>
        <v>44</v>
      </c>
      <c r="L42" s="97">
        <f>Masterlist!AU380</f>
        <v>43</v>
      </c>
      <c r="M42" s="97">
        <f>Masterlist!AV380</f>
        <v>25</v>
      </c>
      <c r="N42" s="97">
        <f>Masterlist!AW380</f>
        <v>36</v>
      </c>
      <c r="O42" s="97">
        <f>Masterlist!AX380</f>
        <v>30</v>
      </c>
      <c r="P42" s="97">
        <f>Masterlist!AY380</f>
        <v>37</v>
      </c>
      <c r="Q42" s="190">
        <f>SUM(E42:P42)</f>
        <v>514</v>
      </c>
      <c r="R42" s="304">
        <f>(Q42-(HLOOKUP($D$1,yearendcumulative,228,FALSE)))/(HLOOKUP($D$1,yearendcumulative,228,FALSE))</f>
        <v>0.40054495912806537</v>
      </c>
      <c r="S42" s="304">
        <f>(Q42-(HLOOKUP($D$1,Monthlyaveragecumulative,228,FALSE)))/(HLOOKUP($D$1,Monthlyaveragecumulative,228,FALSE))</f>
        <v>0.41208791208791207</v>
      </c>
      <c r="T42" s="510"/>
      <c r="U42" s="1"/>
      <c r="V42" s="1"/>
      <c r="W42" s="1"/>
      <c r="X42" s="1"/>
      <c r="Y42" s="1"/>
      <c r="Z42" s="1"/>
      <c r="AA42" s="1"/>
      <c r="AB42" s="1"/>
      <c r="AC42" s="1"/>
      <c r="AD42" s="1"/>
      <c r="AE42" s="1"/>
      <c r="AF42" s="1"/>
      <c r="AG42" s="1"/>
      <c r="AH42" s="1"/>
      <c r="AI42" s="1"/>
      <c r="AJ42" s="1"/>
      <c r="AK42" s="1"/>
    </row>
    <row r="43" spans="1:45" s="64" customFormat="1" x14ac:dyDescent="0.35">
      <c r="A43" s="1"/>
      <c r="B43" s="1212"/>
      <c r="C43" s="229" t="s">
        <v>12</v>
      </c>
      <c r="D43" s="106">
        <f>'year end'!AD230</f>
        <v>1015</v>
      </c>
      <c r="E43" s="97">
        <f>Masterlist!AN381</f>
        <v>75</v>
      </c>
      <c r="F43" s="97">
        <f>Masterlist!AO381</f>
        <v>68</v>
      </c>
      <c r="G43" s="97">
        <f>Masterlist!AP381</f>
        <v>103</v>
      </c>
      <c r="H43" s="97">
        <f>Masterlist!AQ381</f>
        <v>96</v>
      </c>
      <c r="I43" s="97">
        <f>Masterlist!AR381</f>
        <v>106</v>
      </c>
      <c r="J43" s="97">
        <f>Masterlist!AS381</f>
        <v>79</v>
      </c>
      <c r="K43" s="97">
        <f>Masterlist!AT381</f>
        <v>82</v>
      </c>
      <c r="L43" s="97">
        <f>Masterlist!AU381</f>
        <v>75</v>
      </c>
      <c r="M43" s="97">
        <f>Masterlist!AV381</f>
        <v>65</v>
      </c>
      <c r="N43" s="97">
        <f>Masterlist!AW381</f>
        <v>65</v>
      </c>
      <c r="O43" s="97">
        <f>Masterlist!AX381</f>
        <v>74</v>
      </c>
      <c r="P43" s="97">
        <f>Masterlist!AY381</f>
        <v>82</v>
      </c>
      <c r="Q43" s="190">
        <f>SUM(E43:P43)</f>
        <v>970</v>
      </c>
      <c r="R43" s="304">
        <f>(Q43-(HLOOKUP($D$1,yearendcumulative,229,FALSE)))/(HLOOKUP($D$1,yearendcumulative,229,FALSE))</f>
        <v>-4.4334975369458129E-2</v>
      </c>
      <c r="S43" s="304">
        <f>(Q43-(HLOOKUP($D$1,Monthlyaveragecumulative,229,FALSE)))/(HLOOKUP($D$1,Monthlyaveragecumulative,229,FALSE))</f>
        <v>-0.4614103275957801</v>
      </c>
      <c r="T43" s="510"/>
      <c r="U43" s="1"/>
      <c r="V43" s="1"/>
      <c r="W43" s="1"/>
      <c r="X43" s="1"/>
      <c r="Y43" s="1"/>
      <c r="Z43" s="1"/>
      <c r="AA43" s="1"/>
      <c r="AB43" s="1"/>
      <c r="AC43" s="1"/>
      <c r="AD43" s="1"/>
      <c r="AE43" s="1"/>
      <c r="AF43" s="1"/>
      <c r="AG43" s="1"/>
      <c r="AH43" s="1"/>
      <c r="AI43" s="1"/>
      <c r="AJ43" s="1"/>
      <c r="AK43" s="1"/>
    </row>
    <row r="44" spans="1:45" s="64" customFormat="1" x14ac:dyDescent="0.35">
      <c r="A44" s="1"/>
      <c r="B44" s="1212"/>
      <c r="C44" s="290" t="s">
        <v>13</v>
      </c>
      <c r="D44" s="247">
        <f>'year end'!AD231</f>
        <v>178</v>
      </c>
      <c r="E44" s="239">
        <f>Masterlist!AN382</f>
        <v>5</v>
      </c>
      <c r="F44" s="239">
        <f>Masterlist!AO382</f>
        <v>14</v>
      </c>
      <c r="G44" s="239">
        <f>Masterlist!AP382</f>
        <v>10</v>
      </c>
      <c r="H44" s="239">
        <f>Masterlist!AQ382</f>
        <v>9</v>
      </c>
      <c r="I44" s="239">
        <f>Masterlist!AR382</f>
        <v>15</v>
      </c>
      <c r="J44" s="239">
        <f>Masterlist!AS382</f>
        <v>8</v>
      </c>
      <c r="K44" s="239">
        <f>Masterlist!AT382</f>
        <v>11</v>
      </c>
      <c r="L44" s="239">
        <f>Masterlist!AU382</f>
        <v>6</v>
      </c>
      <c r="M44" s="239">
        <f>Masterlist!AV382</f>
        <v>7</v>
      </c>
      <c r="N44" s="239">
        <f>Masterlist!AW382</f>
        <v>5</v>
      </c>
      <c r="O44" s="239">
        <f>Masterlist!AX382</f>
        <v>7</v>
      </c>
      <c r="P44" s="239">
        <f>Masterlist!AY382</f>
        <v>16</v>
      </c>
      <c r="Q44" s="191">
        <f>SUM(E44:P44)</f>
        <v>113</v>
      </c>
      <c r="R44" s="305">
        <f>(Q44-(HLOOKUP($D$1,yearendcumulative,230,FALSE)))/(HLOOKUP($D$1,yearendcumulative,230,FALSE))</f>
        <v>-0.3651685393258427</v>
      </c>
      <c r="S44" s="305">
        <f>(Q44-(HLOOKUP($D$1,Monthlyaveragecumulative,230,FALSE)))/(HLOOKUP($D$1,Monthlyaveragecumulative,230,FALSE))</f>
        <v>-0.65337423312883436</v>
      </c>
      <c r="T44" s="510"/>
      <c r="U44" s="1"/>
      <c r="V44" s="1"/>
      <c r="W44" s="1"/>
      <c r="X44" s="1"/>
      <c r="Y44" s="1"/>
      <c r="Z44" s="1"/>
      <c r="AA44" s="1"/>
      <c r="AB44" s="1"/>
      <c r="AC44" s="1"/>
      <c r="AD44" s="1"/>
      <c r="AE44" s="1"/>
      <c r="AF44" s="1"/>
      <c r="AG44" s="1"/>
      <c r="AH44" s="1"/>
      <c r="AI44" s="1"/>
      <c r="AJ44" s="1"/>
      <c r="AK44" s="1"/>
    </row>
    <row r="45" spans="1:45" s="64" customFormat="1" hidden="1" x14ac:dyDescent="0.35">
      <c r="A45" s="1"/>
      <c r="B45" s="1212"/>
      <c r="C45" s="266" t="s">
        <v>257</v>
      </c>
      <c r="D45" s="262">
        <f>'year end'!AD231</f>
        <v>178</v>
      </c>
      <c r="E45" s="53" t="s">
        <v>210</v>
      </c>
      <c r="F45" s="1118">
        <f>Masterlist!AO447</f>
        <v>0</v>
      </c>
      <c r="G45" s="1118">
        <f>Masterlist!AP447</f>
        <v>0</v>
      </c>
      <c r="H45" s="1118">
        <f>Masterlist!AQ447</f>
        <v>0</v>
      </c>
      <c r="I45" s="1118">
        <f>Masterlist!AR447</f>
        <v>0</v>
      </c>
      <c r="J45" s="1118">
        <f>Masterlist!AS447</f>
        <v>0</v>
      </c>
      <c r="K45" s="1118">
        <f>Masterlist!AT447</f>
        <v>0</v>
      </c>
      <c r="L45" s="1118">
        <f>Masterlist!AU447</f>
        <v>0</v>
      </c>
      <c r="M45" s="1118">
        <f>Masterlist!AV447</f>
        <v>0</v>
      </c>
      <c r="N45" s="1118">
        <f>Masterlist!AW447</f>
        <v>0</v>
      </c>
      <c r="O45" s="1118">
        <f>Masterlist!AX447</f>
        <v>0</v>
      </c>
      <c r="P45" s="1118">
        <f>Masterlist!AY447</f>
        <v>0</v>
      </c>
      <c r="Q45" s="974">
        <f>SUM(E45:P45)</f>
        <v>0</v>
      </c>
      <c r="R45" s="305">
        <f>(Q45-(HLOOKUP($D$1,yearendcumulative,231,FALSE)))/(HLOOKUP($D$1,yearendcumulative,231,FALSE))</f>
        <v>-1</v>
      </c>
      <c r="S45" s="305">
        <f>(Q45-(HLOOKUP($D$1,Monthlyaveragecumulative,231,FALSE)))/(HLOOKUP($D$1,Monthlyaveragecumulative,231,FALSE))</f>
        <v>-1</v>
      </c>
      <c r="T45" s="510"/>
      <c r="U45" s="1"/>
      <c r="V45" s="1"/>
      <c r="W45" s="1"/>
      <c r="X45" s="1"/>
      <c r="Y45" s="1"/>
      <c r="Z45" s="1"/>
      <c r="AA45" s="1"/>
      <c r="AB45" s="1"/>
      <c r="AC45" s="1"/>
      <c r="AD45" s="1"/>
      <c r="AE45" s="1"/>
      <c r="AF45" s="1"/>
      <c r="AG45" s="1"/>
      <c r="AH45" s="1"/>
      <c r="AI45" s="1"/>
      <c r="AJ45" s="1"/>
      <c r="AK45" s="1"/>
    </row>
    <row r="46" spans="1:45" s="64" customFormat="1" x14ac:dyDescent="0.35">
      <c r="A46" s="1"/>
      <c r="B46" s="626"/>
      <c r="C46" s="265" t="s">
        <v>385</v>
      </c>
      <c r="D46" s="707">
        <f>'year end'!AD232</f>
        <v>13</v>
      </c>
      <c r="E46" s="263">
        <f>Masterlist!AN340</f>
        <v>1</v>
      </c>
      <c r="F46" s="1062">
        <f>Masterlist!AO340</f>
        <v>4</v>
      </c>
      <c r="G46" s="1062">
        <f>Masterlist!AP340</f>
        <v>7</v>
      </c>
      <c r="H46" s="1062">
        <f>Masterlist!AQ340</f>
        <v>4</v>
      </c>
      <c r="I46" s="1062">
        <f>Masterlist!AR340</f>
        <v>5</v>
      </c>
      <c r="J46" s="53">
        <f>Masterlist!AS340</f>
        <v>0</v>
      </c>
      <c r="K46" s="53">
        <f>Masterlist!AT340</f>
        <v>2</v>
      </c>
      <c r="L46" s="53">
        <f>Masterlist!AU340</f>
        <v>0</v>
      </c>
      <c r="M46" s="53">
        <f>Masterlist!AV340</f>
        <v>2</v>
      </c>
      <c r="N46" s="53">
        <f>Masterlist!AW340</f>
        <v>2</v>
      </c>
      <c r="O46" s="53">
        <f>Masterlist!AX340</f>
        <v>5</v>
      </c>
      <c r="P46" s="53">
        <f>Masterlist!AY340</f>
        <v>1</v>
      </c>
      <c r="Q46" s="437">
        <f>SUM(E46:I46)</f>
        <v>21</v>
      </c>
      <c r="R46" s="305">
        <f>(Q46-(HLOOKUP($D$1,yearendcumulative,231,FALSE)))/(HLOOKUP($D$1,yearendcumulative,231,FALSE))</f>
        <v>0.61538461538461542</v>
      </c>
      <c r="S46" s="439">
        <f>(Q46-(HLOOKUP($D$1,Monthlyaveragecumulative,231,FALSE)))/(HLOOKUP($D$1,Monthlyaveragecumulative,231,FALSE))</f>
        <v>0.61538461538461542</v>
      </c>
      <c r="T46" s="510"/>
      <c r="U46" s="1"/>
      <c r="V46" s="1"/>
      <c r="W46" s="1"/>
      <c r="X46" s="1"/>
      <c r="Y46" s="1"/>
      <c r="Z46" s="1"/>
      <c r="AA46" s="1"/>
      <c r="AB46" s="1"/>
      <c r="AC46" s="1"/>
      <c r="AD46" s="1"/>
      <c r="AE46" s="1"/>
      <c r="AF46" s="1"/>
      <c r="AG46" s="1"/>
      <c r="AH46" s="1"/>
      <c r="AI46" s="1"/>
      <c r="AJ46" s="1"/>
      <c r="AK46" s="1"/>
    </row>
    <row r="47" spans="1:45" s="64" customFormat="1" x14ac:dyDescent="0.35">
      <c r="A47" s="1"/>
      <c r="B47" s="1"/>
      <c r="C47" s="1"/>
      <c r="D47" s="1"/>
      <c r="E47" s="1"/>
      <c r="F47" s="95"/>
      <c r="G47" s="95"/>
      <c r="H47" s="95"/>
      <c r="I47" s="95"/>
      <c r="J47" s="95"/>
      <c r="K47" s="95"/>
      <c r="L47" s="95"/>
      <c r="M47" s="95"/>
      <c r="N47" s="95"/>
      <c r="O47" s="95"/>
      <c r="P47" s="95"/>
      <c r="Q47" s="1"/>
      <c r="R47" s="1"/>
      <c r="S47" s="1"/>
      <c r="T47" s="1"/>
      <c r="U47" s="1"/>
      <c r="V47" s="1"/>
      <c r="W47" s="1"/>
      <c r="X47" s="1"/>
      <c r="Y47" s="1"/>
      <c r="Z47" s="1"/>
      <c r="AA47" s="1"/>
      <c r="AB47" s="1"/>
      <c r="AC47" s="1"/>
      <c r="AD47" s="1"/>
      <c r="AE47" s="1"/>
      <c r="AF47" s="1"/>
      <c r="AG47" s="1"/>
      <c r="AH47" s="1"/>
      <c r="AI47" s="1"/>
      <c r="AJ47" s="1"/>
      <c r="AK47" s="1"/>
    </row>
    <row r="48" spans="1:45" s="64" customFormat="1" ht="42.75" customHeight="1" x14ac:dyDescent="0.35">
      <c r="A48" s="1"/>
      <c r="B48" s="1000" t="s">
        <v>383</v>
      </c>
      <c r="C48" s="986" t="s">
        <v>360</v>
      </c>
      <c r="D48" s="1046">
        <f>'year end'!AD222</f>
        <v>1981</v>
      </c>
      <c r="E48" s="702">
        <f>Masterlist!AN210</f>
        <v>151</v>
      </c>
      <c r="F48" s="1134">
        <f>Masterlist!AO210</f>
        <v>170</v>
      </c>
      <c r="G48" s="1134">
        <f>Masterlist!AP210</f>
        <v>164</v>
      </c>
      <c r="H48" s="1134">
        <f>Masterlist!AQ210</f>
        <v>177</v>
      </c>
      <c r="I48" s="1134">
        <f>Masterlist!AR210</f>
        <v>161</v>
      </c>
      <c r="J48" s="1134">
        <f>Masterlist!AS210</f>
        <v>170</v>
      </c>
      <c r="K48" s="1134">
        <f>Masterlist!AT210</f>
        <v>166</v>
      </c>
      <c r="L48" s="1134">
        <f>Masterlist!AU210</f>
        <v>140</v>
      </c>
      <c r="M48" s="1134">
        <f>Masterlist!AV210</f>
        <v>182</v>
      </c>
      <c r="N48" s="1134">
        <f>Masterlist!AW210</f>
        <v>146</v>
      </c>
      <c r="O48" s="1134">
        <f>Masterlist!AX210</f>
        <v>171</v>
      </c>
      <c r="P48" s="1134">
        <f>Masterlist!AY210</f>
        <v>180</v>
      </c>
      <c r="Q48" s="702">
        <f>SUM(E48:P48)</f>
        <v>1978</v>
      </c>
      <c r="R48" s="704">
        <f>(Q48-(HLOOKUP($D$1,yearendcumulative,221,FALSE)))/(HLOOKUP($D$1,yearendcumulative,221,FALSE))</f>
        <v>-1.5143866733972741E-3</v>
      </c>
      <c r="S48" s="294">
        <f>(Q48-(HLOOKUP($D$1,Monthlyaveragecumulative,221,FALSE)))/(HLOOKUP($D$1,Monthlyaveragecumulative,221,FALSE))</f>
        <v>0.10011123470522804</v>
      </c>
      <c r="T48" s="510"/>
      <c r="U48" s="1"/>
      <c r="V48" s="1"/>
      <c r="W48" s="1"/>
      <c r="X48" s="1"/>
      <c r="Y48" s="1"/>
      <c r="Z48" s="1"/>
      <c r="AA48" s="1"/>
      <c r="AB48" s="1"/>
      <c r="AC48" s="1"/>
      <c r="AD48" s="1"/>
      <c r="AE48" s="1"/>
      <c r="AF48" s="1"/>
      <c r="AG48" s="1"/>
      <c r="AH48" s="1"/>
      <c r="AI48" s="1"/>
      <c r="AJ48" s="1"/>
      <c r="AK48" s="1"/>
    </row>
    <row r="49" spans="1:37" s="635" customFormat="1" x14ac:dyDescent="0.35">
      <c r="B49" s="807"/>
      <c r="C49" s="976"/>
      <c r="D49" s="915"/>
      <c r="E49" s="915"/>
      <c r="F49" s="931"/>
      <c r="G49" s="931"/>
      <c r="H49" s="915"/>
      <c r="I49" s="931"/>
      <c r="J49" s="915"/>
      <c r="K49" s="915"/>
      <c r="L49" s="915"/>
      <c r="M49" s="915"/>
      <c r="N49" s="931"/>
      <c r="O49" s="915"/>
      <c r="P49" s="931"/>
      <c r="Q49" s="809"/>
      <c r="R49" s="819"/>
      <c r="S49" s="808"/>
      <c r="T49" s="511"/>
      <c r="U49" s="483"/>
      <c r="V49" s="483"/>
      <c r="W49" s="483"/>
      <c r="X49" s="483"/>
    </row>
    <row r="50" spans="1:37" s="635" customFormat="1" ht="85.5" customHeight="1" x14ac:dyDescent="0.35">
      <c r="A50" s="719"/>
      <c r="B50" s="822" t="s">
        <v>80</v>
      </c>
      <c r="C50" s="813" t="s">
        <v>522</v>
      </c>
      <c r="D50" s="1200" t="s">
        <v>464</v>
      </c>
      <c r="E50" s="1200"/>
      <c r="F50" s="1200"/>
      <c r="G50" s="1200"/>
      <c r="H50" s="1200"/>
      <c r="I50" s="1200"/>
      <c r="J50" s="1200"/>
      <c r="K50" s="1200"/>
      <c r="L50" s="1200"/>
      <c r="M50" s="1200"/>
      <c r="N50" s="1200"/>
      <c r="O50" s="1200"/>
      <c r="P50" s="1200"/>
      <c r="Q50" s="1200"/>
      <c r="R50" s="1200"/>
      <c r="S50" s="1200"/>
      <c r="T50" s="511"/>
      <c r="U50" s="483"/>
      <c r="V50" s="483"/>
      <c r="W50" s="483"/>
      <c r="X50" s="483"/>
    </row>
    <row r="51" spans="1:37" s="635" customFormat="1" x14ac:dyDescent="0.35">
      <c r="A51" s="719"/>
      <c r="B51" s="822"/>
      <c r="C51" s="813" t="s">
        <v>182</v>
      </c>
      <c r="D51" s="977"/>
      <c r="E51" s="977"/>
      <c r="F51" s="1094"/>
      <c r="G51" s="1094"/>
      <c r="H51" s="1042"/>
      <c r="I51" s="1094"/>
      <c r="J51" s="1042"/>
      <c r="K51" s="1042"/>
      <c r="L51" s="1042"/>
      <c r="M51" s="1042"/>
      <c r="N51" s="1094"/>
      <c r="O51" s="1042"/>
      <c r="P51" s="1094"/>
      <c r="Q51" s="977"/>
      <c r="R51" s="977"/>
      <c r="S51" s="977"/>
      <c r="T51" s="511"/>
      <c r="U51" s="483"/>
      <c r="V51" s="483"/>
      <c r="W51" s="483"/>
      <c r="X51" s="483"/>
    </row>
    <row r="52" spans="1:37" s="635" customFormat="1" x14ac:dyDescent="0.35">
      <c r="B52" s="807"/>
      <c r="C52" s="978" t="s">
        <v>452</v>
      </c>
      <c r="D52" s="915"/>
      <c r="E52" s="915"/>
      <c r="F52" s="931"/>
      <c r="G52" s="931"/>
      <c r="H52" s="915"/>
      <c r="I52" s="931"/>
      <c r="J52" s="915"/>
      <c r="K52" s="915"/>
      <c r="L52" s="915"/>
      <c r="M52" s="915"/>
      <c r="N52" s="931"/>
      <c r="O52" s="915"/>
      <c r="P52" s="931"/>
      <c r="Q52" s="809"/>
      <c r="R52" s="819"/>
      <c r="S52" s="808"/>
      <c r="T52" s="511"/>
      <c r="U52" s="483"/>
      <c r="V52" s="483"/>
      <c r="W52" s="483"/>
      <c r="X52" s="483"/>
    </row>
    <row r="53" spans="1:37" s="635" customFormat="1" x14ac:dyDescent="0.35">
      <c r="B53" s="807"/>
      <c r="C53" s="978" t="s">
        <v>453</v>
      </c>
      <c r="D53" s="915"/>
      <c r="E53" s="915"/>
      <c r="F53" s="931"/>
      <c r="G53" s="931"/>
      <c r="H53" s="915"/>
      <c r="I53" s="931"/>
      <c r="J53" s="915"/>
      <c r="K53" s="915"/>
      <c r="L53" s="915"/>
      <c r="M53" s="915"/>
      <c r="N53" s="931"/>
      <c r="O53" s="915"/>
      <c r="P53" s="931"/>
      <c r="Q53" s="809"/>
      <c r="R53" s="819"/>
      <c r="S53" s="808"/>
      <c r="T53" s="511"/>
      <c r="U53" s="483"/>
      <c r="V53" s="483"/>
      <c r="W53" s="483"/>
      <c r="X53" s="483"/>
    </row>
    <row r="54" spans="1:37" s="635" customFormat="1" x14ac:dyDescent="0.35">
      <c r="B54" s="807"/>
      <c r="C54" s="976"/>
      <c r="D54" s="915"/>
      <c r="E54" s="915"/>
      <c r="F54" s="931"/>
      <c r="G54" s="931"/>
      <c r="H54" s="915"/>
      <c r="I54" s="931"/>
      <c r="J54" s="915"/>
      <c r="K54" s="915"/>
      <c r="L54" s="915"/>
      <c r="M54" s="915"/>
      <c r="N54" s="931"/>
      <c r="O54" s="915"/>
      <c r="P54" s="931"/>
      <c r="Q54" s="809"/>
      <c r="R54" s="819"/>
      <c r="S54" s="808"/>
      <c r="T54" s="511"/>
      <c r="U54" s="483"/>
      <c r="V54" s="483"/>
      <c r="W54" s="483"/>
      <c r="X54" s="483"/>
    </row>
    <row r="55" spans="1:37" s="635" customFormat="1" x14ac:dyDescent="0.35">
      <c r="A55" s="10"/>
      <c r="B55" s="10" t="s">
        <v>211</v>
      </c>
      <c r="C55" s="809"/>
      <c r="D55" s="916"/>
      <c r="E55" s="809"/>
      <c r="F55" s="931"/>
      <c r="G55" s="931"/>
      <c r="H55" s="915"/>
      <c r="I55" s="931"/>
      <c r="J55" s="915"/>
      <c r="K55" s="915"/>
      <c r="L55" s="915"/>
      <c r="M55" s="915"/>
      <c r="N55" s="931"/>
      <c r="O55" s="915"/>
      <c r="P55" s="931"/>
      <c r="Q55" s="809"/>
      <c r="R55" s="819"/>
      <c r="S55" s="809"/>
      <c r="T55" s="511"/>
      <c r="U55" s="483"/>
      <c r="V55" s="483"/>
      <c r="W55" s="483"/>
      <c r="X55" s="483"/>
    </row>
    <row r="56" spans="1:37" s="635" customFormat="1" x14ac:dyDescent="0.35">
      <c r="A56" s="2"/>
      <c r="B56" s="758"/>
      <c r="C56" s="809"/>
      <c r="D56" s="809"/>
      <c r="E56" s="809"/>
      <c r="F56" s="931"/>
      <c r="G56" s="931"/>
      <c r="H56" s="915"/>
      <c r="I56" s="931"/>
      <c r="J56" s="915"/>
      <c r="K56" s="915"/>
      <c r="L56" s="915"/>
      <c r="M56" s="915"/>
      <c r="N56" s="931"/>
      <c r="O56" s="915"/>
      <c r="P56" s="931"/>
      <c r="Q56" s="809"/>
      <c r="R56" s="819"/>
      <c r="S56" s="809"/>
      <c r="T56" s="511"/>
      <c r="U56" s="483"/>
      <c r="V56" s="483"/>
      <c r="W56" s="483"/>
      <c r="X56" s="483"/>
    </row>
    <row r="57" spans="1:37" customFormat="1" x14ac:dyDescent="0.35">
      <c r="A57" s="1"/>
      <c r="B57" s="130"/>
      <c r="C57" s="2"/>
      <c r="D57" s="198"/>
      <c r="E57" s="2"/>
      <c r="F57" s="465"/>
      <c r="G57" s="465"/>
      <c r="H57" s="96"/>
      <c r="I57" s="465"/>
      <c r="J57" s="96"/>
      <c r="K57" s="96"/>
      <c r="L57" s="96"/>
      <c r="M57" s="96"/>
      <c r="N57" s="465"/>
      <c r="O57" s="96"/>
      <c r="P57" s="465"/>
      <c r="Q57" s="2"/>
      <c r="R57" s="293"/>
      <c r="S57" s="2"/>
      <c r="T57" s="510"/>
      <c r="U57" s="1"/>
      <c r="V57" s="1"/>
      <c r="W57" s="1"/>
      <c r="X57" s="1"/>
      <c r="Y57" s="1"/>
      <c r="Z57" s="1"/>
      <c r="AA57" s="1"/>
      <c r="AB57" s="1"/>
      <c r="AC57" s="1"/>
      <c r="AD57" s="1"/>
      <c r="AE57" s="1"/>
      <c r="AF57" s="1"/>
      <c r="AG57" s="1"/>
      <c r="AH57" s="1"/>
      <c r="AI57" s="1"/>
      <c r="AJ57" s="1"/>
      <c r="AK57" s="1"/>
    </row>
    <row r="58" spans="1:37" x14ac:dyDescent="0.35">
      <c r="B58" s="637"/>
      <c r="C58" s="637"/>
      <c r="D58" s="637"/>
      <c r="E58" s="637"/>
      <c r="F58" s="1100"/>
      <c r="G58" s="1100"/>
      <c r="H58" s="638"/>
      <c r="I58" s="1100"/>
      <c r="J58" s="638"/>
      <c r="K58" s="638"/>
      <c r="L58" s="638"/>
      <c r="M58" s="638"/>
      <c r="N58" s="1100"/>
      <c r="O58" s="638"/>
      <c r="P58" s="1100"/>
      <c r="Q58" s="637"/>
      <c r="R58" s="639"/>
      <c r="S58" s="637"/>
    </row>
    <row r="59" spans="1:37" x14ac:dyDescent="0.35">
      <c r="B59" s="637"/>
      <c r="C59" s="637"/>
      <c r="D59" s="637"/>
      <c r="E59" s="637"/>
      <c r="F59" s="1100"/>
      <c r="G59" s="1100"/>
      <c r="H59" s="638"/>
      <c r="I59" s="1100"/>
      <c r="J59" s="638"/>
      <c r="K59" s="638"/>
      <c r="L59" s="638"/>
      <c r="M59" s="638"/>
      <c r="N59" s="1100"/>
      <c r="O59" s="638"/>
      <c r="P59" s="1100"/>
      <c r="Q59" s="637"/>
      <c r="R59" s="639"/>
      <c r="S59" s="637"/>
    </row>
    <row r="60" spans="1:37" x14ac:dyDescent="0.35">
      <c r="B60" s="637"/>
      <c r="C60" s="637"/>
      <c r="D60" s="637"/>
      <c r="E60" s="637"/>
      <c r="F60" s="1100"/>
      <c r="G60" s="1100"/>
      <c r="H60" s="638"/>
      <c r="I60" s="1100"/>
      <c r="J60" s="638"/>
      <c r="K60" s="638"/>
      <c r="L60" s="638"/>
      <c r="M60" s="638"/>
      <c r="N60" s="1100"/>
      <c r="O60" s="638"/>
      <c r="P60" s="1100"/>
      <c r="Q60" s="637"/>
      <c r="R60" s="639"/>
      <c r="S60" s="637"/>
    </row>
    <row r="61" spans="1:37" x14ac:dyDescent="0.35">
      <c r="B61" s="637"/>
      <c r="C61" s="637"/>
      <c r="D61" s="637"/>
      <c r="E61" s="637"/>
      <c r="F61" s="1100"/>
      <c r="G61" s="1100"/>
      <c r="H61" s="638"/>
      <c r="I61" s="1100"/>
      <c r="J61" s="638"/>
      <c r="K61" s="638"/>
      <c r="L61" s="638"/>
      <c r="M61" s="638"/>
      <c r="N61" s="1100"/>
      <c r="O61" s="638"/>
      <c r="P61" s="1100"/>
      <c r="Q61" s="637"/>
      <c r="R61" s="639"/>
      <c r="S61" s="637"/>
    </row>
    <row r="62" spans="1:37" x14ac:dyDescent="0.35">
      <c r="D62" s="637"/>
      <c r="S62" s="637"/>
    </row>
    <row r="63" spans="1:37" x14ac:dyDescent="0.35">
      <c r="S63" s="637"/>
    </row>
    <row r="64" spans="1:37" x14ac:dyDescent="0.35">
      <c r="S64" s="637"/>
    </row>
    <row r="65" spans="19:19" x14ac:dyDescent="0.35">
      <c r="S65" s="637"/>
    </row>
    <row r="66" spans="19:19" x14ac:dyDescent="0.35">
      <c r="S66" s="637"/>
    </row>
    <row r="67" spans="19:19" x14ac:dyDescent="0.35">
      <c r="S67" s="637"/>
    </row>
    <row r="68" spans="19:19" x14ac:dyDescent="0.35">
      <c r="S68" s="637"/>
    </row>
    <row r="69" spans="19:19" x14ac:dyDescent="0.35">
      <c r="S69" s="637"/>
    </row>
    <row r="70" spans="19:19" x14ac:dyDescent="0.35">
      <c r="S70" s="637"/>
    </row>
    <row r="71" spans="19:19" x14ac:dyDescent="0.35">
      <c r="S71" s="637"/>
    </row>
    <row r="72" spans="19:19" x14ac:dyDescent="0.35">
      <c r="S72" s="637"/>
    </row>
    <row r="73" spans="19:19" x14ac:dyDescent="0.35">
      <c r="S73" s="637"/>
    </row>
    <row r="74" spans="19:19" x14ac:dyDescent="0.35">
      <c r="S74" s="637"/>
    </row>
    <row r="75" spans="19:19" x14ac:dyDescent="0.35">
      <c r="S75" s="637"/>
    </row>
    <row r="76" spans="19:19" x14ac:dyDescent="0.35">
      <c r="S76" s="637"/>
    </row>
    <row r="77" spans="19:19" x14ac:dyDescent="0.35">
      <c r="S77" s="637"/>
    </row>
    <row r="78" spans="19:19" x14ac:dyDescent="0.35">
      <c r="S78" s="637"/>
    </row>
    <row r="106" spans="19:19" x14ac:dyDescent="0.35">
      <c r="S106" s="629"/>
    </row>
    <row r="107" spans="19:19" x14ac:dyDescent="0.35">
      <c r="S107" s="633"/>
    </row>
    <row r="108" spans="19:19" x14ac:dyDescent="0.35">
      <c r="S108" s="633"/>
    </row>
    <row r="110" spans="19:19" x14ac:dyDescent="0.35">
      <c r="S110" s="629"/>
    </row>
    <row r="111" spans="19:19" x14ac:dyDescent="0.35">
      <c r="S111" s="633"/>
    </row>
    <row r="112" spans="19:19" x14ac:dyDescent="0.35">
      <c r="S112" s="633"/>
    </row>
    <row r="114" spans="3:36" x14ac:dyDescent="0.35">
      <c r="S114" s="629"/>
    </row>
    <row r="115" spans="3:36" x14ac:dyDescent="0.35">
      <c r="S115" s="152"/>
    </row>
    <row r="117" spans="3:36" x14ac:dyDescent="0.35">
      <c r="S117" s="629"/>
    </row>
    <row r="118" spans="3:36" x14ac:dyDescent="0.35">
      <c r="S118" s="152"/>
    </row>
    <row r="119" spans="3:36" x14ac:dyDescent="0.35">
      <c r="S119" s="633"/>
    </row>
    <row r="128" spans="3:36" x14ac:dyDescent="0.35">
      <c r="C128" s="629"/>
      <c r="E128" s="629"/>
      <c r="F128" s="935"/>
      <c r="G128" s="935"/>
      <c r="H128" s="644"/>
      <c r="I128" s="935"/>
      <c r="J128" s="644"/>
      <c r="K128" s="644"/>
      <c r="L128" s="644"/>
      <c r="M128" s="644"/>
      <c r="N128" s="935"/>
      <c r="O128" s="644"/>
      <c r="P128" s="935"/>
      <c r="Q128" s="629"/>
      <c r="R128" s="645"/>
      <c r="T128" s="646"/>
      <c r="U128" s="629"/>
      <c r="V128" s="629"/>
      <c r="W128" s="629"/>
      <c r="X128" s="629"/>
      <c r="Y128" s="629"/>
      <c r="Z128" s="629"/>
      <c r="AA128" s="629"/>
      <c r="AB128" s="629"/>
      <c r="AC128" s="629"/>
      <c r="AD128" s="629"/>
      <c r="AE128" s="629"/>
      <c r="AF128" s="629"/>
      <c r="AG128" s="629"/>
      <c r="AH128" s="629"/>
      <c r="AI128" s="629"/>
      <c r="AJ128" s="629"/>
    </row>
    <row r="129" spans="2:36" x14ac:dyDescent="0.35">
      <c r="B129" s="637"/>
      <c r="C129" s="633"/>
      <c r="D129" s="629"/>
      <c r="E129" s="633"/>
      <c r="F129" s="936"/>
      <c r="G129" s="936"/>
      <c r="H129" s="647"/>
      <c r="I129" s="936"/>
      <c r="J129" s="647"/>
      <c r="K129" s="647"/>
      <c r="L129" s="647"/>
      <c r="M129" s="647"/>
      <c r="N129" s="936"/>
      <c r="O129" s="656"/>
      <c r="P129" s="1098"/>
      <c r="Q129" s="630"/>
      <c r="R129" s="657"/>
      <c r="T129" s="658"/>
      <c r="U129" s="630"/>
      <c r="V129" s="630"/>
      <c r="W129" s="630"/>
      <c r="X129" s="630"/>
      <c r="Y129" s="630"/>
      <c r="Z129" s="630"/>
      <c r="AA129" s="630"/>
      <c r="AB129" s="630"/>
      <c r="AC129" s="630"/>
      <c r="AD129" s="630"/>
      <c r="AE129" s="630"/>
      <c r="AF129" s="630"/>
      <c r="AG129" s="630"/>
      <c r="AH129" s="630"/>
      <c r="AI129" s="630"/>
      <c r="AJ129" s="630"/>
    </row>
    <row r="130" spans="2:36" x14ac:dyDescent="0.35">
      <c r="B130" s="637"/>
      <c r="C130" s="633"/>
      <c r="D130" s="633"/>
      <c r="E130" s="633"/>
      <c r="F130" s="936"/>
      <c r="G130" s="936"/>
      <c r="H130" s="647"/>
      <c r="I130" s="936"/>
      <c r="J130" s="647"/>
      <c r="K130" s="647"/>
      <c r="L130" s="647"/>
      <c r="M130" s="647"/>
      <c r="N130" s="936"/>
      <c r="O130" s="656"/>
      <c r="P130" s="1098"/>
      <c r="Q130" s="630"/>
      <c r="R130" s="657"/>
      <c r="T130" s="658"/>
      <c r="U130" s="630"/>
      <c r="V130" s="630"/>
      <c r="W130" s="630"/>
      <c r="X130" s="630"/>
      <c r="Y130" s="630"/>
      <c r="Z130" s="630"/>
      <c r="AA130" s="630"/>
      <c r="AB130" s="630"/>
      <c r="AC130" s="630"/>
      <c r="AD130" s="630"/>
      <c r="AE130" s="630"/>
      <c r="AF130" s="630"/>
      <c r="AG130" s="630"/>
      <c r="AH130" s="630"/>
      <c r="AI130" s="630"/>
      <c r="AJ130" s="630"/>
    </row>
    <row r="131" spans="2:36" x14ac:dyDescent="0.35">
      <c r="D131" s="633"/>
    </row>
    <row r="132" spans="2:36" x14ac:dyDescent="0.35">
      <c r="C132" s="629"/>
      <c r="E132" s="629"/>
      <c r="F132" s="935"/>
      <c r="G132" s="935"/>
      <c r="H132" s="644"/>
      <c r="I132" s="935"/>
      <c r="J132" s="644"/>
      <c r="K132" s="644"/>
      <c r="L132" s="644"/>
      <c r="M132" s="644"/>
      <c r="N132" s="935"/>
      <c r="O132" s="644"/>
      <c r="P132" s="935"/>
      <c r="Q132" s="629"/>
      <c r="R132" s="645"/>
      <c r="T132" s="646"/>
      <c r="U132" s="629"/>
      <c r="V132" s="629"/>
      <c r="W132" s="629"/>
      <c r="X132" s="629"/>
      <c r="Y132" s="629"/>
      <c r="Z132" s="629"/>
      <c r="AA132" s="629"/>
      <c r="AB132" s="629"/>
      <c r="AC132" s="629"/>
      <c r="AD132" s="629"/>
      <c r="AE132" s="629"/>
      <c r="AF132" s="629"/>
      <c r="AG132" s="629"/>
      <c r="AH132" s="629"/>
      <c r="AI132" s="629"/>
      <c r="AJ132" s="629"/>
    </row>
    <row r="133" spans="2:36" x14ac:dyDescent="0.35">
      <c r="B133" s="637"/>
      <c r="C133" s="633"/>
      <c r="D133" s="629"/>
      <c r="E133" s="633"/>
      <c r="F133" s="936"/>
      <c r="G133" s="936"/>
      <c r="H133" s="647"/>
      <c r="I133" s="936"/>
      <c r="J133" s="647"/>
      <c r="K133" s="647"/>
      <c r="L133" s="647"/>
      <c r="M133" s="647"/>
      <c r="N133" s="936"/>
      <c r="O133" s="656"/>
      <c r="P133" s="1098"/>
      <c r="Q133" s="630"/>
      <c r="R133" s="657"/>
      <c r="T133" s="658"/>
      <c r="U133" s="630"/>
      <c r="V133" s="630"/>
      <c r="W133" s="630"/>
      <c r="X133" s="630"/>
      <c r="Y133" s="630"/>
      <c r="Z133" s="630"/>
      <c r="AA133" s="630"/>
      <c r="AB133" s="630"/>
      <c r="AC133" s="630"/>
      <c r="AD133" s="630"/>
      <c r="AE133" s="630"/>
      <c r="AF133" s="630"/>
      <c r="AG133" s="630"/>
      <c r="AH133" s="630"/>
      <c r="AI133" s="630"/>
      <c r="AJ133" s="630"/>
    </row>
    <row r="134" spans="2:36" x14ac:dyDescent="0.35">
      <c r="B134" s="637"/>
      <c r="C134" s="633"/>
      <c r="D134" s="633"/>
      <c r="E134" s="633"/>
      <c r="F134" s="936"/>
      <c r="G134" s="936"/>
      <c r="H134" s="647"/>
      <c r="I134" s="936"/>
      <c r="J134" s="647"/>
      <c r="K134" s="647"/>
      <c r="L134" s="647"/>
      <c r="M134" s="647"/>
      <c r="N134" s="936"/>
      <c r="O134" s="656"/>
      <c r="P134" s="1098"/>
      <c r="Q134" s="630"/>
      <c r="R134" s="657"/>
      <c r="T134" s="658"/>
      <c r="U134" s="630"/>
      <c r="V134" s="630"/>
      <c r="W134" s="630"/>
      <c r="X134" s="630"/>
      <c r="Y134" s="630"/>
      <c r="Z134" s="630"/>
      <c r="AA134" s="630"/>
      <c r="AB134" s="630"/>
      <c r="AC134" s="630"/>
      <c r="AD134" s="630"/>
      <c r="AE134" s="630"/>
      <c r="AF134" s="630"/>
      <c r="AG134" s="630"/>
      <c r="AH134" s="630"/>
      <c r="AI134" s="630"/>
      <c r="AJ134" s="630"/>
    </row>
    <row r="135" spans="2:36" x14ac:dyDescent="0.35">
      <c r="D135" s="633"/>
    </row>
    <row r="136" spans="2:36" x14ac:dyDescent="0.35">
      <c r="C136" s="629"/>
      <c r="E136" s="629"/>
      <c r="F136" s="935"/>
      <c r="G136" s="935"/>
      <c r="H136" s="644"/>
      <c r="I136" s="935"/>
      <c r="J136" s="644"/>
      <c r="K136" s="644"/>
      <c r="L136" s="644"/>
      <c r="M136" s="644"/>
      <c r="N136" s="935"/>
      <c r="O136" s="644"/>
      <c r="P136" s="935"/>
      <c r="Q136" s="629"/>
      <c r="R136" s="645"/>
      <c r="T136" s="646"/>
      <c r="U136" s="629"/>
      <c r="V136" s="629"/>
      <c r="W136" s="629"/>
      <c r="X136" s="629"/>
      <c r="Y136" s="629"/>
      <c r="Z136" s="629"/>
      <c r="AA136" s="629"/>
      <c r="AB136" s="629"/>
      <c r="AC136" s="629"/>
      <c r="AD136" s="629"/>
      <c r="AE136" s="629"/>
      <c r="AF136" s="629"/>
      <c r="AG136" s="629"/>
      <c r="AH136" s="629"/>
      <c r="AI136" s="629"/>
      <c r="AJ136" s="629"/>
    </row>
    <row r="137" spans="2:36" x14ac:dyDescent="0.35">
      <c r="B137" s="637"/>
      <c r="C137" s="654"/>
      <c r="D137" s="629"/>
      <c r="E137" s="654"/>
      <c r="F137" s="1097"/>
      <c r="G137" s="1097"/>
      <c r="H137" s="655"/>
      <c r="I137" s="1097"/>
      <c r="J137" s="655"/>
      <c r="K137" s="655"/>
      <c r="L137" s="655"/>
      <c r="M137" s="655"/>
      <c r="N137" s="1097"/>
    </row>
    <row r="138" spans="2:36" x14ac:dyDescent="0.35">
      <c r="D138" s="654"/>
    </row>
    <row r="139" spans="2:36" x14ac:dyDescent="0.35">
      <c r="C139" s="629"/>
      <c r="E139" s="629"/>
      <c r="F139" s="935"/>
      <c r="G139" s="935"/>
      <c r="H139" s="644"/>
      <c r="I139" s="935"/>
      <c r="J139" s="644"/>
      <c r="K139" s="644"/>
      <c r="L139" s="644"/>
      <c r="M139" s="644"/>
      <c r="N139" s="935"/>
      <c r="O139" s="644"/>
      <c r="P139" s="935"/>
      <c r="Q139" s="629"/>
      <c r="R139" s="645"/>
      <c r="T139" s="646"/>
      <c r="U139" s="629"/>
      <c r="V139" s="629"/>
      <c r="W139" s="629"/>
      <c r="X139" s="629"/>
      <c r="Y139" s="629"/>
      <c r="Z139" s="629"/>
      <c r="AA139" s="629"/>
      <c r="AB139" s="629"/>
      <c r="AC139" s="629"/>
      <c r="AD139" s="629"/>
      <c r="AE139" s="629"/>
      <c r="AF139" s="629"/>
      <c r="AG139" s="629"/>
      <c r="AH139" s="629"/>
      <c r="AI139" s="629"/>
      <c r="AJ139" s="629"/>
    </row>
    <row r="140" spans="2:36" x14ac:dyDescent="0.35">
      <c r="B140" s="637"/>
      <c r="C140" s="633"/>
      <c r="D140" s="629"/>
      <c r="E140" s="633"/>
      <c r="F140" s="936"/>
      <c r="G140" s="936"/>
      <c r="H140" s="647"/>
      <c r="I140" s="936"/>
      <c r="J140" s="647"/>
      <c r="K140" s="647"/>
      <c r="L140" s="647"/>
      <c r="M140" s="647"/>
      <c r="N140" s="936"/>
    </row>
    <row r="141" spans="2:36" x14ac:dyDescent="0.35">
      <c r="B141" s="637"/>
      <c r="C141" s="633"/>
      <c r="D141" s="633"/>
      <c r="E141" s="633"/>
      <c r="F141" s="936"/>
      <c r="G141" s="936"/>
      <c r="H141" s="647"/>
      <c r="I141" s="936"/>
      <c r="J141" s="647"/>
      <c r="K141" s="647"/>
      <c r="L141" s="647"/>
      <c r="M141" s="647"/>
      <c r="N141" s="936"/>
    </row>
    <row r="142" spans="2:36" x14ac:dyDescent="0.35">
      <c r="D142" s="633"/>
    </row>
  </sheetData>
  <mergeCells count="6">
    <mergeCell ref="B5:B10"/>
    <mergeCell ref="B12:B13"/>
    <mergeCell ref="D50:S50"/>
    <mergeCell ref="B41:B45"/>
    <mergeCell ref="B29:B33"/>
    <mergeCell ref="B15:B27"/>
  </mergeCells>
  <conditionalFormatting sqref="R21:R22">
    <cfRule type="cellIs" dxfId="104" priority="151" operator="lessThan">
      <formula>-0.05</formula>
    </cfRule>
    <cfRule type="cellIs" dxfId="103" priority="152" operator="between">
      <formula>-5%</formula>
      <formula>5%</formula>
    </cfRule>
    <cfRule type="cellIs" dxfId="102" priority="153" operator="greaterThan">
      <formula>5%</formula>
    </cfRule>
  </conditionalFormatting>
  <conditionalFormatting sqref="R39">
    <cfRule type="cellIs" dxfId="101" priority="31" operator="lessThan">
      <formula>-0.05</formula>
    </cfRule>
    <cfRule type="cellIs" dxfId="100" priority="32" operator="between">
      <formula>-5%</formula>
      <formula>5%</formula>
    </cfRule>
    <cfRule type="cellIs" dxfId="99" priority="33" operator="greaterThan">
      <formula>5%</formula>
    </cfRule>
  </conditionalFormatting>
  <conditionalFormatting sqref="R5:S10 R12:S13 R15:S17 R18 R37:S37 R48:S48">
    <cfRule type="cellIs" dxfId="98" priority="163" operator="lessThan">
      <formula>-0.05</formula>
    </cfRule>
    <cfRule type="cellIs" dxfId="97" priority="164" operator="between">
      <formula>-5%</formula>
      <formula>5%</formula>
    </cfRule>
    <cfRule type="cellIs" dxfId="96" priority="165" operator="greaterThan">
      <formula>5%</formula>
    </cfRule>
  </conditionalFormatting>
  <conditionalFormatting sqref="R19:S27">
    <cfRule type="cellIs" dxfId="95" priority="10" operator="greaterThan">
      <formula>5%</formula>
    </cfRule>
    <cfRule type="cellIs" dxfId="94" priority="11" operator="lessThan">
      <formula>-0.05</formula>
    </cfRule>
    <cfRule type="cellIs" dxfId="93" priority="12" operator="between">
      <formula>-5%</formula>
      <formula>5%</formula>
    </cfRule>
  </conditionalFormatting>
  <conditionalFormatting sqref="R29:S33">
    <cfRule type="cellIs" dxfId="92" priority="121" operator="lessThan">
      <formula>-0.05</formula>
    </cfRule>
    <cfRule type="cellIs" dxfId="91" priority="122" operator="between">
      <formula>-5%</formula>
      <formula>5%</formula>
    </cfRule>
    <cfRule type="cellIs" dxfId="90" priority="123" operator="greaterThan">
      <formula>5%</formula>
    </cfRule>
  </conditionalFormatting>
  <conditionalFormatting sqref="S35">
    <cfRule type="cellIs" dxfId="89" priority="16" operator="lessThan">
      <formula>-0.05</formula>
    </cfRule>
    <cfRule type="cellIs" dxfId="88" priority="17" operator="between">
      <formula>-5%</formula>
      <formula>5%</formula>
    </cfRule>
    <cfRule type="cellIs" dxfId="87" priority="18" operator="greaterThan">
      <formula>5%</formula>
    </cfRule>
  </conditionalFormatting>
  <conditionalFormatting sqref="R41:S46">
    <cfRule type="cellIs" dxfId="86" priority="40" operator="lessThan">
      <formula>-0.05</formula>
    </cfRule>
    <cfRule type="cellIs" dxfId="85" priority="41" operator="between">
      <formula>-5%</formula>
      <formula>5%</formula>
    </cfRule>
    <cfRule type="cellIs" dxfId="84" priority="42" operator="greaterThan">
      <formula>5%</formula>
    </cfRule>
  </conditionalFormatting>
  <conditionalFormatting sqref="S18:S19">
    <cfRule type="cellIs" dxfId="83" priority="4" operator="lessThan">
      <formula>-0.05</formula>
    </cfRule>
    <cfRule type="cellIs" dxfId="82" priority="5" operator="between">
      <formula>-5%</formula>
      <formula>5%</formula>
    </cfRule>
    <cfRule type="cellIs" dxfId="81" priority="6" operator="greaterThan">
      <formula>5%</formula>
    </cfRule>
  </conditionalFormatting>
  <conditionalFormatting sqref="S21">
    <cfRule type="cellIs" dxfId="80" priority="109" operator="lessThan">
      <formula>-0.05</formula>
    </cfRule>
    <cfRule type="cellIs" dxfId="79" priority="110" operator="between">
      <formula>-5%</formula>
      <formula>5%</formula>
    </cfRule>
    <cfRule type="cellIs" dxfId="78" priority="111" operator="greaterThan">
      <formula>5%</formula>
    </cfRule>
  </conditionalFormatting>
  <conditionalFormatting sqref="S23:S24">
    <cfRule type="cellIs" dxfId="77" priority="43" operator="lessThan">
      <formula>-0.05</formula>
    </cfRule>
    <cfRule type="cellIs" dxfId="76" priority="44" operator="between">
      <formula>-5%</formula>
      <formula>5%</formula>
    </cfRule>
    <cfRule type="cellIs" dxfId="75" priority="45" operator="greaterThan">
      <formula>5%</formula>
    </cfRule>
  </conditionalFormatting>
  <pageMargins left="0.23622047244094491" right="0.23622047244094491" top="0.74803149606299213" bottom="0.74803149606299213" header="0.31496062992125984" footer="0.31496062992125984"/>
  <pageSetup paperSize="9" scale="73" fitToHeight="0" orientation="landscape" r:id="rId1"/>
  <headerFooter>
    <oddFooter>&amp;C&amp;1#&amp;"Calibri"&amp;10&amp;K000000OFFICIAL</oddFooter>
  </headerFooter>
  <ignoredErrors>
    <ignoredError sqref="E7 E10 F29 R29:S29 R7:S10 F7 F36 F40 R31:S32 F34 R11:S11 Q45 R34:S34 S33 F10 F11 Q37:S37 Q36:S36 Q40:S40 G7:P10" evalError="1"/>
    <ignoredError sqref="Q29:Q34 Q7:Q10 Q11" evalError="1"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J152"/>
  <sheetViews>
    <sheetView showGridLines="0" topLeftCell="A24" zoomScaleNormal="100" workbookViewId="0">
      <selection activeCell="P39" sqref="P39"/>
    </sheetView>
  </sheetViews>
  <sheetFormatPr defaultColWidth="8.84375" defaultRowHeight="15.5" x14ac:dyDescent="0.35"/>
  <cols>
    <col min="1" max="1" width="3.23046875" style="130" customWidth="1"/>
    <col min="2" max="2" width="13" style="130" customWidth="1"/>
    <col min="3" max="3" width="51.69140625" style="130" customWidth="1"/>
    <col min="4" max="4" width="8.84375" style="130"/>
    <col min="5" max="5" width="5.84375" style="130"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130"/>
    <col min="18" max="18" width="10.23046875" style="641" customWidth="1"/>
    <col min="19" max="19" width="10.304687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1"/>
      <c r="B1" s="9" t="s">
        <v>79</v>
      </c>
      <c r="C1" s="1"/>
      <c r="D1" s="760" t="s">
        <v>30</v>
      </c>
      <c r="E1" s="1"/>
      <c r="F1" s="930"/>
      <c r="G1" s="930"/>
      <c r="H1" s="95"/>
      <c r="I1" s="930"/>
      <c r="J1" s="95"/>
      <c r="K1" s="95"/>
      <c r="L1" s="95"/>
      <c r="M1" s="95"/>
      <c r="N1" s="930"/>
      <c r="O1" s="95"/>
      <c r="P1" s="930"/>
      <c r="Q1" s="1"/>
      <c r="R1" s="7"/>
      <c r="S1" s="1"/>
      <c r="T1" s="510"/>
      <c r="U1" s="1"/>
      <c r="V1" s="1"/>
      <c r="W1" s="1"/>
      <c r="X1" s="1"/>
    </row>
    <row r="2" spans="1:24" x14ac:dyDescent="0.35">
      <c r="A2" s="1"/>
      <c r="B2" s="1"/>
      <c r="C2" s="1"/>
      <c r="D2" s="1"/>
      <c r="E2" s="1"/>
      <c r="F2" s="930"/>
      <c r="G2" s="930"/>
      <c r="H2" s="95"/>
      <c r="I2" s="930"/>
      <c r="J2" s="95"/>
      <c r="K2" s="95"/>
      <c r="L2" s="95"/>
      <c r="M2" s="95"/>
      <c r="N2" s="930"/>
      <c r="O2" s="95"/>
      <c r="P2" s="930"/>
      <c r="Q2" s="1"/>
      <c r="R2" s="7"/>
      <c r="S2" s="1"/>
      <c r="T2" s="510"/>
      <c r="U2" s="7" t="s">
        <v>69</v>
      </c>
      <c r="V2" s="1"/>
      <c r="W2" s="1"/>
      <c r="X2" s="1"/>
    </row>
    <row r="3" spans="1:24" ht="26" x14ac:dyDescent="0.6">
      <c r="A3" s="1"/>
      <c r="B3" s="925" t="s">
        <v>504</v>
      </c>
      <c r="C3" s="2"/>
      <c r="D3" s="2"/>
      <c r="E3" s="2"/>
      <c r="F3" s="465"/>
      <c r="G3" s="465"/>
      <c r="H3" s="96"/>
      <c r="I3" s="465"/>
      <c r="J3" s="96"/>
      <c r="K3" s="96"/>
      <c r="L3" s="96"/>
      <c r="M3" s="96"/>
      <c r="N3" s="465"/>
      <c r="O3" s="96"/>
      <c r="P3" s="465"/>
      <c r="Q3" s="2"/>
      <c r="R3" s="293"/>
      <c r="S3" s="1"/>
      <c r="T3" s="510"/>
      <c r="U3" s="1"/>
      <c r="V3" s="1"/>
      <c r="W3" s="1"/>
      <c r="X3" s="1"/>
    </row>
    <row r="4" spans="1:24" ht="53.25" customHeight="1" x14ac:dyDescent="0.35">
      <c r="A4" s="1"/>
      <c r="B4" s="2"/>
      <c r="C4" s="210" t="s">
        <v>1</v>
      </c>
      <c r="D4" s="996" t="s">
        <v>497</v>
      </c>
      <c r="E4" s="12" t="s">
        <v>132</v>
      </c>
      <c r="F4" s="12" t="s">
        <v>20</v>
      </c>
      <c r="G4" s="12" t="s">
        <v>21</v>
      </c>
      <c r="H4" s="12" t="s">
        <v>22</v>
      </c>
      <c r="I4" s="12" t="s">
        <v>23</v>
      </c>
      <c r="J4" s="12" t="s">
        <v>24</v>
      </c>
      <c r="K4" s="12" t="s">
        <v>25</v>
      </c>
      <c r="L4" s="12" t="s">
        <v>26</v>
      </c>
      <c r="M4" s="12" t="s">
        <v>27</v>
      </c>
      <c r="N4" s="12" t="s">
        <v>28</v>
      </c>
      <c r="O4" s="12" t="s">
        <v>29</v>
      </c>
      <c r="P4" s="12" t="s">
        <v>30</v>
      </c>
      <c r="Q4" s="252" t="s">
        <v>32</v>
      </c>
      <c r="R4" s="997" t="s">
        <v>498</v>
      </c>
      <c r="S4" s="508" t="s">
        <v>351</v>
      </c>
      <c r="T4" s="510"/>
      <c r="U4" s="1"/>
      <c r="V4" s="1"/>
      <c r="W4" s="1"/>
      <c r="X4" s="1"/>
    </row>
    <row r="5" spans="1:24" ht="15" customHeight="1" x14ac:dyDescent="0.35">
      <c r="A5" s="1"/>
      <c r="B5" s="1225" t="s">
        <v>459</v>
      </c>
      <c r="C5" s="127" t="s">
        <v>2</v>
      </c>
      <c r="D5" s="250">
        <f>'year end'!AD239</f>
        <v>987</v>
      </c>
      <c r="E5" s="412">
        <f>Masterlist!AN222</f>
        <v>88</v>
      </c>
      <c r="F5" s="1118">
        <f>Masterlist!AO222</f>
        <v>94</v>
      </c>
      <c r="G5" s="1118">
        <f>Masterlist!AP222</f>
        <v>93</v>
      </c>
      <c r="H5" s="1118">
        <f>Masterlist!AQ222</f>
        <v>102</v>
      </c>
      <c r="I5" s="1118">
        <f>Masterlist!AR222</f>
        <v>89</v>
      </c>
      <c r="J5" s="1118">
        <f>Masterlist!AS222</f>
        <v>81</v>
      </c>
      <c r="K5" s="1118">
        <f>Masterlist!AT222</f>
        <v>82</v>
      </c>
      <c r="L5" s="1118">
        <f>Masterlist!AU222</f>
        <v>71</v>
      </c>
      <c r="M5" s="1118">
        <f>Masterlist!AV222</f>
        <v>100</v>
      </c>
      <c r="N5" s="1118">
        <f>Masterlist!AW222</f>
        <v>81</v>
      </c>
      <c r="O5" s="1118">
        <f>Masterlist!AX222</f>
        <v>61</v>
      </c>
      <c r="P5" s="1118">
        <f>Masterlist!AY222</f>
        <v>108</v>
      </c>
      <c r="Q5" s="236">
        <f t="shared" ref="Q5:Q9" si="0">SUM(E5:P5)</f>
        <v>1050</v>
      </c>
      <c r="R5" s="297">
        <f>(Q5-(HLOOKUP($D$1,yearendcumulative,238,FALSE)))/(HLOOKUP($D$1,yearendcumulative,238,FALSE))</f>
        <v>6.3829787234042548E-2</v>
      </c>
      <c r="S5" s="297">
        <f>(Q5-(HLOOKUP($D$1,Monthlyaveragecumulative,238,FALSE)))/(HLOOKUP($D$1,Monthlyaveragecumulative,238,FALSE))</f>
        <v>6.167846309403438E-2</v>
      </c>
      <c r="T5" s="510"/>
      <c r="U5" s="1"/>
      <c r="V5" s="1"/>
      <c r="W5" s="1"/>
      <c r="X5" s="1"/>
    </row>
    <row r="6" spans="1:24" x14ac:dyDescent="0.35">
      <c r="A6" s="1"/>
      <c r="B6" s="1225"/>
      <c r="C6" s="20" t="s">
        <v>3</v>
      </c>
      <c r="D6" s="250">
        <f>'year end'!AD259</f>
        <v>295</v>
      </c>
      <c r="E6" s="177">
        <f>Masterlist!AN240</f>
        <v>27</v>
      </c>
      <c r="F6" s="30">
        <f>Masterlist!AO240</f>
        <v>34</v>
      </c>
      <c r="G6" s="30">
        <f>Masterlist!AP240</f>
        <v>27</v>
      </c>
      <c r="H6" s="30">
        <f>Masterlist!AQ240</f>
        <v>30</v>
      </c>
      <c r="I6" s="30">
        <f>Masterlist!AR240</f>
        <v>39</v>
      </c>
      <c r="J6" s="30">
        <f>Masterlist!AS240</f>
        <v>14</v>
      </c>
      <c r="K6" s="30">
        <f>Masterlist!AT240</f>
        <v>21</v>
      </c>
      <c r="L6" s="30">
        <f>Masterlist!AU240</f>
        <v>23</v>
      </c>
      <c r="M6" s="30">
        <f>Masterlist!AV240</f>
        <v>27</v>
      </c>
      <c r="N6" s="30">
        <f>Masterlist!AW240</f>
        <v>27</v>
      </c>
      <c r="O6" s="30">
        <f>Masterlist!AX240</f>
        <v>21</v>
      </c>
      <c r="P6" s="30">
        <f>Masterlist!AY240</f>
        <v>22</v>
      </c>
      <c r="Q6" s="238">
        <f t="shared" si="0"/>
        <v>312</v>
      </c>
      <c r="R6" s="298">
        <f>(Q6-(HLOOKUP($D$1,yearendcumulative,258,FALSE)))/(HLOOKUP($D$1,yearendcumulative,258,FALSE))</f>
        <v>5.7627118644067797E-2</v>
      </c>
      <c r="S6" s="298">
        <f>(Q6-(HLOOKUP($D$1,Monthlyaveragecumulative,258,FALSE)))/(HLOOKUP($D$1,Monthlyaveragecumulative,258,FALSE))</f>
        <v>-8.2352941176470587E-2</v>
      </c>
      <c r="T6" s="510"/>
      <c r="U6" s="1"/>
      <c r="V6" s="1"/>
      <c r="W6" s="1"/>
      <c r="X6" s="1"/>
    </row>
    <row r="7" spans="1:24" x14ac:dyDescent="0.35">
      <c r="A7" s="1"/>
      <c r="B7" s="1225"/>
      <c r="C7" s="20" t="s">
        <v>235</v>
      </c>
      <c r="D7" s="274">
        <f>D6/D5</f>
        <v>0.29888551165146909</v>
      </c>
      <c r="E7" s="104">
        <f>E6/E5</f>
        <v>0.30681818181818182</v>
      </c>
      <c r="F7" s="50">
        <f t="shared" ref="F7" si="1">F6/F5</f>
        <v>0.36170212765957449</v>
      </c>
      <c r="G7" s="50">
        <f t="shared" ref="G7:P7" si="2">G6/G5</f>
        <v>0.29032258064516131</v>
      </c>
      <c r="H7" s="50">
        <f t="shared" si="2"/>
        <v>0.29411764705882354</v>
      </c>
      <c r="I7" s="50">
        <f t="shared" si="2"/>
        <v>0.43820224719101125</v>
      </c>
      <c r="J7" s="50">
        <f t="shared" si="2"/>
        <v>0.1728395061728395</v>
      </c>
      <c r="K7" s="50">
        <f t="shared" si="2"/>
        <v>0.25609756097560976</v>
      </c>
      <c r="L7" s="50">
        <f t="shared" si="2"/>
        <v>0.323943661971831</v>
      </c>
      <c r="M7" s="50">
        <f t="shared" si="2"/>
        <v>0.27</v>
      </c>
      <c r="N7" s="50">
        <f t="shared" si="2"/>
        <v>0.33333333333333331</v>
      </c>
      <c r="O7" s="50">
        <f t="shared" si="2"/>
        <v>0.34426229508196721</v>
      </c>
      <c r="P7" s="50">
        <f t="shared" si="2"/>
        <v>0.20370370370370369</v>
      </c>
      <c r="Q7" s="256">
        <f t="shared" ref="Q7" si="3">Q6/Q5</f>
        <v>0.29714285714285715</v>
      </c>
      <c r="R7" s="298">
        <f>Q7-(HLOOKUP($D$1,yearendcumulative,393,FALSE))</f>
        <v>-1.7426545086119405E-3</v>
      </c>
      <c r="S7" s="298">
        <f>(Q7-(HLOOKUP($D$1,Monthlyaveragecumulative,393,FALSE)))</f>
        <v>-4.6638740430449244E-2</v>
      </c>
      <c r="T7" s="510"/>
      <c r="U7" s="1"/>
      <c r="V7" s="1"/>
      <c r="W7" s="1"/>
      <c r="X7" s="1"/>
    </row>
    <row r="8" spans="1:24" x14ac:dyDescent="0.35">
      <c r="A8" s="1"/>
      <c r="B8" s="1225"/>
      <c r="C8" s="127" t="s">
        <v>4</v>
      </c>
      <c r="D8" s="250">
        <f>'year end'!AD240</f>
        <v>2200</v>
      </c>
      <c r="E8" s="177">
        <f>Masterlist!AN223</f>
        <v>160</v>
      </c>
      <c r="F8" s="30">
        <f>Masterlist!AO223</f>
        <v>163</v>
      </c>
      <c r="G8" s="30">
        <f>Masterlist!AP223</f>
        <v>182</v>
      </c>
      <c r="H8" s="30">
        <f>Masterlist!AQ223</f>
        <v>211</v>
      </c>
      <c r="I8" s="30">
        <f>Masterlist!AR223</f>
        <v>165</v>
      </c>
      <c r="J8" s="30">
        <f>Masterlist!AS223</f>
        <v>177</v>
      </c>
      <c r="K8" s="30">
        <f>Masterlist!AT223</f>
        <v>197</v>
      </c>
      <c r="L8" s="30">
        <f>Masterlist!AU223</f>
        <v>162</v>
      </c>
      <c r="M8" s="30">
        <f>Masterlist!AV223</f>
        <v>160</v>
      </c>
      <c r="N8" s="30">
        <f>Masterlist!AW223</f>
        <v>185</v>
      </c>
      <c r="O8" s="30">
        <f>Masterlist!AX223</f>
        <v>173</v>
      </c>
      <c r="P8" s="30">
        <f>Masterlist!AY223</f>
        <v>180</v>
      </c>
      <c r="Q8" s="238">
        <f t="shared" si="0"/>
        <v>2115</v>
      </c>
      <c r="R8" s="298">
        <f>(Q8-(HLOOKUP($D$1,yearendcumulative,239,FALSE)))/(HLOOKUP($D$1,yearendcumulative,239,FALSE))</f>
        <v>-3.8636363636363635E-2</v>
      </c>
      <c r="S8" s="298">
        <f>(Q8-(HLOOKUP($D$1,Monthlyaveragecumulative,239,FALSE)))/(HLOOKUP($D$1,Monthlyaveragecumulative,239,FALSE))</f>
        <v>-7.5611888111888112E-2</v>
      </c>
      <c r="T8" s="510"/>
      <c r="U8" s="1"/>
      <c r="V8" s="1"/>
      <c r="W8" s="1"/>
      <c r="X8" s="1"/>
    </row>
    <row r="9" spans="1:24" x14ac:dyDescent="0.35">
      <c r="A9" s="1"/>
      <c r="B9" s="1225"/>
      <c r="C9" s="20" t="s">
        <v>158</v>
      </c>
      <c r="D9" s="250">
        <f>'year end'!AD260</f>
        <v>758</v>
      </c>
      <c r="E9" s="177">
        <f>Masterlist!AN241</f>
        <v>59</v>
      </c>
      <c r="F9" s="30">
        <f>Masterlist!AO241</f>
        <v>58</v>
      </c>
      <c r="G9" s="30">
        <f>Masterlist!AP241</f>
        <v>68</v>
      </c>
      <c r="H9" s="30">
        <f>Masterlist!AQ241</f>
        <v>67</v>
      </c>
      <c r="I9" s="30">
        <f>Masterlist!AR241</f>
        <v>67</v>
      </c>
      <c r="J9" s="30">
        <f>Masterlist!AS241</f>
        <v>57</v>
      </c>
      <c r="K9" s="30">
        <f>Masterlist!AT241</f>
        <v>62</v>
      </c>
      <c r="L9" s="30">
        <f>Masterlist!AU241</f>
        <v>51</v>
      </c>
      <c r="M9" s="30">
        <f>Masterlist!AV241</f>
        <v>59</v>
      </c>
      <c r="N9" s="30">
        <f>Masterlist!AW241</f>
        <v>72</v>
      </c>
      <c r="O9" s="30">
        <f>Masterlist!AX241</f>
        <v>64</v>
      </c>
      <c r="P9" s="30">
        <f>Masterlist!AY241</f>
        <v>61</v>
      </c>
      <c r="Q9" s="238">
        <f t="shared" si="0"/>
        <v>745</v>
      </c>
      <c r="R9" s="298">
        <f>(Q9-(HLOOKUP($D$1,yearendcumulative,259,FALSE)))/(HLOOKUP($D$1,yearendcumulative,259,FALSE))</f>
        <v>-1.7150395778364115E-2</v>
      </c>
      <c r="S9" s="298">
        <f>(Q9-(HLOOKUP($D$1,Monthlyaveragecumulative,259,FALSE)))/(HLOOKUP($D$1,Monthlyaveragecumulative,259,FALSE))</f>
        <v>-0.18221734357848518</v>
      </c>
      <c r="T9" s="510"/>
      <c r="U9" s="1"/>
      <c r="V9" s="1"/>
      <c r="W9" s="1"/>
      <c r="X9" s="1"/>
    </row>
    <row r="10" spans="1:24" x14ac:dyDescent="0.35">
      <c r="A10" s="1"/>
      <c r="B10" s="1225"/>
      <c r="C10" s="20" t="s">
        <v>236</v>
      </c>
      <c r="D10" s="1043">
        <f>D9/D8</f>
        <v>0.34454545454545454</v>
      </c>
      <c r="E10" s="1044">
        <f>E9/E8</f>
        <v>0.36875000000000002</v>
      </c>
      <c r="F10" s="1129">
        <f t="shared" ref="F10" si="4">F9/F8</f>
        <v>0.35582822085889571</v>
      </c>
      <c r="G10" s="1129">
        <f t="shared" ref="G10:P10" si="5">G9/G8</f>
        <v>0.37362637362637363</v>
      </c>
      <c r="H10" s="1129">
        <f t="shared" si="5"/>
        <v>0.31753554502369669</v>
      </c>
      <c r="I10" s="1129">
        <f t="shared" si="5"/>
        <v>0.40606060606060607</v>
      </c>
      <c r="J10" s="1129">
        <f t="shared" si="5"/>
        <v>0.32203389830508472</v>
      </c>
      <c r="K10" s="1129">
        <f t="shared" si="5"/>
        <v>0.31472081218274112</v>
      </c>
      <c r="L10" s="1129">
        <f t="shared" si="5"/>
        <v>0.31481481481481483</v>
      </c>
      <c r="M10" s="1129">
        <f t="shared" si="5"/>
        <v>0.36875000000000002</v>
      </c>
      <c r="N10" s="1129">
        <f t="shared" si="5"/>
        <v>0.38918918918918921</v>
      </c>
      <c r="O10" s="1129">
        <f t="shared" si="5"/>
        <v>0.36994219653179189</v>
      </c>
      <c r="P10" s="1129">
        <f t="shared" si="5"/>
        <v>0.33888888888888891</v>
      </c>
      <c r="Q10" s="1047">
        <f t="shared" ref="Q10" si="6">Q9/Q8</f>
        <v>0.35224586288416077</v>
      </c>
      <c r="R10" s="299">
        <f>Q10-(HLOOKUP($D$1,yearendcumulative,400,FALSE))</f>
        <v>7.7004083387062217E-3</v>
      </c>
      <c r="S10" s="298">
        <f>(Q10-(HLOOKUP($D$1,Monthlyaveragecumulative,400,FALSE)))</f>
        <v>-4.5918472780174913E-2</v>
      </c>
      <c r="T10" s="510"/>
      <c r="U10" s="1"/>
      <c r="V10" s="1"/>
      <c r="W10" s="1"/>
      <c r="X10" s="1"/>
    </row>
    <row r="11" spans="1:24" ht="15" customHeight="1" x14ac:dyDescent="0.35">
      <c r="A11" s="1"/>
      <c r="B11" s="3"/>
      <c r="C11" s="4"/>
      <c r="D11" s="211"/>
      <c r="E11" s="51"/>
      <c r="F11" s="51"/>
      <c r="G11" s="51"/>
      <c r="H11" s="51"/>
      <c r="I11" s="51"/>
      <c r="J11" s="51"/>
      <c r="K11" s="51"/>
      <c r="L11" s="51"/>
      <c r="M11" s="51"/>
      <c r="N11" s="51"/>
      <c r="O11" s="51"/>
      <c r="P11" s="51"/>
      <c r="Q11" s="15"/>
      <c r="R11" s="311"/>
      <c r="S11" s="311"/>
      <c r="T11" s="510"/>
      <c r="U11" s="1"/>
      <c r="V11" s="1"/>
      <c r="W11" s="1"/>
      <c r="X11" s="1"/>
    </row>
    <row r="12" spans="1:24" x14ac:dyDescent="0.35">
      <c r="A12" s="1"/>
      <c r="B12" s="1226" t="s">
        <v>454</v>
      </c>
      <c r="C12" s="127" t="s">
        <v>5</v>
      </c>
      <c r="D12" s="249">
        <f>'year end'!AD241</f>
        <v>139</v>
      </c>
      <c r="E12" s="412">
        <f>Masterlist!AN224</f>
        <v>16</v>
      </c>
      <c r="F12" s="1118">
        <f>Masterlist!AO224</f>
        <v>8</v>
      </c>
      <c r="G12" s="1118">
        <f>Masterlist!AP224</f>
        <v>8</v>
      </c>
      <c r="H12" s="1118">
        <f>Masterlist!AQ224</f>
        <v>13</v>
      </c>
      <c r="I12" s="1118">
        <f>Masterlist!AR224</f>
        <v>11</v>
      </c>
      <c r="J12" s="1118">
        <f>Masterlist!AS224</f>
        <v>13</v>
      </c>
      <c r="K12" s="1118">
        <f>Masterlist!AT224</f>
        <v>18</v>
      </c>
      <c r="L12" s="1118">
        <f>Masterlist!AU224</f>
        <v>12</v>
      </c>
      <c r="M12" s="1118">
        <f>Masterlist!AV224</f>
        <v>17</v>
      </c>
      <c r="N12" s="1118">
        <f>Masterlist!AW224</f>
        <v>16</v>
      </c>
      <c r="O12" s="1118">
        <f>Masterlist!AX224</f>
        <v>9</v>
      </c>
      <c r="P12" s="1118">
        <f>Masterlist!AY224</f>
        <v>6</v>
      </c>
      <c r="Q12" s="236">
        <f>SUM(E12:P12)</f>
        <v>147</v>
      </c>
      <c r="R12" s="297">
        <f>(Q12-(HLOOKUP($D$1,yearendcumulative,240,FALSE)))/(HLOOKUP($D$1,yearendcumulative,240,FALSE))</f>
        <v>5.7553956834532377E-2</v>
      </c>
      <c r="S12" s="297">
        <f>(Q12-(HLOOKUP($D$1,Monthlyaveragecumulative,240,FALSE)))/(HLOOKUP($D$1,Monthlyaveragecumulative,240,FALSE))</f>
        <v>0.30088495575221241</v>
      </c>
      <c r="T12" s="510"/>
      <c r="U12" s="1"/>
      <c r="V12" s="1"/>
      <c r="W12" s="1"/>
      <c r="X12" s="1"/>
    </row>
    <row r="13" spans="1:24" ht="28.5" customHeight="1" x14ac:dyDescent="0.35">
      <c r="A13" s="1"/>
      <c r="B13" s="1227"/>
      <c r="C13" s="983" t="s">
        <v>6</v>
      </c>
      <c r="D13" s="251">
        <f>'year end'!AD242</f>
        <v>258</v>
      </c>
      <c r="E13" s="253">
        <f>Masterlist!AN225</f>
        <v>19</v>
      </c>
      <c r="F13" s="1062">
        <f>Masterlist!AO225</f>
        <v>39</v>
      </c>
      <c r="G13" s="1062">
        <f>Masterlist!AP225</f>
        <v>27</v>
      </c>
      <c r="H13" s="1062">
        <f>Masterlist!AQ225</f>
        <v>24</v>
      </c>
      <c r="I13" s="1062">
        <f>Masterlist!AR225</f>
        <v>15</v>
      </c>
      <c r="J13" s="1062">
        <f>Masterlist!AS225</f>
        <v>19</v>
      </c>
      <c r="K13" s="1062">
        <f>Masterlist!AT225</f>
        <v>22</v>
      </c>
      <c r="L13" s="1062">
        <f>Masterlist!AU225</f>
        <v>27</v>
      </c>
      <c r="M13" s="1062">
        <f>Masterlist!AV225</f>
        <v>15</v>
      </c>
      <c r="N13" s="1062">
        <f>Masterlist!AW225</f>
        <v>23</v>
      </c>
      <c r="O13" s="1062">
        <f>Masterlist!AX225</f>
        <v>26</v>
      </c>
      <c r="P13" s="1062">
        <f>Masterlist!AY225</f>
        <v>27</v>
      </c>
      <c r="Q13" s="237">
        <f>SUM(E13:P13)</f>
        <v>283</v>
      </c>
      <c r="R13" s="299">
        <f>(Q13-(HLOOKUP($D$1,yearendcumulative,241,FALSE)))/(HLOOKUP($D$1,yearendcumulative,241,FALSE))</f>
        <v>9.6899224806201556E-2</v>
      </c>
      <c r="S13" s="299">
        <f>(Q13-(HLOOKUP($D$1,Monthlyaveragecumulative,241,FALSE)))/(HLOOKUP($D$1,Monthlyaveragecumulative,241,FALSE))</f>
        <v>0.31018518518518517</v>
      </c>
      <c r="T13" s="510"/>
      <c r="U13" s="1"/>
      <c r="V13" s="1"/>
      <c r="W13" s="1"/>
      <c r="X13" s="1"/>
    </row>
    <row r="14" spans="1:24" ht="15" customHeight="1" x14ac:dyDescent="0.35">
      <c r="A14" s="1"/>
      <c r="B14" s="3"/>
      <c r="C14" s="4"/>
      <c r="D14" s="211"/>
      <c r="E14" s="51"/>
      <c r="F14" s="51"/>
      <c r="G14" s="51"/>
      <c r="H14" s="51"/>
      <c r="I14" s="51"/>
      <c r="J14" s="51"/>
      <c r="K14" s="51"/>
      <c r="L14" s="51"/>
      <c r="M14" s="51"/>
      <c r="N14" s="51"/>
      <c r="O14" s="51"/>
      <c r="P14" s="51"/>
      <c r="Q14" s="15"/>
      <c r="R14" s="311"/>
      <c r="S14" s="311"/>
      <c r="T14" s="510"/>
      <c r="U14" s="1"/>
      <c r="V14" s="1"/>
      <c r="W14" s="1"/>
      <c r="X14" s="1"/>
    </row>
    <row r="15" spans="1:24" x14ac:dyDescent="0.35">
      <c r="A15" s="1"/>
      <c r="B15" s="1231" t="s">
        <v>460</v>
      </c>
      <c r="C15" s="1003" t="s">
        <v>237</v>
      </c>
      <c r="D15" s="1019">
        <f>'year end'!AD261</f>
        <v>65</v>
      </c>
      <c r="E15" s="412">
        <f>Masterlist!AN243</f>
        <v>4</v>
      </c>
      <c r="F15" s="1118">
        <f>Masterlist!AO243</f>
        <v>10</v>
      </c>
      <c r="G15" s="1118">
        <f>Masterlist!AP243</f>
        <v>5</v>
      </c>
      <c r="H15" s="1118">
        <f>Masterlist!AQ243</f>
        <v>7</v>
      </c>
      <c r="I15" s="1118">
        <f>Masterlist!AR243</f>
        <v>11</v>
      </c>
      <c r="J15" s="1118">
        <f>Masterlist!AS243</f>
        <v>7</v>
      </c>
      <c r="K15" s="1118">
        <f>Masterlist!AT243</f>
        <v>6</v>
      </c>
      <c r="L15" s="1118">
        <f>Masterlist!AU243</f>
        <v>7</v>
      </c>
      <c r="M15" s="1118">
        <f>Masterlist!AV243</f>
        <v>10</v>
      </c>
      <c r="N15" s="1118">
        <f>Masterlist!AW243</f>
        <v>3</v>
      </c>
      <c r="O15" s="1118">
        <f>Masterlist!AX243</f>
        <v>2</v>
      </c>
      <c r="P15" s="1118">
        <f>Masterlist!AY243</f>
        <v>8</v>
      </c>
      <c r="Q15" s="964">
        <f>SUM(E15:P15)</f>
        <v>80</v>
      </c>
      <c r="R15" s="297">
        <f>(Q15-(HLOOKUP($D$1,yearendcumulative,260,FALSE)))/(HLOOKUP($D$1,yearendcumulative,260,FALSE))</f>
        <v>0.23076923076923078</v>
      </c>
      <c r="S15" s="297">
        <f>(Q15-(HLOOKUP($D$1,Monthlyaveragecumulative,260,FALSE)))/(HLOOKUP($D$1,Monthlyaveragecumulative,260,FALSE))</f>
        <v>0.26984126984126983</v>
      </c>
      <c r="T15" s="510"/>
      <c r="U15" s="1"/>
      <c r="V15" s="1"/>
      <c r="W15" s="1"/>
      <c r="X15" s="1"/>
    </row>
    <row r="16" spans="1:24" ht="15.75" customHeight="1" x14ac:dyDescent="0.35">
      <c r="A16" s="1"/>
      <c r="B16" s="1232"/>
      <c r="C16" s="1006" t="s">
        <v>238</v>
      </c>
      <c r="D16" s="1020">
        <f>'year end'!AD262</f>
        <v>40</v>
      </c>
      <c r="E16" s="177">
        <f>Masterlist!AN244</f>
        <v>3</v>
      </c>
      <c r="F16" s="30">
        <f>Masterlist!AO244</f>
        <v>1</v>
      </c>
      <c r="G16" s="30">
        <f>Masterlist!AP244</f>
        <v>4</v>
      </c>
      <c r="H16" s="30">
        <f>Masterlist!AQ244</f>
        <v>4</v>
      </c>
      <c r="I16" s="30">
        <f>Masterlist!AR244</f>
        <v>4</v>
      </c>
      <c r="J16" s="30">
        <f>Masterlist!AS244</f>
        <v>5</v>
      </c>
      <c r="K16" s="30">
        <f>Masterlist!AT244</f>
        <v>5</v>
      </c>
      <c r="L16" s="30">
        <f>Masterlist!AU244</f>
        <v>6</v>
      </c>
      <c r="M16" s="30">
        <f>Masterlist!AV244</f>
        <v>2</v>
      </c>
      <c r="N16" s="30">
        <f>Masterlist!AW244</f>
        <v>4</v>
      </c>
      <c r="O16" s="30">
        <f>Masterlist!AX244</f>
        <v>5</v>
      </c>
      <c r="P16" s="30">
        <f>Masterlist!AY244</f>
        <v>6</v>
      </c>
      <c r="Q16" s="238">
        <f>SUM(E16:P16)</f>
        <v>49</v>
      </c>
      <c r="R16" s="298">
        <f>(Q16-(HLOOKUP($D$1,yearendcumulative,261,FALSE)))/(HLOOKUP($D$1,yearendcumulative,261,FALSE))</f>
        <v>0.22500000000000001</v>
      </c>
      <c r="S16" s="298">
        <f>(Q16-(HLOOKUP($D$1,Monthlyaveragecumulative,261,FALSE)))/(HLOOKUP($D$1,Monthlyaveragecumulative,261,FALSE))</f>
        <v>8.8888888888888892E-2</v>
      </c>
      <c r="T16" s="510"/>
      <c r="U16" s="1"/>
      <c r="V16" s="1"/>
      <c r="W16" s="1"/>
      <c r="X16" s="1"/>
    </row>
    <row r="17" spans="1:24" ht="15.75" customHeight="1" x14ac:dyDescent="0.35">
      <c r="A17" s="1"/>
      <c r="B17" s="1232"/>
      <c r="C17" s="1007" t="s">
        <v>404</v>
      </c>
      <c r="D17" s="1093">
        <f>'year end'!AF345</f>
        <v>73</v>
      </c>
      <c r="E17" s="118">
        <f>Masterlist!AN474</f>
        <v>3</v>
      </c>
      <c r="F17" s="118">
        <f>Masterlist!AO474</f>
        <v>4</v>
      </c>
      <c r="G17" s="118">
        <f>Masterlist!AP474</f>
        <v>3</v>
      </c>
      <c r="H17" s="118">
        <f>Masterlist!AQ474</f>
        <v>4</v>
      </c>
      <c r="I17" s="118">
        <f>Masterlist!AR474</f>
        <v>6</v>
      </c>
      <c r="J17" s="118">
        <f>Masterlist!AS474</f>
        <v>3</v>
      </c>
      <c r="K17" s="118">
        <f>Masterlist!AT474</f>
        <v>3</v>
      </c>
      <c r="L17" s="118">
        <f>Masterlist!AU474</f>
        <v>3</v>
      </c>
      <c r="M17" s="118">
        <f>Masterlist!AV474</f>
        <v>7</v>
      </c>
      <c r="N17" s="118">
        <f>Masterlist!AW474</f>
        <v>4</v>
      </c>
      <c r="O17" s="118">
        <f>Masterlist!AX474</f>
        <v>3</v>
      </c>
      <c r="P17" s="118">
        <f>Masterlist!AY474</f>
        <v>3</v>
      </c>
      <c r="Q17" s="236">
        <f t="shared" ref="Q17:Q18" si="7">SUM(E17:P17)</f>
        <v>46</v>
      </c>
      <c r="R17" s="294">
        <f>(Q17-(HLOOKUP($D$1,yearendcumulative,344,FALSE)))/(HLOOKUP($D$1,yearendcumulative,344,FALSE))</f>
        <v>-0.36986301369863012</v>
      </c>
      <c r="S17" s="606">
        <f>(Q17-(HLOOKUP($D$1,Monthlyaveragecumulative,344,FALSE)))/(HLOOKUP($D$1,Monthlyaveragecumulative,344,FALSE))</f>
        <v>4.5454545454545456E-2</v>
      </c>
      <c r="T17" s="510"/>
      <c r="U17" s="1"/>
      <c r="V17" s="1"/>
      <c r="W17" s="1"/>
      <c r="X17" s="1"/>
    </row>
    <row r="18" spans="1:24" ht="15.75" customHeight="1" x14ac:dyDescent="0.35">
      <c r="A18" s="1"/>
      <c r="B18" s="1232"/>
      <c r="C18" s="1090" t="s">
        <v>425</v>
      </c>
      <c r="D18" s="1089">
        <f>'year end'!AF481</f>
        <v>26</v>
      </c>
      <c r="E18" s="1062">
        <f>Masterlist!AN579</f>
        <v>1</v>
      </c>
      <c r="F18" s="1062">
        <f>Masterlist!AO579</f>
        <v>3</v>
      </c>
      <c r="G18" s="1062">
        <f>Masterlist!AP579</f>
        <v>0</v>
      </c>
      <c r="H18" s="1062">
        <f>Masterlist!AQ579</f>
        <v>1</v>
      </c>
      <c r="I18" s="1062">
        <f>Masterlist!AR579</f>
        <v>0</v>
      </c>
      <c r="J18" s="1062">
        <f>Masterlist!AS579</f>
        <v>1</v>
      </c>
      <c r="K18" s="1062">
        <f>Masterlist!AT579</f>
        <v>0</v>
      </c>
      <c r="L18" s="1062">
        <f>Masterlist!AU579</f>
        <v>0</v>
      </c>
      <c r="M18" s="1062">
        <f>Masterlist!AV579</f>
        <v>0</v>
      </c>
      <c r="N18" s="1062">
        <f>Masterlist!AW579</f>
        <v>0</v>
      </c>
      <c r="O18" s="1062">
        <f>Masterlist!AX579</f>
        <v>0</v>
      </c>
      <c r="P18" s="1062">
        <f>Masterlist!AY579</f>
        <v>0</v>
      </c>
      <c r="Q18" s="191">
        <f t="shared" si="7"/>
        <v>6</v>
      </c>
      <c r="R18" s="1088">
        <f>(Q18-(HLOOKUP($D$1,yearendcumulative,480,FALSE)))/(HLOOKUP($D$1,yearendcumulative,480,FALSE))</f>
        <v>-0.76923076923076927</v>
      </c>
      <c r="S18" s="1084" t="s">
        <v>206</v>
      </c>
      <c r="T18" s="510"/>
      <c r="U18" s="1"/>
      <c r="V18" s="1"/>
      <c r="W18" s="1"/>
      <c r="X18" s="1"/>
    </row>
    <row r="19" spans="1:24" ht="15" customHeight="1" x14ac:dyDescent="0.35">
      <c r="A19" s="1"/>
      <c r="B19" s="1232"/>
      <c r="C19" s="1008" t="s">
        <v>373</v>
      </c>
      <c r="D19" s="1091">
        <f>'year end'!AD409</f>
        <v>56</v>
      </c>
      <c r="E19" s="1092">
        <f>Masterlist!AN496</f>
        <v>2</v>
      </c>
      <c r="F19" s="1133">
        <f>Masterlist!AO496</f>
        <v>3</v>
      </c>
      <c r="G19" s="1133">
        <f>Masterlist!AP496</f>
        <v>0</v>
      </c>
      <c r="H19" s="1133">
        <f>Masterlist!AQ496</f>
        <v>3</v>
      </c>
      <c r="I19" s="1133">
        <f>Masterlist!AR496</f>
        <v>4</v>
      </c>
      <c r="J19" s="1133">
        <f>Masterlist!AS496</f>
        <v>1</v>
      </c>
      <c r="K19" s="1133">
        <f>Masterlist!AT496</f>
        <v>1</v>
      </c>
      <c r="L19" s="1133">
        <f>Masterlist!AU496</f>
        <v>1</v>
      </c>
      <c r="M19" s="1133">
        <f>Masterlist!AV496</f>
        <v>2</v>
      </c>
      <c r="N19" s="1133">
        <f>Masterlist!AW496</f>
        <v>0</v>
      </c>
      <c r="O19" s="1133">
        <f>Masterlist!AX496</f>
        <v>2</v>
      </c>
      <c r="P19" s="1133">
        <f>Masterlist!AY496</f>
        <v>3</v>
      </c>
      <c r="Q19" s="238">
        <f>SUM(E19:P19)</f>
        <v>22</v>
      </c>
      <c r="R19" s="697">
        <f>(Q19-(HLOOKUP($D$1,yearendcumulative,408,FALSE)))/(HLOOKUP($D$1,yearendcumulative,408,FALSE))</f>
        <v>-0.6071428571428571</v>
      </c>
      <c r="S19" s="297">
        <f>(Q19-(HLOOKUP($D$1,Monthlyaveragecumulative,441,FALSE)))/(HLOOKUP($D$1,Monthlyaveragecumulative,441,FALSE))</f>
        <v>-0.56862745098039214</v>
      </c>
      <c r="T19" s="1"/>
      <c r="U19" s="1"/>
      <c r="V19" s="1"/>
      <c r="W19" s="1"/>
      <c r="X19" s="1"/>
    </row>
    <row r="20" spans="1:24" ht="15" customHeight="1" x14ac:dyDescent="0.35">
      <c r="A20" s="1"/>
      <c r="B20" s="1232"/>
      <c r="C20" s="1009" t="s">
        <v>372</v>
      </c>
      <c r="D20" s="1021">
        <f>'year end'!AD417</f>
        <v>64</v>
      </c>
      <c r="E20" s="682">
        <f>Masterlist!AN505</f>
        <v>4</v>
      </c>
      <c r="F20" s="1120">
        <f>Masterlist!AO505</f>
        <v>5</v>
      </c>
      <c r="G20" s="1120">
        <f>Masterlist!AP505</f>
        <v>2</v>
      </c>
      <c r="H20" s="1120">
        <f>Masterlist!AQ505</f>
        <v>7</v>
      </c>
      <c r="I20" s="1120">
        <f>Masterlist!AR505</f>
        <v>7</v>
      </c>
      <c r="J20" s="1120">
        <f>Masterlist!AS505</f>
        <v>3</v>
      </c>
      <c r="K20" s="1120">
        <f>Masterlist!AT505</f>
        <v>2</v>
      </c>
      <c r="L20" s="1120">
        <f>Masterlist!AU505</f>
        <v>4</v>
      </c>
      <c r="M20" s="1120">
        <f>Masterlist!AV505</f>
        <v>2</v>
      </c>
      <c r="N20" s="1120">
        <f>Masterlist!AW505</f>
        <v>4</v>
      </c>
      <c r="O20" s="1120">
        <f>Masterlist!AX505</f>
        <v>4</v>
      </c>
      <c r="P20" s="1120">
        <f>Masterlist!AY505</f>
        <v>7</v>
      </c>
      <c r="Q20" s="237">
        <f t="shared" ref="Q20" si="8">SUM(E20:P20)</f>
        <v>51</v>
      </c>
      <c r="R20" s="698">
        <f>(Q20-(HLOOKUP($D$1,yearendcumulative,416,FALSE)))/(HLOOKUP($D$1,yearendcumulative,416,FALSE))</f>
        <v>-0.203125</v>
      </c>
      <c r="S20" s="299" t="s">
        <v>206</v>
      </c>
      <c r="T20" s="1"/>
      <c r="U20" s="758"/>
      <c r="V20" s="1"/>
      <c r="W20" s="1"/>
      <c r="X20" s="1"/>
    </row>
    <row r="21" spans="1:24" ht="15" customHeight="1" x14ac:dyDescent="0.35">
      <c r="A21" s="1"/>
      <c r="B21" s="1232"/>
      <c r="C21" s="1002" t="s">
        <v>174</v>
      </c>
      <c r="D21" s="1022">
        <f>'year end'!AD254</f>
        <v>246</v>
      </c>
      <c r="E21" s="689">
        <f>Masterlist!AN236+Masterlist!AN237</f>
        <v>16</v>
      </c>
      <c r="F21" s="1131">
        <f>Masterlist!AO236+Masterlist!AO237</f>
        <v>24</v>
      </c>
      <c r="G21" s="1131">
        <f>Masterlist!AP236+Masterlist!AP237</f>
        <v>20</v>
      </c>
      <c r="H21" s="1131">
        <f>Masterlist!AQ236+Masterlist!AQ237</f>
        <v>15</v>
      </c>
      <c r="I21" s="1131">
        <f>Masterlist!AR236+Masterlist!AR237</f>
        <v>8</v>
      </c>
      <c r="J21" s="1131">
        <f>Masterlist!AS236+Masterlist!AS237</f>
        <v>12</v>
      </c>
      <c r="K21" s="1131">
        <f>Masterlist!AT236+Masterlist!AT237</f>
        <v>18</v>
      </c>
      <c r="L21" s="1131">
        <f>Masterlist!AU236+Masterlist!AU237</f>
        <v>8</v>
      </c>
      <c r="M21" s="1131">
        <f>Masterlist!AV236+Masterlist!AV237</f>
        <v>16</v>
      </c>
      <c r="N21" s="1131">
        <f>Masterlist!AW236+Masterlist!AW237</f>
        <v>15</v>
      </c>
      <c r="O21" s="1131">
        <f>Masterlist!AX236+Masterlist!AX237</f>
        <v>11</v>
      </c>
      <c r="P21" s="1131">
        <f>Masterlist!AY236+Masterlist!AY237</f>
        <v>11</v>
      </c>
      <c r="Q21" s="264">
        <f>SUM(E21:P21)</f>
        <v>174</v>
      </c>
      <c r="R21" s="696">
        <f>(Q21-(HLOOKUP($D$1,yearendcumulative,253,FALSE)))/(HLOOKUP($D$1,yearendcumulative,253,FALSE))</f>
        <v>-0.29268292682926828</v>
      </c>
      <c r="S21" s="294">
        <f>(Q21-(HLOOKUP($D$1,Monthlyaveragecumulative,253,FALSE)))/(HLOOKUP($D$1,Monthlyaveragecumulative,253,FALSE))</f>
        <v>-0.5</v>
      </c>
      <c r="T21" s="510"/>
      <c r="U21" s="1"/>
      <c r="V21" s="1"/>
      <c r="W21" s="1"/>
      <c r="X21" s="1"/>
    </row>
    <row r="22" spans="1:24" ht="24.75" customHeight="1" x14ac:dyDescent="0.35">
      <c r="A22" s="1"/>
      <c r="B22" s="1232"/>
      <c r="C22" s="1003" t="s">
        <v>173</v>
      </c>
      <c r="D22" s="1023">
        <f>'year end'!AD257</f>
        <v>16</v>
      </c>
      <c r="E22" s="687">
        <f>Masterlist!AN238+Masterlist!AN239</f>
        <v>1</v>
      </c>
      <c r="F22" s="1127">
        <f>Masterlist!AO238+Masterlist!AO239</f>
        <v>1</v>
      </c>
      <c r="G22" s="1127">
        <f>Masterlist!AP238+Masterlist!AP239</f>
        <v>3</v>
      </c>
      <c r="H22" s="1127">
        <f>Masterlist!AQ238+Masterlist!AQ239</f>
        <v>5</v>
      </c>
      <c r="I22" s="1127">
        <f>Masterlist!AR238+Masterlist!AR239</f>
        <v>0</v>
      </c>
      <c r="J22" s="1127">
        <f>Masterlist!AS238+Masterlist!AS239</f>
        <v>1</v>
      </c>
      <c r="K22" s="1127">
        <f>Masterlist!AT238+Masterlist!AT239</f>
        <v>1</v>
      </c>
      <c r="L22" s="1127">
        <f>Masterlist!AU238+Masterlist!AU239</f>
        <v>2</v>
      </c>
      <c r="M22" s="1127">
        <f>Masterlist!AV238+Masterlist!AV239</f>
        <v>3</v>
      </c>
      <c r="N22" s="1127">
        <f>Masterlist!AW238+Masterlist!AW239</f>
        <v>0</v>
      </c>
      <c r="O22" s="1127">
        <f>Masterlist!AX238+Masterlist!AX239</f>
        <v>2</v>
      </c>
      <c r="P22" s="1127">
        <f>Masterlist!AY238+Masterlist!AY239</f>
        <v>0</v>
      </c>
      <c r="Q22" s="267">
        <f t="shared" ref="Q22:Q25" si="9">SUM(E22:P22)</f>
        <v>19</v>
      </c>
      <c r="R22" s="696">
        <f>(Q22-(HLOOKUP($D$1,yearendcumulative,256,FALSE)))/(HLOOKUP($D$1,yearendcumulative,256,FALSE))</f>
        <v>0.1875</v>
      </c>
      <c r="S22" s="295">
        <f>(Q22-(HLOOKUP($D$1,Monthlyaveragecumulative,256,FALSE)))/(HLOOKUP($D$1,Monthlyaveragecumulative,256,FALSE))</f>
        <v>-0.36666666666666664</v>
      </c>
      <c r="T22" s="510"/>
      <c r="U22" s="1"/>
      <c r="V22" s="1"/>
      <c r="W22" s="1"/>
      <c r="X22" s="1"/>
    </row>
    <row r="23" spans="1:24" ht="15.75" customHeight="1" x14ac:dyDescent="0.35">
      <c r="A23" s="1"/>
      <c r="B23" s="1232"/>
      <c r="C23" s="1003" t="s">
        <v>370</v>
      </c>
      <c r="D23" s="1023">
        <f>'year end'!AD441</f>
        <v>84</v>
      </c>
      <c r="E23" s="687">
        <f>Masterlist!AN532</f>
        <v>14</v>
      </c>
      <c r="F23" s="1127">
        <f>Masterlist!AO532</f>
        <v>22</v>
      </c>
      <c r="G23" s="1127">
        <f>Masterlist!AP532</f>
        <v>15</v>
      </c>
      <c r="H23" s="1127">
        <f>Masterlist!AQ532</f>
        <v>18</v>
      </c>
      <c r="I23" s="1127">
        <f>Masterlist!AR532</f>
        <v>18</v>
      </c>
      <c r="J23" s="1127">
        <f>Masterlist!AS532</f>
        <v>10</v>
      </c>
      <c r="K23" s="1127">
        <f>Masterlist!AT532</f>
        <v>8</v>
      </c>
      <c r="L23" s="1127">
        <f>Masterlist!AU532</f>
        <v>8</v>
      </c>
      <c r="M23" s="1127">
        <f>Masterlist!AV532</f>
        <v>4</v>
      </c>
      <c r="N23" s="1127">
        <f>Masterlist!AW532</f>
        <v>8</v>
      </c>
      <c r="O23" s="1127">
        <f>Masterlist!AX532</f>
        <v>8</v>
      </c>
      <c r="P23" s="1127">
        <f>Masterlist!AY532</f>
        <v>14</v>
      </c>
      <c r="Q23" s="267">
        <f t="shared" si="9"/>
        <v>147</v>
      </c>
      <c r="R23" s="697">
        <f>(Q23-(HLOOKUP($D$1,yearendcumulative,440,FALSE)))/(HLOOKUP($D$1,yearendcumulative,440,FALSE))</f>
        <v>0.75</v>
      </c>
      <c r="S23" s="298">
        <f>(Q23-(HLOOKUP($D$1,Monthlyaveragecumulative,473,FALSE)))/(HLOOKUP($D$1,Monthlyaveragecumulative,473,FALSE))</f>
        <v>8.0882352941176475E-2</v>
      </c>
      <c r="T23" s="510"/>
      <c r="U23" s="1"/>
      <c r="V23" s="1"/>
      <c r="W23" s="1"/>
      <c r="X23" s="1"/>
    </row>
    <row r="24" spans="1:24" ht="15.75" customHeight="1" x14ac:dyDescent="0.35">
      <c r="A24" s="1"/>
      <c r="B24" s="1232"/>
      <c r="C24" s="1003" t="s">
        <v>371</v>
      </c>
      <c r="D24" s="1023">
        <f>'year end'!AD449</f>
        <v>40</v>
      </c>
      <c r="E24" s="687">
        <f>Masterlist!AN541</f>
        <v>2</v>
      </c>
      <c r="F24" s="1127">
        <f>Masterlist!AO541</f>
        <v>5</v>
      </c>
      <c r="G24" s="1127">
        <f>Masterlist!AP541</f>
        <v>7</v>
      </c>
      <c r="H24" s="1127">
        <f>Masterlist!AQ541</f>
        <v>3</v>
      </c>
      <c r="I24" s="1127">
        <f>Masterlist!AR541</f>
        <v>3</v>
      </c>
      <c r="J24" s="1127">
        <f>Masterlist!AS541</f>
        <v>7</v>
      </c>
      <c r="K24" s="1127">
        <f>Masterlist!AT541</f>
        <v>4</v>
      </c>
      <c r="L24" s="1127">
        <f>Masterlist!AU541</f>
        <v>7</v>
      </c>
      <c r="M24" s="1127">
        <f>Masterlist!AV541</f>
        <v>8</v>
      </c>
      <c r="N24" s="1127">
        <f>Masterlist!AW541</f>
        <v>3</v>
      </c>
      <c r="O24" s="1127">
        <f>Masterlist!AX541</f>
        <v>5</v>
      </c>
      <c r="P24" s="1127">
        <f>Masterlist!AY541</f>
        <v>4</v>
      </c>
      <c r="Q24" s="267">
        <f t="shared" si="9"/>
        <v>58</v>
      </c>
      <c r="R24" s="697">
        <f>(Q24-(HLOOKUP($D$1,yearendcumulative,448,FALSE)))/(HLOOKUP($D$1,yearendcumulative,448,FALSE))</f>
        <v>0.45</v>
      </c>
      <c r="S24" s="298">
        <f>(Q24-(HLOOKUP($D$1,Monthlyaveragecumulative,481,FALSE)))/(HLOOKUP($D$1,Monthlyaveragecumulative,481,FALSE))</f>
        <v>-0.5</v>
      </c>
      <c r="T24" s="510"/>
      <c r="U24" s="1"/>
      <c r="V24" s="1"/>
      <c r="W24" s="1"/>
      <c r="X24" s="1"/>
    </row>
    <row r="25" spans="1:24" ht="15.75" customHeight="1" x14ac:dyDescent="0.35">
      <c r="A25" s="1"/>
      <c r="B25" s="1232"/>
      <c r="C25" s="1004" t="s">
        <v>405</v>
      </c>
      <c r="D25" s="1024">
        <f>'year end'!AD457</f>
        <v>101</v>
      </c>
      <c r="E25" s="688">
        <f>Masterlist!AN550</f>
        <v>4</v>
      </c>
      <c r="F25" s="1128">
        <f>Masterlist!AO550</f>
        <v>6</v>
      </c>
      <c r="G25" s="1128">
        <f>Masterlist!AP550</f>
        <v>8</v>
      </c>
      <c r="H25" s="1128">
        <f>Masterlist!AQ550</f>
        <v>8</v>
      </c>
      <c r="I25" s="1128">
        <f>Masterlist!AR550</f>
        <v>8</v>
      </c>
      <c r="J25" s="1128">
        <f>Masterlist!AS550</f>
        <v>6</v>
      </c>
      <c r="K25" s="1128">
        <f>Masterlist!AT550</f>
        <v>14</v>
      </c>
      <c r="L25" s="1128">
        <f>Masterlist!AU550</f>
        <v>8</v>
      </c>
      <c r="M25" s="1128">
        <f>Masterlist!AV550</f>
        <v>3</v>
      </c>
      <c r="N25" s="1128">
        <f>Masterlist!AW550</f>
        <v>9</v>
      </c>
      <c r="O25" s="1128">
        <f>Masterlist!AX550</f>
        <v>11</v>
      </c>
      <c r="P25" s="1128">
        <f>Masterlist!AY550</f>
        <v>11</v>
      </c>
      <c r="Q25" s="685">
        <f t="shared" si="9"/>
        <v>96</v>
      </c>
      <c r="R25" s="698">
        <f>(Q25-(HLOOKUP($D$1,yearendcumulative,456,FALSE)))/(HLOOKUP($D$1,yearendcumulative,456,FALSE))</f>
        <v>-4.9504950495049507E-2</v>
      </c>
      <c r="S25" s="299" t="s">
        <v>206</v>
      </c>
      <c r="T25" s="510"/>
      <c r="U25" s="1"/>
      <c r="V25" s="1"/>
      <c r="W25" s="1"/>
      <c r="X25" s="1"/>
    </row>
    <row r="26" spans="1:24" x14ac:dyDescent="0.35">
      <c r="A26" s="1"/>
      <c r="B26" s="1232"/>
      <c r="C26" s="1018" t="s">
        <v>361</v>
      </c>
      <c r="D26" s="1025">
        <f>'year end'!AD272</f>
        <v>35</v>
      </c>
      <c r="E26" s="690">
        <f>Masterlist!AN255</f>
        <v>8</v>
      </c>
      <c r="F26" s="1132">
        <f>Masterlist!AO255</f>
        <v>4</v>
      </c>
      <c r="G26" s="1132">
        <f>Masterlist!AP255</f>
        <v>1</v>
      </c>
      <c r="H26" s="1132">
        <f>Masterlist!AQ255</f>
        <v>6</v>
      </c>
      <c r="I26" s="1132">
        <f>Masterlist!AR255</f>
        <v>3</v>
      </c>
      <c r="J26" s="1132">
        <f>Masterlist!AS255</f>
        <v>2</v>
      </c>
      <c r="K26" s="1132">
        <f>Masterlist!AT255</f>
        <v>3</v>
      </c>
      <c r="L26" s="1132">
        <f>Masterlist!AU255</f>
        <v>4</v>
      </c>
      <c r="M26" s="1132">
        <f>Masterlist!AV255</f>
        <v>3</v>
      </c>
      <c r="N26" s="1132">
        <f>Masterlist!AW255</f>
        <v>1</v>
      </c>
      <c r="O26" s="1132">
        <f>Masterlist!AX255</f>
        <v>7</v>
      </c>
      <c r="P26" s="1132">
        <f>Masterlist!AY255</f>
        <v>3</v>
      </c>
      <c r="Q26" s="267">
        <f t="shared" ref="Q26:Q28" si="10">SUM(E26:P26)</f>
        <v>45</v>
      </c>
      <c r="R26" s="697">
        <f>(Q26-(HLOOKUP($D$1,yearendcumulative,271,FALSE)))/(HLOOKUP($D$1,yearendcumulative,271,FALSE))</f>
        <v>0.2857142857142857</v>
      </c>
      <c r="S26" s="295">
        <f>(Q26-(HLOOKUP($D$1,Monthlyaveragecumulative,271,FALSE)))/(HLOOKUP($D$1,Monthlyaveragecumulative,271,FALSE))</f>
        <v>0.5</v>
      </c>
      <c r="T26" s="510"/>
      <c r="U26" s="1"/>
      <c r="V26" s="1"/>
      <c r="W26" s="1"/>
      <c r="X26" s="1"/>
    </row>
    <row r="27" spans="1:24" hidden="1" x14ac:dyDescent="0.35">
      <c r="A27" s="1"/>
      <c r="B27" s="1232"/>
      <c r="C27" s="1018" t="s">
        <v>368</v>
      </c>
      <c r="D27" s="1026">
        <f>'year end'!AD425</f>
        <v>0</v>
      </c>
      <c r="E27" s="687">
        <f>Masterlist!AN514</f>
        <v>0</v>
      </c>
      <c r="F27" s="1127">
        <f>Masterlist!AO514</f>
        <v>0</v>
      </c>
      <c r="G27" s="1127">
        <f>Masterlist!AP514</f>
        <v>0</v>
      </c>
      <c r="H27" s="1127">
        <f>Masterlist!AQ514</f>
        <v>0</v>
      </c>
      <c r="I27" s="1127">
        <f>Masterlist!AR514</f>
        <v>0</v>
      </c>
      <c r="J27" s="1127">
        <f>Masterlist!AS514</f>
        <v>0</v>
      </c>
      <c r="K27" s="1127">
        <f>Masterlist!AT514</f>
        <v>0</v>
      </c>
      <c r="L27" s="1127">
        <f>Masterlist!AU514</f>
        <v>0</v>
      </c>
      <c r="M27" s="1127">
        <f>Masterlist!AV514</f>
        <v>0</v>
      </c>
      <c r="N27" s="1127">
        <f>Masterlist!AW514</f>
        <v>0</v>
      </c>
      <c r="O27" s="1127">
        <f>Masterlist!AX514</f>
        <v>0</v>
      </c>
      <c r="P27" s="1127">
        <f>Masterlist!AY514</f>
        <v>0</v>
      </c>
      <c r="Q27" s="267">
        <f t="shared" si="10"/>
        <v>0</v>
      </c>
      <c r="R27" s="697">
        <f>(Q27-(HLOOKUP($D$1,yearendcumulative,271,FALSE)))/(HLOOKUP($D$1,yearendcumulative,271,FALSE))</f>
        <v>-1</v>
      </c>
      <c r="S27" s="295" t="s">
        <v>206</v>
      </c>
      <c r="T27" s="510"/>
      <c r="U27" s="1"/>
      <c r="V27" s="1"/>
      <c r="W27" s="1"/>
      <c r="X27" s="1"/>
    </row>
    <row r="28" spans="1:24" x14ac:dyDescent="0.35">
      <c r="A28" s="1"/>
      <c r="B28" s="1233"/>
      <c r="C28" s="1018" t="s">
        <v>367</v>
      </c>
      <c r="D28" s="1027">
        <f>'year end'!AD433</f>
        <v>0</v>
      </c>
      <c r="E28" s="688">
        <f>Masterlist!AN523</f>
        <v>0</v>
      </c>
      <c r="F28" s="1128">
        <f>Masterlist!AO523</f>
        <v>0</v>
      </c>
      <c r="G28" s="1128">
        <f>Masterlist!AP523</f>
        <v>0</v>
      </c>
      <c r="H28" s="1128">
        <f>Masterlist!AQ523</f>
        <v>0</v>
      </c>
      <c r="I28" s="1128">
        <f>Masterlist!AR523</f>
        <v>0</v>
      </c>
      <c r="J28" s="1128">
        <f>Masterlist!AS523</f>
        <v>0</v>
      </c>
      <c r="K28" s="1128">
        <f>Masterlist!AT523</f>
        <v>0</v>
      </c>
      <c r="L28" s="1128">
        <f>Masterlist!AU523</f>
        <v>0</v>
      </c>
      <c r="M28" s="1128">
        <f>Masterlist!AV523</f>
        <v>0</v>
      </c>
      <c r="N28" s="1128">
        <f>Masterlist!AW523</f>
        <v>0</v>
      </c>
      <c r="O28" s="1128">
        <f>Masterlist!AX523</f>
        <v>0</v>
      </c>
      <c r="P28" s="1128">
        <f>Masterlist!AY523</f>
        <v>0</v>
      </c>
      <c r="Q28" s="685">
        <f t="shared" si="10"/>
        <v>0</v>
      </c>
      <c r="R28" s="860">
        <v>0</v>
      </c>
      <c r="S28" s="299">
        <f>(Q28-(HLOOKUP($D$1,Monthlyaveragecumulative,465,FALSE)))/(HLOOKUP($D$1,Monthlyaveragecumulative,465,FALSE))</f>
        <v>-1</v>
      </c>
      <c r="T28" s="510"/>
      <c r="U28" s="1"/>
      <c r="V28" s="1"/>
      <c r="W28" s="1"/>
      <c r="X28" s="1"/>
    </row>
    <row r="29" spans="1:24" ht="15" customHeight="1" x14ac:dyDescent="0.35">
      <c r="A29" s="1"/>
      <c r="B29" s="1"/>
      <c r="C29" s="125"/>
      <c r="D29" s="102"/>
      <c r="E29" s="1"/>
      <c r="F29" s="95"/>
      <c r="G29" s="95"/>
      <c r="H29" s="95"/>
      <c r="I29" s="95"/>
      <c r="J29" s="95"/>
      <c r="K29" s="95"/>
      <c r="L29" s="95"/>
      <c r="M29" s="95"/>
      <c r="N29" s="95"/>
      <c r="O29" s="95"/>
      <c r="P29" s="95"/>
      <c r="Q29" s="1"/>
      <c r="R29" s="1"/>
      <c r="S29" s="1"/>
      <c r="T29" s="1"/>
      <c r="U29" s="1"/>
      <c r="V29" s="1"/>
      <c r="W29" s="1"/>
      <c r="X29" s="1"/>
    </row>
    <row r="30" spans="1:24" ht="15" customHeight="1" x14ac:dyDescent="0.35">
      <c r="A30" s="1"/>
      <c r="B30" s="1213" t="s">
        <v>176</v>
      </c>
      <c r="C30" s="980" t="s">
        <v>470</v>
      </c>
      <c r="D30" s="275">
        <f>'year end'!AD274</f>
        <v>248</v>
      </c>
      <c r="E30" s="117">
        <f>Masterlist!AN259</f>
        <v>15</v>
      </c>
      <c r="F30" s="118">
        <f>Masterlist!AO259</f>
        <v>20</v>
      </c>
      <c r="G30" s="118">
        <f>Masterlist!AP259</f>
        <v>19</v>
      </c>
      <c r="H30" s="118">
        <f>Masterlist!AQ259</f>
        <v>21</v>
      </c>
      <c r="I30" s="118">
        <f>Masterlist!AR259</f>
        <v>17</v>
      </c>
      <c r="J30" s="118">
        <f>Masterlist!AS259</f>
        <v>14</v>
      </c>
      <c r="K30" s="118">
        <f>Masterlist!AT259</f>
        <v>24</v>
      </c>
      <c r="L30" s="118">
        <f>Masterlist!AU259</f>
        <v>23</v>
      </c>
      <c r="M30" s="118">
        <f>Masterlist!AV259</f>
        <v>16</v>
      </c>
      <c r="N30" s="118">
        <f>Masterlist!AW259</f>
        <v>18</v>
      </c>
      <c r="O30" s="118">
        <f>Masterlist!AX259</f>
        <v>17</v>
      </c>
      <c r="P30" s="1057">
        <f>Masterlist!AY259</f>
        <v>24</v>
      </c>
      <c r="Q30" s="1035">
        <f t="shared" ref="Q30" si="11">SUM(E30:P30)</f>
        <v>228</v>
      </c>
      <c r="R30" s="312">
        <f>(Q30-(HLOOKUP($D$1,yearendcumulative,273,FALSE)))/(HLOOKUP($D$1,yearendcumulative,273,FALSE))</f>
        <v>-8.0645161290322578E-2</v>
      </c>
      <c r="S30" s="312">
        <f>(Q30-(HLOOKUP($D$1,Monthlyaveragecumulative,244,FALSE)))/(HLOOKUP($D$1,Monthlyaveragecumulative,244,FALSE))</f>
        <v>-0.58011049723756902</v>
      </c>
      <c r="T30" s="510"/>
      <c r="U30" s="1"/>
      <c r="V30" s="1"/>
      <c r="W30" s="1"/>
      <c r="X30" s="1"/>
    </row>
    <row r="31" spans="1:24" x14ac:dyDescent="0.35">
      <c r="A31" s="1"/>
      <c r="B31" s="1234"/>
      <c r="C31" s="981" t="s">
        <v>16</v>
      </c>
      <c r="D31" s="276">
        <f>'year end'!AD265</f>
        <v>569</v>
      </c>
      <c r="E31" s="105">
        <f>Masterlist!AN248</f>
        <v>48</v>
      </c>
      <c r="F31" s="30">
        <f>Masterlist!AO248</f>
        <v>40</v>
      </c>
      <c r="G31" s="30">
        <f>Masterlist!AP248</f>
        <v>33</v>
      </c>
      <c r="H31" s="30">
        <f>Masterlist!AQ248</f>
        <v>46</v>
      </c>
      <c r="I31" s="30">
        <f>Masterlist!AR248</f>
        <v>44</v>
      </c>
      <c r="J31" s="30">
        <f>Masterlist!AS248</f>
        <v>49</v>
      </c>
      <c r="K31" s="30">
        <f>Masterlist!AT248</f>
        <v>40</v>
      </c>
      <c r="L31" s="30">
        <f>Masterlist!AU248</f>
        <v>19</v>
      </c>
      <c r="M31" s="30">
        <f>Masterlist!AV248</f>
        <v>25</v>
      </c>
      <c r="N31" s="30">
        <f>Masterlist!AW248</f>
        <v>43</v>
      </c>
      <c r="O31" s="30">
        <f>Masterlist!AX248</f>
        <v>26</v>
      </c>
      <c r="P31" s="1180">
        <f>Masterlist!AY248</f>
        <v>27</v>
      </c>
      <c r="Q31" s="1036">
        <f>SUM(E31:P31)</f>
        <v>440</v>
      </c>
      <c r="R31" s="313">
        <f>(Q31-(HLOOKUP($D$1,yearendcumulative,264,FALSE)))/(HLOOKUP($D$1,yearendcumulative,264,FALSE))</f>
        <v>-0.22671353251318102</v>
      </c>
      <c r="S31" s="313">
        <f>(Q31-(HLOOKUP($D$1,Monthlyaveragecumulative,264,FALSE)))/(HLOOKUP($D$1,Monthlyaveragecumulative,264,FALSE))</f>
        <v>-0.36139332365747462</v>
      </c>
      <c r="T31" s="510"/>
      <c r="U31" s="1"/>
      <c r="V31" s="1"/>
      <c r="W31" s="1"/>
      <c r="X31" s="1"/>
    </row>
    <row r="32" spans="1:24" x14ac:dyDescent="0.35">
      <c r="A32" s="1"/>
      <c r="B32" s="1235"/>
      <c r="C32" s="982" t="s">
        <v>15</v>
      </c>
      <c r="D32" s="277">
        <f>'year end'!AD267</f>
        <v>210</v>
      </c>
      <c r="E32" s="101">
        <f>Masterlist!AN246+Masterlist!AN249</f>
        <v>18</v>
      </c>
      <c r="F32" s="1062">
        <f>Masterlist!AO246+Masterlist!AO249</f>
        <v>12</v>
      </c>
      <c r="G32" s="1062">
        <f>Masterlist!AP246+Masterlist!AP249</f>
        <v>19</v>
      </c>
      <c r="H32" s="1062">
        <f>Masterlist!AQ246+Masterlist!AQ249</f>
        <v>12</v>
      </c>
      <c r="I32" s="1062">
        <f>Masterlist!AR246+Masterlist!AR249</f>
        <v>17</v>
      </c>
      <c r="J32" s="1062">
        <f>Masterlist!AS246+Masterlist!AS249</f>
        <v>16</v>
      </c>
      <c r="K32" s="1062">
        <f>Masterlist!AT246+Masterlist!AT249</f>
        <v>16</v>
      </c>
      <c r="L32" s="1062">
        <f>Masterlist!AU246+Masterlist!AU249</f>
        <v>13</v>
      </c>
      <c r="M32" s="1062">
        <f>Masterlist!AV246+Masterlist!AV249</f>
        <v>20</v>
      </c>
      <c r="N32" s="1062">
        <f>Masterlist!AW246+Masterlist!AW249</f>
        <v>19</v>
      </c>
      <c r="O32" s="1062">
        <f>Masterlist!AX246+Masterlist!AX249</f>
        <v>15</v>
      </c>
      <c r="P32" s="1181">
        <f>Masterlist!AY246+Masterlist!AY249</f>
        <v>16</v>
      </c>
      <c r="Q32" s="1037">
        <f>SUM(E32:P32)</f>
        <v>193</v>
      </c>
      <c r="R32" s="314">
        <f>(Q32-(HLOOKUP($D$1,yearendcumulative,266,FALSE)))/(HLOOKUP($D$1,yearendcumulative,266,FALSE))</f>
        <v>-8.0952380952380956E-2</v>
      </c>
      <c r="S32" s="314">
        <f>(Q32-(HLOOKUP($D$1,Monthlyaveragecumulative,266,FALSE)))/(HLOOKUP($D$1,Monthlyaveragecumulative,266,FALSE))</f>
        <v>0.19875776397515527</v>
      </c>
      <c r="T32" s="510"/>
      <c r="U32" s="1"/>
      <c r="V32" s="1"/>
      <c r="W32" s="1"/>
      <c r="X32" s="1"/>
    </row>
    <row r="33" spans="1:24" ht="15" customHeight="1" x14ac:dyDescent="0.35">
      <c r="A33" s="1"/>
      <c r="B33" s="3"/>
      <c r="C33" s="453"/>
      <c r="D33" s="211"/>
      <c r="E33" s="51"/>
      <c r="F33" s="51"/>
      <c r="G33" s="51"/>
      <c r="H33" s="51"/>
      <c r="I33" s="51"/>
      <c r="J33" s="51"/>
      <c r="K33" s="51"/>
      <c r="L33" s="51"/>
      <c r="M33" s="51"/>
      <c r="N33" s="51"/>
      <c r="O33" s="51"/>
      <c r="P33" s="51"/>
      <c r="Q33" s="15"/>
      <c r="R33" s="15"/>
      <c r="S33" s="15"/>
      <c r="T33" s="510"/>
      <c r="U33" s="1"/>
      <c r="V33" s="1"/>
      <c r="W33" s="1"/>
      <c r="X33" s="1"/>
    </row>
    <row r="34" spans="1:24" ht="45.75" customHeight="1" x14ac:dyDescent="0.35">
      <c r="A34" s="1"/>
      <c r="B34" s="959" t="s">
        <v>242</v>
      </c>
      <c r="C34" s="1054" t="s">
        <v>465</v>
      </c>
      <c r="D34" s="960">
        <f>'year end'!AD337</f>
        <v>99</v>
      </c>
      <c r="E34" s="55">
        <f>Masterlist!AN406</f>
        <v>9</v>
      </c>
      <c r="F34" s="55">
        <f>Masterlist!AO406</f>
        <v>12</v>
      </c>
      <c r="G34" s="55">
        <f>Masterlist!AP406</f>
        <v>14</v>
      </c>
      <c r="H34" s="55">
        <f>Masterlist!AQ406</f>
        <v>12</v>
      </c>
      <c r="I34" s="55">
        <f>Masterlist!AR406</f>
        <v>36</v>
      </c>
      <c r="J34" s="55">
        <f>Masterlist!AS406</f>
        <v>20</v>
      </c>
      <c r="K34" s="55">
        <f>Masterlist!AT406</f>
        <v>14</v>
      </c>
      <c r="L34" s="55">
        <f>Masterlist!AU406</f>
        <v>29</v>
      </c>
      <c r="M34" s="55">
        <f>Masterlist!AV406</f>
        <v>15</v>
      </c>
      <c r="N34" s="55">
        <f>Masterlist!AW406</f>
        <v>23</v>
      </c>
      <c r="O34" s="55">
        <f>Masterlist!AX406</f>
        <v>10</v>
      </c>
      <c r="P34" s="1251" t="s">
        <v>210</v>
      </c>
      <c r="Q34" s="1252" t="s">
        <v>210</v>
      </c>
      <c r="R34" s="1253" t="s">
        <v>210</v>
      </c>
      <c r="S34" s="300" t="e">
        <f>(Q34-(HLOOKUP($D$1,Monthlyaveragecumulative,336,FALSE)))/(HLOOKUP($D$1,Monthlyaveragecumulative,336,FALSE))</f>
        <v>#VALUE!</v>
      </c>
      <c r="T34" s="510"/>
      <c r="U34" s="1"/>
      <c r="V34" s="1"/>
      <c r="W34" s="1"/>
      <c r="X34" s="1"/>
    </row>
    <row r="35" spans="1:24" s="141" customFormat="1" x14ac:dyDescent="0.35">
      <c r="B35" s="150"/>
      <c r="C35" s="136"/>
      <c r="D35" s="134"/>
      <c r="E35" s="213"/>
      <c r="F35" s="213"/>
      <c r="G35" s="213"/>
      <c r="H35" s="213"/>
      <c r="I35" s="213"/>
      <c r="J35" s="213"/>
      <c r="K35" s="213"/>
      <c r="L35" s="213"/>
      <c r="M35" s="213"/>
      <c r="N35" s="213"/>
      <c r="O35" s="213"/>
      <c r="P35" s="213"/>
      <c r="Q35" s="135"/>
      <c r="R35" s="316"/>
      <c r="S35" s="316"/>
      <c r="T35" s="516"/>
    </row>
    <row r="36" spans="1:24" ht="26" x14ac:dyDescent="0.35">
      <c r="A36" s="1"/>
      <c r="B36" s="953" t="s">
        <v>377</v>
      </c>
      <c r="C36" s="987" t="s">
        <v>359</v>
      </c>
      <c r="D36" s="954">
        <f>'year end'!AD269</f>
        <v>253</v>
      </c>
      <c r="E36" s="702">
        <f>Masterlist!AN252</f>
        <v>18</v>
      </c>
      <c r="F36" s="1134">
        <f>Masterlist!AO252</f>
        <v>20</v>
      </c>
      <c r="G36" s="1134">
        <f>Masterlist!AP252</f>
        <v>14</v>
      </c>
      <c r="H36" s="1134">
        <f>Masterlist!AQ252</f>
        <v>33</v>
      </c>
      <c r="I36" s="1134">
        <f>Masterlist!AR252</f>
        <v>39</v>
      </c>
      <c r="J36" s="1134">
        <f>Masterlist!AS252</f>
        <v>17</v>
      </c>
      <c r="K36" s="1134">
        <f>Masterlist!AT252</f>
        <v>14</v>
      </c>
      <c r="L36" s="1134">
        <f>Masterlist!AU252</f>
        <v>16</v>
      </c>
      <c r="M36" s="1134">
        <f>Masterlist!AV252</f>
        <v>24</v>
      </c>
      <c r="N36" s="1134">
        <f>Masterlist!AW252</f>
        <v>18</v>
      </c>
      <c r="O36" s="1134">
        <f>Masterlist!AX252</f>
        <v>21</v>
      </c>
      <c r="P36" s="1134">
        <f>Masterlist!AY252</f>
        <v>15</v>
      </c>
      <c r="Q36" s="703">
        <f>SUM(E36:P36)</f>
        <v>249</v>
      </c>
      <c r="R36" s="704">
        <f>(Q36-(HLOOKUP($D$1,yearendcumulative,268,FALSE)))/(HLOOKUP($D$1,yearendcumulative,268,FALSE))</f>
        <v>-1.5810276679841896E-2</v>
      </c>
      <c r="S36" s="606">
        <f>(Q36-(HLOOKUP($D$1,Monthlyaveragecumulative,268,FALSE)))/(HLOOKUP($D$1,Monthlyaveragecumulative,268,FALSE))</f>
        <v>3.7499999999999999E-2</v>
      </c>
      <c r="T36" s="510"/>
      <c r="U36" s="1"/>
      <c r="V36" s="1"/>
      <c r="W36" s="1"/>
      <c r="X36" s="1"/>
    </row>
    <row r="37" spans="1:24" x14ac:dyDescent="0.35">
      <c r="A37" s="1"/>
      <c r="B37" s="1"/>
      <c r="C37" s="1"/>
      <c r="D37" s="1"/>
      <c r="E37" s="1"/>
      <c r="F37" s="95"/>
      <c r="G37" s="95"/>
      <c r="H37" s="95"/>
      <c r="I37" s="95"/>
      <c r="J37" s="95"/>
      <c r="K37" s="95"/>
      <c r="L37" s="95"/>
      <c r="M37" s="95"/>
      <c r="N37" s="95"/>
      <c r="O37" s="95"/>
      <c r="P37" s="95"/>
      <c r="Q37" s="1"/>
      <c r="R37" s="1"/>
      <c r="S37" s="1"/>
      <c r="T37" s="1"/>
      <c r="U37" s="1"/>
      <c r="V37" s="1"/>
      <c r="W37" s="1"/>
      <c r="X37" s="1"/>
    </row>
    <row r="38" spans="1:24" ht="26" x14ac:dyDescent="0.35">
      <c r="A38" s="1"/>
      <c r="B38" s="700" t="s">
        <v>382</v>
      </c>
      <c r="C38" s="1055" t="s">
        <v>314</v>
      </c>
      <c r="D38" s="455">
        <f>'year end'!AD355</f>
        <v>59</v>
      </c>
      <c r="E38" s="480">
        <f>Masterlist!AN484</f>
        <v>1</v>
      </c>
      <c r="F38" s="480">
        <f>Masterlist!AO484</f>
        <v>3</v>
      </c>
      <c r="G38" s="480">
        <f>Masterlist!AP484</f>
        <v>0</v>
      </c>
      <c r="H38" s="480">
        <f>Masterlist!AQ484</f>
        <v>3</v>
      </c>
      <c r="I38" s="480">
        <f>Masterlist!AR484</f>
        <v>7</v>
      </c>
      <c r="J38" s="480">
        <f>Masterlist!AS484</f>
        <v>7</v>
      </c>
      <c r="K38" s="480">
        <f>Masterlist!AT484</f>
        <v>5</v>
      </c>
      <c r="L38" s="480">
        <f>Masterlist!AU484</f>
        <v>4</v>
      </c>
      <c r="M38" s="480">
        <f>Masterlist!AV484</f>
        <v>3</v>
      </c>
      <c r="N38" s="480">
        <f>Masterlist!AW484</f>
        <v>3</v>
      </c>
      <c r="O38" s="480">
        <f>Masterlist!AX484</f>
        <v>3</v>
      </c>
      <c r="P38" s="480">
        <f>Masterlist!AY484</f>
        <v>4</v>
      </c>
      <c r="Q38" s="437">
        <f>SUM(E38:P38)</f>
        <v>43</v>
      </c>
      <c r="R38" s="439">
        <f>(Q38-(HLOOKUP($D$1,yearendcumulative,354,FALSE)))/(HLOOKUP($D$1,yearendcumulative,354,FALSE))</f>
        <v>-0.2711864406779661</v>
      </c>
      <c r="S38" s="481" t="s">
        <v>206</v>
      </c>
      <c r="T38" s="510"/>
      <c r="U38" s="1"/>
      <c r="V38" s="1"/>
      <c r="W38" s="1"/>
      <c r="X38" s="1"/>
    </row>
    <row r="39" spans="1:24" x14ac:dyDescent="0.35">
      <c r="F39" s="631"/>
      <c r="G39" s="631"/>
      <c r="I39" s="631"/>
      <c r="N39" s="631"/>
      <c r="P39" s="631"/>
      <c r="R39" s="130"/>
      <c r="T39" s="130"/>
    </row>
    <row r="40" spans="1:24" ht="15" customHeight="1" x14ac:dyDescent="0.35">
      <c r="A40" s="1"/>
      <c r="B40" s="1212" t="s">
        <v>241</v>
      </c>
      <c r="C40" s="416" t="s">
        <v>64</v>
      </c>
      <c r="D40" s="245">
        <f>'year end'!AD276</f>
        <v>1826</v>
      </c>
      <c r="E40" s="475">
        <f>Masterlist!AN387</f>
        <v>151</v>
      </c>
      <c r="F40" s="475">
        <f>Masterlist!AO387</f>
        <v>171</v>
      </c>
      <c r="G40" s="475">
        <f>Masterlist!AP387</f>
        <v>156</v>
      </c>
      <c r="H40" s="475">
        <f>Masterlist!AQ387</f>
        <v>181</v>
      </c>
      <c r="I40" s="475">
        <f>Masterlist!AR387</f>
        <v>171</v>
      </c>
      <c r="J40" s="475">
        <f>Masterlist!AS387</f>
        <v>155</v>
      </c>
      <c r="K40" s="475">
        <f>Masterlist!AT387</f>
        <v>177</v>
      </c>
      <c r="L40" s="475">
        <f>Masterlist!AU387</f>
        <v>126</v>
      </c>
      <c r="M40" s="475">
        <f>Masterlist!AV387</f>
        <v>114</v>
      </c>
      <c r="N40" s="475">
        <f>Masterlist!AW387</f>
        <v>149</v>
      </c>
      <c r="O40" s="475">
        <f>Masterlist!AX387</f>
        <v>143</v>
      </c>
      <c r="P40" s="475">
        <f>Masterlist!AY387</f>
        <v>198</v>
      </c>
      <c r="Q40" s="779">
        <f>SUM(E40:P40)</f>
        <v>1892</v>
      </c>
      <c r="R40" s="303">
        <f>(Q40-(HLOOKUP($D$1,yearendcumulative,275,FALSE)))/(HLOOKUP($D$1,yearendcumulative,275,FALSE))</f>
        <v>3.614457831325301E-2</v>
      </c>
      <c r="S40" s="303">
        <f>(Q40-(HLOOKUP($D$1,Monthlyaveragecumulative,275,FALSE)))/(HLOOKUP($D$1,Monthlyaveragecumulative,275,FALSE))</f>
        <v>-0.4333632824198862</v>
      </c>
      <c r="T40" s="510"/>
      <c r="U40" s="1"/>
      <c r="V40" s="1"/>
      <c r="W40" s="1"/>
      <c r="X40" s="1"/>
    </row>
    <row r="41" spans="1:24" x14ac:dyDescent="0.35">
      <c r="A41" s="1"/>
      <c r="B41" s="1212"/>
      <c r="C41" s="229" t="s">
        <v>11</v>
      </c>
      <c r="D41" s="106">
        <f>'year end'!AD277</f>
        <v>428</v>
      </c>
      <c r="E41" s="97">
        <f>Masterlist!AN388</f>
        <v>47</v>
      </c>
      <c r="F41" s="97">
        <f>Masterlist!AO388</f>
        <v>54</v>
      </c>
      <c r="G41" s="97">
        <f>Masterlist!AP388</f>
        <v>42</v>
      </c>
      <c r="H41" s="97">
        <f>Masterlist!AQ388</f>
        <v>49</v>
      </c>
      <c r="I41" s="97">
        <f>Masterlist!AR388</f>
        <v>52</v>
      </c>
      <c r="J41" s="97">
        <f>Masterlist!AS388</f>
        <v>48</v>
      </c>
      <c r="K41" s="97">
        <f>Masterlist!AT388</f>
        <v>43</v>
      </c>
      <c r="L41" s="97">
        <f>Masterlist!AU388</f>
        <v>48</v>
      </c>
      <c r="M41" s="97">
        <f>Masterlist!AV388</f>
        <v>32</v>
      </c>
      <c r="N41" s="97">
        <f>Masterlist!AW388</f>
        <v>39</v>
      </c>
      <c r="O41" s="97">
        <f>Masterlist!AX388</f>
        <v>31</v>
      </c>
      <c r="P41" s="97">
        <f>Masterlist!AY388</f>
        <v>50</v>
      </c>
      <c r="Q41" s="780">
        <f t="shared" ref="Q41:Q43" si="12">SUM(E41:P41)</f>
        <v>535</v>
      </c>
      <c r="R41" s="304">
        <f>(Q41-(HLOOKUP($D$1,yearendcumulative,276,FALSE)))/(HLOOKUP($D$1,yearendcumulative,276,FALSE))</f>
        <v>0.25</v>
      </c>
      <c r="S41" s="304">
        <f>(Q41-(HLOOKUP($D$1,Monthlyaveragecumulative,276,FALSE)))/(HLOOKUP($D$1,Monthlyaveragecumulative,276,FALSE))</f>
        <v>0.11691022964509394</v>
      </c>
      <c r="T41" s="510"/>
      <c r="U41" s="1"/>
      <c r="V41" s="1"/>
      <c r="W41" s="1"/>
      <c r="X41" s="1"/>
    </row>
    <row r="42" spans="1:24" x14ac:dyDescent="0.35">
      <c r="A42" s="1"/>
      <c r="B42" s="1212"/>
      <c r="C42" s="229" t="s">
        <v>12</v>
      </c>
      <c r="D42" s="106">
        <f>'year end'!AD278</f>
        <v>1221</v>
      </c>
      <c r="E42" s="97">
        <f>Masterlist!AN389</f>
        <v>91</v>
      </c>
      <c r="F42" s="97">
        <f>Masterlist!AO389</f>
        <v>106</v>
      </c>
      <c r="G42" s="97">
        <f>Masterlist!AP389</f>
        <v>106</v>
      </c>
      <c r="H42" s="97">
        <f>Masterlist!AQ389</f>
        <v>122</v>
      </c>
      <c r="I42" s="97">
        <f>Masterlist!AR389</f>
        <v>106</v>
      </c>
      <c r="J42" s="97">
        <f>Masterlist!AS389</f>
        <v>99</v>
      </c>
      <c r="K42" s="97">
        <f>Masterlist!AT389</f>
        <v>119</v>
      </c>
      <c r="L42" s="97">
        <f>Masterlist!AU389</f>
        <v>71</v>
      </c>
      <c r="M42" s="97">
        <f>Masterlist!AV389</f>
        <v>78</v>
      </c>
      <c r="N42" s="97">
        <f>Masterlist!AW389</f>
        <v>103</v>
      </c>
      <c r="O42" s="97">
        <f>Masterlist!AX389</f>
        <v>100</v>
      </c>
      <c r="P42" s="97">
        <f>Masterlist!AY389</f>
        <v>141</v>
      </c>
      <c r="Q42" s="780">
        <f t="shared" si="12"/>
        <v>1242</v>
      </c>
      <c r="R42" s="304">
        <f>(Q42-(HLOOKUP($D$1,yearendcumulative,277,FALSE)))/(HLOOKUP($D$1,yearendcumulative,277,FALSE))</f>
        <v>1.7199017199017199E-2</v>
      </c>
      <c r="S42" s="304">
        <f>(Q42-(HLOOKUP($D$1,Monthlyaveragecumulative,277,FALSE)))/(HLOOKUP($D$1,Monthlyaveragecumulative,277,FALSE))</f>
        <v>-0.4920245398773006</v>
      </c>
      <c r="T42" s="510"/>
      <c r="U42" s="1"/>
      <c r="V42" s="1"/>
      <c r="W42" s="1"/>
      <c r="X42" s="1"/>
    </row>
    <row r="43" spans="1:24" x14ac:dyDescent="0.35">
      <c r="A43" s="1"/>
      <c r="B43" s="1212"/>
      <c r="C43" s="290" t="s">
        <v>13</v>
      </c>
      <c r="D43" s="247">
        <f>'year end'!AD279</f>
        <v>177</v>
      </c>
      <c r="E43" s="239">
        <f>Masterlist!AN390</f>
        <v>13</v>
      </c>
      <c r="F43" s="239">
        <f>Masterlist!AO390</f>
        <v>11</v>
      </c>
      <c r="G43" s="239">
        <f>Masterlist!AP390</f>
        <v>8</v>
      </c>
      <c r="H43" s="239">
        <f>Masterlist!AQ390</f>
        <v>10</v>
      </c>
      <c r="I43" s="239">
        <f>Masterlist!AR390</f>
        <v>13</v>
      </c>
      <c r="J43" s="239">
        <f>Masterlist!AS390</f>
        <v>8</v>
      </c>
      <c r="K43" s="239">
        <f>Masterlist!AT390</f>
        <v>15</v>
      </c>
      <c r="L43" s="239">
        <f>Masterlist!AU390</f>
        <v>7</v>
      </c>
      <c r="M43" s="239">
        <f>Masterlist!AV390</f>
        <v>4</v>
      </c>
      <c r="N43" s="239">
        <f>Masterlist!AW390</f>
        <v>7</v>
      </c>
      <c r="O43" s="239">
        <f>Masterlist!AX390</f>
        <v>12</v>
      </c>
      <c r="P43" s="239">
        <f>Masterlist!AY390</f>
        <v>7</v>
      </c>
      <c r="Q43" s="780">
        <f t="shared" si="12"/>
        <v>115</v>
      </c>
      <c r="R43" s="305">
        <f>(Q43-(HLOOKUP($D$1,yearendcumulative,278,FALSE)))/(HLOOKUP($D$1,yearendcumulative,278,FALSE))</f>
        <v>-0.35028248587570621</v>
      </c>
      <c r="S43" s="305">
        <f>(Q43-(HLOOKUP($D$1,Monthlyaveragecumulative,278,FALSE)))/(HLOOKUP($D$1,Monthlyaveragecumulative,278,FALSE))</f>
        <v>-0.72422062350119909</v>
      </c>
      <c r="T43" s="510"/>
      <c r="U43" s="1"/>
      <c r="V43" s="1"/>
      <c r="W43" s="1"/>
      <c r="X43" s="1"/>
    </row>
    <row r="44" spans="1:24" hidden="1" x14ac:dyDescent="0.35">
      <c r="A44" s="1"/>
      <c r="B44" s="1212"/>
      <c r="C44" s="266" t="s">
        <v>257</v>
      </c>
      <c r="D44" s="262">
        <f>'year end'!AD279</f>
        <v>177</v>
      </c>
      <c r="E44" s="475">
        <f>Masterlist!AN391</f>
        <v>0</v>
      </c>
      <c r="F44" s="1118">
        <f>Masterlist!AO455</f>
        <v>0</v>
      </c>
      <c r="G44" s="1118">
        <f>Masterlist!AP455</f>
        <v>0</v>
      </c>
      <c r="H44" s="1118">
        <f>Masterlist!AQ455</f>
        <v>0</v>
      </c>
      <c r="I44" s="1118">
        <f>Masterlist!AR455</f>
        <v>0</v>
      </c>
      <c r="J44" s="1118">
        <f>Masterlist!AS455</f>
        <v>0</v>
      </c>
      <c r="K44" s="1118">
        <f>Masterlist!AT455</f>
        <v>0</v>
      </c>
      <c r="L44" s="1118">
        <f>Masterlist!AU455</f>
        <v>0</v>
      </c>
      <c r="M44" s="1118">
        <f>Masterlist!AV455</f>
        <v>0</v>
      </c>
      <c r="N44" s="1118">
        <f>Masterlist!AW455</f>
        <v>0</v>
      </c>
      <c r="O44" s="1118">
        <f>Masterlist!AX455</f>
        <v>0</v>
      </c>
      <c r="P44" s="1118">
        <f>Masterlist!AY455</f>
        <v>0</v>
      </c>
      <c r="Q44" s="418">
        <f>SUM(E44:P44)</f>
        <v>0</v>
      </c>
      <c r="R44" s="305">
        <f>(Q44-(HLOOKUP($D$1,yearendcumulative,279,FALSE)))/(HLOOKUP($D$1,yearendcumulative,279,FALSE))</f>
        <v>-1</v>
      </c>
      <c r="S44" s="304">
        <f>(Q44-(HLOOKUP($D$1,Monthlyaveragecumulative,279,FALSE)))/(HLOOKUP($D$1,Monthlyaveragecumulative,279,FALSE))</f>
        <v>-1</v>
      </c>
      <c r="T44" s="510"/>
      <c r="U44" s="1"/>
      <c r="V44" s="1"/>
      <c r="W44" s="1"/>
      <c r="X44" s="1"/>
    </row>
    <row r="45" spans="1:24" x14ac:dyDescent="0.35">
      <c r="A45" s="1"/>
      <c r="B45" s="626"/>
      <c r="C45" s="265" t="s">
        <v>385</v>
      </c>
      <c r="D45" s="707">
        <f>'year end'!AD280</f>
        <v>26</v>
      </c>
      <c r="E45" s="263">
        <f>Masterlist!AN334</f>
        <v>1</v>
      </c>
      <c r="F45" s="1062">
        <f>Masterlist!AO334</f>
        <v>3</v>
      </c>
      <c r="G45" s="1062">
        <f>Masterlist!AP334</f>
        <v>8</v>
      </c>
      <c r="H45" s="1062">
        <f>Masterlist!AQ334</f>
        <v>2</v>
      </c>
      <c r="I45" s="1062">
        <f>Masterlist!AR334</f>
        <v>6</v>
      </c>
      <c r="J45" s="53">
        <f>Masterlist!AS334</f>
        <v>2</v>
      </c>
      <c r="K45" s="53">
        <f>Masterlist!AT334</f>
        <v>3</v>
      </c>
      <c r="L45" s="53">
        <f>Masterlist!AU334</f>
        <v>1</v>
      </c>
      <c r="M45" s="53">
        <f>Masterlist!AV334</f>
        <v>1</v>
      </c>
      <c r="N45" s="53">
        <f>Masterlist!AW334</f>
        <v>2</v>
      </c>
      <c r="O45" s="53">
        <f>Masterlist!AX334</f>
        <v>3</v>
      </c>
      <c r="P45" s="53">
        <f>Masterlist!AY334</f>
        <v>3</v>
      </c>
      <c r="Q45" s="437">
        <f>SUM(E45:I45)</f>
        <v>20</v>
      </c>
      <c r="R45" s="305">
        <f>(Q45-(HLOOKUP($D$1,yearendcumulative,279,FALSE)))/(HLOOKUP($D$1,yearendcumulative,279,FALSE))</f>
        <v>-0.23076923076923078</v>
      </c>
      <c r="S45" s="304">
        <f>(Q45-(HLOOKUP($D$1,Monthlyaveragecumulative,279,FALSE)))/(HLOOKUP($D$1,Monthlyaveragecumulative,279,FALSE))</f>
        <v>-0.39393939393939392</v>
      </c>
      <c r="T45" s="510"/>
      <c r="U45" s="1"/>
      <c r="V45" s="1"/>
      <c r="W45" s="1"/>
      <c r="X45" s="1"/>
    </row>
    <row r="46" spans="1:24" x14ac:dyDescent="0.35">
      <c r="B46" s="131"/>
      <c r="C46" s="132"/>
      <c r="D46" s="133"/>
      <c r="E46" s="134"/>
      <c r="F46" s="1135"/>
      <c r="G46" s="1135"/>
      <c r="H46" s="1135"/>
      <c r="I46" s="1135"/>
      <c r="J46" s="1135"/>
      <c r="K46" s="1135"/>
      <c r="L46" s="1135"/>
      <c r="M46" s="1135"/>
      <c r="N46" s="1135"/>
      <c r="O46" s="1135"/>
      <c r="P46" s="1135"/>
      <c r="Q46" s="135"/>
      <c r="R46" s="318"/>
      <c r="S46" s="318"/>
    </row>
    <row r="47" spans="1:24" ht="49.5" customHeight="1" x14ac:dyDescent="0.35">
      <c r="A47" s="1"/>
      <c r="B47" s="1000" t="s">
        <v>383</v>
      </c>
      <c r="C47" s="986" t="s">
        <v>360</v>
      </c>
      <c r="D47" s="1048">
        <f>'year end'!AD270</f>
        <v>2086</v>
      </c>
      <c r="E47" s="702">
        <f>Masterlist!AN253</f>
        <v>177</v>
      </c>
      <c r="F47" s="1134">
        <f>Masterlist!AO253</f>
        <v>170</v>
      </c>
      <c r="G47" s="1134">
        <f>Masterlist!AP253</f>
        <v>175</v>
      </c>
      <c r="H47" s="1134">
        <f>Masterlist!AQ253</f>
        <v>202</v>
      </c>
      <c r="I47" s="1134">
        <f>Masterlist!AR253</f>
        <v>203</v>
      </c>
      <c r="J47" s="1134">
        <f>Masterlist!AS253</f>
        <v>166</v>
      </c>
      <c r="K47" s="1134">
        <f>Masterlist!AT253</f>
        <v>200</v>
      </c>
      <c r="L47" s="1134">
        <f>Masterlist!AU253</f>
        <v>153</v>
      </c>
      <c r="M47" s="1134">
        <f>Masterlist!AV253</f>
        <v>177</v>
      </c>
      <c r="N47" s="1134">
        <f>Masterlist!AW253</f>
        <v>195</v>
      </c>
      <c r="O47" s="1134">
        <f>Masterlist!AX253</f>
        <v>174</v>
      </c>
      <c r="P47" s="1134">
        <f>Masterlist!AY253</f>
        <v>192</v>
      </c>
      <c r="Q47" s="703">
        <f t="shared" ref="Q47" si="13">SUM(E47:P47)</f>
        <v>2184</v>
      </c>
      <c r="R47" s="704">
        <f>(Q47-(HLOOKUP($D$1,yearendcumulative,269,FALSE)))/(HLOOKUP($D$1,yearendcumulative,269,FALSE))</f>
        <v>4.6979865771812082E-2</v>
      </c>
      <c r="S47" s="294">
        <f>(Q47-(HLOOKUP($D$1,Monthlyaveragecumulative,269,FALSE)))/(HLOOKUP($D$1,Monthlyaveragecumulative,269,FALSE))</f>
        <v>-0.12883925009972078</v>
      </c>
      <c r="T47" s="510"/>
      <c r="U47" s="1"/>
      <c r="V47" s="1"/>
      <c r="W47" s="1"/>
      <c r="X47" s="1"/>
    </row>
    <row r="48" spans="1:24" s="635" customFormat="1" x14ac:dyDescent="0.35">
      <c r="B48" s="807"/>
      <c r="C48" s="976"/>
      <c r="D48" s="915"/>
      <c r="E48" s="915"/>
      <c r="F48" s="931"/>
      <c r="G48" s="931"/>
      <c r="H48" s="915"/>
      <c r="I48" s="931"/>
      <c r="J48" s="915"/>
      <c r="K48" s="915"/>
      <c r="L48" s="915"/>
      <c r="M48" s="915"/>
      <c r="N48" s="931"/>
      <c r="O48" s="915"/>
      <c r="P48" s="931"/>
      <c r="Q48" s="809"/>
      <c r="R48" s="819"/>
      <c r="S48" s="808"/>
      <c r="T48" s="511"/>
      <c r="U48" s="483"/>
      <c r="V48" s="483"/>
      <c r="W48" s="483"/>
      <c r="X48" s="483"/>
    </row>
    <row r="49" spans="1:24" s="635" customFormat="1" ht="85.5" customHeight="1" x14ac:dyDescent="0.35">
      <c r="A49" s="719"/>
      <c r="B49" s="822" t="s">
        <v>80</v>
      </c>
      <c r="C49" s="813" t="s">
        <v>522</v>
      </c>
      <c r="D49" s="1200" t="s">
        <v>464</v>
      </c>
      <c r="E49" s="1200"/>
      <c r="F49" s="1200"/>
      <c r="G49" s="1200"/>
      <c r="H49" s="1200"/>
      <c r="I49" s="1200"/>
      <c r="J49" s="1200"/>
      <c r="K49" s="1200"/>
      <c r="L49" s="1200"/>
      <c r="M49" s="1200"/>
      <c r="N49" s="1200"/>
      <c r="O49" s="1200"/>
      <c r="P49" s="1200"/>
      <c r="Q49" s="1200"/>
      <c r="R49" s="1200"/>
      <c r="S49" s="1200"/>
      <c r="T49" s="511"/>
      <c r="U49" s="483"/>
      <c r="V49" s="483"/>
      <c r="W49" s="483"/>
      <c r="X49" s="483"/>
    </row>
    <row r="50" spans="1:24" s="635" customFormat="1" x14ac:dyDescent="0.35">
      <c r="A50" s="719"/>
      <c r="B50" s="822"/>
      <c r="C50" s="813" t="s">
        <v>182</v>
      </c>
      <c r="D50" s="977"/>
      <c r="E50" s="977"/>
      <c r="F50" s="1094"/>
      <c r="G50" s="1094"/>
      <c r="H50" s="1042"/>
      <c r="I50" s="1094"/>
      <c r="J50" s="1042"/>
      <c r="K50" s="1042"/>
      <c r="L50" s="1042"/>
      <c r="M50" s="1042"/>
      <c r="N50" s="1094"/>
      <c r="O50" s="1042"/>
      <c r="P50" s="1094"/>
      <c r="Q50" s="977"/>
      <c r="R50" s="977"/>
      <c r="S50" s="977"/>
      <c r="T50" s="511"/>
      <c r="U50" s="483"/>
      <c r="V50" s="483"/>
      <c r="W50" s="483"/>
      <c r="X50" s="483"/>
    </row>
    <row r="51" spans="1:24" s="635" customFormat="1" x14ac:dyDescent="0.35">
      <c r="B51" s="807"/>
      <c r="C51" s="978" t="s">
        <v>452</v>
      </c>
      <c r="D51" s="915"/>
      <c r="E51" s="915"/>
      <c r="F51" s="931"/>
      <c r="G51" s="931"/>
      <c r="H51" s="915"/>
      <c r="I51" s="931"/>
      <c r="J51" s="915"/>
      <c r="K51" s="915"/>
      <c r="L51" s="915"/>
      <c r="M51" s="915"/>
      <c r="N51" s="931"/>
      <c r="O51" s="915"/>
      <c r="P51" s="931"/>
      <c r="Q51" s="809"/>
      <c r="R51" s="819"/>
      <c r="S51" s="808"/>
      <c r="T51" s="511"/>
      <c r="U51" s="483"/>
      <c r="V51" s="483"/>
      <c r="W51" s="483"/>
      <c r="X51" s="483"/>
    </row>
    <row r="52" spans="1:24" s="635" customFormat="1" x14ac:dyDescent="0.35">
      <c r="B52" s="807"/>
      <c r="C52" s="978" t="s">
        <v>453</v>
      </c>
      <c r="D52" s="915"/>
      <c r="E52" s="915"/>
      <c r="F52" s="931"/>
      <c r="G52" s="931"/>
      <c r="H52" s="915"/>
      <c r="I52" s="931"/>
      <c r="J52" s="915"/>
      <c r="K52" s="915"/>
      <c r="L52" s="915"/>
      <c r="M52" s="915"/>
      <c r="N52" s="931"/>
      <c r="O52" s="915"/>
      <c r="P52" s="931"/>
      <c r="Q52" s="809"/>
      <c r="R52" s="819"/>
      <c r="S52" s="808"/>
      <c r="T52" s="511"/>
      <c r="U52" s="483"/>
      <c r="V52" s="483"/>
      <c r="W52" s="483"/>
      <c r="X52" s="483"/>
    </row>
    <row r="53" spans="1:24" s="635" customFormat="1" x14ac:dyDescent="0.35">
      <c r="B53" s="807"/>
      <c r="C53" s="976"/>
      <c r="D53" s="915"/>
      <c r="E53" s="915"/>
      <c r="F53" s="931"/>
      <c r="G53" s="931"/>
      <c r="H53" s="915"/>
      <c r="I53" s="931"/>
      <c r="J53" s="915"/>
      <c r="K53" s="915"/>
      <c r="L53" s="915"/>
      <c r="M53" s="915"/>
      <c r="N53" s="931"/>
      <c r="O53" s="915"/>
      <c r="P53" s="931"/>
      <c r="Q53" s="809"/>
      <c r="R53" s="819"/>
      <c r="S53" s="808"/>
      <c r="T53" s="511"/>
      <c r="U53" s="483"/>
      <c r="V53" s="483"/>
      <c r="W53" s="483"/>
      <c r="X53" s="483"/>
    </row>
    <row r="54" spans="1:24" s="635" customFormat="1" x14ac:dyDescent="0.35">
      <c r="A54" s="10"/>
      <c r="B54" s="10" t="s">
        <v>211</v>
      </c>
      <c r="C54" s="809"/>
      <c r="D54" s="916"/>
      <c r="E54" s="809"/>
      <c r="F54" s="931"/>
      <c r="G54" s="931"/>
      <c r="H54" s="915"/>
      <c r="I54" s="931"/>
      <c r="J54" s="915"/>
      <c r="K54" s="915"/>
      <c r="L54" s="915"/>
      <c r="M54" s="915"/>
      <c r="N54" s="931"/>
      <c r="O54" s="915"/>
      <c r="P54" s="931"/>
      <c r="Q54" s="809"/>
      <c r="R54" s="819"/>
      <c r="S54" s="809"/>
      <c r="T54" s="511"/>
      <c r="U54" s="483"/>
      <c r="V54" s="483"/>
      <c r="W54" s="483"/>
      <c r="X54" s="483"/>
    </row>
    <row r="55" spans="1:24" s="635" customFormat="1" x14ac:dyDescent="0.35">
      <c r="A55" s="2"/>
      <c r="B55" s="758"/>
      <c r="C55" s="809"/>
      <c r="D55" s="809"/>
      <c r="E55" s="809"/>
      <c r="F55" s="931"/>
      <c r="G55" s="931"/>
      <c r="H55" s="915"/>
      <c r="I55" s="931"/>
      <c r="J55" s="915"/>
      <c r="K55" s="915"/>
      <c r="L55" s="915"/>
      <c r="M55" s="915"/>
      <c r="N55" s="931"/>
      <c r="O55" s="915"/>
      <c r="P55" s="931"/>
      <c r="Q55" s="809"/>
      <c r="R55" s="819"/>
      <c r="S55" s="809"/>
      <c r="T55" s="511"/>
      <c r="U55" s="483"/>
      <c r="V55" s="483"/>
      <c r="W55" s="483"/>
      <c r="X55" s="483"/>
    </row>
    <row r="56" spans="1:24" ht="26" x14ac:dyDescent="0.6">
      <c r="A56" s="1"/>
      <c r="C56" s="2"/>
      <c r="D56" s="198"/>
      <c r="E56" s="2"/>
      <c r="F56" s="465"/>
      <c r="G56" s="465"/>
      <c r="H56" s="96"/>
      <c r="I56" s="465"/>
      <c r="J56" s="96"/>
      <c r="K56" s="96"/>
      <c r="L56" s="96"/>
      <c r="M56" s="1167"/>
      <c r="N56" s="465"/>
      <c r="O56" s="96"/>
      <c r="P56" s="465"/>
      <c r="Q56" s="2"/>
      <c r="R56" s="293"/>
      <c r="S56" s="1"/>
      <c r="T56" s="518"/>
      <c r="U56" s="1"/>
      <c r="V56" s="1"/>
      <c r="W56" s="1"/>
      <c r="X56" s="1"/>
    </row>
    <row r="57" spans="1:24" x14ac:dyDescent="0.35">
      <c r="B57" s="637"/>
      <c r="C57" s="637"/>
      <c r="D57" s="637"/>
      <c r="E57" s="637"/>
      <c r="F57" s="1100"/>
      <c r="G57" s="1100"/>
      <c r="H57" s="638"/>
      <c r="I57" s="1100"/>
      <c r="J57" s="638"/>
      <c r="K57" s="638"/>
      <c r="L57" s="638"/>
      <c r="M57" s="638"/>
      <c r="N57" s="1100"/>
      <c r="O57" s="638"/>
      <c r="P57" s="1100"/>
      <c r="Q57" s="637"/>
      <c r="R57" s="639"/>
    </row>
    <row r="58" spans="1:24" x14ac:dyDescent="0.35">
      <c r="B58" s="637"/>
      <c r="C58" s="637"/>
      <c r="D58" s="637"/>
      <c r="E58" s="637"/>
      <c r="F58" s="1100"/>
      <c r="G58" s="1100"/>
      <c r="H58" s="638"/>
      <c r="I58" s="1100"/>
      <c r="J58" s="638"/>
      <c r="K58" s="638"/>
      <c r="L58" s="638"/>
      <c r="M58" s="638"/>
      <c r="N58" s="1100"/>
      <c r="O58" s="638"/>
      <c r="P58" s="1100"/>
      <c r="Q58" s="637"/>
      <c r="R58" s="639"/>
    </row>
    <row r="59" spans="1:24" x14ac:dyDescent="0.35">
      <c r="B59" s="637"/>
      <c r="C59" s="637"/>
      <c r="D59" s="637"/>
      <c r="E59" s="637"/>
      <c r="F59" s="1100"/>
      <c r="G59" s="1100"/>
      <c r="H59" s="638"/>
      <c r="I59" s="1100"/>
      <c r="J59" s="638"/>
      <c r="K59" s="638"/>
      <c r="L59" s="638"/>
      <c r="M59" s="638"/>
      <c r="N59" s="1100"/>
      <c r="O59" s="638"/>
      <c r="P59" s="1100"/>
      <c r="Q59" s="637"/>
      <c r="R59" s="639"/>
    </row>
    <row r="60" spans="1:24" x14ac:dyDescent="0.35">
      <c r="B60" s="637"/>
      <c r="C60" s="637"/>
      <c r="D60" s="637"/>
      <c r="E60" s="637"/>
      <c r="F60" s="1100"/>
      <c r="G60" s="1100"/>
      <c r="H60" s="638"/>
      <c r="I60" s="1100"/>
      <c r="J60" s="638"/>
      <c r="K60" s="638"/>
      <c r="L60" s="638"/>
      <c r="M60" s="638"/>
      <c r="N60" s="1100"/>
      <c r="O60" s="638"/>
      <c r="P60" s="1100"/>
      <c r="Q60" s="637"/>
      <c r="R60" s="639"/>
    </row>
    <row r="61" spans="1:24" x14ac:dyDescent="0.35">
      <c r="B61" s="637"/>
      <c r="C61" s="637"/>
      <c r="D61" s="637"/>
      <c r="E61" s="637"/>
      <c r="F61" s="1100"/>
      <c r="G61" s="1100"/>
      <c r="H61" s="638"/>
      <c r="I61" s="1100"/>
      <c r="J61" s="638"/>
      <c r="K61" s="638"/>
      <c r="L61" s="638"/>
      <c r="M61" s="638"/>
      <c r="N61" s="1100"/>
      <c r="O61" s="638"/>
      <c r="P61" s="1100"/>
      <c r="Q61" s="637"/>
      <c r="R61" s="639"/>
    </row>
    <row r="62" spans="1:24" x14ac:dyDescent="0.35">
      <c r="D62" s="637"/>
    </row>
    <row r="121" spans="2:36" x14ac:dyDescent="0.35">
      <c r="C121" s="629"/>
      <c r="E121" s="629"/>
      <c r="F121" s="935"/>
      <c r="G121" s="935"/>
      <c r="H121" s="644"/>
      <c r="I121" s="935"/>
      <c r="J121" s="644"/>
      <c r="K121" s="644"/>
      <c r="L121" s="644"/>
      <c r="M121" s="644"/>
      <c r="N121" s="935"/>
      <c r="O121" s="644"/>
      <c r="P121" s="935"/>
      <c r="Q121" s="629"/>
      <c r="R121" s="645"/>
      <c r="S121" s="629"/>
      <c r="T121" s="646"/>
      <c r="U121" s="629"/>
      <c r="V121" s="629"/>
      <c r="W121" s="629"/>
      <c r="X121" s="629"/>
      <c r="Y121" s="629"/>
      <c r="Z121" s="629"/>
      <c r="AA121" s="629"/>
      <c r="AB121" s="629"/>
      <c r="AC121" s="629"/>
      <c r="AD121" s="629"/>
      <c r="AE121" s="629"/>
      <c r="AF121" s="629"/>
      <c r="AG121" s="629"/>
      <c r="AH121" s="629"/>
      <c r="AI121" s="629"/>
      <c r="AJ121" s="629"/>
    </row>
    <row r="122" spans="2:36" x14ac:dyDescent="0.35">
      <c r="B122" s="637"/>
      <c r="C122" s="633"/>
      <c r="D122" s="629"/>
      <c r="E122" s="633"/>
      <c r="F122" s="936"/>
      <c r="G122" s="936"/>
      <c r="H122" s="647"/>
      <c r="I122" s="936"/>
      <c r="J122" s="647"/>
      <c r="K122" s="647"/>
      <c r="L122" s="647"/>
      <c r="M122" s="647"/>
      <c r="N122" s="936"/>
      <c r="O122" s="656"/>
      <c r="P122" s="1098"/>
      <c r="Q122" s="630"/>
      <c r="R122" s="657"/>
      <c r="S122" s="630"/>
      <c r="T122" s="658"/>
      <c r="U122" s="630"/>
      <c r="V122" s="630"/>
      <c r="W122" s="630"/>
      <c r="X122" s="630"/>
      <c r="Y122" s="630"/>
      <c r="Z122" s="630"/>
      <c r="AA122" s="630"/>
      <c r="AB122" s="630"/>
      <c r="AC122" s="630"/>
      <c r="AD122" s="630"/>
      <c r="AE122" s="630"/>
      <c r="AF122" s="630"/>
      <c r="AG122" s="630"/>
      <c r="AH122" s="630"/>
      <c r="AI122" s="630"/>
      <c r="AJ122" s="630"/>
    </row>
    <row r="123" spans="2:36" x14ac:dyDescent="0.35">
      <c r="B123" s="637"/>
      <c r="C123" s="633"/>
      <c r="D123" s="633"/>
      <c r="E123" s="633"/>
      <c r="F123" s="936"/>
      <c r="G123" s="936"/>
      <c r="H123" s="647"/>
      <c r="I123" s="936"/>
      <c r="J123" s="647"/>
      <c r="K123" s="647"/>
      <c r="L123" s="647"/>
      <c r="M123" s="647"/>
      <c r="N123" s="936"/>
      <c r="O123" s="656"/>
      <c r="P123" s="1098"/>
      <c r="Q123" s="630"/>
      <c r="R123" s="657"/>
      <c r="S123" s="630"/>
      <c r="T123" s="658"/>
      <c r="U123" s="630"/>
      <c r="V123" s="630"/>
      <c r="W123" s="630"/>
      <c r="X123" s="630"/>
      <c r="Y123" s="630"/>
      <c r="Z123" s="630"/>
      <c r="AA123" s="630"/>
      <c r="AB123" s="630"/>
      <c r="AC123" s="630"/>
      <c r="AD123" s="630"/>
      <c r="AE123" s="630"/>
      <c r="AF123" s="630"/>
      <c r="AG123" s="630"/>
      <c r="AH123" s="630"/>
      <c r="AI123" s="630"/>
      <c r="AJ123" s="630"/>
    </row>
    <row r="124" spans="2:36" x14ac:dyDescent="0.35">
      <c r="D124" s="633"/>
    </row>
    <row r="125" spans="2:36" x14ac:dyDescent="0.35">
      <c r="C125" s="629"/>
      <c r="E125" s="629"/>
      <c r="F125" s="935"/>
      <c r="G125" s="935"/>
      <c r="H125" s="644"/>
      <c r="I125" s="935"/>
      <c r="J125" s="644"/>
      <c r="K125" s="644"/>
      <c r="L125" s="644"/>
      <c r="M125" s="644"/>
      <c r="N125" s="935"/>
      <c r="O125" s="644"/>
      <c r="P125" s="935"/>
      <c r="Q125" s="629"/>
      <c r="R125" s="645"/>
      <c r="S125" s="629"/>
      <c r="T125" s="646"/>
      <c r="U125" s="629"/>
      <c r="V125" s="629"/>
      <c r="W125" s="629"/>
      <c r="X125" s="629"/>
      <c r="Y125" s="629"/>
      <c r="Z125" s="629"/>
      <c r="AA125" s="629"/>
      <c r="AB125" s="629"/>
      <c r="AC125" s="629"/>
      <c r="AD125" s="629"/>
      <c r="AE125" s="629"/>
      <c r="AF125" s="629"/>
      <c r="AG125" s="629"/>
      <c r="AH125" s="629"/>
      <c r="AI125" s="629"/>
      <c r="AJ125" s="629"/>
    </row>
    <row r="126" spans="2:36" x14ac:dyDescent="0.35">
      <c r="B126" s="637"/>
      <c r="C126" s="633"/>
      <c r="D126" s="629"/>
      <c r="E126" s="633"/>
      <c r="F126" s="936"/>
      <c r="G126" s="936"/>
      <c r="H126" s="647"/>
      <c r="I126" s="936"/>
      <c r="J126" s="647"/>
      <c r="K126" s="647"/>
      <c r="L126" s="647"/>
      <c r="M126" s="647"/>
      <c r="N126" s="936"/>
      <c r="O126" s="656"/>
      <c r="P126" s="1098"/>
      <c r="Q126" s="630"/>
      <c r="R126" s="657"/>
      <c r="S126" s="630"/>
      <c r="T126" s="658"/>
      <c r="U126" s="630"/>
      <c r="V126" s="630"/>
      <c r="W126" s="630"/>
      <c r="X126" s="630"/>
      <c r="Y126" s="630"/>
      <c r="Z126" s="630"/>
      <c r="AA126" s="630"/>
      <c r="AB126" s="630"/>
      <c r="AC126" s="630"/>
      <c r="AD126" s="630"/>
      <c r="AE126" s="630"/>
      <c r="AF126" s="630"/>
      <c r="AG126" s="630"/>
      <c r="AH126" s="630"/>
      <c r="AI126" s="630"/>
      <c r="AJ126" s="630"/>
    </row>
    <row r="127" spans="2:36" x14ac:dyDescent="0.35">
      <c r="B127" s="637"/>
      <c r="C127" s="633"/>
      <c r="D127" s="633"/>
      <c r="E127" s="633"/>
      <c r="F127" s="936"/>
      <c r="G127" s="936"/>
      <c r="H127" s="647"/>
      <c r="I127" s="936"/>
      <c r="J127" s="647"/>
      <c r="K127" s="647"/>
      <c r="L127" s="647"/>
      <c r="M127" s="647"/>
      <c r="N127" s="936"/>
      <c r="O127" s="656"/>
      <c r="P127" s="1098"/>
      <c r="Q127" s="630"/>
      <c r="R127" s="657"/>
      <c r="S127" s="630"/>
      <c r="T127" s="658"/>
      <c r="U127" s="630"/>
      <c r="V127" s="630"/>
      <c r="W127" s="630"/>
      <c r="X127" s="630"/>
      <c r="Y127" s="630"/>
      <c r="Z127" s="630"/>
      <c r="AA127" s="630"/>
      <c r="AB127" s="630"/>
      <c r="AC127" s="630"/>
      <c r="AD127" s="630"/>
      <c r="AE127" s="630"/>
      <c r="AF127" s="630"/>
      <c r="AG127" s="630"/>
      <c r="AH127" s="630"/>
      <c r="AI127" s="630"/>
      <c r="AJ127" s="630"/>
    </row>
    <row r="128" spans="2:36" x14ac:dyDescent="0.35">
      <c r="B128" s="637"/>
      <c r="C128" s="152"/>
      <c r="D128" s="633"/>
    </row>
    <row r="129" spans="2:36" x14ac:dyDescent="0.35">
      <c r="C129" s="629"/>
      <c r="E129" s="629"/>
      <c r="F129" s="935"/>
      <c r="G129" s="935"/>
      <c r="H129" s="644"/>
      <c r="I129" s="935"/>
      <c r="J129" s="644"/>
      <c r="K129" s="644"/>
      <c r="L129" s="644"/>
      <c r="M129" s="644"/>
      <c r="N129" s="935"/>
      <c r="O129" s="644"/>
      <c r="P129" s="935"/>
      <c r="Q129" s="629"/>
      <c r="R129" s="645"/>
      <c r="S129" s="629"/>
      <c r="T129" s="646"/>
      <c r="U129" s="629"/>
      <c r="V129" s="629"/>
      <c r="W129" s="629"/>
      <c r="X129" s="629"/>
      <c r="Y129" s="629"/>
      <c r="Z129" s="629"/>
      <c r="AA129" s="629"/>
      <c r="AB129" s="629"/>
      <c r="AC129" s="629"/>
      <c r="AD129" s="629"/>
      <c r="AE129" s="629"/>
      <c r="AF129" s="629"/>
      <c r="AG129" s="629"/>
      <c r="AH129" s="629"/>
      <c r="AI129" s="629"/>
      <c r="AJ129" s="629"/>
    </row>
    <row r="130" spans="2:36" x14ac:dyDescent="0.35">
      <c r="B130" s="637"/>
      <c r="C130" s="654"/>
      <c r="D130" s="629"/>
      <c r="E130" s="654"/>
      <c r="F130" s="1097"/>
      <c r="G130" s="1097"/>
      <c r="H130" s="655"/>
      <c r="I130" s="1097"/>
      <c r="J130" s="655"/>
      <c r="K130" s="655"/>
      <c r="L130" s="655"/>
      <c r="M130" s="655"/>
      <c r="N130" s="1097"/>
    </row>
    <row r="131" spans="2:36" x14ac:dyDescent="0.35">
      <c r="B131" s="637"/>
      <c r="C131" s="152"/>
      <c r="D131" s="654"/>
    </row>
    <row r="132" spans="2:36" x14ac:dyDescent="0.35">
      <c r="B132" s="637"/>
      <c r="C132" s="629"/>
      <c r="E132" s="629"/>
      <c r="F132" s="935"/>
      <c r="G132" s="935"/>
      <c r="H132" s="644"/>
      <c r="I132" s="935"/>
      <c r="J132" s="644"/>
      <c r="K132" s="644"/>
      <c r="L132" s="644"/>
      <c r="M132" s="644"/>
      <c r="N132" s="935"/>
      <c r="O132" s="644"/>
      <c r="P132" s="935"/>
      <c r="Q132" s="629"/>
      <c r="R132" s="645"/>
      <c r="S132" s="629"/>
      <c r="T132" s="646"/>
      <c r="U132" s="629"/>
      <c r="V132" s="629"/>
      <c r="W132" s="629"/>
      <c r="X132" s="629"/>
      <c r="Y132" s="629"/>
      <c r="Z132" s="629"/>
      <c r="AA132" s="629"/>
      <c r="AB132" s="629"/>
      <c r="AC132" s="629"/>
      <c r="AD132" s="629"/>
      <c r="AE132" s="629"/>
      <c r="AF132" s="629"/>
      <c r="AG132" s="629"/>
      <c r="AH132" s="629"/>
      <c r="AI132" s="629"/>
      <c r="AJ132" s="629"/>
    </row>
    <row r="133" spans="2:36" x14ac:dyDescent="0.35">
      <c r="B133" s="637"/>
      <c r="C133" s="633"/>
      <c r="D133" s="629"/>
      <c r="E133" s="633"/>
      <c r="F133" s="936"/>
      <c r="G133" s="936"/>
      <c r="H133" s="647"/>
      <c r="I133" s="936"/>
      <c r="J133" s="647"/>
      <c r="K133" s="647"/>
      <c r="L133" s="647"/>
      <c r="M133" s="647"/>
      <c r="N133" s="936"/>
    </row>
    <row r="134" spans="2:36" x14ac:dyDescent="0.35">
      <c r="B134" s="637"/>
      <c r="C134" s="633"/>
      <c r="D134" s="633"/>
      <c r="E134" s="633"/>
      <c r="F134" s="936"/>
      <c r="G134" s="936"/>
      <c r="H134" s="647"/>
      <c r="I134" s="936"/>
      <c r="J134" s="647"/>
      <c r="K134" s="647"/>
      <c r="L134" s="647"/>
      <c r="M134" s="647"/>
      <c r="N134" s="936"/>
    </row>
    <row r="135" spans="2:36" x14ac:dyDescent="0.35">
      <c r="D135" s="633"/>
    </row>
    <row r="138" spans="2:36" x14ac:dyDescent="0.35">
      <c r="C138" s="629"/>
      <c r="E138" s="629"/>
      <c r="F138" s="935"/>
      <c r="G138" s="935"/>
      <c r="H138" s="644"/>
    </row>
    <row r="139" spans="2:36" x14ac:dyDescent="0.35">
      <c r="B139" s="637"/>
      <c r="C139" s="152"/>
      <c r="D139" s="629"/>
      <c r="E139" s="152"/>
      <c r="F139" s="937"/>
      <c r="G139" s="937"/>
      <c r="H139" s="632"/>
    </row>
    <row r="140" spans="2:36" x14ac:dyDescent="0.35">
      <c r="B140" s="637"/>
      <c r="C140" s="152"/>
      <c r="D140" s="152"/>
      <c r="E140" s="152"/>
      <c r="F140" s="937"/>
      <c r="G140" s="937"/>
      <c r="H140" s="632"/>
    </row>
    <row r="141" spans="2:36" x14ac:dyDescent="0.35">
      <c r="D141" s="152"/>
    </row>
    <row r="142" spans="2:36" x14ac:dyDescent="0.35">
      <c r="C142" s="629"/>
      <c r="E142" s="629"/>
      <c r="F142" s="935"/>
      <c r="G142" s="935"/>
      <c r="H142" s="644"/>
    </row>
    <row r="143" spans="2:36" x14ac:dyDescent="0.35">
      <c r="B143" s="637"/>
      <c r="C143" s="152"/>
      <c r="D143" s="629"/>
      <c r="E143" s="152"/>
      <c r="F143" s="937"/>
      <c r="G143" s="937"/>
      <c r="H143" s="632"/>
    </row>
    <row r="144" spans="2:36" x14ac:dyDescent="0.35">
      <c r="B144" s="637"/>
      <c r="C144" s="152"/>
      <c r="D144" s="152"/>
      <c r="E144" s="152"/>
      <c r="F144" s="937"/>
      <c r="G144" s="937"/>
      <c r="H144" s="632"/>
    </row>
    <row r="145" spans="2:8" x14ac:dyDescent="0.35">
      <c r="D145" s="152"/>
    </row>
    <row r="146" spans="2:8" x14ac:dyDescent="0.35">
      <c r="C146" s="629"/>
      <c r="E146" s="629"/>
      <c r="F146" s="935"/>
      <c r="G146" s="935"/>
      <c r="H146" s="644"/>
    </row>
    <row r="147" spans="2:8" x14ac:dyDescent="0.35">
      <c r="B147" s="637"/>
      <c r="C147" s="152"/>
      <c r="D147" s="629"/>
      <c r="E147" s="152"/>
      <c r="F147" s="937"/>
      <c r="G147" s="937"/>
      <c r="H147" s="632"/>
    </row>
    <row r="148" spans="2:8" x14ac:dyDescent="0.35">
      <c r="D148" s="152"/>
    </row>
    <row r="149" spans="2:8" x14ac:dyDescent="0.35">
      <c r="C149" s="629"/>
      <c r="E149" s="629"/>
      <c r="F149" s="935"/>
      <c r="G149" s="935"/>
      <c r="H149" s="644"/>
    </row>
    <row r="150" spans="2:8" x14ac:dyDescent="0.35">
      <c r="B150" s="637"/>
      <c r="C150" s="152"/>
      <c r="D150" s="629"/>
      <c r="E150" s="152"/>
      <c r="F150" s="937"/>
      <c r="G150" s="937"/>
      <c r="H150" s="632"/>
    </row>
    <row r="151" spans="2:8" x14ac:dyDescent="0.35">
      <c r="B151" s="637"/>
      <c r="C151" s="152"/>
      <c r="D151" s="152"/>
      <c r="E151" s="152"/>
      <c r="F151" s="937"/>
      <c r="G151" s="937"/>
      <c r="H151" s="632"/>
    </row>
    <row r="152" spans="2:8" x14ac:dyDescent="0.35">
      <c r="D152" s="152"/>
    </row>
  </sheetData>
  <mergeCells count="6">
    <mergeCell ref="B5:B10"/>
    <mergeCell ref="B12:B13"/>
    <mergeCell ref="D49:S49"/>
    <mergeCell ref="B30:B32"/>
    <mergeCell ref="B40:B44"/>
    <mergeCell ref="B15:B28"/>
  </mergeCells>
  <conditionalFormatting sqref="R15:R28">
    <cfRule type="cellIs" dxfId="74" priority="4" operator="lessThan">
      <formula>-0.05</formula>
    </cfRule>
    <cfRule type="cellIs" dxfId="73" priority="5" operator="between">
      <formula>-5%</formula>
      <formula>5%</formula>
    </cfRule>
    <cfRule type="cellIs" dxfId="72" priority="6" operator="greaterThan">
      <formula>5%</formula>
    </cfRule>
  </conditionalFormatting>
  <conditionalFormatting sqref="R38">
    <cfRule type="cellIs" dxfId="71" priority="28" operator="lessThan">
      <formula>-0.05</formula>
    </cfRule>
    <cfRule type="cellIs" dxfId="70" priority="29" operator="between">
      <formula>-5%</formula>
      <formula>5%</formula>
    </cfRule>
    <cfRule type="cellIs" dxfId="69" priority="30" operator="greaterThan">
      <formula>5%</formula>
    </cfRule>
  </conditionalFormatting>
  <conditionalFormatting sqref="R5:S10 R12:S13 R15:S16 R36:S36 R47:S47">
    <cfRule type="cellIs" dxfId="68" priority="130" operator="lessThan">
      <formula>-0.05</formula>
    </cfRule>
    <cfRule type="cellIs" dxfId="67" priority="131" operator="between">
      <formula>-5%</formula>
      <formula>5%</formula>
    </cfRule>
    <cfRule type="cellIs" dxfId="66" priority="132" operator="greaterThan">
      <formula>5%</formula>
    </cfRule>
  </conditionalFormatting>
  <conditionalFormatting sqref="R30:S32">
    <cfRule type="cellIs" dxfId="65" priority="100" operator="lessThan">
      <formula>-0.05</formula>
    </cfRule>
    <cfRule type="cellIs" dxfId="64" priority="101" operator="between">
      <formula>-5%</formula>
      <formula>5%</formula>
    </cfRule>
    <cfRule type="cellIs" dxfId="63" priority="102" operator="greaterThan">
      <formula>5%</formula>
    </cfRule>
  </conditionalFormatting>
  <conditionalFormatting sqref="S34">
    <cfRule type="cellIs" dxfId="62" priority="13" operator="lessThan">
      <formula>-0.05</formula>
    </cfRule>
    <cfRule type="cellIs" dxfId="61" priority="14" operator="between">
      <formula>-5%</formula>
      <formula>5%</formula>
    </cfRule>
    <cfRule type="cellIs" dxfId="60" priority="15" operator="greaterThan">
      <formula>5%</formula>
    </cfRule>
  </conditionalFormatting>
  <conditionalFormatting sqref="R40:S45">
    <cfRule type="cellIs" dxfId="59" priority="37" operator="lessThan">
      <formula>-0.05</formula>
    </cfRule>
    <cfRule type="cellIs" dxfId="58" priority="38" operator="between">
      <formula>-5%</formula>
      <formula>5%</formula>
    </cfRule>
    <cfRule type="cellIs" dxfId="57" priority="39" operator="greaterThan">
      <formula>5%</formula>
    </cfRule>
  </conditionalFormatting>
  <conditionalFormatting sqref="S17:S28">
    <cfRule type="cellIs" dxfId="56" priority="1" operator="lessThan">
      <formula>-0.05</formula>
    </cfRule>
    <cfRule type="cellIs" dxfId="55" priority="2" operator="between">
      <formula>-5%</formula>
      <formula>5%</formula>
    </cfRule>
    <cfRule type="cellIs" dxfId="54" priority="3" operator="greaterThan">
      <formula>5%</formula>
    </cfRule>
  </conditionalFormatting>
  <pageMargins left="0.23622047244094491" right="0.23622047244094491" top="0.74803149606299213" bottom="0.74803149606299213" header="0.31496062992125984" footer="0.31496062992125984"/>
  <pageSetup paperSize="9" scale="62" orientation="landscape" r:id="rId1"/>
  <headerFooter>
    <oddFooter>&amp;C&amp;1#&amp;"Calibri"&amp;10&amp;K000000OFFICIAL</oddFooter>
  </headerFooter>
  <ignoredErrors>
    <ignoredError sqref="E7 E10 F46 F7 R7:S10 F33 Q30 F11 Q44 F35 F10 Q31:S31 Q32:S32 Q46:S46 Q33:S33 Q11:S11 Q35:S35 G7:P7 G10:P10" evalError="1"/>
    <ignoredError sqref="Q7:Q10" evalError="1"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S142"/>
  <sheetViews>
    <sheetView showGridLines="0" topLeftCell="A3" zoomScaleNormal="100" workbookViewId="0">
      <selection activeCell="N41" sqref="N41"/>
    </sheetView>
  </sheetViews>
  <sheetFormatPr defaultColWidth="8.84375" defaultRowHeight="15.5" x14ac:dyDescent="0.35"/>
  <cols>
    <col min="1" max="1" width="3.23046875" style="130" customWidth="1"/>
    <col min="2" max="2" width="13" style="130" customWidth="1"/>
    <col min="3" max="3" width="51.84375" style="130" customWidth="1"/>
    <col min="4" max="4" width="8.84375" style="130"/>
    <col min="5" max="5" width="5.84375" style="130"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631"/>
    <col min="18" max="18" width="9.69140625" style="641" customWidth="1"/>
    <col min="19" max="19" width="10.2304687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1"/>
      <c r="B1" s="9" t="s">
        <v>79</v>
      </c>
      <c r="C1" s="1"/>
      <c r="D1" s="760" t="s">
        <v>30</v>
      </c>
      <c r="E1" s="1"/>
      <c r="F1" s="930"/>
      <c r="G1" s="930"/>
      <c r="H1" s="95"/>
      <c r="I1" s="930"/>
      <c r="J1" s="95"/>
      <c r="K1" s="95"/>
      <c r="L1" s="95"/>
      <c r="M1" s="95"/>
      <c r="N1" s="930"/>
      <c r="O1" s="95"/>
      <c r="P1" s="930"/>
      <c r="Q1" s="95"/>
      <c r="R1" s="7"/>
      <c r="S1" s="1"/>
      <c r="T1" s="510"/>
      <c r="U1" s="1"/>
      <c r="V1" s="1"/>
      <c r="W1" s="1"/>
      <c r="X1" s="1"/>
    </row>
    <row r="2" spans="1:24" x14ac:dyDescent="0.35">
      <c r="A2" s="1"/>
      <c r="B2" s="1"/>
      <c r="C2" s="1"/>
      <c r="D2" s="1"/>
      <c r="E2" s="1"/>
      <c r="F2" s="930"/>
      <c r="G2" s="930"/>
      <c r="H2" s="95"/>
      <c r="I2" s="930"/>
      <c r="J2" s="95"/>
      <c r="K2" s="95"/>
      <c r="L2" s="95"/>
      <c r="M2" s="95"/>
      <c r="N2" s="930"/>
      <c r="O2" s="95"/>
      <c r="P2" s="930"/>
      <c r="Q2" s="95"/>
      <c r="R2" s="7"/>
      <c r="S2" s="1"/>
      <c r="T2" s="510"/>
      <c r="U2" s="7" t="s">
        <v>69</v>
      </c>
      <c r="V2" s="1"/>
      <c r="W2" s="1"/>
      <c r="X2" s="1"/>
    </row>
    <row r="3" spans="1:24" ht="26" x14ac:dyDescent="0.6">
      <c r="A3" s="1"/>
      <c r="B3" s="925" t="s">
        <v>505</v>
      </c>
      <c r="C3" s="2"/>
      <c r="D3" s="2"/>
      <c r="E3" s="2"/>
      <c r="F3" s="465"/>
      <c r="G3" s="465"/>
      <c r="H3" s="96"/>
      <c r="I3" s="465"/>
      <c r="J3" s="96"/>
      <c r="K3" s="96"/>
      <c r="L3" s="96"/>
      <c r="M3" s="96"/>
      <c r="N3" s="465"/>
      <c r="O3" s="96"/>
      <c r="P3" s="465"/>
      <c r="Q3" s="96"/>
      <c r="R3" s="293"/>
      <c r="S3" s="1"/>
      <c r="T3" s="510"/>
      <c r="U3" s="1"/>
      <c r="V3" s="1"/>
      <c r="W3" s="1"/>
      <c r="X3" s="1"/>
    </row>
    <row r="4" spans="1:24" ht="52.5" customHeight="1" x14ac:dyDescent="0.35">
      <c r="A4" s="1"/>
      <c r="B4" s="2"/>
      <c r="C4" s="210" t="s">
        <v>1</v>
      </c>
      <c r="D4" s="996" t="s">
        <v>497</v>
      </c>
      <c r="E4" s="12" t="s">
        <v>132</v>
      </c>
      <c r="F4" s="12" t="s">
        <v>20</v>
      </c>
      <c r="G4" s="12" t="s">
        <v>21</v>
      </c>
      <c r="H4" s="12" t="s">
        <v>22</v>
      </c>
      <c r="I4" s="12" t="s">
        <v>23</v>
      </c>
      <c r="J4" s="12" t="s">
        <v>24</v>
      </c>
      <c r="K4" s="12" t="s">
        <v>25</v>
      </c>
      <c r="L4" s="12" t="s">
        <v>26</v>
      </c>
      <c r="M4" s="12" t="s">
        <v>27</v>
      </c>
      <c r="N4" s="12" t="s">
        <v>28</v>
      </c>
      <c r="O4" s="12" t="s">
        <v>29</v>
      </c>
      <c r="P4" s="12" t="s">
        <v>30</v>
      </c>
      <c r="Q4" s="252" t="s">
        <v>32</v>
      </c>
      <c r="R4" s="997" t="s">
        <v>498</v>
      </c>
      <c r="S4" s="508" t="s">
        <v>351</v>
      </c>
      <c r="T4" s="510"/>
      <c r="U4" s="1"/>
      <c r="V4" s="1"/>
      <c r="W4" s="1"/>
      <c r="X4" s="1"/>
    </row>
    <row r="5" spans="1:24" ht="15" customHeight="1" x14ac:dyDescent="0.35">
      <c r="A5" s="1"/>
      <c r="B5" s="1225" t="s">
        <v>459</v>
      </c>
      <c r="C5" s="127" t="s">
        <v>2</v>
      </c>
      <c r="D5" s="250">
        <f>'year end'!AD287</f>
        <v>1886</v>
      </c>
      <c r="E5" s="412">
        <f>Masterlist!AN265</f>
        <v>160</v>
      </c>
      <c r="F5" s="1118">
        <f>Masterlist!AO265</f>
        <v>175</v>
      </c>
      <c r="G5" s="1118">
        <f>Masterlist!AP265</f>
        <v>169</v>
      </c>
      <c r="H5" s="1118">
        <f>Masterlist!AQ265</f>
        <v>197</v>
      </c>
      <c r="I5" s="1118">
        <f>Masterlist!AR265</f>
        <v>160</v>
      </c>
      <c r="J5" s="1118">
        <f>Masterlist!AS265</f>
        <v>146</v>
      </c>
      <c r="K5" s="1118">
        <f>Masterlist!AT265</f>
        <v>165</v>
      </c>
      <c r="L5" s="1118">
        <f>Masterlist!AU265</f>
        <v>140</v>
      </c>
      <c r="M5" s="1118">
        <f>Masterlist!AV265</f>
        <v>165</v>
      </c>
      <c r="N5" s="1118">
        <f>Masterlist!AW265</f>
        <v>163</v>
      </c>
      <c r="O5" s="1118">
        <f>Masterlist!AX265</f>
        <v>116</v>
      </c>
      <c r="P5" s="1118">
        <f>Masterlist!AY265</f>
        <v>163</v>
      </c>
      <c r="Q5" s="255">
        <f t="shared" ref="Q5:Q9" si="0">SUM(E5:P5)</f>
        <v>1919</v>
      </c>
      <c r="R5" s="294">
        <f>(Q5-(HLOOKUP($D$1,yearendcumulative,286,FALSE)))/(HLOOKUP($D$1,yearendcumulative,286,FALSE))</f>
        <v>1.7497348886532343E-2</v>
      </c>
      <c r="S5" s="294">
        <f>(Q5-(HLOOKUP($D$1,Monthlyaveragecumulative,286,FALSE)))/(HLOOKUP($D$1,Monthlyaveragecumulative,286,FALSE))</f>
        <v>0.16303030303030303</v>
      </c>
      <c r="T5" s="510"/>
      <c r="U5" s="1"/>
      <c r="V5" s="1"/>
      <c r="W5" s="1"/>
      <c r="X5" s="1"/>
    </row>
    <row r="6" spans="1:24" x14ac:dyDescent="0.35">
      <c r="A6" s="1"/>
      <c r="B6" s="1225"/>
      <c r="C6" s="20" t="s">
        <v>3</v>
      </c>
      <c r="D6" s="250">
        <f>'year end'!AD307</f>
        <v>582</v>
      </c>
      <c r="E6" s="177">
        <f>Masterlist!AN283</f>
        <v>56</v>
      </c>
      <c r="F6" s="30">
        <f>Masterlist!AO283</f>
        <v>63</v>
      </c>
      <c r="G6" s="30">
        <f>Masterlist!AP283</f>
        <v>55</v>
      </c>
      <c r="H6" s="30">
        <f>Masterlist!AQ283</f>
        <v>56</v>
      </c>
      <c r="I6" s="30">
        <f>Masterlist!AR283</f>
        <v>71</v>
      </c>
      <c r="J6" s="30">
        <f>Masterlist!AS283</f>
        <v>39</v>
      </c>
      <c r="K6" s="30">
        <f>Masterlist!AT283</f>
        <v>48</v>
      </c>
      <c r="L6" s="30">
        <f>Masterlist!AU283</f>
        <v>44</v>
      </c>
      <c r="M6" s="30">
        <f>Masterlist!AV283</f>
        <v>50</v>
      </c>
      <c r="N6" s="30">
        <f>Masterlist!AW283</f>
        <v>56</v>
      </c>
      <c r="O6" s="30">
        <f>Masterlist!AX283</f>
        <v>45</v>
      </c>
      <c r="P6" s="30">
        <f>Masterlist!AY283</f>
        <v>42</v>
      </c>
      <c r="Q6" s="190">
        <f t="shared" si="0"/>
        <v>625</v>
      </c>
      <c r="R6" s="295">
        <f>(Q6-(HLOOKUP($D$1,yearendcumulative,306,FALSE)))/(HLOOKUP($D$1,yearendcumulative,306,FALSE))</f>
        <v>7.3883161512027493E-2</v>
      </c>
      <c r="S6" s="295">
        <f>(Q6-(HLOOKUP($D$1,Monthlyaveragecumulative,306,FALSE)))/(HLOOKUP($D$1,Monthlyaveragecumulative,306,FALSE))</f>
        <v>3.8205980066445183E-2</v>
      </c>
      <c r="T6" s="510"/>
      <c r="U6" s="1"/>
      <c r="V6" s="1"/>
      <c r="W6" s="1"/>
      <c r="X6" s="1"/>
    </row>
    <row r="7" spans="1:24" x14ac:dyDescent="0.35">
      <c r="A7" s="1"/>
      <c r="B7" s="1225"/>
      <c r="C7" s="20" t="s">
        <v>235</v>
      </c>
      <c r="D7" s="274">
        <f>D6/D5</f>
        <v>0.30858960763520676</v>
      </c>
      <c r="E7" s="104">
        <f>E6/E5</f>
        <v>0.35</v>
      </c>
      <c r="F7" s="50">
        <f t="shared" ref="F7" si="1">F6/F5</f>
        <v>0.36</v>
      </c>
      <c r="G7" s="50">
        <f t="shared" ref="G7:P7" si="2">G6/G5</f>
        <v>0.32544378698224852</v>
      </c>
      <c r="H7" s="50">
        <f t="shared" si="2"/>
        <v>0.28426395939086296</v>
      </c>
      <c r="I7" s="50">
        <f t="shared" si="2"/>
        <v>0.44374999999999998</v>
      </c>
      <c r="J7" s="50">
        <f t="shared" si="2"/>
        <v>0.26712328767123289</v>
      </c>
      <c r="K7" s="50">
        <f t="shared" si="2"/>
        <v>0.29090909090909089</v>
      </c>
      <c r="L7" s="50">
        <f t="shared" si="2"/>
        <v>0.31428571428571428</v>
      </c>
      <c r="M7" s="50">
        <f t="shared" si="2"/>
        <v>0.30303030303030304</v>
      </c>
      <c r="N7" s="50">
        <f t="shared" si="2"/>
        <v>0.34355828220858897</v>
      </c>
      <c r="O7" s="50">
        <f t="shared" si="2"/>
        <v>0.38793103448275862</v>
      </c>
      <c r="P7" s="50">
        <f t="shared" si="2"/>
        <v>0.25766871165644173</v>
      </c>
      <c r="Q7" s="270">
        <f>Q6/Q5</f>
        <v>0.32569046378322042</v>
      </c>
      <c r="R7" s="295">
        <f>Q7-(HLOOKUP($D$1,yearendcumulative,391,FALSE))</f>
        <v>1.7100856148013655E-2</v>
      </c>
      <c r="S7" s="295">
        <f>(Q7-(HLOOKUP($D$1,Monthlyaveragecumulative,391,FALSE)))</f>
        <v>-3.9158021065264448E-2</v>
      </c>
      <c r="T7" s="510"/>
      <c r="U7" s="1"/>
      <c r="V7" s="1"/>
      <c r="W7" s="1"/>
      <c r="X7" s="1"/>
    </row>
    <row r="8" spans="1:24" x14ac:dyDescent="0.35">
      <c r="A8" s="1"/>
      <c r="B8" s="1225"/>
      <c r="C8" s="127" t="s">
        <v>4</v>
      </c>
      <c r="D8" s="250">
        <f>'year end'!AD288</f>
        <v>4064</v>
      </c>
      <c r="E8" s="177">
        <f>Masterlist!AN266</f>
        <v>313</v>
      </c>
      <c r="F8" s="30">
        <f>Masterlist!AO266</f>
        <v>323</v>
      </c>
      <c r="G8" s="30">
        <f>Masterlist!AP266</f>
        <v>345</v>
      </c>
      <c r="H8" s="30">
        <f>Masterlist!AQ266</f>
        <v>375</v>
      </c>
      <c r="I8" s="30">
        <f>Masterlist!AR266</f>
        <v>312</v>
      </c>
      <c r="J8" s="30">
        <f>Masterlist!AS266</f>
        <v>312</v>
      </c>
      <c r="K8" s="30">
        <f>Masterlist!AT266</f>
        <v>353</v>
      </c>
      <c r="L8" s="30">
        <f>Masterlist!AU266</f>
        <v>314</v>
      </c>
      <c r="M8" s="30">
        <f>Masterlist!AV266</f>
        <v>298</v>
      </c>
      <c r="N8" s="30">
        <f>Masterlist!AW266</f>
        <v>312</v>
      </c>
      <c r="O8" s="30">
        <f>Masterlist!AX266</f>
        <v>343</v>
      </c>
      <c r="P8" s="30">
        <f>Masterlist!AY266</f>
        <v>338</v>
      </c>
      <c r="Q8" s="190">
        <f t="shared" si="0"/>
        <v>3938</v>
      </c>
      <c r="R8" s="295">
        <f>(Q8-(HLOOKUP($D$1,yearendcumulative,287,FALSE)))/(HLOOKUP($D$1,yearendcumulative,287,FALSE))</f>
        <v>-3.1003937007874016E-2</v>
      </c>
      <c r="S8" s="298">
        <f>(Q8-(HLOOKUP($D$1,Monthlyaveragecumulative,287,FALSE)))/(HLOOKUP($D$1,Monthlyaveragecumulative,287,FALSE))</f>
        <v>1.4164305949008499E-2</v>
      </c>
      <c r="T8" s="510"/>
      <c r="U8" s="1"/>
      <c r="V8" s="1"/>
      <c r="W8" s="1"/>
      <c r="X8" s="1"/>
    </row>
    <row r="9" spans="1:24" x14ac:dyDescent="0.35">
      <c r="A9" s="1"/>
      <c r="B9" s="1225"/>
      <c r="C9" s="20" t="s">
        <v>158</v>
      </c>
      <c r="D9" s="250">
        <f>'year end'!AD308</f>
        <v>1439</v>
      </c>
      <c r="E9" s="177">
        <f>Masterlist!AN284</f>
        <v>117</v>
      </c>
      <c r="F9" s="30">
        <f>Masterlist!AO284</f>
        <v>105</v>
      </c>
      <c r="G9" s="30">
        <f>Masterlist!AP284</f>
        <v>121</v>
      </c>
      <c r="H9" s="30">
        <f>Masterlist!AQ284</f>
        <v>130</v>
      </c>
      <c r="I9" s="30">
        <f>Masterlist!AR284</f>
        <v>123</v>
      </c>
      <c r="J9" s="30">
        <f>Masterlist!AS284</f>
        <v>110</v>
      </c>
      <c r="K9" s="30">
        <f>Masterlist!AT284</f>
        <v>117</v>
      </c>
      <c r="L9" s="30">
        <f>Masterlist!AU284</f>
        <v>105</v>
      </c>
      <c r="M9" s="30">
        <f>Masterlist!AV284</f>
        <v>119</v>
      </c>
      <c r="N9" s="30">
        <f>Masterlist!AW284</f>
        <v>121</v>
      </c>
      <c r="O9" s="30">
        <f>Masterlist!AX284</f>
        <v>128</v>
      </c>
      <c r="P9" s="30">
        <f>Masterlist!AY284</f>
        <v>122</v>
      </c>
      <c r="Q9" s="190">
        <f t="shared" si="0"/>
        <v>1418</v>
      </c>
      <c r="R9" s="295">
        <f>(Q9-(HLOOKUP($D$1,yearendcumulative,307,FALSE)))/(HLOOKUP($D$1,yearendcumulative,307,FALSE))</f>
        <v>-1.4593467685892982E-2</v>
      </c>
      <c r="S9" s="298">
        <f>(Q9-(HLOOKUP($D$1,Monthlyaveragecumulative,307,FALSE)))/(HLOOKUP($D$1,Monthlyaveragecumulative,307,FALSE))</f>
        <v>-9.796437659033079E-2</v>
      </c>
      <c r="T9" s="510"/>
      <c r="U9" s="1"/>
      <c r="V9" s="1"/>
      <c r="W9" s="1"/>
      <c r="X9" s="1"/>
    </row>
    <row r="10" spans="1:24" x14ac:dyDescent="0.35">
      <c r="A10" s="1"/>
      <c r="B10" s="1225"/>
      <c r="C10" s="20" t="s">
        <v>236</v>
      </c>
      <c r="D10" s="274">
        <f>D9/D8</f>
        <v>0.35408464566929132</v>
      </c>
      <c r="E10" s="104">
        <f>E9/E8</f>
        <v>0.37380191693290737</v>
      </c>
      <c r="F10" s="50">
        <f t="shared" ref="F10" si="3">F9/F8</f>
        <v>0.32507739938080493</v>
      </c>
      <c r="G10" s="50">
        <f t="shared" ref="G10:P10" si="4">G9/G8</f>
        <v>0.35072463768115941</v>
      </c>
      <c r="H10" s="50">
        <f t="shared" si="4"/>
        <v>0.34666666666666668</v>
      </c>
      <c r="I10" s="50">
        <f t="shared" si="4"/>
        <v>0.39423076923076922</v>
      </c>
      <c r="J10" s="50">
        <f t="shared" si="4"/>
        <v>0.35256410256410259</v>
      </c>
      <c r="K10" s="50">
        <f t="shared" si="4"/>
        <v>0.33144475920679889</v>
      </c>
      <c r="L10" s="50">
        <f t="shared" si="4"/>
        <v>0.33439490445859871</v>
      </c>
      <c r="M10" s="50">
        <f t="shared" si="4"/>
        <v>0.39932885906040266</v>
      </c>
      <c r="N10" s="50">
        <f t="shared" si="4"/>
        <v>0.38782051282051283</v>
      </c>
      <c r="O10" s="50">
        <f t="shared" si="4"/>
        <v>0.37317784256559766</v>
      </c>
      <c r="P10" s="50">
        <f t="shared" si="4"/>
        <v>0.36094674556213019</v>
      </c>
      <c r="Q10" s="973">
        <f t="shared" ref="Q10" si="5">Q9/Q8</f>
        <v>0.36008125952260028</v>
      </c>
      <c r="R10" s="295">
        <f>Q10-(HLOOKUP($D$1,yearendcumulative,398,FALSE))</f>
        <v>5.996613853308963E-3</v>
      </c>
      <c r="S10" s="298">
        <f>(Q10-(HLOOKUP($D$1,Monthlyaveragecumulative,398,FALSE)))</f>
        <v>-4.4760357783606264E-2</v>
      </c>
      <c r="T10" s="510"/>
      <c r="U10" s="1"/>
      <c r="V10" s="1"/>
      <c r="W10" s="1"/>
      <c r="X10" s="1"/>
    </row>
    <row r="11" spans="1:24" x14ac:dyDescent="0.35">
      <c r="A11" s="1"/>
      <c r="B11" s="1225"/>
      <c r="C11" s="22" t="s">
        <v>63</v>
      </c>
      <c r="D11" s="749">
        <f>'[3]23-24'!O24</f>
        <v>386</v>
      </c>
      <c r="E11" s="1149">
        <f>'[3]24-25'!C25</f>
        <v>44</v>
      </c>
      <c r="F11" s="1149">
        <f>'[3]24-25'!D25</f>
        <v>40</v>
      </c>
      <c r="G11" s="1149">
        <f>'[3]24-25'!E25</f>
        <v>27</v>
      </c>
      <c r="H11" s="1149">
        <f>'[3]24-25'!F25</f>
        <v>49</v>
      </c>
      <c r="I11" s="1149">
        <f>'[3]24-25'!G25</f>
        <v>49</v>
      </c>
      <c r="J11" s="1149">
        <f>'[3]24-25'!H25</f>
        <v>32</v>
      </c>
      <c r="K11" s="1149">
        <f>'[3]24-25'!I25</f>
        <v>52</v>
      </c>
      <c r="L11" s="1149">
        <f>'[3]24-25'!J25</f>
        <v>41</v>
      </c>
      <c r="M11" s="1149">
        <f>'[3]24-25'!K25</f>
        <v>31</v>
      </c>
      <c r="N11" s="1149">
        <f>'[3]24-25'!L25</f>
        <v>61</v>
      </c>
      <c r="O11" s="1149">
        <f>'[3]24-25'!M25</f>
        <v>45</v>
      </c>
      <c r="P11" s="1149">
        <f>'[3]24-25'!N25</f>
        <v>37</v>
      </c>
      <c r="Q11" s="787">
        <f>'[3]24-25'!O25</f>
        <v>508</v>
      </c>
      <c r="R11" s="846">
        <f>(Q11-'[3]24-25'!$R$25)/'[3]24-25'!$R$25</f>
        <v>0.31606217616580312</v>
      </c>
      <c r="S11" s="787" t="s">
        <v>210</v>
      </c>
      <c r="T11" s="510"/>
      <c r="U11" s="1"/>
      <c r="V11" s="1"/>
      <c r="W11" s="1"/>
      <c r="X11" s="1"/>
    </row>
    <row r="12" spans="1:24" x14ac:dyDescent="0.35">
      <c r="A12" s="1"/>
      <c r="B12" s="1225"/>
      <c r="C12" s="804" t="s">
        <v>451</v>
      </c>
      <c r="D12" s="56">
        <f>'[3]23-24'!O32</f>
        <v>0.32642487046632124</v>
      </c>
      <c r="E12" s="1147">
        <f>'[3]24-25'!C33</f>
        <v>0.38636363636363635</v>
      </c>
      <c r="F12" s="1147">
        <f>'[3]24-25'!D33</f>
        <v>0.22500000000000001</v>
      </c>
      <c r="G12" s="1147">
        <f>'[3]24-25'!E33</f>
        <v>0.29629629629629628</v>
      </c>
      <c r="H12" s="1147">
        <f>'[3]24-25'!F33</f>
        <v>0.22448979591836735</v>
      </c>
      <c r="I12" s="1147">
        <f>'[3]24-25'!G33</f>
        <v>0.2857142857142857</v>
      </c>
      <c r="J12" s="1147">
        <f>'[3]24-25'!H33</f>
        <v>0.34375</v>
      </c>
      <c r="K12" s="1147">
        <f>'[3]24-25'!I33</f>
        <v>0.25</v>
      </c>
      <c r="L12" s="1147">
        <f>'[3]24-25'!J33</f>
        <v>0.17073170731707318</v>
      </c>
      <c r="M12" s="1147">
        <f>'[3]24-25'!K33</f>
        <v>0.25806451612903225</v>
      </c>
      <c r="N12" s="1147">
        <f>'[3]24-25'!L33</f>
        <v>0.27868852459016391</v>
      </c>
      <c r="O12" s="1147">
        <f>'[3]24-25'!M33</f>
        <v>0.42222222222222222</v>
      </c>
      <c r="P12" s="1147">
        <f>'[3]24-25'!N33</f>
        <v>0.32432432432432434</v>
      </c>
      <c r="Q12" s="1139">
        <f>'[3]24-25'!O33</f>
        <v>0.2874015748031496</v>
      </c>
      <c r="R12" s="846">
        <f>Q12-'[3]24-25'!$R$45</f>
        <v>-8.4564133625308902E-3</v>
      </c>
      <c r="S12" s="788" t="s">
        <v>210</v>
      </c>
      <c r="T12" s="510"/>
      <c r="U12" s="1"/>
      <c r="V12" s="1"/>
      <c r="W12" s="1"/>
      <c r="X12" s="1"/>
    </row>
    <row r="13" spans="1:24" x14ac:dyDescent="0.35">
      <c r="A13" s="1"/>
      <c r="B13" s="1225"/>
      <c r="C13" s="230" t="s">
        <v>232</v>
      </c>
      <c r="D13" s="56">
        <f>'[3]23-24'!O29</f>
        <v>0.94041450777202074</v>
      </c>
      <c r="E13" s="1147">
        <f>'[3]24-25'!C30</f>
        <v>0.65909090909090906</v>
      </c>
      <c r="F13" s="1147">
        <f>'[3]24-25'!D30</f>
        <v>0.55000000000000004</v>
      </c>
      <c r="G13" s="1147">
        <f>'[3]24-25'!E30</f>
        <v>0.55555555555555558</v>
      </c>
      <c r="H13" s="1147">
        <f>'[3]24-25'!F30</f>
        <v>0.63265306122448983</v>
      </c>
      <c r="I13" s="1147">
        <f>'[3]24-25'!G30</f>
        <v>0.65306122448979587</v>
      </c>
      <c r="J13" s="1147">
        <f>'[3]24-25'!H30</f>
        <v>0.625</v>
      </c>
      <c r="K13" s="1147">
        <f>'[3]24-25'!I30</f>
        <v>0.78846153846153844</v>
      </c>
      <c r="L13" s="1147">
        <f>'[3]24-25'!J30</f>
        <v>0.70731707317073167</v>
      </c>
      <c r="M13" s="1147">
        <f>'[3]24-25'!K30</f>
        <v>0.90322580645161288</v>
      </c>
      <c r="N13" s="1147">
        <f>'[3]24-25'!L30</f>
        <v>0.80327868852459017</v>
      </c>
      <c r="O13" s="1147">
        <f>'[3]24-25'!M30</f>
        <v>0.84444444444444444</v>
      </c>
      <c r="P13" s="1147">
        <f>'[3]24-25'!N30</f>
        <v>0.86486486486486491</v>
      </c>
      <c r="Q13" s="1139">
        <f>'[3]24-25'!O30</f>
        <v>0.72047244094488194</v>
      </c>
      <c r="R13" s="846">
        <f>Q13-'[3]24-25'!$R$42</f>
        <v>4.4961095839352039E-3</v>
      </c>
      <c r="S13" s="788" t="s">
        <v>210</v>
      </c>
      <c r="T13" s="510"/>
      <c r="U13" s="1"/>
      <c r="V13" s="1"/>
      <c r="W13" s="1"/>
      <c r="X13" s="1"/>
    </row>
    <row r="14" spans="1:24" x14ac:dyDescent="0.35">
      <c r="A14" s="1"/>
      <c r="B14" s="1225"/>
      <c r="C14" s="230" t="s">
        <v>233</v>
      </c>
      <c r="D14" s="56">
        <f>'[3]23-24'!O30</f>
        <v>0.69689119170984459</v>
      </c>
      <c r="E14" s="1147">
        <f>'[3]24-25'!C31</f>
        <v>0.40909090909090912</v>
      </c>
      <c r="F14" s="1147">
        <f>'[3]24-25'!D31</f>
        <v>0.75</v>
      </c>
      <c r="G14" s="1147">
        <f>'[3]24-25'!E31</f>
        <v>0.88888888888888884</v>
      </c>
      <c r="H14" s="1147">
        <f>'[3]24-25'!F31</f>
        <v>0.73469387755102045</v>
      </c>
      <c r="I14" s="1147">
        <f>'[3]24-25'!G31</f>
        <v>0.5714285714285714</v>
      </c>
      <c r="J14" s="1147">
        <f>'[3]24-25'!H31</f>
        <v>1.125</v>
      </c>
      <c r="K14" s="1147">
        <f>'[3]24-25'!I31</f>
        <v>0.69230769230769229</v>
      </c>
      <c r="L14" s="1147">
        <f>'[3]24-25'!J31</f>
        <v>0.75609756097560976</v>
      </c>
      <c r="M14" s="1147">
        <f>'[3]24-25'!K31</f>
        <v>0.64516129032258063</v>
      </c>
      <c r="N14" s="1147">
        <f>'[3]24-25'!L31</f>
        <v>0.68852459016393441</v>
      </c>
      <c r="O14" s="1147">
        <f>'[3]24-25'!M31</f>
        <v>0.68888888888888888</v>
      </c>
      <c r="P14" s="1147">
        <f>'[3]24-25'!N31</f>
        <v>1</v>
      </c>
      <c r="Q14" s="1139">
        <f>'[3]24-25'!O31</f>
        <v>0.72637795275590555</v>
      </c>
      <c r="R14" s="846">
        <f>Q14-'[3]24-25'!$R$43</f>
        <v>0.10507617760797661</v>
      </c>
      <c r="S14" s="788" t="s">
        <v>210</v>
      </c>
      <c r="T14" s="510"/>
      <c r="U14" s="1"/>
      <c r="V14" s="1"/>
      <c r="W14" s="1"/>
      <c r="X14" s="1"/>
    </row>
    <row r="15" spans="1:24" x14ac:dyDescent="0.35">
      <c r="A15" s="1"/>
      <c r="B15" s="1225"/>
      <c r="C15" s="119" t="s">
        <v>234</v>
      </c>
      <c r="D15" s="750">
        <f>'[3]23-24'!O31</f>
        <v>0.5803108808290155</v>
      </c>
      <c r="E15" s="1169">
        <f>'[3]24-25'!C32</f>
        <v>0.47727272727272729</v>
      </c>
      <c r="F15" s="1148">
        <f>'[3]24-25'!D32</f>
        <v>0.5</v>
      </c>
      <c r="G15" s="1148">
        <f>'[3]24-25'!E32</f>
        <v>0.62962962962962965</v>
      </c>
      <c r="H15" s="1148">
        <f>'[3]24-25'!F32</f>
        <v>0.51020408163265307</v>
      </c>
      <c r="I15" s="1148">
        <f>'[3]24-25'!G32</f>
        <v>0.59183673469387754</v>
      </c>
      <c r="J15" s="1148">
        <f>'[3]24-25'!H32</f>
        <v>0.65625</v>
      </c>
      <c r="K15" s="1148">
        <f>'[3]24-25'!I32</f>
        <v>0.44230769230769229</v>
      </c>
      <c r="L15" s="1148">
        <f>'[3]24-25'!J32</f>
        <v>0.85365853658536583</v>
      </c>
      <c r="M15" s="1148">
        <f>'[3]24-25'!K32</f>
        <v>0.70967741935483875</v>
      </c>
      <c r="N15" s="1148">
        <f>'[3]24-25'!L32</f>
        <v>0.5901639344262295</v>
      </c>
      <c r="O15" s="1148">
        <f>'[3]24-25'!M32</f>
        <v>0.62222222222222223</v>
      </c>
      <c r="P15" s="1148">
        <f>'[3]24-25'!N32</f>
        <v>0.72972972972972971</v>
      </c>
      <c r="Q15" s="1140">
        <f>'[3]24-25'!O32</f>
        <v>0.59842519685039375</v>
      </c>
      <c r="R15" s="846">
        <f>Q15-'[3]24-25'!$R$44</f>
        <v>-1.6959418534221671E-2</v>
      </c>
      <c r="S15" s="789" t="s">
        <v>210</v>
      </c>
      <c r="T15" s="510"/>
      <c r="U15" s="758"/>
      <c r="V15" s="1"/>
      <c r="W15" s="1"/>
      <c r="X15" s="1"/>
    </row>
    <row r="16" spans="1:24" ht="16.5" customHeight="1" x14ac:dyDescent="0.35">
      <c r="A16" s="1"/>
      <c r="B16" s="1"/>
      <c r="C16" s="1"/>
      <c r="D16" s="1"/>
      <c r="E16" s="1"/>
      <c r="F16" s="95"/>
      <c r="G16" s="95"/>
      <c r="H16" s="95"/>
      <c r="I16" s="95"/>
      <c r="J16" s="95"/>
      <c r="K16" s="95"/>
      <c r="L16" s="95"/>
      <c r="M16" s="95"/>
      <c r="N16" s="95"/>
      <c r="O16" s="95"/>
      <c r="P16" s="95"/>
      <c r="Q16" s="95"/>
      <c r="R16" s="1"/>
      <c r="S16" s="1"/>
      <c r="T16" s="1"/>
      <c r="U16" s="1"/>
      <c r="V16" s="1"/>
      <c r="W16" s="1"/>
      <c r="X16" s="1"/>
    </row>
    <row r="17" spans="1:24" x14ac:dyDescent="0.35">
      <c r="A17" s="1"/>
      <c r="B17" s="1236" t="s">
        <v>454</v>
      </c>
      <c r="C17" s="994" t="s">
        <v>5</v>
      </c>
      <c r="D17" s="233">
        <f>'year end'!AD289</f>
        <v>237</v>
      </c>
      <c r="E17" s="412">
        <f>Masterlist!AN267</f>
        <v>22</v>
      </c>
      <c r="F17" s="1118">
        <f>Masterlist!AO267</f>
        <v>17</v>
      </c>
      <c r="G17" s="1118">
        <f>Masterlist!AP267</f>
        <v>16</v>
      </c>
      <c r="H17" s="1118">
        <f>Masterlist!AQ267</f>
        <v>19</v>
      </c>
      <c r="I17" s="1118">
        <f>Masterlist!AR267</f>
        <v>19</v>
      </c>
      <c r="J17" s="1118">
        <f>Masterlist!AS267</f>
        <v>15</v>
      </c>
      <c r="K17" s="1118">
        <f>Masterlist!AT267</f>
        <v>33</v>
      </c>
      <c r="L17" s="1118">
        <f>Masterlist!AU267</f>
        <v>21</v>
      </c>
      <c r="M17" s="1118">
        <f>Masterlist!AV267</f>
        <v>26</v>
      </c>
      <c r="N17" s="1118">
        <f>Masterlist!AW267</f>
        <v>27</v>
      </c>
      <c r="O17" s="1118">
        <f>Masterlist!AX267</f>
        <v>14</v>
      </c>
      <c r="P17" s="1118">
        <f>Masterlist!AY267</f>
        <v>11</v>
      </c>
      <c r="Q17" s="255">
        <f>SUM(E17:P17)</f>
        <v>240</v>
      </c>
      <c r="R17" s="294">
        <f>(Q17-(HLOOKUP($D$1,yearendcumulative,288,FALSE)))/(HLOOKUP($D$1,yearendcumulative,288,FALSE))</f>
        <v>1.2658227848101266E-2</v>
      </c>
      <c r="S17" s="294">
        <f>(Q17-(HLOOKUP($D$1,Monthlyaveragecumulative,288,FALSE)))/(HLOOKUP($D$1,Monthlyaveragecumulative,288,FALSE))</f>
        <v>0.30434782608695654</v>
      </c>
      <c r="T17" s="510"/>
      <c r="U17" s="1"/>
      <c r="V17" s="1"/>
      <c r="W17" s="1"/>
      <c r="X17" s="1"/>
    </row>
    <row r="18" spans="1:24" ht="24.75" customHeight="1" x14ac:dyDescent="0.35">
      <c r="A18" s="1"/>
      <c r="B18" s="1227"/>
      <c r="C18" s="994" t="s">
        <v>6</v>
      </c>
      <c r="D18" s="243">
        <f>'year end'!AD290</f>
        <v>466</v>
      </c>
      <c r="E18" s="253">
        <f>Masterlist!AN268</f>
        <v>35</v>
      </c>
      <c r="F18" s="1062">
        <f>Masterlist!AO268</f>
        <v>54</v>
      </c>
      <c r="G18" s="1062">
        <f>Masterlist!AP268</f>
        <v>49</v>
      </c>
      <c r="H18" s="1062">
        <f>Masterlist!AQ268</f>
        <v>38</v>
      </c>
      <c r="I18" s="1062">
        <f>Masterlist!AR268</f>
        <v>34</v>
      </c>
      <c r="J18" s="1062">
        <f>Masterlist!AS268</f>
        <v>32</v>
      </c>
      <c r="K18" s="1062">
        <f>Masterlist!AT268</f>
        <v>43</v>
      </c>
      <c r="L18" s="1062">
        <f>Masterlist!AU268</f>
        <v>44</v>
      </c>
      <c r="M18" s="1062">
        <f>Masterlist!AV268</f>
        <v>40</v>
      </c>
      <c r="N18" s="1062">
        <f>Masterlist!AW268</f>
        <v>44</v>
      </c>
      <c r="O18" s="1062">
        <f>Masterlist!AX268</f>
        <v>41</v>
      </c>
      <c r="P18" s="1062">
        <f>Masterlist!AY268</f>
        <v>56</v>
      </c>
      <c r="Q18" s="191">
        <f>SUM(E18:P18)</f>
        <v>510</v>
      </c>
      <c r="R18" s="296">
        <f>(Q18-(HLOOKUP($D$1,yearendcumulative,289,FALSE)))/(HLOOKUP($D$1,yearendcumulative,289,FALSE))</f>
        <v>9.4420600858369105E-2</v>
      </c>
      <c r="S18" s="296">
        <f>(Q18-(HLOOKUP($D$1,Monthlyaveragecumulative,289,FALSE)))/(HLOOKUP($D$1,Monthlyaveragecumulative,289,FALSE))</f>
        <v>0.39344262295081966</v>
      </c>
      <c r="T18" s="510"/>
      <c r="U18" s="1"/>
      <c r="V18" s="1"/>
      <c r="W18" s="1"/>
      <c r="X18" s="1"/>
    </row>
    <row r="19" spans="1:24" ht="16.5" customHeight="1" x14ac:dyDescent="0.35">
      <c r="A19" s="1"/>
      <c r="B19" s="1"/>
      <c r="C19" s="1"/>
      <c r="D19" s="1"/>
      <c r="E19" s="1"/>
      <c r="F19" s="95"/>
      <c r="G19" s="95"/>
      <c r="H19" s="95"/>
      <c r="I19" s="95"/>
      <c r="J19" s="95"/>
      <c r="K19" s="95"/>
      <c r="L19" s="95"/>
      <c r="M19" s="95"/>
      <c r="N19" s="95"/>
      <c r="O19" s="95"/>
      <c r="P19" s="95"/>
      <c r="Q19" s="95"/>
      <c r="R19" s="1"/>
      <c r="S19" s="1"/>
      <c r="T19" s="1"/>
      <c r="U19" s="1"/>
      <c r="V19" s="1"/>
      <c r="W19" s="1"/>
      <c r="X19" s="1"/>
    </row>
    <row r="20" spans="1:24" ht="20.25" customHeight="1" x14ac:dyDescent="0.35">
      <c r="A20" s="1"/>
      <c r="B20" s="1231" t="s">
        <v>460</v>
      </c>
      <c r="C20" s="1003" t="s">
        <v>237</v>
      </c>
      <c r="D20" s="1010">
        <f>'year end'!AD309</f>
        <v>119</v>
      </c>
      <c r="E20" s="412">
        <f>Masterlist!AN286</f>
        <v>10</v>
      </c>
      <c r="F20" s="1118">
        <f>Masterlist!AO286</f>
        <v>16</v>
      </c>
      <c r="G20" s="1118">
        <f>Masterlist!AP286</f>
        <v>9</v>
      </c>
      <c r="H20" s="1118">
        <f>Masterlist!AQ286</f>
        <v>11</v>
      </c>
      <c r="I20" s="1118">
        <f>Masterlist!AR286</f>
        <v>17</v>
      </c>
      <c r="J20" s="1118">
        <f>Masterlist!AS286</f>
        <v>12</v>
      </c>
      <c r="K20" s="1118">
        <f>Masterlist!AT286</f>
        <v>11</v>
      </c>
      <c r="L20" s="1118">
        <f>Masterlist!AU286</f>
        <v>13</v>
      </c>
      <c r="M20" s="1118">
        <f>Masterlist!AV286</f>
        <v>12</v>
      </c>
      <c r="N20" s="1118">
        <f>Masterlist!AW286</f>
        <v>8</v>
      </c>
      <c r="O20" s="1118">
        <f>Masterlist!AX286</f>
        <v>6</v>
      </c>
      <c r="P20" s="1118">
        <f>Masterlist!AY286</f>
        <v>12</v>
      </c>
      <c r="Q20" s="975">
        <f>SUM(E20:P20)</f>
        <v>137</v>
      </c>
      <c r="R20" s="294">
        <f>(Q20-(HLOOKUP($D$1,yearendcumulative,308,FALSE)))/(HLOOKUP($D$1,yearendcumulative,308,FALSE))</f>
        <v>0.15126050420168066</v>
      </c>
      <c r="S20" s="413">
        <f>(Q20-(HLOOKUP($D$1,Monthlyaveragecumulative,308,FALSE)))/(HLOOKUP($D$1,Monthlyaveragecumulative,308,FALSE))</f>
        <v>0.44210526315789472</v>
      </c>
      <c r="T20" s="510"/>
      <c r="U20" s="1"/>
      <c r="V20" s="1"/>
      <c r="W20" s="1"/>
      <c r="X20" s="1"/>
    </row>
    <row r="21" spans="1:24" ht="15.75" customHeight="1" x14ac:dyDescent="0.35">
      <c r="A21" s="1"/>
      <c r="B21" s="1232"/>
      <c r="C21" s="1006" t="s">
        <v>238</v>
      </c>
      <c r="D21" s="1011">
        <f>'year end'!AD310</f>
        <v>64</v>
      </c>
      <c r="E21" s="253">
        <f>Masterlist!AN287</f>
        <v>5</v>
      </c>
      <c r="F21" s="1062">
        <f>Masterlist!AO287</f>
        <v>5</v>
      </c>
      <c r="G21" s="1062">
        <f>Masterlist!AP287</f>
        <v>13</v>
      </c>
      <c r="H21" s="1062">
        <f>Masterlist!AQ287</f>
        <v>8</v>
      </c>
      <c r="I21" s="1062">
        <f>Masterlist!AR287</f>
        <v>9</v>
      </c>
      <c r="J21" s="1062">
        <f>Masterlist!AS287</f>
        <v>6</v>
      </c>
      <c r="K21" s="1062">
        <f>Masterlist!AT287</f>
        <v>13</v>
      </c>
      <c r="L21" s="1062">
        <f>Masterlist!AU287</f>
        <v>8</v>
      </c>
      <c r="M21" s="1062">
        <f>Masterlist!AV287</f>
        <v>5</v>
      </c>
      <c r="N21" s="1062">
        <f>Masterlist!AW287</f>
        <v>6</v>
      </c>
      <c r="O21" s="1062">
        <f>Masterlist!AX287</f>
        <v>8</v>
      </c>
      <c r="P21" s="1062">
        <f>Masterlist!AY287</f>
        <v>8</v>
      </c>
      <c r="Q21" s="190">
        <f>SUM(E21:P21)</f>
        <v>94</v>
      </c>
      <c r="R21" s="295">
        <f>(Q21-(HLOOKUP($D$1,yearendcumulative,309,FALSE)))/(HLOOKUP($D$1,yearendcumulative,309,FALSE))</f>
        <v>0.46875</v>
      </c>
      <c r="S21" s="436">
        <f>(Q21-(HLOOKUP($D$1,Monthlyaveragecumulative,309,FALSE)))/(HLOOKUP($D$1,Monthlyaveragecumulative,309,FALSE))</f>
        <v>0.20512820512820512</v>
      </c>
      <c r="T21" s="510"/>
      <c r="U21" s="1"/>
      <c r="V21" s="1"/>
      <c r="W21" s="1"/>
      <c r="X21" s="1"/>
    </row>
    <row r="22" spans="1:24" ht="15.75" customHeight="1" x14ac:dyDescent="0.35">
      <c r="A22" s="1"/>
      <c r="B22" s="1232"/>
      <c r="C22" s="1007" t="s">
        <v>404</v>
      </c>
      <c r="D22" s="1010">
        <f>'year end'!AF346</f>
        <v>118</v>
      </c>
      <c r="E22" s="117">
        <f>Masterlist!AN475</f>
        <v>8</v>
      </c>
      <c r="F22" s="118">
        <f>Masterlist!AO475</f>
        <v>6</v>
      </c>
      <c r="G22" s="118">
        <f>Masterlist!AP475</f>
        <v>6</v>
      </c>
      <c r="H22" s="118">
        <f>Masterlist!AQ475</f>
        <v>7</v>
      </c>
      <c r="I22" s="118">
        <f>Masterlist!AR475</f>
        <v>8</v>
      </c>
      <c r="J22" s="118">
        <f>Masterlist!AS475</f>
        <v>5</v>
      </c>
      <c r="K22" s="118">
        <f>Masterlist!AT475</f>
        <v>6</v>
      </c>
      <c r="L22" s="118">
        <f>Masterlist!AU475</f>
        <v>7</v>
      </c>
      <c r="M22" s="118">
        <f>Masterlist!AV475</f>
        <v>9</v>
      </c>
      <c r="N22" s="118">
        <f>Masterlist!AW475</f>
        <v>6</v>
      </c>
      <c r="O22" s="118">
        <f>Masterlist!AX475</f>
        <v>7</v>
      </c>
      <c r="P22" s="118">
        <f>Masterlist!AY475</f>
        <v>5</v>
      </c>
      <c r="Q22" s="255">
        <f t="shared" ref="Q22:Q23" si="6">SUM(E22:P22)</f>
        <v>80</v>
      </c>
      <c r="R22" s="294">
        <f>(Q22-(HLOOKUP($D$1,yearendcumulative,345,FALSE)))/(HLOOKUP($D$1,yearendcumulative,345,FALSE))</f>
        <v>-0.32203389830508472</v>
      </c>
      <c r="S22" s="300">
        <f>(Q22-(HLOOKUP($D$1,Monthlyaveragecumulative,345,FALSE)))/(HLOOKUP($D$1,Monthlyaveragecumulative,345,FALSE))</f>
        <v>0.14285714285714285</v>
      </c>
      <c r="T22" s="510"/>
      <c r="U22" s="1"/>
      <c r="V22" s="1"/>
      <c r="W22" s="1"/>
      <c r="X22" s="1"/>
    </row>
    <row r="23" spans="1:24" ht="15.75" customHeight="1" x14ac:dyDescent="0.35">
      <c r="A23" s="1"/>
      <c r="B23" s="1232"/>
      <c r="C23" s="1090" t="s">
        <v>425</v>
      </c>
      <c r="D23" s="1089">
        <f>Warwick!D18+Stratford!D18</f>
        <v>31</v>
      </c>
      <c r="E23" s="1062">
        <f>Warwick!E18+Stratford!E18</f>
        <v>4</v>
      </c>
      <c r="F23" s="1062">
        <f>Warwick!F18+Stratford!F18</f>
        <v>5</v>
      </c>
      <c r="G23" s="1062">
        <f>Warwick!G18+Stratford!G18</f>
        <v>6</v>
      </c>
      <c r="H23" s="1062">
        <f>Warwick!H18+Stratford!H18</f>
        <v>1</v>
      </c>
      <c r="I23" s="1062">
        <f>Warwick!I18+Stratford!I18</f>
        <v>0</v>
      </c>
      <c r="J23" s="1062">
        <f>Warwick!J18+Stratford!J18</f>
        <v>1</v>
      </c>
      <c r="K23" s="1062">
        <f>Warwick!K18+Stratford!K18</f>
        <v>0</v>
      </c>
      <c r="L23" s="1062">
        <f>Warwick!L18+Stratford!L18</f>
        <v>0</v>
      </c>
      <c r="M23" s="1062">
        <f>Warwick!M18+Stratford!M18</f>
        <v>0</v>
      </c>
      <c r="N23" s="1062">
        <f>Warwick!N18+Stratford!N18</f>
        <v>0</v>
      </c>
      <c r="O23" s="1062">
        <f>Warwick!O18+Stratford!O18</f>
        <v>0</v>
      </c>
      <c r="P23" s="1062">
        <f>Warwick!P18+Stratford!P18</f>
        <v>0</v>
      </c>
      <c r="Q23" s="191">
        <f t="shared" si="6"/>
        <v>17</v>
      </c>
      <c r="R23" s="1088">
        <f>(Q23-(HLOOKUP($D$1,yearendcumulative,482,FALSE)))/(HLOOKUP($D$1,yearendcumulative,482,FALSE))</f>
        <v>-0.45161290322580644</v>
      </c>
      <c r="S23" s="1084" t="s">
        <v>206</v>
      </c>
      <c r="T23" s="510"/>
      <c r="U23" s="1"/>
      <c r="V23" s="1"/>
      <c r="W23" s="1"/>
      <c r="X23" s="1"/>
    </row>
    <row r="24" spans="1:24" ht="15" customHeight="1" x14ac:dyDescent="0.35">
      <c r="A24" s="1"/>
      <c r="B24" s="1232"/>
      <c r="C24" s="1008" t="s">
        <v>373</v>
      </c>
      <c r="D24" s="1012">
        <f>'year end'!AD410</f>
        <v>99</v>
      </c>
      <c r="E24" s="681">
        <f>Masterlist!AN497</f>
        <v>5</v>
      </c>
      <c r="F24" s="1125">
        <f>Masterlist!AO497</f>
        <v>4</v>
      </c>
      <c r="G24" s="1125">
        <f>Masterlist!AP497</f>
        <v>2</v>
      </c>
      <c r="H24" s="1125">
        <f>Masterlist!AQ497</f>
        <v>6</v>
      </c>
      <c r="I24" s="1125">
        <f>Masterlist!AR497</f>
        <v>6</v>
      </c>
      <c r="J24" s="1125">
        <f>Masterlist!AS497</f>
        <v>4</v>
      </c>
      <c r="K24" s="1125">
        <f>Masterlist!AT497</f>
        <v>2</v>
      </c>
      <c r="L24" s="1125">
        <f>Masterlist!AU497</f>
        <v>2</v>
      </c>
      <c r="M24" s="1125">
        <f>Masterlist!AV497</f>
        <v>3</v>
      </c>
      <c r="N24" s="1125">
        <f>Masterlist!AW497</f>
        <v>1</v>
      </c>
      <c r="O24" s="1125">
        <f>Masterlist!AX497</f>
        <v>4</v>
      </c>
      <c r="P24" s="1125">
        <f>Masterlist!AY497</f>
        <v>4</v>
      </c>
      <c r="Q24" s="255">
        <f t="shared" ref="Q24:Q25" si="7">SUM(E24:P24)</f>
        <v>43</v>
      </c>
      <c r="R24" s="961">
        <f>(Q24-(HLOOKUP($D$1,yearendcumulative,409,FALSE)))/(HLOOKUP($D$1,yearendcumulative,409,FALSE))</f>
        <v>-0.56565656565656564</v>
      </c>
      <c r="S24" s="297">
        <f>(Q24-(HLOOKUP($D$1,Monthlyaveragecumulative,442,FALSE)))/(HLOOKUP($D$1,Monthlyaveragecumulative,442,FALSE))</f>
        <v>-0.44871794871794873</v>
      </c>
      <c r="T24" s="1"/>
      <c r="U24" s="1"/>
      <c r="V24" s="1"/>
      <c r="W24" s="1"/>
      <c r="X24" s="1"/>
    </row>
    <row r="25" spans="1:24" ht="15" customHeight="1" x14ac:dyDescent="0.35">
      <c r="A25" s="1"/>
      <c r="B25" s="1232"/>
      <c r="C25" s="1009" t="s">
        <v>372</v>
      </c>
      <c r="D25" s="1013">
        <f>'year end'!AD418</f>
        <v>115</v>
      </c>
      <c r="E25" s="682">
        <f>Masterlist!AN506</f>
        <v>10</v>
      </c>
      <c r="F25" s="1120">
        <f>Masterlist!AO506</f>
        <v>9</v>
      </c>
      <c r="G25" s="1120">
        <f>Masterlist!AP506</f>
        <v>4</v>
      </c>
      <c r="H25" s="1120">
        <f>Masterlist!AQ506</f>
        <v>12</v>
      </c>
      <c r="I25" s="1120">
        <f>Masterlist!AR506</f>
        <v>11</v>
      </c>
      <c r="J25" s="1120">
        <f>Masterlist!AS506</f>
        <v>8</v>
      </c>
      <c r="K25" s="1120">
        <f>Masterlist!AT506</f>
        <v>5</v>
      </c>
      <c r="L25" s="1120">
        <f>Masterlist!AU506</f>
        <v>8</v>
      </c>
      <c r="M25" s="1120">
        <f>Masterlist!AV506</f>
        <v>6</v>
      </c>
      <c r="N25" s="1120">
        <f>Masterlist!AW506</f>
        <v>8</v>
      </c>
      <c r="O25" s="1120">
        <f>Masterlist!AX506</f>
        <v>7</v>
      </c>
      <c r="P25" s="1120">
        <f>Masterlist!AY506</f>
        <v>7</v>
      </c>
      <c r="Q25" s="191">
        <f t="shared" si="7"/>
        <v>95</v>
      </c>
      <c r="R25" s="962">
        <f>(Q25-(HLOOKUP($D$1,yearendcumulative,417,FALSE)))/(HLOOKUP($D$1,yearendcumulative,417,FALSE))</f>
        <v>-0.17391304347826086</v>
      </c>
      <c r="S25" s="299" t="s">
        <v>206</v>
      </c>
      <c r="T25" s="1"/>
      <c r="U25" s="1"/>
      <c r="V25" s="1"/>
      <c r="W25" s="1"/>
      <c r="X25" s="1"/>
    </row>
    <row r="26" spans="1:24" ht="15" customHeight="1" x14ac:dyDescent="0.35">
      <c r="A26" s="1"/>
      <c r="B26" s="1232"/>
      <c r="C26" s="1002" t="s">
        <v>174</v>
      </c>
      <c r="D26" s="1014">
        <f>'year end'!AD302</f>
        <v>438</v>
      </c>
      <c r="E26" s="48">
        <f>Masterlist!AN279+Masterlist!AN280</f>
        <v>30</v>
      </c>
      <c r="F26" s="475">
        <f>Masterlist!AO279+Masterlist!AO280</f>
        <v>41</v>
      </c>
      <c r="G26" s="475">
        <f>Masterlist!AP279+Masterlist!AP280</f>
        <v>38</v>
      </c>
      <c r="H26" s="475">
        <f>Masterlist!AQ279+Masterlist!AQ280</f>
        <v>32</v>
      </c>
      <c r="I26" s="475">
        <f>Masterlist!AR279+Masterlist!AR280</f>
        <v>15</v>
      </c>
      <c r="J26" s="475">
        <f>Masterlist!AS279+Masterlist!AS280</f>
        <v>23</v>
      </c>
      <c r="K26" s="475">
        <f>Masterlist!AT279+Masterlist!AT280</f>
        <v>36</v>
      </c>
      <c r="L26" s="475">
        <f>Masterlist!AU279+Masterlist!AU280</f>
        <v>22</v>
      </c>
      <c r="M26" s="475">
        <f>Masterlist!AV279+Masterlist!AV280</f>
        <v>29</v>
      </c>
      <c r="N26" s="475">
        <f>Masterlist!AW279+Masterlist!AW280</f>
        <v>27</v>
      </c>
      <c r="O26" s="475">
        <f>Masterlist!AX279+Masterlist!AX280</f>
        <v>28</v>
      </c>
      <c r="P26" s="475">
        <f>Masterlist!AY279+Masterlist!AY280</f>
        <v>20</v>
      </c>
      <c r="Q26" s="48">
        <f>SUM(E26:P26)</f>
        <v>341</v>
      </c>
      <c r="R26" s="297">
        <f>(Q26-(HLOOKUP($D$1,yearendcumulative,301,FALSE)))/(HLOOKUP($D$1,yearendcumulative,301,FALSE))</f>
        <v>-0.22146118721461186</v>
      </c>
      <c r="S26" s="294">
        <f>(Q26-(HLOOKUP($D$1,Monthlyaveragecumulative,301,FALSE)))/(HLOOKUP($D$1,Monthlyaveragecumulative,301,FALSE))</f>
        <v>-0.38669064748201437</v>
      </c>
      <c r="T26" s="510"/>
      <c r="U26" s="1"/>
      <c r="V26" s="1"/>
      <c r="W26" s="1"/>
      <c r="X26" s="1"/>
    </row>
    <row r="27" spans="1:24" ht="24.75" customHeight="1" x14ac:dyDescent="0.35">
      <c r="A27" s="1"/>
      <c r="B27" s="1232"/>
      <c r="C27" s="1003" t="s">
        <v>173</v>
      </c>
      <c r="D27" s="1015">
        <f>'year end'!AD305</f>
        <v>29</v>
      </c>
      <c r="E27" s="105">
        <f>Masterlist!AN281+Masterlist!AN282</f>
        <v>2</v>
      </c>
      <c r="F27" s="30">
        <f>Masterlist!AO281+Masterlist!AO282</f>
        <v>1</v>
      </c>
      <c r="G27" s="30">
        <f>Masterlist!AP281+Masterlist!AP282</f>
        <v>4</v>
      </c>
      <c r="H27" s="30">
        <f>Masterlist!AQ281+Masterlist!AQ282</f>
        <v>6</v>
      </c>
      <c r="I27" s="30">
        <f>Masterlist!AR281+Masterlist!AR282</f>
        <v>0</v>
      </c>
      <c r="J27" s="30">
        <f>Masterlist!AS281+Masterlist!AS282</f>
        <v>1</v>
      </c>
      <c r="K27" s="30">
        <f>Masterlist!AT281+Masterlist!AT282</f>
        <v>1</v>
      </c>
      <c r="L27" s="30">
        <f>Masterlist!AU281+Masterlist!AU282</f>
        <v>3</v>
      </c>
      <c r="M27" s="30">
        <f>Masterlist!AV281+Masterlist!AV282</f>
        <v>4</v>
      </c>
      <c r="N27" s="30">
        <f>Masterlist!AW281+Masterlist!AW282</f>
        <v>0</v>
      </c>
      <c r="O27" s="30">
        <f>Masterlist!AX281+Masterlist!AX282</f>
        <v>2</v>
      </c>
      <c r="P27" s="30">
        <f>Masterlist!AY281+Masterlist!AY282</f>
        <v>1</v>
      </c>
      <c r="Q27" s="49">
        <f t="shared" ref="Q27:Q30" si="8">SUM(E27:P27)</f>
        <v>25</v>
      </c>
      <c r="R27" s="298">
        <f>(Q27-(HLOOKUP($D$1,yearendcumulative,304,FALSE)))/(HLOOKUP($D$1,yearendcumulative,304,FALSE))</f>
        <v>-0.13793103448275862</v>
      </c>
      <c r="S27" s="295">
        <f>(Q27-(HLOOKUP($D$1,Monthlyaveragecumulative,304,FALSE)))/(HLOOKUP($D$1,Monthlyaveragecumulative,304,FALSE))</f>
        <v>-0.46808510638297873</v>
      </c>
      <c r="T27" s="510"/>
      <c r="U27" s="1"/>
      <c r="V27" s="1"/>
      <c r="W27" s="1"/>
      <c r="X27" s="1"/>
    </row>
    <row r="28" spans="1:24" ht="15.75" customHeight="1" x14ac:dyDescent="0.35">
      <c r="A28" s="1"/>
      <c r="B28" s="1232"/>
      <c r="C28" s="1003" t="s">
        <v>370</v>
      </c>
      <c r="D28" s="1015">
        <f>'year end'!AD442</f>
        <v>141</v>
      </c>
      <c r="E28" s="687">
        <f>Masterlist!AN533</f>
        <v>21</v>
      </c>
      <c r="F28" s="1127">
        <f>Masterlist!AO533</f>
        <v>28</v>
      </c>
      <c r="G28" s="1127">
        <f>Masterlist!AP533</f>
        <v>23</v>
      </c>
      <c r="H28" s="1127">
        <f>Masterlist!AQ533</f>
        <v>21</v>
      </c>
      <c r="I28" s="1127">
        <f>Masterlist!AR533</f>
        <v>24</v>
      </c>
      <c r="J28" s="1127">
        <f>Masterlist!AS533</f>
        <v>14</v>
      </c>
      <c r="K28" s="1127">
        <f>Masterlist!AT533</f>
        <v>14</v>
      </c>
      <c r="L28" s="1127">
        <f>Masterlist!AU533</f>
        <v>10</v>
      </c>
      <c r="M28" s="1127">
        <f>Masterlist!AV533</f>
        <v>9</v>
      </c>
      <c r="N28" s="1127">
        <f>Masterlist!AW533</f>
        <v>11</v>
      </c>
      <c r="O28" s="1127">
        <f>Masterlist!AX533</f>
        <v>13</v>
      </c>
      <c r="P28" s="1127">
        <f>Masterlist!AY533</f>
        <v>22</v>
      </c>
      <c r="Q28" s="49">
        <f t="shared" si="8"/>
        <v>210</v>
      </c>
      <c r="R28" s="298">
        <f>(Q28-(HLOOKUP($D$1,yearendcumulative,441,FALSE)))/(HLOOKUP($D$1,yearendcumulative,441,FALSE))</f>
        <v>0.48936170212765956</v>
      </c>
      <c r="S28" s="298">
        <f>(Q28-(HLOOKUP($D$1,Monthlyaveragecumulative,474,FALSE)))/(HLOOKUP($D$1,Monthlyaveragecumulative,474,FALSE))</f>
        <v>-4.9773755656108594E-2</v>
      </c>
      <c r="T28" s="510"/>
      <c r="U28" s="1"/>
      <c r="V28" s="1"/>
      <c r="W28" s="1"/>
      <c r="X28" s="1"/>
    </row>
    <row r="29" spans="1:24" ht="15.75" customHeight="1" x14ac:dyDescent="0.35">
      <c r="A29" s="1"/>
      <c r="B29" s="1232"/>
      <c r="C29" s="1003" t="s">
        <v>371</v>
      </c>
      <c r="D29" s="1015">
        <f>'year end'!AD450</f>
        <v>69</v>
      </c>
      <c r="E29" s="687">
        <f>Masterlist!AN542</f>
        <v>7</v>
      </c>
      <c r="F29" s="1127">
        <f>Masterlist!AO542</f>
        <v>6</v>
      </c>
      <c r="G29" s="1127">
        <f>Masterlist!AP542</f>
        <v>13</v>
      </c>
      <c r="H29" s="1127">
        <f>Masterlist!AQ542</f>
        <v>5</v>
      </c>
      <c r="I29" s="1127">
        <f>Masterlist!AR542</f>
        <v>5</v>
      </c>
      <c r="J29" s="1127">
        <f>Masterlist!AS542</f>
        <v>9</v>
      </c>
      <c r="K29" s="1127">
        <f>Masterlist!AT542</f>
        <v>4</v>
      </c>
      <c r="L29" s="1127">
        <f>Masterlist!AU542</f>
        <v>10</v>
      </c>
      <c r="M29" s="1127">
        <f>Masterlist!AV542</f>
        <v>11</v>
      </c>
      <c r="N29" s="1127">
        <f>Masterlist!AW542</f>
        <v>4</v>
      </c>
      <c r="O29" s="1127">
        <f>Masterlist!AX542</f>
        <v>8</v>
      </c>
      <c r="P29" s="1127">
        <f>Masterlist!AY542</f>
        <v>6</v>
      </c>
      <c r="Q29" s="49">
        <f t="shared" si="8"/>
        <v>88</v>
      </c>
      <c r="R29" s="298">
        <f>(Q29-(HLOOKUP($D$1,yearendcumulative,449,FALSE)))/(HLOOKUP($D$1,yearendcumulative,449,FALSE))</f>
        <v>0.27536231884057971</v>
      </c>
      <c r="S29" s="298">
        <f>(Q29-(HLOOKUP($D$1,Monthlyaveragecumulative,482,FALSE)))/(HLOOKUP($D$1,Monthlyaveragecumulative,482,FALSE))</f>
        <v>-0.51111111111111107</v>
      </c>
      <c r="T29" s="510"/>
      <c r="U29" s="1"/>
      <c r="V29" s="1"/>
      <c r="W29" s="1"/>
      <c r="X29" s="1"/>
    </row>
    <row r="30" spans="1:24" ht="15.75" customHeight="1" x14ac:dyDescent="0.35">
      <c r="A30" s="1"/>
      <c r="B30" s="1232"/>
      <c r="C30" s="1004" t="s">
        <v>405</v>
      </c>
      <c r="D30" s="1016">
        <f>'year end'!AD458</f>
        <v>172</v>
      </c>
      <c r="E30" s="688">
        <f>Masterlist!AN551</f>
        <v>7</v>
      </c>
      <c r="F30" s="1128">
        <f>Masterlist!AO551</f>
        <v>10</v>
      </c>
      <c r="G30" s="1128">
        <f>Masterlist!AP551</f>
        <v>13</v>
      </c>
      <c r="H30" s="1128">
        <f>Masterlist!AQ551</f>
        <v>14</v>
      </c>
      <c r="I30" s="1128">
        <f>Masterlist!AR551</f>
        <v>9</v>
      </c>
      <c r="J30" s="1128">
        <f>Masterlist!AS551</f>
        <v>12</v>
      </c>
      <c r="K30" s="1128">
        <f>Masterlist!AT551</f>
        <v>19</v>
      </c>
      <c r="L30" s="1128">
        <f>Masterlist!AU551</f>
        <v>12</v>
      </c>
      <c r="M30" s="1128">
        <f>Masterlist!AV551</f>
        <v>8</v>
      </c>
      <c r="N30" s="1128">
        <f>Masterlist!AW551</f>
        <v>12</v>
      </c>
      <c r="O30" s="1128">
        <f>Masterlist!AX551</f>
        <v>18</v>
      </c>
      <c r="P30" s="1128">
        <f>Masterlist!AY551</f>
        <v>18</v>
      </c>
      <c r="Q30" s="241">
        <f t="shared" si="8"/>
        <v>152</v>
      </c>
      <c r="R30" s="299">
        <f>(Q30-(HLOOKUP($D$1,yearendcumulative,457,FALSE)))/(HLOOKUP($D$1,yearendcumulative,457,FALSE))</f>
        <v>-0.11627906976744186</v>
      </c>
      <c r="S30" s="299" t="s">
        <v>206</v>
      </c>
      <c r="T30" s="510"/>
      <c r="U30" s="1"/>
      <c r="V30" s="1"/>
      <c r="W30" s="1"/>
      <c r="X30" s="1"/>
    </row>
    <row r="31" spans="1:24" ht="15" customHeight="1" x14ac:dyDescent="0.35">
      <c r="A31" s="1"/>
      <c r="B31" s="1232"/>
      <c r="C31" s="1003" t="s">
        <v>361</v>
      </c>
      <c r="D31" s="1017">
        <f>'year end'!AD320</f>
        <v>56</v>
      </c>
      <c r="E31" s="49">
        <f>Masterlist!AN298</f>
        <v>14</v>
      </c>
      <c r="F31" s="97">
        <f>Masterlist!AO298</f>
        <v>9</v>
      </c>
      <c r="G31" s="97">
        <f>Masterlist!AP298</f>
        <v>2</v>
      </c>
      <c r="H31" s="97">
        <f>Masterlist!AQ298</f>
        <v>6</v>
      </c>
      <c r="I31" s="97">
        <f>Masterlist!AR298</f>
        <v>5</v>
      </c>
      <c r="J31" s="97">
        <f>Masterlist!AS298</f>
        <v>4</v>
      </c>
      <c r="K31" s="97">
        <f>Masterlist!AT298</f>
        <v>8</v>
      </c>
      <c r="L31" s="97">
        <f>Masterlist!AU298</f>
        <v>6</v>
      </c>
      <c r="M31" s="97">
        <f>Masterlist!AV298</f>
        <v>5</v>
      </c>
      <c r="N31" s="97">
        <f>Masterlist!AW298</f>
        <v>2</v>
      </c>
      <c r="O31" s="97">
        <f>Masterlist!AX298</f>
        <v>14</v>
      </c>
      <c r="P31" s="97">
        <f>Masterlist!AY298</f>
        <v>7</v>
      </c>
      <c r="Q31" s="190">
        <f t="shared" ref="Q31:Q33" si="9">SUM(E31:P31)</f>
        <v>82</v>
      </c>
      <c r="R31" s="298">
        <f>(Q31-(HLOOKUP($D$1,yearendcumulative,319,FALSE)))/(HLOOKUP($D$1,yearendcumulative,319,FALSE))</f>
        <v>0.4642857142857143</v>
      </c>
      <c r="S31" s="295">
        <f>(Q31-(HLOOKUP($D$1,Monthlyaveragecumulative,319,FALSE)))/(HLOOKUP($D$1,Monthlyaveragecumulative,319,FALSE))</f>
        <v>0.67346938775510201</v>
      </c>
      <c r="T31" s="510"/>
      <c r="U31" s="1"/>
      <c r="V31" s="1"/>
      <c r="W31" s="1"/>
      <c r="X31" s="1"/>
    </row>
    <row r="32" spans="1:24" ht="15" hidden="1" customHeight="1" x14ac:dyDescent="0.35">
      <c r="A32" s="1"/>
      <c r="B32" s="1232"/>
      <c r="C32" s="1003" t="s">
        <v>368</v>
      </c>
      <c r="D32" s="1017">
        <f>'year end'!AD426</f>
        <v>0</v>
      </c>
      <c r="E32" s="687">
        <f>Masterlist!AN515</f>
        <v>0</v>
      </c>
      <c r="F32" s="1127">
        <f>Masterlist!AO515</f>
        <v>0</v>
      </c>
      <c r="G32" s="1127">
        <f>Masterlist!AP515</f>
        <v>0</v>
      </c>
      <c r="H32" s="1127">
        <f>Masterlist!AQ515</f>
        <v>0</v>
      </c>
      <c r="I32" s="1127">
        <f>Masterlist!AR515</f>
        <v>0</v>
      </c>
      <c r="J32" s="1127">
        <f>Masterlist!AS515</f>
        <v>0</v>
      </c>
      <c r="K32" s="1127">
        <f>Masterlist!AT515</f>
        <v>0</v>
      </c>
      <c r="L32" s="1127">
        <f>Masterlist!AU515</f>
        <v>0</v>
      </c>
      <c r="M32" s="1127">
        <f>Masterlist!AV515</f>
        <v>0</v>
      </c>
      <c r="N32" s="1127">
        <f>Masterlist!AW515</f>
        <v>0</v>
      </c>
      <c r="O32" s="1127">
        <f>Masterlist!AX515</f>
        <v>0</v>
      </c>
      <c r="P32" s="1127">
        <f>Masterlist!AY515</f>
        <v>0</v>
      </c>
      <c r="Q32" s="190">
        <f t="shared" si="9"/>
        <v>0</v>
      </c>
      <c r="R32" s="298">
        <f>(Q32-(HLOOKUP($D$1,yearendcumulative,319,FALSE)))/(HLOOKUP($D$1,yearendcumulative,319,FALSE))</f>
        <v>-1</v>
      </c>
      <c r="S32" s="295" t="s">
        <v>206</v>
      </c>
      <c r="T32" s="510"/>
      <c r="U32" s="1"/>
      <c r="V32" s="1"/>
      <c r="W32" s="1"/>
      <c r="X32" s="1"/>
    </row>
    <row r="33" spans="1:45" ht="15" customHeight="1" x14ac:dyDescent="0.35">
      <c r="A33" s="1"/>
      <c r="B33" s="1233"/>
      <c r="C33" s="1005" t="s">
        <v>367</v>
      </c>
      <c r="D33" s="1016">
        <f>'year end'!AD434</f>
        <v>0</v>
      </c>
      <c r="E33" s="688">
        <f>Masterlist!AN524</f>
        <v>0</v>
      </c>
      <c r="F33" s="1128">
        <f>Masterlist!AO524</f>
        <v>0</v>
      </c>
      <c r="G33" s="1128">
        <f>Masterlist!AP524</f>
        <v>0</v>
      </c>
      <c r="H33" s="1128">
        <f>Masterlist!AQ524</f>
        <v>0</v>
      </c>
      <c r="I33" s="1128">
        <f>Masterlist!AR524</f>
        <v>0</v>
      </c>
      <c r="J33" s="1128">
        <f>Masterlist!AS524</f>
        <v>0</v>
      </c>
      <c r="K33" s="1128">
        <f>Masterlist!AT524</f>
        <v>0</v>
      </c>
      <c r="L33" s="1128">
        <f>Masterlist!AU524</f>
        <v>0</v>
      </c>
      <c r="M33" s="1128">
        <f>Masterlist!AV524</f>
        <v>0</v>
      </c>
      <c r="N33" s="1128">
        <f>Masterlist!AW524</f>
        <v>0</v>
      </c>
      <c r="O33" s="1128">
        <f>Masterlist!AX524</f>
        <v>0</v>
      </c>
      <c r="P33" s="1128">
        <f>Masterlist!AY524</f>
        <v>0</v>
      </c>
      <c r="Q33" s="191">
        <f t="shared" si="9"/>
        <v>0</v>
      </c>
      <c r="R33" s="1155">
        <v>0</v>
      </c>
      <c r="S33" s="299">
        <f>(Q33-(HLOOKUP($D$1,Monthlyaveragecumulative,466,FALSE)))/(HLOOKUP($D$1,Monthlyaveragecumulative,466,FALSE))</f>
        <v>-1</v>
      </c>
      <c r="T33" s="510"/>
      <c r="U33" s="1"/>
      <c r="V33" s="1"/>
      <c r="W33" s="1"/>
      <c r="X33" s="1"/>
    </row>
    <row r="34" spans="1:45" ht="15" customHeight="1" x14ac:dyDescent="0.35">
      <c r="A34" s="1"/>
      <c r="B34" s="3"/>
      <c r="C34" s="4"/>
      <c r="D34" s="211"/>
      <c r="E34" s="51"/>
      <c r="F34" s="51"/>
      <c r="G34" s="51"/>
      <c r="H34" s="51"/>
      <c r="I34" s="51"/>
      <c r="J34" s="51"/>
      <c r="K34" s="51"/>
      <c r="L34" s="51"/>
      <c r="M34" s="51"/>
      <c r="N34" s="51"/>
      <c r="O34" s="51"/>
      <c r="P34" s="51"/>
      <c r="Q34" s="192"/>
      <c r="R34" s="311"/>
      <c r="S34" s="311"/>
      <c r="T34" s="510"/>
      <c r="U34" s="1"/>
      <c r="V34" s="1"/>
      <c r="W34" s="1"/>
      <c r="X34" s="1"/>
    </row>
    <row r="35" spans="1:45" ht="15" hidden="1" customHeight="1" x14ac:dyDescent="0.35">
      <c r="A35" s="1"/>
      <c r="B35" s="1228" t="s">
        <v>176</v>
      </c>
      <c r="C35" s="454" t="s">
        <v>197</v>
      </c>
      <c r="D35" s="275">
        <f>'year end'!AD323</f>
        <v>2345</v>
      </c>
      <c r="E35" s="117">
        <f>SUM(E36:E39)</f>
        <v>150</v>
      </c>
      <c r="F35" s="1118">
        <f t="shared" ref="F35" si="10">SUM(F36:F39)</f>
        <v>197</v>
      </c>
      <c r="G35" s="1118">
        <f t="shared" ref="G35:P35" si="11">SUM(G36:G39)</f>
        <v>176</v>
      </c>
      <c r="H35" s="1118">
        <f t="shared" si="11"/>
        <v>182</v>
      </c>
      <c r="I35" s="1118">
        <f t="shared" si="11"/>
        <v>152</v>
      </c>
      <c r="J35" s="1118">
        <f t="shared" si="11"/>
        <v>156</v>
      </c>
      <c r="K35" s="1118">
        <f t="shared" si="11"/>
        <v>185</v>
      </c>
      <c r="L35" s="1118">
        <f t="shared" si="11"/>
        <v>160</v>
      </c>
      <c r="M35" s="1118">
        <f t="shared" si="11"/>
        <v>147</v>
      </c>
      <c r="N35" s="1118">
        <f t="shared" si="11"/>
        <v>165</v>
      </c>
      <c r="O35" s="1118">
        <f t="shared" si="11"/>
        <v>142</v>
      </c>
      <c r="P35" s="1118">
        <f t="shared" si="11"/>
        <v>166</v>
      </c>
      <c r="Q35" s="1038">
        <f t="shared" ref="Q35" si="12">SUM(E35:P35)</f>
        <v>1978</v>
      </c>
      <c r="R35" s="312">
        <f>(Q35-(HLOOKUP($D$1,yearendcumulative,322,FALSE)))/(HLOOKUP($D$1,yearendcumulative,322,FALSE))</f>
        <v>-0.15650319829424306</v>
      </c>
      <c r="S35" s="312">
        <f>(Q35-(HLOOKUP($D$1,Monthlyaveragecumulative,322,FALSE)))/(HLOOKUP($D$1,Monthlyaveragecumulative,322,FALSE))</f>
        <v>-0.4302995391705069</v>
      </c>
      <c r="T35" s="510"/>
      <c r="U35" s="1"/>
      <c r="V35" s="1"/>
      <c r="W35" s="1"/>
      <c r="X35" s="1"/>
    </row>
    <row r="36" spans="1:45" ht="15" customHeight="1" x14ac:dyDescent="0.35">
      <c r="A36" s="1"/>
      <c r="B36" s="1229"/>
      <c r="C36" s="988" t="s">
        <v>470</v>
      </c>
      <c r="D36" s="275">
        <f>'year end'!AD322</f>
        <v>505</v>
      </c>
      <c r="E36" s="48">
        <f>Masterlist!AN302</f>
        <v>37</v>
      </c>
      <c r="F36" s="118">
        <f>Masterlist!AO302</f>
        <v>45</v>
      </c>
      <c r="G36" s="118">
        <f>Masterlist!AP302</f>
        <v>40</v>
      </c>
      <c r="H36" s="118">
        <f>Masterlist!AQ302</f>
        <v>61</v>
      </c>
      <c r="I36" s="118">
        <f>Masterlist!AR302</f>
        <v>31</v>
      </c>
      <c r="J36" s="118">
        <f>Masterlist!AS302</f>
        <v>46</v>
      </c>
      <c r="K36" s="118">
        <f>Masterlist!AT302</f>
        <v>44</v>
      </c>
      <c r="L36" s="118">
        <f>Masterlist!AU302</f>
        <v>47</v>
      </c>
      <c r="M36" s="118">
        <f>Masterlist!AV302</f>
        <v>36</v>
      </c>
      <c r="N36" s="118">
        <f>Masterlist!AW302</f>
        <v>38</v>
      </c>
      <c r="O36" s="118">
        <f>Masterlist!AX302</f>
        <v>52</v>
      </c>
      <c r="P36" s="1057">
        <f>Masterlist!AY302</f>
        <v>58</v>
      </c>
      <c r="Q36" s="1038">
        <f t="shared" ref="Q36" si="13">SUM(E36:P36)</f>
        <v>535</v>
      </c>
      <c r="R36" s="961">
        <f>(Q36-(HLOOKUP($D$1,yearendcumulative,321,FALSE)))/(HLOOKUP($D$1,yearendcumulative,321,FALSE))</f>
        <v>5.9405940594059403E-2</v>
      </c>
      <c r="S36" s="312">
        <f>(Q36-(HLOOKUP($D$1,Monthlyaveragecumulative,292,FALSE)))/(HLOOKUP($D$1,Monthlyaveragecumulative,292,FALSE))</f>
        <v>-0.51407811080835608</v>
      </c>
      <c r="T36" s="510"/>
      <c r="U36" s="1"/>
      <c r="V36" s="1"/>
      <c r="W36" s="1"/>
      <c r="X36" s="1"/>
    </row>
    <row r="37" spans="1:45" x14ac:dyDescent="0.35">
      <c r="A37" s="1"/>
      <c r="B37" s="1229"/>
      <c r="C37" s="981" t="s">
        <v>16</v>
      </c>
      <c r="D37" s="276">
        <f>'year end'!AD313</f>
        <v>1099</v>
      </c>
      <c r="E37" s="49">
        <f>Masterlist!AN291</f>
        <v>78</v>
      </c>
      <c r="F37" s="30">
        <f>Masterlist!AO291</f>
        <v>97</v>
      </c>
      <c r="G37" s="30">
        <f>Masterlist!AP291</f>
        <v>85</v>
      </c>
      <c r="H37" s="30">
        <f>Masterlist!AQ291</f>
        <v>86</v>
      </c>
      <c r="I37" s="30">
        <f>Masterlist!AR291</f>
        <v>72</v>
      </c>
      <c r="J37" s="30">
        <f>Masterlist!AS291</f>
        <v>65</v>
      </c>
      <c r="K37" s="30">
        <f>Masterlist!AT291</f>
        <v>96</v>
      </c>
      <c r="L37" s="30">
        <f>Masterlist!AU291</f>
        <v>73</v>
      </c>
      <c r="M37" s="30">
        <f>Masterlist!AV291</f>
        <v>57</v>
      </c>
      <c r="N37" s="30">
        <f>Masterlist!AW291</f>
        <v>73</v>
      </c>
      <c r="O37" s="30">
        <f>Masterlist!AX291</f>
        <v>48</v>
      </c>
      <c r="P37" s="30">
        <f>Masterlist!AY291</f>
        <v>60</v>
      </c>
      <c r="Q37" s="190">
        <f>SUM(E37:P37)</f>
        <v>890</v>
      </c>
      <c r="R37" s="963">
        <f>(Q37-(HLOOKUP($D$1,yearendcumulative,312,FALSE)))/(HLOOKUP($D$1,yearendcumulative,312,FALSE))</f>
        <v>-0.19017288444040037</v>
      </c>
      <c r="S37" s="313">
        <f>(Q37-(HLOOKUP($D$1,Monthlyaveragecumulative,312,FALSE)))/(HLOOKUP($D$1,Monthlyaveragecumulative,312,FALSE))</f>
        <v>-0.25956738768718801</v>
      </c>
      <c r="T37" s="510"/>
      <c r="U37" s="1"/>
      <c r="V37" s="1"/>
      <c r="W37" s="1"/>
      <c r="X37" s="1"/>
    </row>
    <row r="38" spans="1:45" x14ac:dyDescent="0.35">
      <c r="A38" s="1"/>
      <c r="B38" s="1229"/>
      <c r="C38" s="981" t="s">
        <v>15</v>
      </c>
      <c r="D38" s="614">
        <f>'year end'!AD315</f>
        <v>398</v>
      </c>
      <c r="E38" s="49">
        <f>Masterlist!AN289+Masterlist!AN292</f>
        <v>31</v>
      </c>
      <c r="F38" s="30">
        <f>Masterlist!AO289+Masterlist!AO292</f>
        <v>40</v>
      </c>
      <c r="G38" s="30">
        <f>Masterlist!AP289+Masterlist!AP292</f>
        <v>36</v>
      </c>
      <c r="H38" s="30">
        <f>Masterlist!AQ289+Masterlist!AQ292</f>
        <v>24</v>
      </c>
      <c r="I38" s="30">
        <f>Masterlist!AR289+Masterlist!AR292</f>
        <v>29</v>
      </c>
      <c r="J38" s="30">
        <f>Masterlist!AS289+Masterlist!AS292</f>
        <v>33</v>
      </c>
      <c r="K38" s="30">
        <f>Masterlist!AT289+Masterlist!AT292</f>
        <v>36</v>
      </c>
      <c r="L38" s="30">
        <f>Masterlist!AU289+Masterlist!AU292</f>
        <v>34</v>
      </c>
      <c r="M38" s="30">
        <f>Masterlist!AV289+Masterlist!AV292</f>
        <v>46</v>
      </c>
      <c r="N38" s="30">
        <f>Masterlist!AW289+Masterlist!AW292</f>
        <v>50</v>
      </c>
      <c r="O38" s="30">
        <f>Masterlist!AX289+Masterlist!AX292</f>
        <v>32</v>
      </c>
      <c r="P38" s="30">
        <f>Masterlist!AY289+Masterlist!AY292</f>
        <v>41</v>
      </c>
      <c r="Q38" s="190">
        <f>SUM(E38:P38)</f>
        <v>432</v>
      </c>
      <c r="R38" s="963">
        <f>(Q38-(HLOOKUP($D$1,yearendcumulative,314,FALSE)))/(HLOOKUP($D$1,yearendcumulative,314,FALSE))</f>
        <v>8.5427135678391955E-2</v>
      </c>
      <c r="S38" s="313">
        <f>(Q38-(HLOOKUP($D$1,Monthlyaveragecumulative,314,FALSE)))/(HLOOKUP($D$1,Monthlyaveragecumulative,314,FALSE))</f>
        <v>0.40259740259740262</v>
      </c>
      <c r="T38" s="510"/>
      <c r="U38" s="1"/>
      <c r="V38" s="1"/>
      <c r="W38" s="1"/>
      <c r="X38" s="1"/>
    </row>
    <row r="39" spans="1:45" x14ac:dyDescent="0.35">
      <c r="A39" s="1"/>
      <c r="B39" s="1230"/>
      <c r="C39" s="982" t="s">
        <v>37</v>
      </c>
      <c r="D39" s="277">
        <f>'year end'!AD292</f>
        <v>135</v>
      </c>
      <c r="E39" s="241">
        <f>Masterlist!AN270</f>
        <v>4</v>
      </c>
      <c r="F39" s="1062">
        <f>Masterlist!AO270</f>
        <v>15</v>
      </c>
      <c r="G39" s="1062">
        <f>Masterlist!AP270</f>
        <v>15</v>
      </c>
      <c r="H39" s="1062">
        <f>Masterlist!AQ270</f>
        <v>11</v>
      </c>
      <c r="I39" s="1062">
        <f>Masterlist!AR270</f>
        <v>20</v>
      </c>
      <c r="J39" s="1062">
        <f>Masterlist!AS270</f>
        <v>12</v>
      </c>
      <c r="K39" s="1062">
        <f>Masterlist!AT270</f>
        <v>9</v>
      </c>
      <c r="L39" s="1062">
        <f>Masterlist!AU270</f>
        <v>6</v>
      </c>
      <c r="M39" s="1062">
        <f>Masterlist!AV270</f>
        <v>8</v>
      </c>
      <c r="N39" s="1062">
        <f>Masterlist!AW270</f>
        <v>4</v>
      </c>
      <c r="O39" s="1062">
        <f>Masterlist!AX270</f>
        <v>10</v>
      </c>
      <c r="P39" s="1062">
        <f>Masterlist!AY270</f>
        <v>7</v>
      </c>
      <c r="Q39" s="191">
        <f>SUM(E39:P39)</f>
        <v>121</v>
      </c>
      <c r="R39" s="962">
        <f>(Q39-(HLOOKUP($D$1,yearendcumulative,291,FALSE)))/(HLOOKUP($D$1,yearendcumulative,291,FALSE))</f>
        <v>-0.1037037037037037</v>
      </c>
      <c r="S39" s="314">
        <f>(Q39-(HLOOKUP($D$1,Monthlyaveragecumulative,291,FALSE)))/(HLOOKUP($D$1,Monthlyaveragecumulative,291,FALSE))</f>
        <v>-3.968253968253968E-2</v>
      </c>
      <c r="T39" s="510"/>
      <c r="U39" s="1"/>
      <c r="V39" s="1"/>
      <c r="W39" s="1"/>
      <c r="X39" s="1"/>
    </row>
    <row r="40" spans="1:45" ht="15" customHeight="1" x14ac:dyDescent="0.35">
      <c r="A40" s="1"/>
      <c r="B40" s="3"/>
      <c r="C40" s="4"/>
      <c r="D40" s="211"/>
      <c r="E40" s="51"/>
      <c r="F40" s="51"/>
      <c r="G40" s="51"/>
      <c r="H40" s="51"/>
      <c r="I40" s="51"/>
      <c r="J40" s="51"/>
      <c r="K40" s="51"/>
      <c r="L40" s="51"/>
      <c r="M40" s="51"/>
      <c r="N40" s="51"/>
      <c r="O40" s="51"/>
      <c r="P40" s="51"/>
      <c r="Q40" s="192"/>
      <c r="R40" s="15"/>
      <c r="S40" s="15"/>
      <c r="T40" s="510"/>
      <c r="U40" s="1"/>
      <c r="V40" s="1"/>
      <c r="W40" s="1"/>
      <c r="X40" s="1"/>
    </row>
    <row r="41" spans="1:45" ht="45.75" customHeight="1" x14ac:dyDescent="0.35">
      <c r="A41" s="1"/>
      <c r="B41" s="959" t="s">
        <v>242</v>
      </c>
      <c r="C41" s="1054" t="s">
        <v>465</v>
      </c>
      <c r="D41" s="411">
        <f>'year end'!AD338</f>
        <v>409</v>
      </c>
      <c r="E41" s="55">
        <f>Masterlist!AN407</f>
        <v>35</v>
      </c>
      <c r="F41" s="55">
        <f>Masterlist!AO407</f>
        <v>42</v>
      </c>
      <c r="G41" s="55">
        <f>Masterlist!AP407</f>
        <v>53</v>
      </c>
      <c r="H41" s="55">
        <f>Masterlist!AQ407</f>
        <v>54</v>
      </c>
      <c r="I41" s="55">
        <f>Masterlist!AR407</f>
        <v>74</v>
      </c>
      <c r="J41" s="55">
        <f>Masterlist!AS407</f>
        <v>66</v>
      </c>
      <c r="K41" s="55">
        <f>Masterlist!AT407</f>
        <v>68</v>
      </c>
      <c r="L41" s="55">
        <f>Masterlist!AU407</f>
        <v>58</v>
      </c>
      <c r="M41" s="55">
        <f>Masterlist!AV407</f>
        <v>73</v>
      </c>
      <c r="N41" s="55">
        <f>Masterlist!AW407</f>
        <v>71</v>
      </c>
      <c r="O41" s="55">
        <f>Masterlist!AX407</f>
        <v>49</v>
      </c>
      <c r="P41" s="55" t="s">
        <v>210</v>
      </c>
      <c r="Q41" s="193" t="s">
        <v>210</v>
      </c>
      <c r="R41" s="704" t="s">
        <v>210</v>
      </c>
      <c r="S41" s="300" t="e">
        <f>(Q41-(HLOOKUP($D$1,Monthlyaveragecumulative,337,FALSE)))/(HLOOKUP($D$1,Monthlyaveragecumulative,337,FALSE))</f>
        <v>#VALUE!</v>
      </c>
      <c r="T41" s="510"/>
      <c r="U41" s="1"/>
      <c r="V41" s="1"/>
      <c r="W41" s="1"/>
      <c r="X41" s="1"/>
    </row>
    <row r="42" spans="1:45" ht="15" customHeight="1" x14ac:dyDescent="0.35">
      <c r="A42" s="1"/>
      <c r="B42" s="2"/>
      <c r="C42" s="2"/>
      <c r="D42" s="17"/>
      <c r="E42" s="52"/>
      <c r="F42" s="52"/>
      <c r="G42" s="52"/>
      <c r="H42" s="52"/>
      <c r="I42" s="52"/>
      <c r="J42" s="52"/>
      <c r="K42" s="52"/>
      <c r="L42" s="52"/>
      <c r="M42" s="52"/>
      <c r="N42" s="1099"/>
      <c r="O42" s="52"/>
      <c r="P42" s="52"/>
      <c r="Q42" s="271"/>
      <c r="R42" s="315"/>
      <c r="S42" s="315"/>
      <c r="T42" s="510"/>
      <c r="U42" s="1"/>
      <c r="V42" s="1"/>
      <c r="W42" s="1"/>
      <c r="X42" s="1"/>
      <c r="AN42" s="152"/>
      <c r="AO42" s="152"/>
      <c r="AP42" s="152"/>
      <c r="AQ42" s="152"/>
      <c r="AR42" s="152"/>
      <c r="AS42" s="152"/>
    </row>
    <row r="43" spans="1:45" ht="26" x14ac:dyDescent="0.35">
      <c r="A43" s="1"/>
      <c r="B43" s="953" t="s">
        <v>377</v>
      </c>
      <c r="C43" s="989" t="s">
        <v>359</v>
      </c>
      <c r="D43" s="954">
        <f>'year end'!AD317</f>
        <v>429</v>
      </c>
      <c r="E43" s="443">
        <f>Masterlist!AN295</f>
        <v>27</v>
      </c>
      <c r="F43" s="55">
        <f>Masterlist!AO295</f>
        <v>38</v>
      </c>
      <c r="G43" s="55">
        <f>Masterlist!AP295</f>
        <v>24</v>
      </c>
      <c r="H43" s="55">
        <f>Masterlist!AQ295</f>
        <v>48</v>
      </c>
      <c r="I43" s="55">
        <f>Masterlist!AR295</f>
        <v>69</v>
      </c>
      <c r="J43" s="55">
        <f>Masterlist!AS295</f>
        <v>31</v>
      </c>
      <c r="K43" s="55">
        <f>Masterlist!AT295</f>
        <v>27</v>
      </c>
      <c r="L43" s="55">
        <f>Masterlist!AU295</f>
        <v>30</v>
      </c>
      <c r="M43" s="55">
        <f>Masterlist!AV295</f>
        <v>39</v>
      </c>
      <c r="N43" s="55">
        <f>Masterlist!AW295</f>
        <v>23</v>
      </c>
      <c r="O43" s="55">
        <f>Masterlist!AX295</f>
        <v>34</v>
      </c>
      <c r="P43" s="55">
        <f>Masterlist!AY295</f>
        <v>35</v>
      </c>
      <c r="Q43" s="193">
        <f t="shared" ref="Q43" si="14">SUM(E43:P43)</f>
        <v>425</v>
      </c>
      <c r="R43" s="300">
        <f>(Q43-(HLOOKUP($D$1,yearendcumulative,316,FALSE)))/(HLOOKUP($D$1,yearendcumulative,316,FALSE))</f>
        <v>-9.324009324009324E-3</v>
      </c>
      <c r="S43" s="606">
        <f>(Q43-(HLOOKUP($D$1,Monthlyaveragecumulative,316,FALSE)))/(HLOOKUP($D$1,Monthlyaveragecumulative,316,FALSE))</f>
        <v>0.20738636363636365</v>
      </c>
      <c r="T43" s="510"/>
      <c r="U43" s="1"/>
      <c r="V43" s="1"/>
      <c r="W43" s="1"/>
      <c r="X43" s="1"/>
    </row>
    <row r="44" spans="1:45" x14ac:dyDescent="0.35">
      <c r="C44" s="140"/>
      <c r="D44" s="137"/>
      <c r="E44" s="133"/>
      <c r="F44" s="1136"/>
      <c r="G44" s="1136"/>
      <c r="H44" s="1136"/>
      <c r="I44" s="1136"/>
      <c r="J44" s="1136"/>
      <c r="K44" s="1136"/>
      <c r="L44" s="1136"/>
      <c r="M44" s="1136"/>
      <c r="N44" s="1136"/>
      <c r="O44" s="1136"/>
      <c r="P44" s="1136"/>
      <c r="Q44" s="212"/>
      <c r="R44" s="301"/>
      <c r="S44" s="301"/>
      <c r="T44" s="510"/>
    </row>
    <row r="45" spans="1:45" ht="26" x14ac:dyDescent="0.35">
      <c r="A45" s="1"/>
      <c r="B45" s="700" t="s">
        <v>382</v>
      </c>
      <c r="C45" s="1055" t="s">
        <v>314</v>
      </c>
      <c r="D45" s="455">
        <f>'year end'!AD356</f>
        <v>116</v>
      </c>
      <c r="E45" s="480">
        <f>Masterlist!AN485</f>
        <v>2</v>
      </c>
      <c r="F45" s="480">
        <f>Masterlist!AO485</f>
        <v>6</v>
      </c>
      <c r="G45" s="480">
        <f>Masterlist!AP485</f>
        <v>3</v>
      </c>
      <c r="H45" s="480">
        <f>Masterlist!AQ485</f>
        <v>5</v>
      </c>
      <c r="I45" s="480">
        <f>Masterlist!AR485</f>
        <v>10</v>
      </c>
      <c r="J45" s="480">
        <f>Masterlist!AS485</f>
        <v>9</v>
      </c>
      <c r="K45" s="480">
        <f>Masterlist!AT485</f>
        <v>9</v>
      </c>
      <c r="L45" s="480">
        <f>Masterlist!AU485</f>
        <v>8</v>
      </c>
      <c r="M45" s="480">
        <f>Masterlist!AV485</f>
        <v>7</v>
      </c>
      <c r="N45" s="480">
        <f>Masterlist!AW485</f>
        <v>9</v>
      </c>
      <c r="O45" s="480">
        <f>Masterlist!AX485</f>
        <v>3</v>
      </c>
      <c r="P45" s="480">
        <f>Masterlist!AY485</f>
        <v>8</v>
      </c>
      <c r="Q45" s="437">
        <f>SUM(E45:P45)</f>
        <v>79</v>
      </c>
      <c r="R45" s="439">
        <f>(Q45-(HLOOKUP($D$1,yearendcumulative,355,FALSE)))/(HLOOKUP($D$1,yearendcumulative,355,FALSE))</f>
        <v>-0.31896551724137934</v>
      </c>
      <c r="S45" s="481" t="s">
        <v>206</v>
      </c>
      <c r="T45" s="510"/>
      <c r="U45" s="1"/>
      <c r="V45" s="1"/>
      <c r="W45" s="1"/>
      <c r="X45" s="1"/>
    </row>
    <row r="46" spans="1:45" x14ac:dyDescent="0.35">
      <c r="A46" s="1"/>
      <c r="B46" s="155"/>
      <c r="C46" s="451"/>
      <c r="D46" s="103"/>
      <c r="E46" s="211"/>
      <c r="F46" s="51"/>
      <c r="G46" s="51"/>
      <c r="H46" s="51"/>
      <c r="I46" s="51"/>
      <c r="J46" s="51"/>
      <c r="K46" s="51"/>
      <c r="L46" s="51"/>
      <c r="M46" s="51"/>
      <c r="N46" s="51"/>
      <c r="O46" s="51"/>
      <c r="P46" s="51"/>
      <c r="Q46" s="51"/>
      <c r="R46" s="448"/>
      <c r="S46" s="1"/>
      <c r="T46" s="510"/>
      <c r="U46" s="1"/>
      <c r="V46" s="1"/>
      <c r="W46" s="1"/>
      <c r="X46" s="1"/>
    </row>
    <row r="47" spans="1:45" ht="15" customHeight="1" x14ac:dyDescent="0.35">
      <c r="A47" s="1"/>
      <c r="B47" s="1212" t="s">
        <v>241</v>
      </c>
      <c r="C47" s="416" t="s">
        <v>64</v>
      </c>
      <c r="D47" s="245">
        <f>'year end'!AD324</f>
        <v>3386</v>
      </c>
      <c r="E47" s="475">
        <f>Masterlist!AN395</f>
        <v>292</v>
      </c>
      <c r="F47" s="475">
        <f>Masterlist!AO395</f>
        <v>304</v>
      </c>
      <c r="G47" s="475">
        <f>Masterlist!AP395</f>
        <v>320</v>
      </c>
      <c r="H47" s="475">
        <f>Masterlist!AQ395</f>
        <v>331</v>
      </c>
      <c r="I47" s="475">
        <f>Masterlist!AR395</f>
        <v>324</v>
      </c>
      <c r="J47" s="475">
        <f>Masterlist!AS395</f>
        <v>301</v>
      </c>
      <c r="K47" s="475">
        <f>Masterlist!AT395</f>
        <v>314</v>
      </c>
      <c r="L47" s="475">
        <f>Masterlist!AU395</f>
        <v>250</v>
      </c>
      <c r="M47" s="475">
        <f>Masterlist!AV395</f>
        <v>211</v>
      </c>
      <c r="N47" s="475">
        <f>Masterlist!AW395</f>
        <v>255</v>
      </c>
      <c r="O47" s="475">
        <f>Masterlist!AX395</f>
        <v>254</v>
      </c>
      <c r="P47" s="475">
        <f>Masterlist!AY395</f>
        <v>333</v>
      </c>
      <c r="Q47" s="48">
        <f>SUM(E47:P47)</f>
        <v>3489</v>
      </c>
      <c r="R47" s="303">
        <f>(Q47-(HLOOKUP($D$1,yearendcumulative,323,FALSE)))/(HLOOKUP($D$1,yearendcumulative,323,FALSE))</f>
        <v>3.0419373892498523E-2</v>
      </c>
      <c r="S47" s="303">
        <f>(Q47-(HLOOKUP($D$1,Monthlyaveragecumulative,323,FALSE)))/(HLOOKUP($D$1,Monthlyaveragecumulative,323,FALSE))</f>
        <v>-0.40215901302261825</v>
      </c>
      <c r="T47" s="510"/>
      <c r="U47" s="1"/>
      <c r="V47" s="1"/>
      <c r="W47" s="1"/>
      <c r="X47" s="1"/>
    </row>
    <row r="48" spans="1:45" x14ac:dyDescent="0.35">
      <c r="A48" s="1"/>
      <c r="B48" s="1212"/>
      <c r="C48" s="229" t="s">
        <v>11</v>
      </c>
      <c r="D48" s="106">
        <f>'year end'!AD325</f>
        <v>795</v>
      </c>
      <c r="E48" s="97">
        <f>Masterlist!AN396</f>
        <v>108</v>
      </c>
      <c r="F48" s="97">
        <f>Masterlist!AO396</f>
        <v>105</v>
      </c>
      <c r="G48" s="97">
        <f>Masterlist!AP396</f>
        <v>93</v>
      </c>
      <c r="H48" s="97">
        <f>Masterlist!AQ396</f>
        <v>94</v>
      </c>
      <c r="I48" s="97">
        <f>Masterlist!AR396</f>
        <v>84</v>
      </c>
      <c r="J48" s="97">
        <f>Masterlist!AS396</f>
        <v>107</v>
      </c>
      <c r="K48" s="97">
        <f>Masterlist!AT396</f>
        <v>87</v>
      </c>
      <c r="L48" s="97">
        <f>Masterlist!AU396</f>
        <v>91</v>
      </c>
      <c r="M48" s="97">
        <f>Masterlist!AV396</f>
        <v>57</v>
      </c>
      <c r="N48" s="97">
        <f>Masterlist!AW396</f>
        <v>75</v>
      </c>
      <c r="O48" s="97">
        <f>Masterlist!AX396</f>
        <v>61</v>
      </c>
      <c r="P48" s="97">
        <f>Masterlist!AY396</f>
        <v>87</v>
      </c>
      <c r="Q48" s="49">
        <f t="shared" ref="Q48:Q50" si="15">SUM(E48:P48)</f>
        <v>1049</v>
      </c>
      <c r="R48" s="304">
        <f>(Q48-(HLOOKUP($D$1,yearendcumulative,324,FALSE)))/(HLOOKUP($D$1,yearendcumulative,324,FALSE))</f>
        <v>0.31949685534591193</v>
      </c>
      <c r="S48" s="304">
        <f>(Q48-(HLOOKUP($D$1,Monthlyaveragecumulative,324,FALSE)))/(HLOOKUP($D$1,Monthlyaveragecumulative,324,FALSE))</f>
        <v>0.24289099526066352</v>
      </c>
      <c r="T48" s="510"/>
      <c r="U48" s="1"/>
      <c r="V48" s="1"/>
      <c r="W48" s="1"/>
      <c r="X48" s="1"/>
    </row>
    <row r="49" spans="1:24" x14ac:dyDescent="0.35">
      <c r="A49" s="1"/>
      <c r="B49" s="1212"/>
      <c r="C49" s="229" t="s">
        <v>12</v>
      </c>
      <c r="D49" s="106">
        <f>'year end'!AD326</f>
        <v>2236</v>
      </c>
      <c r="E49" s="97">
        <f>Masterlist!AN397</f>
        <v>166</v>
      </c>
      <c r="F49" s="97">
        <f>Masterlist!AO397</f>
        <v>174</v>
      </c>
      <c r="G49" s="97">
        <f>Masterlist!AP397</f>
        <v>209</v>
      </c>
      <c r="H49" s="97">
        <f>Masterlist!AQ397</f>
        <v>218</v>
      </c>
      <c r="I49" s="97">
        <f>Masterlist!AR397</f>
        <v>212</v>
      </c>
      <c r="J49" s="97">
        <f>Masterlist!AS397</f>
        <v>178</v>
      </c>
      <c r="K49" s="97">
        <f>Masterlist!AT397</f>
        <v>201</v>
      </c>
      <c r="L49" s="97">
        <f>Masterlist!AU397</f>
        <v>146</v>
      </c>
      <c r="M49" s="97">
        <f>Masterlist!AV397</f>
        <v>143</v>
      </c>
      <c r="N49" s="97">
        <f>Masterlist!AW397</f>
        <v>168</v>
      </c>
      <c r="O49" s="97">
        <f>Masterlist!AX397</f>
        <v>174</v>
      </c>
      <c r="P49" s="97">
        <f>Masterlist!AY397</f>
        <v>223</v>
      </c>
      <c r="Q49" s="49">
        <f t="shared" si="15"/>
        <v>2212</v>
      </c>
      <c r="R49" s="304">
        <f>(Q49-(HLOOKUP($D$1,yearendcumulative,325,FALSE)))/(HLOOKUP($D$1,yearendcumulative,325,FALSE))</f>
        <v>-1.0733452593917709E-2</v>
      </c>
      <c r="S49" s="304">
        <f>(Q49-(HLOOKUP($D$1,Monthlyaveragecumulative,325,FALSE)))/(HLOOKUP($D$1,Monthlyaveragecumulative,325,FALSE))</f>
        <v>-0.47916176124323051</v>
      </c>
      <c r="T49" s="510"/>
      <c r="U49" s="1"/>
      <c r="V49" s="1"/>
      <c r="W49" s="1"/>
      <c r="X49" s="1"/>
    </row>
    <row r="50" spans="1:24" x14ac:dyDescent="0.35">
      <c r="A50" s="1"/>
      <c r="B50" s="1212"/>
      <c r="C50" s="290" t="s">
        <v>13</v>
      </c>
      <c r="D50" s="247">
        <f>'year end'!AD327</f>
        <v>355</v>
      </c>
      <c r="E50" s="239">
        <f>Masterlist!AN398</f>
        <v>18</v>
      </c>
      <c r="F50" s="239">
        <f>Masterlist!AO398</f>
        <v>25</v>
      </c>
      <c r="G50" s="239">
        <f>Masterlist!AP398</f>
        <v>18</v>
      </c>
      <c r="H50" s="239">
        <f>Masterlist!AQ398</f>
        <v>19</v>
      </c>
      <c r="I50" s="239">
        <f>Masterlist!AR398</f>
        <v>28</v>
      </c>
      <c r="J50" s="239">
        <f>Masterlist!AS398</f>
        <v>16</v>
      </c>
      <c r="K50" s="239">
        <f>Masterlist!AT398</f>
        <v>26</v>
      </c>
      <c r="L50" s="239">
        <f>Masterlist!AU398</f>
        <v>13</v>
      </c>
      <c r="M50" s="239">
        <f>Masterlist!AV398</f>
        <v>11</v>
      </c>
      <c r="N50" s="239">
        <f>Masterlist!AW398</f>
        <v>12</v>
      </c>
      <c r="O50" s="239">
        <f>Masterlist!AX398</f>
        <v>19</v>
      </c>
      <c r="P50" s="239">
        <f>Masterlist!AY398</f>
        <v>23</v>
      </c>
      <c r="Q50" s="49">
        <f t="shared" si="15"/>
        <v>228</v>
      </c>
      <c r="R50" s="305">
        <f>(Q50-(HLOOKUP($D$1,yearendcumulative,326,FALSE)))/(HLOOKUP($D$1,yearendcumulative, 326,FALSE))</f>
        <v>-0.35774647887323946</v>
      </c>
      <c r="S50" s="305">
        <f>(Q50-(HLOOKUP($D$1,Monthlyaveragecumulative,326,FALSE)))/(HLOOKUP($D$1,Monthlyaveragecumulative,326,FALSE))</f>
        <v>-0.69354838709677424</v>
      </c>
      <c r="T50" s="510"/>
      <c r="U50" s="1"/>
      <c r="V50" s="1"/>
      <c r="W50" s="1"/>
      <c r="X50" s="1"/>
    </row>
    <row r="51" spans="1:24" hidden="1" x14ac:dyDescent="0.35">
      <c r="A51" s="1"/>
      <c r="B51" s="1212"/>
      <c r="C51" s="266" t="s">
        <v>257</v>
      </c>
      <c r="D51" s="262">
        <f>'year end'!AD327</f>
        <v>355</v>
      </c>
      <c r="E51" s="53" t="s">
        <v>210</v>
      </c>
      <c r="F51" s="1118">
        <f>Masterlist!AO463</f>
        <v>0</v>
      </c>
      <c r="G51" s="1118">
        <f>Masterlist!AP463</f>
        <v>0</v>
      </c>
      <c r="H51" s="1118">
        <f>Masterlist!AQ463</f>
        <v>0</v>
      </c>
      <c r="I51" s="1118">
        <f>Masterlist!AR463</f>
        <v>0</v>
      </c>
      <c r="J51" s="1118">
        <f>Masterlist!AS463</f>
        <v>0</v>
      </c>
      <c r="K51" s="1118">
        <f>Masterlist!AT463</f>
        <v>0</v>
      </c>
      <c r="L51" s="1118">
        <f>Masterlist!AU463</f>
        <v>0</v>
      </c>
      <c r="M51" s="1118">
        <f>Masterlist!AV463</f>
        <v>0</v>
      </c>
      <c r="N51" s="1118">
        <f>Masterlist!AW463</f>
        <v>0</v>
      </c>
      <c r="O51" s="1118">
        <f>Masterlist!AX463</f>
        <v>0</v>
      </c>
      <c r="P51" s="1118">
        <f>Masterlist!AY463</f>
        <v>0</v>
      </c>
      <c r="Q51" s="1057">
        <f>SUM(E51:P51)</f>
        <v>0</v>
      </c>
      <c r="R51" s="305">
        <f>(Q51-(HLOOKUP($D$1,yearendcumulative,327,FALSE)))/(HLOOKUP($D$1,yearendcumulative,327,FALSE))</f>
        <v>-1</v>
      </c>
      <c r="S51" s="305">
        <f>(Q51-(HLOOKUP($D$1,Monthlyaveragecumulative,327,FALSE)))/(HLOOKUP($D$1,Monthlyaveragecumulative,327,FALSE))</f>
        <v>-1</v>
      </c>
      <c r="T51" s="510"/>
      <c r="U51" s="1"/>
      <c r="V51" s="1"/>
      <c r="W51" s="1"/>
      <c r="X51" s="1"/>
    </row>
    <row r="52" spans="1:24" x14ac:dyDescent="0.35">
      <c r="A52" s="1"/>
      <c r="B52" s="626"/>
      <c r="C52" s="265" t="s">
        <v>385</v>
      </c>
      <c r="D52" s="707">
        <f>'year end'!AD328</f>
        <v>39</v>
      </c>
      <c r="E52" s="443">
        <f>Masterlist!AN341</f>
        <v>2</v>
      </c>
      <c r="F52" s="239">
        <f>Masterlist!AO341</f>
        <v>7</v>
      </c>
      <c r="G52" s="239">
        <f>Masterlist!AP341</f>
        <v>15</v>
      </c>
      <c r="H52" s="239">
        <f>Masterlist!AQ341</f>
        <v>6</v>
      </c>
      <c r="I52" s="239">
        <f>Masterlist!AR341</f>
        <v>11</v>
      </c>
      <c r="J52" s="53">
        <f>Masterlist!AS341</f>
        <v>2</v>
      </c>
      <c r="K52" s="53">
        <f>Masterlist!AT341</f>
        <v>5</v>
      </c>
      <c r="L52" s="53">
        <f>Masterlist!AU341</f>
        <v>1</v>
      </c>
      <c r="M52" s="53">
        <f>Masterlist!AV341</f>
        <v>3</v>
      </c>
      <c r="N52" s="53">
        <f>Masterlist!AW341</f>
        <v>4</v>
      </c>
      <c r="O52" s="53">
        <f>Masterlist!AX341</f>
        <v>8</v>
      </c>
      <c r="P52" s="53">
        <f>Masterlist!AY341</f>
        <v>4</v>
      </c>
      <c r="Q52" s="437">
        <f>SUM(E52:I52)</f>
        <v>41</v>
      </c>
      <c r="R52" s="305">
        <f>(Q52-(HLOOKUP($D$1,yearendcumulative,327,FALSE)))/(HLOOKUP($D$1,yearendcumulative, 327,FALSE))</f>
        <v>5.128205128205128E-2</v>
      </c>
      <c r="S52" s="439">
        <f>(Q52-(HLOOKUP($D$1,Monthlyaveragecumulative,327,FALSE)))/(HLOOKUP($D$1,Monthlyaveragecumulative,327,FALSE))</f>
        <v>-0.10869565217391304</v>
      </c>
      <c r="T52" s="510"/>
      <c r="U52" s="1"/>
      <c r="V52" s="1"/>
      <c r="W52" s="1"/>
      <c r="X52" s="1"/>
    </row>
    <row r="53" spans="1:24" ht="15.75" customHeight="1" x14ac:dyDescent="0.35">
      <c r="A53" s="1"/>
      <c r="B53" s="1"/>
      <c r="C53" s="1"/>
      <c r="D53" s="1"/>
      <c r="E53" s="1"/>
      <c r="F53" s="95"/>
      <c r="G53" s="95"/>
      <c r="H53" s="95"/>
      <c r="I53" s="95"/>
      <c r="J53" s="95"/>
      <c r="K53" s="95"/>
      <c r="L53" s="95"/>
      <c r="M53" s="95"/>
      <c r="N53" s="95"/>
      <c r="O53" s="95"/>
      <c r="P53" s="95"/>
      <c r="Q53" s="95"/>
      <c r="R53" s="1"/>
      <c r="S53" s="1"/>
      <c r="T53" s="1"/>
      <c r="U53" s="1"/>
      <c r="V53" s="1"/>
      <c r="W53" s="1"/>
      <c r="X53" s="1"/>
    </row>
    <row r="54" spans="1:24" ht="48.4" customHeight="1" x14ac:dyDescent="0.35">
      <c r="A54" s="1"/>
      <c r="B54" s="1000" t="s">
        <v>383</v>
      </c>
      <c r="C54" s="990" t="s">
        <v>360</v>
      </c>
      <c r="D54" s="1046">
        <f>'year end'!AD318</f>
        <v>4067</v>
      </c>
      <c r="E54" s="443">
        <f>Masterlist!AN296</f>
        <v>328</v>
      </c>
      <c r="F54" s="55">
        <f>Masterlist!AO296</f>
        <v>340</v>
      </c>
      <c r="G54" s="55">
        <f>Masterlist!AP296</f>
        <v>339</v>
      </c>
      <c r="H54" s="55">
        <f>Masterlist!AQ296</f>
        <v>379</v>
      </c>
      <c r="I54" s="55">
        <f>Masterlist!AR296</f>
        <v>364</v>
      </c>
      <c r="J54" s="55">
        <f>Masterlist!AS296</f>
        <v>336</v>
      </c>
      <c r="K54" s="55">
        <f>Masterlist!AT296</f>
        <v>366</v>
      </c>
      <c r="L54" s="55">
        <f>Masterlist!AU296</f>
        <v>293</v>
      </c>
      <c r="M54" s="55">
        <f>Masterlist!AV296</f>
        <v>359</v>
      </c>
      <c r="N54" s="55">
        <f>Masterlist!AW296</f>
        <v>341</v>
      </c>
      <c r="O54" s="55">
        <f>Masterlist!AX296</f>
        <v>345</v>
      </c>
      <c r="P54" s="55">
        <f>Masterlist!AY296</f>
        <v>372</v>
      </c>
      <c r="Q54" s="193">
        <f>SUM(E54:P54)</f>
        <v>4162</v>
      </c>
      <c r="R54" s="300">
        <f>(Q54-(HLOOKUP($D$1,yearendcumulative,317,FALSE)))/(HLOOKUP($D$1,yearendcumulative,317,FALSE))</f>
        <v>2.3358741086796163E-2</v>
      </c>
      <c r="S54" s="294">
        <f>(Q54-(HLOOKUP($D$1,Monthlyaveragecumulative,317,FALSE)))/(HLOOKUP($D$1,Monthlyaveragecumulative,317,FALSE))</f>
        <v>-3.2992565055762084E-2</v>
      </c>
      <c r="T54" s="510"/>
      <c r="U54" s="1"/>
      <c r="V54" s="1"/>
      <c r="W54" s="1"/>
      <c r="X54" s="1"/>
    </row>
    <row r="55" spans="1:24" s="635" customFormat="1" x14ac:dyDescent="0.35">
      <c r="B55" s="807"/>
      <c r="C55" s="976"/>
      <c r="D55" s="915"/>
      <c r="E55" s="915"/>
      <c r="F55" s="931"/>
      <c r="G55" s="931"/>
      <c r="H55" s="915"/>
      <c r="I55" s="931"/>
      <c r="J55" s="915"/>
      <c r="K55" s="915"/>
      <c r="L55" s="915"/>
      <c r="M55" s="915"/>
      <c r="N55" s="931"/>
      <c r="O55" s="915"/>
      <c r="P55" s="931"/>
      <c r="Q55" s="915"/>
      <c r="R55" s="819"/>
      <c r="S55" s="808"/>
      <c r="T55" s="511"/>
      <c r="U55" s="483"/>
      <c r="V55" s="483"/>
      <c r="W55" s="483"/>
      <c r="X55" s="483"/>
    </row>
    <row r="56" spans="1:24" s="635" customFormat="1" ht="85.5" customHeight="1" x14ac:dyDescent="0.35">
      <c r="A56" s="719"/>
      <c r="B56" s="822" t="s">
        <v>80</v>
      </c>
      <c r="C56" s="813" t="s">
        <v>522</v>
      </c>
      <c r="D56" s="1200" t="s">
        <v>464</v>
      </c>
      <c r="E56" s="1200"/>
      <c r="F56" s="1200"/>
      <c r="G56" s="1200"/>
      <c r="H56" s="1200"/>
      <c r="I56" s="1200"/>
      <c r="J56" s="1200"/>
      <c r="K56" s="1200"/>
      <c r="L56" s="1200"/>
      <c r="M56" s="1200"/>
      <c r="N56" s="1200"/>
      <c r="O56" s="1200"/>
      <c r="P56" s="1200"/>
      <c r="Q56" s="1200"/>
      <c r="R56" s="1200"/>
      <c r="S56" s="1200"/>
      <c r="T56" s="511"/>
      <c r="U56" s="483"/>
      <c r="V56" s="483"/>
      <c r="W56" s="483"/>
      <c r="X56" s="483"/>
    </row>
    <row r="57" spans="1:24" s="635" customFormat="1" x14ac:dyDescent="0.35">
      <c r="A57" s="719"/>
      <c r="B57" s="822"/>
      <c r="C57" s="813" t="s">
        <v>182</v>
      </c>
      <c r="D57" s="977"/>
      <c r="E57" s="977"/>
      <c r="F57" s="1094"/>
      <c r="G57" s="1094"/>
      <c r="H57" s="1042"/>
      <c r="I57" s="1094"/>
      <c r="J57" s="1042"/>
      <c r="K57" s="1042"/>
      <c r="L57" s="1042"/>
      <c r="M57" s="1042"/>
      <c r="N57" s="1094"/>
      <c r="O57" s="1042"/>
      <c r="P57" s="1094"/>
      <c r="Q57" s="1042"/>
      <c r="R57" s="977"/>
      <c r="S57" s="977"/>
      <c r="T57" s="511"/>
      <c r="U57" s="483"/>
      <c r="V57" s="483"/>
      <c r="W57" s="483"/>
      <c r="X57" s="483"/>
    </row>
    <row r="58" spans="1:24" s="635" customFormat="1" x14ac:dyDescent="0.35">
      <c r="B58" s="807"/>
      <c r="C58" s="978" t="s">
        <v>452</v>
      </c>
      <c r="D58" s="915"/>
      <c r="E58" s="915"/>
      <c r="F58" s="931"/>
      <c r="G58" s="931"/>
      <c r="H58" s="915"/>
      <c r="I58" s="931"/>
      <c r="J58" s="915"/>
      <c r="K58" s="915"/>
      <c r="L58" s="915"/>
      <c r="M58" s="915"/>
      <c r="N58" s="931"/>
      <c r="O58" s="915"/>
      <c r="P58" s="931"/>
      <c r="Q58" s="915"/>
      <c r="R58" s="819"/>
      <c r="S58" s="808"/>
      <c r="T58" s="511"/>
      <c r="U58" s="483"/>
      <c r="V58" s="483"/>
      <c r="W58" s="483"/>
      <c r="X58" s="483"/>
    </row>
    <row r="59" spans="1:24" s="635" customFormat="1" x14ac:dyDescent="0.35">
      <c r="B59" s="807"/>
      <c r="C59" s="978" t="s">
        <v>453</v>
      </c>
      <c r="D59" s="915"/>
      <c r="E59" s="915"/>
      <c r="F59" s="931"/>
      <c r="G59" s="931"/>
      <c r="H59" s="915"/>
      <c r="I59" s="931"/>
      <c r="J59" s="915"/>
      <c r="K59" s="915"/>
      <c r="L59" s="915"/>
      <c r="M59" s="915"/>
      <c r="N59" s="931"/>
      <c r="O59" s="915"/>
      <c r="P59" s="931"/>
      <c r="Q59" s="915"/>
      <c r="R59" s="819"/>
      <c r="S59" s="808"/>
      <c r="T59" s="511"/>
      <c r="U59" s="483"/>
      <c r="V59" s="483"/>
      <c r="W59" s="483"/>
      <c r="X59" s="483"/>
    </row>
    <row r="60" spans="1:24" s="635" customFormat="1" x14ac:dyDescent="0.35">
      <c r="B60" s="807"/>
      <c r="C60" s="976"/>
      <c r="D60" s="915"/>
      <c r="E60" s="915"/>
      <c r="F60" s="931"/>
      <c r="G60" s="931"/>
      <c r="H60" s="915"/>
      <c r="I60" s="931"/>
      <c r="J60" s="915"/>
      <c r="K60" s="915"/>
      <c r="L60" s="915"/>
      <c r="M60" s="915"/>
      <c r="N60" s="931"/>
      <c r="O60" s="915"/>
      <c r="P60" s="931"/>
      <c r="Q60" s="915"/>
      <c r="R60" s="819"/>
      <c r="S60" s="808"/>
      <c r="T60" s="511"/>
      <c r="U60" s="483"/>
      <c r="V60" s="483"/>
      <c r="W60" s="483"/>
      <c r="X60" s="483"/>
    </row>
    <row r="61" spans="1:24" s="635" customFormat="1" x14ac:dyDescent="0.35">
      <c r="A61" s="10"/>
      <c r="B61" s="10" t="s">
        <v>211</v>
      </c>
      <c r="C61" s="809"/>
      <c r="D61" s="916"/>
      <c r="E61" s="809"/>
      <c r="F61" s="931"/>
      <c r="G61" s="931"/>
      <c r="H61" s="915"/>
      <c r="I61" s="931"/>
      <c r="J61" s="915"/>
      <c r="K61" s="915"/>
      <c r="L61" s="915"/>
      <c r="M61" s="915"/>
      <c r="N61" s="931"/>
      <c r="O61" s="915"/>
      <c r="P61" s="931"/>
      <c r="Q61" s="915"/>
      <c r="R61" s="819"/>
      <c r="S61" s="809"/>
      <c r="T61" s="511"/>
      <c r="U61" s="483"/>
      <c r="V61" s="483"/>
      <c r="W61" s="483"/>
      <c r="X61" s="483"/>
    </row>
    <row r="62" spans="1:24" x14ac:dyDescent="0.35">
      <c r="A62" s="1"/>
      <c r="B62" s="716"/>
      <c r="C62" s="54"/>
      <c r="D62" s="2"/>
      <c r="E62" s="717"/>
      <c r="F62" s="465"/>
      <c r="G62" s="465"/>
      <c r="H62" s="96"/>
      <c r="I62" s="465"/>
      <c r="J62" s="96"/>
      <c r="K62" s="96"/>
      <c r="L62" s="96"/>
      <c r="M62" s="96"/>
      <c r="N62" s="465"/>
      <c r="O62" s="96"/>
      <c r="P62" s="465"/>
      <c r="Q62" s="96"/>
      <c r="R62" s="293"/>
      <c r="S62" s="716"/>
      <c r="T62" s="510"/>
      <c r="U62" s="1"/>
      <c r="V62" s="1"/>
      <c r="W62" s="1"/>
      <c r="X62" s="1"/>
    </row>
    <row r="63" spans="1:24" x14ac:dyDescent="0.35">
      <c r="A63" s="1"/>
      <c r="B63" s="716"/>
      <c r="C63" s="54"/>
      <c r="D63" s="717"/>
      <c r="E63" s="96"/>
      <c r="F63" s="465"/>
      <c r="G63" s="465"/>
      <c r="H63" s="96"/>
      <c r="I63" s="465"/>
      <c r="J63" s="96"/>
      <c r="K63" s="96"/>
      <c r="L63" s="96"/>
      <c r="M63" s="96"/>
      <c r="N63" s="465"/>
      <c r="O63" s="96"/>
      <c r="P63" s="465"/>
      <c r="Q63" s="96"/>
      <c r="R63" s="293"/>
      <c r="S63" s="716"/>
      <c r="T63" s="510"/>
      <c r="U63" s="1"/>
      <c r="V63" s="1"/>
      <c r="W63" s="1"/>
      <c r="X63" s="1"/>
    </row>
    <row r="64" spans="1:24" x14ac:dyDescent="0.35">
      <c r="A64" s="1"/>
      <c r="C64" s="2"/>
      <c r="D64" s="198"/>
      <c r="E64" s="2"/>
      <c r="F64" s="465"/>
      <c r="G64" s="465"/>
      <c r="H64" s="96"/>
      <c r="I64" s="465"/>
      <c r="J64" s="96"/>
      <c r="K64" s="96"/>
      <c r="L64" s="96"/>
      <c r="M64" s="96"/>
      <c r="N64" s="465"/>
      <c r="O64" s="96"/>
      <c r="P64" s="465"/>
      <c r="Q64" s="96"/>
      <c r="R64" s="293"/>
      <c r="S64" s="1"/>
      <c r="T64" s="510"/>
      <c r="U64" s="1"/>
      <c r="V64" s="1"/>
      <c r="W64" s="1"/>
      <c r="X64" s="1"/>
    </row>
    <row r="65" spans="2:18" x14ac:dyDescent="0.35">
      <c r="B65" s="637"/>
      <c r="C65" s="637"/>
      <c r="D65" s="637"/>
      <c r="E65" s="637"/>
      <c r="F65" s="1100"/>
      <c r="G65" s="1100"/>
      <c r="H65" s="638"/>
      <c r="I65" s="1100"/>
      <c r="J65" s="638"/>
      <c r="K65" s="638"/>
      <c r="L65" s="638"/>
      <c r="M65" s="638"/>
      <c r="N65" s="1100"/>
      <c r="O65" s="638"/>
      <c r="P65" s="1100"/>
      <c r="Q65" s="638"/>
      <c r="R65" s="639"/>
    </row>
    <row r="66" spans="2:18" x14ac:dyDescent="0.35">
      <c r="B66" s="637"/>
      <c r="C66" s="637"/>
      <c r="D66" s="637"/>
      <c r="E66" s="637"/>
      <c r="F66" s="1100"/>
      <c r="G66" s="1100"/>
      <c r="H66" s="638"/>
      <c r="I66" s="1100"/>
      <c r="J66" s="638"/>
      <c r="K66" s="638"/>
      <c r="L66" s="638"/>
      <c r="M66" s="638"/>
      <c r="N66" s="1100"/>
      <c r="O66" s="638"/>
      <c r="P66" s="1100"/>
      <c r="Q66" s="638"/>
      <c r="R66" s="639"/>
    </row>
    <row r="68" spans="2:18" x14ac:dyDescent="0.35">
      <c r="B68" s="637"/>
      <c r="C68" s="637"/>
      <c r="D68" s="637"/>
      <c r="E68" s="637"/>
      <c r="F68" s="1100"/>
      <c r="G68" s="1100"/>
      <c r="H68" s="638"/>
      <c r="I68" s="1100"/>
      <c r="J68" s="638"/>
      <c r="K68" s="638"/>
      <c r="L68" s="638"/>
      <c r="M68" s="638"/>
      <c r="N68" s="1100"/>
      <c r="O68" s="638"/>
      <c r="P68" s="1100"/>
      <c r="Q68" s="638"/>
      <c r="R68" s="639"/>
    </row>
    <row r="69" spans="2:18" x14ac:dyDescent="0.35">
      <c r="D69" s="637"/>
    </row>
    <row r="129" spans="2:36" x14ac:dyDescent="0.35">
      <c r="B129" s="637"/>
      <c r="C129" s="633"/>
      <c r="D129" s="629"/>
      <c r="E129" s="633"/>
      <c r="F129" s="936"/>
      <c r="G129" s="936"/>
      <c r="H129" s="647"/>
      <c r="I129" s="936"/>
      <c r="J129" s="647"/>
      <c r="K129" s="647"/>
      <c r="L129" s="647"/>
      <c r="M129" s="647"/>
      <c r="N129" s="936"/>
      <c r="O129" s="656"/>
      <c r="P129" s="1098"/>
      <c r="Q129" s="656"/>
      <c r="R129" s="657"/>
      <c r="S129" s="630"/>
      <c r="T129" s="658"/>
      <c r="U129" s="630"/>
      <c r="V129" s="630"/>
      <c r="W129" s="630"/>
      <c r="X129" s="630"/>
      <c r="Y129" s="630"/>
      <c r="Z129" s="630"/>
      <c r="AA129" s="630"/>
      <c r="AB129" s="630"/>
      <c r="AC129" s="630"/>
      <c r="AD129" s="630"/>
      <c r="AE129" s="630"/>
      <c r="AF129" s="630"/>
      <c r="AG129" s="630"/>
      <c r="AH129" s="630"/>
      <c r="AI129" s="630"/>
      <c r="AJ129" s="630"/>
    </row>
    <row r="130" spans="2:36" x14ac:dyDescent="0.35">
      <c r="B130" s="637"/>
      <c r="C130" s="633"/>
      <c r="D130" s="633"/>
      <c r="E130" s="633"/>
      <c r="F130" s="936"/>
      <c r="G130" s="936"/>
      <c r="H130" s="647"/>
      <c r="I130" s="936"/>
      <c r="J130" s="647"/>
      <c r="K130" s="647"/>
      <c r="L130" s="647"/>
      <c r="M130" s="647"/>
      <c r="N130" s="936"/>
      <c r="O130" s="656"/>
      <c r="P130" s="1098"/>
      <c r="Q130" s="656"/>
      <c r="R130" s="657"/>
      <c r="S130" s="630"/>
      <c r="T130" s="658"/>
      <c r="U130" s="630"/>
      <c r="V130" s="630"/>
      <c r="W130" s="630"/>
      <c r="X130" s="630"/>
      <c r="Y130" s="630"/>
      <c r="Z130" s="630"/>
      <c r="AA130" s="630"/>
      <c r="AB130" s="630"/>
      <c r="AC130" s="630"/>
      <c r="AD130" s="630"/>
      <c r="AE130" s="630"/>
      <c r="AF130" s="630"/>
      <c r="AG130" s="630"/>
      <c r="AH130" s="630"/>
      <c r="AI130" s="630"/>
      <c r="AJ130" s="630"/>
    </row>
    <row r="131" spans="2:36" x14ac:dyDescent="0.35">
      <c r="D131" s="633"/>
    </row>
    <row r="132" spans="2:36" x14ac:dyDescent="0.35">
      <c r="C132" s="629"/>
      <c r="E132" s="629"/>
      <c r="F132" s="935"/>
      <c r="G132" s="935"/>
      <c r="H132" s="644"/>
      <c r="I132" s="935"/>
      <c r="J132" s="644"/>
      <c r="K132" s="644"/>
      <c r="L132" s="644"/>
      <c r="M132" s="644"/>
      <c r="N132" s="935"/>
      <c r="O132" s="644"/>
      <c r="P132" s="935"/>
      <c r="Q132" s="644"/>
      <c r="R132" s="645"/>
      <c r="S132" s="629"/>
      <c r="T132" s="646"/>
      <c r="U132" s="629"/>
      <c r="V132" s="629"/>
      <c r="W132" s="629"/>
      <c r="X132" s="629"/>
      <c r="Y132" s="629"/>
      <c r="Z132" s="629"/>
      <c r="AA132" s="629"/>
      <c r="AB132" s="629"/>
      <c r="AC132" s="629"/>
      <c r="AD132" s="629"/>
      <c r="AE132" s="629"/>
      <c r="AF132" s="629"/>
      <c r="AG132" s="629"/>
      <c r="AH132" s="629"/>
      <c r="AI132" s="629"/>
      <c r="AJ132" s="629"/>
    </row>
    <row r="133" spans="2:36" x14ac:dyDescent="0.35">
      <c r="B133" s="637"/>
      <c r="C133" s="633"/>
      <c r="D133" s="629"/>
      <c r="E133" s="633"/>
      <c r="F133" s="936"/>
      <c r="G133" s="936"/>
      <c r="H133" s="647"/>
      <c r="I133" s="936"/>
      <c r="J133" s="647"/>
      <c r="K133" s="647"/>
      <c r="L133" s="647"/>
      <c r="M133" s="647"/>
      <c r="N133" s="936"/>
      <c r="O133" s="656"/>
      <c r="P133" s="1098"/>
      <c r="Q133" s="656"/>
      <c r="R133" s="657"/>
      <c r="S133" s="630"/>
      <c r="T133" s="658"/>
      <c r="U133" s="630"/>
      <c r="V133" s="630"/>
      <c r="W133" s="630"/>
      <c r="X133" s="630"/>
      <c r="Y133" s="630"/>
      <c r="Z133" s="630"/>
      <c r="AA133" s="630"/>
      <c r="AB133" s="630"/>
      <c r="AC133" s="630"/>
      <c r="AD133" s="630"/>
      <c r="AE133" s="630"/>
      <c r="AF133" s="630"/>
      <c r="AG133" s="630"/>
      <c r="AH133" s="630"/>
      <c r="AI133" s="630"/>
      <c r="AJ133" s="630"/>
    </row>
    <row r="134" spans="2:36" x14ac:dyDescent="0.35">
      <c r="B134" s="637"/>
      <c r="C134" s="633"/>
      <c r="D134" s="633"/>
      <c r="E134" s="633"/>
      <c r="F134" s="936"/>
      <c r="G134" s="936"/>
      <c r="H134" s="647"/>
      <c r="I134" s="936"/>
      <c r="J134" s="647"/>
      <c r="K134" s="647"/>
      <c r="L134" s="647"/>
      <c r="M134" s="647"/>
      <c r="N134" s="936"/>
      <c r="O134" s="656"/>
      <c r="P134" s="1098"/>
      <c r="Q134" s="656"/>
      <c r="R134" s="657"/>
      <c r="S134" s="630"/>
      <c r="T134" s="658"/>
      <c r="U134" s="630"/>
      <c r="V134" s="630"/>
      <c r="W134" s="630"/>
      <c r="X134" s="630"/>
      <c r="Y134" s="630"/>
      <c r="Z134" s="630"/>
      <c r="AA134" s="630"/>
      <c r="AB134" s="630"/>
      <c r="AC134" s="630"/>
      <c r="AD134" s="630"/>
      <c r="AE134" s="630"/>
      <c r="AF134" s="630"/>
      <c r="AG134" s="630"/>
      <c r="AH134" s="630"/>
      <c r="AI134" s="630"/>
      <c r="AJ134" s="630"/>
    </row>
    <row r="135" spans="2:36" x14ac:dyDescent="0.35">
      <c r="D135" s="633"/>
    </row>
    <row r="136" spans="2:36" x14ac:dyDescent="0.35">
      <c r="C136" s="629"/>
      <c r="E136" s="629"/>
      <c r="F136" s="935"/>
      <c r="G136" s="935"/>
      <c r="H136" s="644"/>
      <c r="I136" s="935"/>
      <c r="J136" s="644"/>
      <c r="K136" s="644"/>
      <c r="L136" s="644"/>
      <c r="M136" s="644"/>
      <c r="N136" s="935"/>
      <c r="O136" s="644"/>
      <c r="P136" s="935"/>
      <c r="Q136" s="644"/>
      <c r="R136" s="645"/>
      <c r="S136" s="629"/>
      <c r="T136" s="646"/>
      <c r="U136" s="629"/>
      <c r="V136" s="629"/>
      <c r="W136" s="629"/>
      <c r="X136" s="629"/>
      <c r="Y136" s="629"/>
      <c r="Z136" s="629"/>
      <c r="AA136" s="629"/>
      <c r="AB136" s="629"/>
      <c r="AC136" s="629"/>
      <c r="AD136" s="629"/>
      <c r="AE136" s="629"/>
      <c r="AF136" s="629"/>
      <c r="AG136" s="629"/>
      <c r="AH136" s="629"/>
      <c r="AI136" s="629"/>
      <c r="AJ136" s="629"/>
    </row>
    <row r="137" spans="2:36" x14ac:dyDescent="0.35">
      <c r="B137" s="637"/>
      <c r="C137" s="659"/>
      <c r="D137" s="629"/>
      <c r="E137" s="659"/>
      <c r="F137" s="1101"/>
      <c r="G137" s="1101"/>
      <c r="H137" s="659"/>
      <c r="I137" s="1101"/>
      <c r="J137" s="659"/>
      <c r="K137" s="659"/>
      <c r="L137" s="659"/>
      <c r="M137" s="659"/>
      <c r="N137" s="1101"/>
    </row>
    <row r="138" spans="2:36" x14ac:dyDescent="0.35">
      <c r="D138" s="659"/>
    </row>
    <row r="139" spans="2:36" x14ac:dyDescent="0.35">
      <c r="C139" s="629"/>
      <c r="E139" s="629"/>
      <c r="F139" s="935"/>
      <c r="G139" s="935"/>
      <c r="H139" s="644"/>
      <c r="I139" s="935"/>
      <c r="J139" s="644"/>
      <c r="K139" s="644"/>
      <c r="L139" s="644"/>
      <c r="M139" s="644"/>
      <c r="N139" s="935"/>
      <c r="O139" s="644"/>
      <c r="P139" s="935"/>
      <c r="Q139" s="644"/>
      <c r="R139" s="645"/>
      <c r="S139" s="629"/>
      <c r="T139" s="646"/>
      <c r="U139" s="629"/>
      <c r="V139" s="629"/>
      <c r="W139" s="629"/>
      <c r="X139" s="629"/>
      <c r="Y139" s="629"/>
      <c r="Z139" s="629"/>
      <c r="AA139" s="629"/>
      <c r="AB139" s="629"/>
      <c r="AC139" s="629"/>
      <c r="AD139" s="629"/>
      <c r="AE139" s="629"/>
      <c r="AF139" s="629"/>
      <c r="AG139" s="629"/>
      <c r="AH139" s="629"/>
      <c r="AI139" s="629"/>
      <c r="AJ139" s="629"/>
    </row>
    <row r="140" spans="2:36" x14ac:dyDescent="0.35">
      <c r="B140" s="637"/>
      <c r="C140" s="633"/>
      <c r="D140" s="629"/>
      <c r="E140" s="633"/>
      <c r="F140" s="936"/>
      <c r="G140" s="936"/>
      <c r="H140" s="647"/>
      <c r="I140" s="936"/>
      <c r="J140" s="647"/>
      <c r="K140" s="647"/>
      <c r="L140" s="647"/>
      <c r="M140" s="647"/>
      <c r="N140" s="936"/>
      <c r="O140" s="656"/>
      <c r="P140" s="1098"/>
      <c r="Q140" s="656"/>
      <c r="R140" s="657"/>
      <c r="S140" s="630"/>
      <c r="T140" s="658"/>
      <c r="U140" s="630"/>
      <c r="V140" s="630"/>
      <c r="W140" s="630"/>
      <c r="X140" s="630"/>
      <c r="Y140" s="630"/>
      <c r="Z140" s="630"/>
      <c r="AA140" s="630"/>
      <c r="AB140" s="630"/>
      <c r="AC140" s="630"/>
      <c r="AD140" s="630"/>
      <c r="AE140" s="630"/>
      <c r="AF140" s="630"/>
      <c r="AG140" s="630"/>
      <c r="AH140" s="630"/>
      <c r="AI140" s="630"/>
      <c r="AJ140" s="630"/>
    </row>
    <row r="141" spans="2:36" x14ac:dyDescent="0.35">
      <c r="B141" s="637"/>
      <c r="C141" s="633"/>
      <c r="D141" s="633"/>
      <c r="E141" s="633"/>
      <c r="F141" s="936"/>
      <c r="G141" s="936"/>
      <c r="H141" s="647"/>
      <c r="I141" s="936"/>
      <c r="J141" s="647"/>
      <c r="K141" s="647"/>
      <c r="L141" s="647"/>
      <c r="M141" s="647"/>
      <c r="N141" s="936"/>
      <c r="O141" s="656"/>
      <c r="P141" s="1098"/>
      <c r="Q141" s="656"/>
      <c r="R141" s="657"/>
      <c r="S141" s="630"/>
      <c r="T141" s="658"/>
      <c r="U141" s="630"/>
      <c r="V141" s="630"/>
      <c r="W141" s="630"/>
      <c r="X141" s="630"/>
      <c r="Y141" s="630"/>
      <c r="Z141" s="630"/>
      <c r="AA141" s="630"/>
      <c r="AB141" s="630"/>
      <c r="AC141" s="630"/>
      <c r="AD141" s="630"/>
      <c r="AE141" s="630"/>
      <c r="AF141" s="630"/>
      <c r="AG141" s="630"/>
      <c r="AH141" s="630"/>
      <c r="AI141" s="630"/>
      <c r="AJ141" s="630"/>
    </row>
    <row r="142" spans="2:36" x14ac:dyDescent="0.35">
      <c r="D142" s="633"/>
    </row>
  </sheetData>
  <mergeCells count="6">
    <mergeCell ref="B17:B18"/>
    <mergeCell ref="D56:S56"/>
    <mergeCell ref="B47:B51"/>
    <mergeCell ref="B35:B39"/>
    <mergeCell ref="B5:B15"/>
    <mergeCell ref="B20:B33"/>
  </mergeCells>
  <conditionalFormatting sqref="R11:R15">
    <cfRule type="cellIs" dxfId="53" priority="1" operator="lessThan">
      <formula>-0.05</formula>
    </cfRule>
    <cfRule type="cellIs" dxfId="52" priority="2" operator="between">
      <formula>-5%</formula>
      <formula>5%</formula>
    </cfRule>
    <cfRule type="cellIs" dxfId="51" priority="3" operator="greaterThan">
      <formula>5%</formula>
    </cfRule>
  </conditionalFormatting>
  <conditionalFormatting sqref="R20:R33">
    <cfRule type="cellIs" dxfId="50" priority="7" operator="lessThan">
      <formula>-0.05</formula>
    </cfRule>
    <cfRule type="cellIs" dxfId="49" priority="8" operator="between">
      <formula>-5%</formula>
      <formula>5%</formula>
    </cfRule>
    <cfRule type="cellIs" dxfId="48" priority="9" operator="greaterThan">
      <formula>5%</formula>
    </cfRule>
  </conditionalFormatting>
  <conditionalFormatting sqref="R45">
    <cfRule type="cellIs" dxfId="47" priority="37" operator="lessThan">
      <formula>-0.05</formula>
    </cfRule>
    <cfRule type="cellIs" dxfId="46" priority="38" operator="between">
      <formula>-5%</formula>
      <formula>5%</formula>
    </cfRule>
    <cfRule type="cellIs" dxfId="45" priority="39" operator="greaterThan">
      <formula>5%</formula>
    </cfRule>
  </conditionalFormatting>
  <conditionalFormatting sqref="R5:S10 R17:S18 R20:S21 R54:S54">
    <cfRule type="cellIs" dxfId="44" priority="226" operator="lessThan">
      <formula>-0.05</formula>
    </cfRule>
    <cfRule type="cellIs" dxfId="43" priority="227" operator="between">
      <formula>-5%</formula>
      <formula>5%</formula>
    </cfRule>
    <cfRule type="cellIs" dxfId="42" priority="228" operator="greaterThan">
      <formula>5%</formula>
    </cfRule>
  </conditionalFormatting>
  <conditionalFormatting sqref="R35:S39">
    <cfRule type="cellIs" dxfId="41" priority="133" operator="lessThan">
      <formula>-0.05</formula>
    </cfRule>
    <cfRule type="cellIs" dxfId="40" priority="134" operator="between">
      <formula>-5%</formula>
      <formula>5%</formula>
    </cfRule>
    <cfRule type="cellIs" dxfId="39" priority="135" operator="greaterThan">
      <formula>5%</formula>
    </cfRule>
  </conditionalFormatting>
  <conditionalFormatting sqref="S41">
    <cfRule type="cellIs" dxfId="38" priority="16" operator="lessThan">
      <formula>-0.05</formula>
    </cfRule>
    <cfRule type="cellIs" dxfId="37" priority="17" operator="between">
      <formula>-5%</formula>
      <formula>5%</formula>
    </cfRule>
    <cfRule type="cellIs" dxfId="36" priority="18" operator="greaterThan">
      <formula>5%</formula>
    </cfRule>
  </conditionalFormatting>
  <conditionalFormatting sqref="R43:S43">
    <cfRule type="cellIs" dxfId="35" priority="61" operator="lessThan">
      <formula>-0.05</formula>
    </cfRule>
    <cfRule type="cellIs" dxfId="34" priority="62" operator="between">
      <formula>-5%</formula>
      <formula>5%</formula>
    </cfRule>
    <cfRule type="cellIs" dxfId="33" priority="63" operator="greaterThan">
      <formula>5%</formula>
    </cfRule>
  </conditionalFormatting>
  <conditionalFormatting sqref="R47:S52">
    <cfRule type="cellIs" dxfId="32" priority="49" operator="lessThan">
      <formula>-0.05</formula>
    </cfRule>
    <cfRule type="cellIs" dxfId="31" priority="50" operator="between">
      <formula>-5%</formula>
      <formula>5%</formula>
    </cfRule>
    <cfRule type="cellIs" dxfId="30" priority="51" operator="greaterThan">
      <formula>5%</formula>
    </cfRule>
  </conditionalFormatting>
  <conditionalFormatting sqref="S22:S33">
    <cfRule type="cellIs" dxfId="29" priority="4" operator="lessThan">
      <formula>-0.05</formula>
    </cfRule>
    <cfRule type="cellIs" dxfId="28" priority="5" operator="between">
      <formula>-5%</formula>
      <formula>5%</formula>
    </cfRule>
    <cfRule type="cellIs" dxfId="27" priority="6" operator="greaterThan">
      <formula>5%</formula>
    </cfRule>
  </conditionalFormatting>
  <pageMargins left="0.23622047244094491" right="0.23622047244094491" top="0.74803149606299213" bottom="0.74803149606299213" header="0.31496062992125984" footer="0.31496062992125984"/>
  <pageSetup paperSize="9" scale="73" fitToHeight="0" orientation="landscape" r:id="rId1"/>
  <headerFooter>
    <oddFooter>&amp;C&amp;1#&amp;"Calibri"&amp;10&amp;K000000OFFICIAL</oddFooter>
  </headerFooter>
  <ignoredErrors>
    <ignoredError sqref="E7 E10 F34:F35 F7 R7:S10 F44 F40 F42 F10 Q37:S37 Q38:S38 Q39:S39 Q34:S35 Q44:S44 Q40:S40 Q42:S42 G7:P7 G10:P10 O15 O12 O13 O14" evalError="1"/>
    <ignoredError sqref="Q8:Q10 Q36" evalError="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4"/>
  <sheetViews>
    <sheetView workbookViewId="0">
      <selection activeCell="G21" sqref="G21"/>
    </sheetView>
  </sheetViews>
  <sheetFormatPr defaultRowHeight="15.5" x14ac:dyDescent="0.35"/>
  <sheetData>
    <row r="2" spans="1:1" x14ac:dyDescent="0.35">
      <c r="A2" t="s">
        <v>124</v>
      </c>
    </row>
    <row r="3" spans="1:1" x14ac:dyDescent="0.35">
      <c r="A3" t="s">
        <v>125</v>
      </c>
    </row>
    <row r="4" spans="1:1" x14ac:dyDescent="0.35">
      <c r="A4" t="s">
        <v>126</v>
      </c>
    </row>
  </sheetData>
  <pageMargins left="0.7" right="0.7" top="0.75" bottom="0.75" header="0.3" footer="0.3"/>
  <pageSetup paperSize="9" orientation="portrait" r:id="rId1"/>
  <headerFooter>
    <oddFooter>&amp;C&amp;1#&amp;"Calibri"&amp;10&amp;K000000OFFICIAL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4"/>
  <sheetViews>
    <sheetView workbookViewId="0">
      <selection activeCell="L17" sqref="L17:M17"/>
    </sheetView>
  </sheetViews>
  <sheetFormatPr defaultRowHeight="15.5" x14ac:dyDescent="0.35"/>
  <cols>
    <col min="1" max="1" width="11.765625" customWidth="1"/>
    <col min="2" max="2" width="36.84375" bestFit="1" customWidth="1"/>
    <col min="3" max="3" width="26.84375" bestFit="1" customWidth="1"/>
  </cols>
  <sheetData>
    <row r="1" spans="1:3" x14ac:dyDescent="0.35">
      <c r="C1" s="158" t="s">
        <v>179</v>
      </c>
    </row>
    <row r="2" spans="1:3" x14ac:dyDescent="0.35">
      <c r="A2" s="2"/>
      <c r="B2" s="128" t="s">
        <v>1</v>
      </c>
    </row>
    <row r="3" spans="1:3" x14ac:dyDescent="0.35">
      <c r="A3" s="1239" t="s">
        <v>159</v>
      </c>
      <c r="B3" s="147" t="s">
        <v>2</v>
      </c>
      <c r="C3" t="s">
        <v>180</v>
      </c>
    </row>
    <row r="4" spans="1:3" x14ac:dyDescent="0.35">
      <c r="A4" s="1240"/>
      <c r="B4" s="127" t="s">
        <v>3</v>
      </c>
      <c r="C4" s="64" t="s">
        <v>180</v>
      </c>
    </row>
    <row r="5" spans="1:3" x14ac:dyDescent="0.35">
      <c r="A5" s="1240"/>
      <c r="B5" s="127" t="s">
        <v>4</v>
      </c>
      <c r="C5" s="64" t="s">
        <v>180</v>
      </c>
    </row>
    <row r="6" spans="1:3" x14ac:dyDescent="0.35">
      <c r="A6" s="1240"/>
      <c r="B6" s="127" t="s">
        <v>158</v>
      </c>
      <c r="C6" s="64" t="s">
        <v>188</v>
      </c>
    </row>
    <row r="7" spans="1:3" x14ac:dyDescent="0.35">
      <c r="A7" s="1240"/>
      <c r="B7" s="22" t="s">
        <v>160</v>
      </c>
      <c r="C7" s="157" t="s">
        <v>181</v>
      </c>
    </row>
    <row r="8" spans="1:3" x14ac:dyDescent="0.35">
      <c r="A8" s="1240"/>
      <c r="B8" s="20" t="s">
        <v>7</v>
      </c>
      <c r="C8" s="157" t="s">
        <v>181</v>
      </c>
    </row>
    <row r="9" spans="1:3" x14ac:dyDescent="0.35">
      <c r="A9" s="1240"/>
      <c r="B9" s="20" t="s">
        <v>8</v>
      </c>
      <c r="C9" s="157" t="s">
        <v>181</v>
      </c>
    </row>
    <row r="10" spans="1:3" x14ac:dyDescent="0.35">
      <c r="A10" s="1240"/>
      <c r="B10" s="20" t="s">
        <v>9</v>
      </c>
      <c r="C10" s="157" t="s">
        <v>181</v>
      </c>
    </row>
    <row r="11" spans="1:3" x14ac:dyDescent="0.35">
      <c r="A11" s="1241"/>
      <c r="B11" s="129" t="s">
        <v>10</v>
      </c>
      <c r="C11" s="157" t="s">
        <v>181</v>
      </c>
    </row>
    <row r="12" spans="1:3" x14ac:dyDescent="0.35">
      <c r="A12" s="3"/>
      <c r="B12" s="4"/>
    </row>
    <row r="13" spans="1:3" x14ac:dyDescent="0.35">
      <c r="A13" s="1242" t="s">
        <v>161</v>
      </c>
      <c r="B13" s="146" t="s">
        <v>64</v>
      </c>
      <c r="C13" s="64" t="s">
        <v>180</v>
      </c>
    </row>
    <row r="14" spans="1:3" x14ac:dyDescent="0.35">
      <c r="A14" s="1243"/>
      <c r="B14" s="23" t="s">
        <v>11</v>
      </c>
      <c r="C14" s="64" t="s">
        <v>180</v>
      </c>
    </row>
    <row r="15" spans="1:3" x14ac:dyDescent="0.35">
      <c r="A15" s="1243"/>
      <c r="B15" s="23" t="s">
        <v>12</v>
      </c>
      <c r="C15" s="64" t="s">
        <v>180</v>
      </c>
    </row>
    <row r="16" spans="1:3" x14ac:dyDescent="0.35">
      <c r="A16" s="1243"/>
      <c r="B16" s="24" t="s">
        <v>13</v>
      </c>
      <c r="C16" s="64" t="s">
        <v>180</v>
      </c>
    </row>
    <row r="17" spans="1:15" x14ac:dyDescent="0.35">
      <c r="A17" s="1243"/>
      <c r="B17" s="25" t="s">
        <v>78</v>
      </c>
      <c r="C17" s="157" t="s">
        <v>182</v>
      </c>
    </row>
    <row r="18" spans="1:15" x14ac:dyDescent="0.35">
      <c r="A18" s="1244"/>
      <c r="B18" s="124" t="s">
        <v>162</v>
      </c>
      <c r="C18" s="161" t="s">
        <v>183</v>
      </c>
      <c r="D18" t="s">
        <v>192</v>
      </c>
      <c r="H18" t="s">
        <v>193</v>
      </c>
      <c r="K18" t="s">
        <v>194</v>
      </c>
      <c r="O18" s="31" t="s">
        <v>195</v>
      </c>
    </row>
    <row r="19" spans="1:15" x14ac:dyDescent="0.35">
      <c r="A19" s="138"/>
      <c r="B19" s="140"/>
    </row>
    <row r="20" spans="1:15" ht="39" x14ac:dyDescent="0.35">
      <c r="A20" s="153" t="s">
        <v>163</v>
      </c>
      <c r="B20" s="109" t="s">
        <v>164</v>
      </c>
      <c r="C20" s="108" t="s">
        <v>184</v>
      </c>
      <c r="D20" t="s">
        <v>196</v>
      </c>
    </row>
    <row r="21" spans="1:15" x14ac:dyDescent="0.35">
      <c r="A21" s="2"/>
      <c r="B21" s="1"/>
    </row>
    <row r="22" spans="1:15" x14ac:dyDescent="0.35">
      <c r="A22" s="1245" t="s">
        <v>176</v>
      </c>
      <c r="B22" s="142" t="s">
        <v>82</v>
      </c>
      <c r="C22" s="64" t="s">
        <v>180</v>
      </c>
    </row>
    <row r="23" spans="1:15" x14ac:dyDescent="0.35">
      <c r="A23" s="1240"/>
      <c r="B23" s="126" t="s">
        <v>16</v>
      </c>
      <c r="C23" s="64" t="s">
        <v>180</v>
      </c>
    </row>
    <row r="24" spans="1:15" x14ac:dyDescent="0.35">
      <c r="A24" s="1241"/>
      <c r="B24" s="143" t="s">
        <v>15</v>
      </c>
      <c r="C24" s="64" t="s">
        <v>180</v>
      </c>
    </row>
    <row r="25" spans="1:15" x14ac:dyDescent="0.35">
      <c r="A25" s="138"/>
      <c r="B25" s="136"/>
    </row>
    <row r="26" spans="1:15" x14ac:dyDescent="0.35">
      <c r="A26" s="1246" t="s">
        <v>165</v>
      </c>
      <c r="B26" s="110" t="s">
        <v>166</v>
      </c>
    </row>
    <row r="27" spans="1:15" x14ac:dyDescent="0.35">
      <c r="A27" s="1247"/>
      <c r="B27" s="111" t="s">
        <v>154</v>
      </c>
      <c r="C27" t="s">
        <v>185</v>
      </c>
    </row>
    <row r="28" spans="1:15" x14ac:dyDescent="0.35">
      <c r="A28" s="1247"/>
      <c r="B28" s="111" t="s">
        <v>169</v>
      </c>
      <c r="C28" s="64" t="s">
        <v>185</v>
      </c>
    </row>
    <row r="29" spans="1:15" x14ac:dyDescent="0.35">
      <c r="A29" s="1247"/>
      <c r="B29" s="112" t="s">
        <v>170</v>
      </c>
    </row>
    <row r="30" spans="1:15" x14ac:dyDescent="0.35">
      <c r="A30" s="1247"/>
      <c r="B30" s="113" t="s">
        <v>167</v>
      </c>
      <c r="C30" t="s">
        <v>180</v>
      </c>
      <c r="D30" t="s">
        <v>186</v>
      </c>
    </row>
    <row r="31" spans="1:15" x14ac:dyDescent="0.35">
      <c r="A31" s="1247"/>
      <c r="B31" s="115" t="s">
        <v>168</v>
      </c>
      <c r="C31" s="64" t="s">
        <v>180</v>
      </c>
      <c r="D31" s="64" t="s">
        <v>187</v>
      </c>
    </row>
    <row r="32" spans="1:15" x14ac:dyDescent="0.35">
      <c r="A32" s="1247"/>
      <c r="B32" s="114" t="s">
        <v>171</v>
      </c>
    </row>
    <row r="33" spans="1:3" x14ac:dyDescent="0.35">
      <c r="A33" s="1247"/>
      <c r="B33" s="113" t="s">
        <v>18</v>
      </c>
      <c r="C33" s="64" t="s">
        <v>180</v>
      </c>
    </row>
    <row r="34" spans="1:3" x14ac:dyDescent="0.35">
      <c r="A34" s="1247"/>
      <c r="B34" s="113" t="s">
        <v>155</v>
      </c>
      <c r="C34" s="64" t="s">
        <v>188</v>
      </c>
    </row>
    <row r="35" spans="1:3" x14ac:dyDescent="0.35">
      <c r="A35" s="1247"/>
      <c r="B35" s="113" t="s">
        <v>156</v>
      </c>
      <c r="C35" s="64" t="s">
        <v>188</v>
      </c>
    </row>
    <row r="36" spans="1:3" x14ac:dyDescent="0.35">
      <c r="A36" s="1247"/>
      <c r="B36" s="113" t="s">
        <v>157</v>
      </c>
      <c r="C36" s="64" t="s">
        <v>188</v>
      </c>
    </row>
    <row r="37" spans="1:3" x14ac:dyDescent="0.35">
      <c r="A37" s="1247"/>
      <c r="B37" s="116" t="s">
        <v>131</v>
      </c>
      <c r="C37" s="64" t="s">
        <v>180</v>
      </c>
    </row>
    <row r="38" spans="1:3" x14ac:dyDescent="0.35">
      <c r="A38" s="138"/>
      <c r="B38" s="139"/>
    </row>
    <row r="39" spans="1:3" x14ac:dyDescent="0.35">
      <c r="A39" s="1248" t="s">
        <v>77</v>
      </c>
      <c r="B39" s="144" t="s">
        <v>65</v>
      </c>
      <c r="C39" t="s">
        <v>189</v>
      </c>
    </row>
    <row r="40" spans="1:3" x14ac:dyDescent="0.35">
      <c r="A40" s="1249"/>
      <c r="B40" s="5" t="s">
        <v>66</v>
      </c>
      <c r="C40" s="64" t="s">
        <v>189</v>
      </c>
    </row>
    <row r="41" spans="1:3" x14ac:dyDescent="0.35">
      <c r="A41" s="1250"/>
      <c r="B41" s="145" t="s">
        <v>67</v>
      </c>
      <c r="C41" s="64" t="s">
        <v>189</v>
      </c>
    </row>
    <row r="42" spans="1:3" x14ac:dyDescent="0.35">
      <c r="C42" s="64"/>
    </row>
    <row r="43" spans="1:3" x14ac:dyDescent="0.35">
      <c r="A43" s="1237" t="s">
        <v>153</v>
      </c>
      <c r="B43" s="148" t="s">
        <v>154</v>
      </c>
      <c r="C43" t="s">
        <v>190</v>
      </c>
    </row>
    <row r="44" spans="1:3" ht="33.75" customHeight="1" x14ac:dyDescent="0.35">
      <c r="A44" s="1238"/>
      <c r="B44" s="149" t="s">
        <v>175</v>
      </c>
      <c r="C44" t="s">
        <v>190</v>
      </c>
    </row>
  </sheetData>
  <mergeCells count="6">
    <mergeCell ref="A43:A44"/>
    <mergeCell ref="A3:A11"/>
    <mergeCell ref="A13:A18"/>
    <mergeCell ref="A22:A24"/>
    <mergeCell ref="A26:A37"/>
    <mergeCell ref="A39:A41"/>
  </mergeCells>
  <pageMargins left="0.7" right="0.7" top="0.75" bottom="0.75" header="0.3" footer="0.3"/>
  <pageSetup paperSize="9" orientation="portrait" r:id="rId1"/>
  <headerFooter>
    <oddFooter>&amp;C&amp;1#&amp;"Calibri"&amp;10&amp;K000000OFFICIAL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84"/>
  <sheetViews>
    <sheetView topLeftCell="Q1" zoomScaleNormal="100" workbookViewId="0">
      <pane ySplit="2" topLeftCell="A315" activePane="bottomLeft" state="frozen"/>
      <selection activeCell="R23" sqref="R23"/>
      <selection pane="bottomLeft" activeCell="X345" sqref="X345"/>
    </sheetView>
  </sheetViews>
  <sheetFormatPr defaultColWidth="8.84375" defaultRowHeight="15.5" x14ac:dyDescent="0.35"/>
  <cols>
    <col min="1" max="1" width="8.765625" style="162"/>
    <col min="2" max="2" width="8.84375" style="423"/>
    <col min="3" max="3" width="34.3046875" style="37" customWidth="1"/>
    <col min="4" max="16" width="8.84375" style="162"/>
    <col min="17" max="17" width="8.84375" style="466"/>
    <col min="18" max="18" width="31" style="319" bestFit="1" customWidth="1"/>
    <col min="19" max="29" width="8.84375" style="162"/>
    <col min="30" max="30" width="8.84375" style="459"/>
    <col min="31" max="31" width="8.84375" style="466"/>
    <col min="32" max="32" width="11.3046875" style="162" customWidth="1"/>
    <col min="33" max="16384" width="8.84375" style="162"/>
  </cols>
  <sheetData>
    <row r="1" spans="2:32" x14ac:dyDescent="0.35">
      <c r="H1" s="430" t="s">
        <v>255</v>
      </c>
      <c r="Q1" s="466" t="s">
        <v>292</v>
      </c>
      <c r="Y1" s="430" t="s">
        <v>256</v>
      </c>
      <c r="AE1" s="466" t="s">
        <v>292</v>
      </c>
    </row>
    <row r="2" spans="2:32" s="435" customFormat="1" ht="23" x14ac:dyDescent="0.5">
      <c r="B2" s="431">
        <v>1</v>
      </c>
      <c r="C2" s="320" t="s">
        <v>0</v>
      </c>
      <c r="D2" s="432" t="s">
        <v>19</v>
      </c>
      <c r="E2" s="432" t="s">
        <v>20</v>
      </c>
      <c r="F2" s="432" t="s">
        <v>21</v>
      </c>
      <c r="G2" s="432" t="s">
        <v>22</v>
      </c>
      <c r="H2" s="432" t="s">
        <v>23</v>
      </c>
      <c r="I2" s="432" t="s">
        <v>24</v>
      </c>
      <c r="J2" s="432" t="s">
        <v>25</v>
      </c>
      <c r="K2" s="432" t="s">
        <v>26</v>
      </c>
      <c r="L2" s="432" t="s">
        <v>27</v>
      </c>
      <c r="M2" s="432" t="s">
        <v>28</v>
      </c>
      <c r="N2" s="432" t="s">
        <v>29</v>
      </c>
      <c r="O2" s="432" t="s">
        <v>30</v>
      </c>
      <c r="P2" s="433"/>
      <c r="Q2" s="467">
        <v>1</v>
      </c>
      <c r="R2" s="320" t="s">
        <v>0</v>
      </c>
      <c r="S2" s="432" t="s">
        <v>19</v>
      </c>
      <c r="T2" s="432" t="s">
        <v>20</v>
      </c>
      <c r="U2" s="432" t="s">
        <v>21</v>
      </c>
      <c r="V2" s="432" t="s">
        <v>22</v>
      </c>
      <c r="W2" s="432" t="s">
        <v>23</v>
      </c>
      <c r="X2" s="432" t="s">
        <v>24</v>
      </c>
      <c r="Y2" s="432" t="s">
        <v>25</v>
      </c>
      <c r="Z2" s="432" t="s">
        <v>26</v>
      </c>
      <c r="AA2" s="432" t="s">
        <v>27</v>
      </c>
      <c r="AB2" s="432" t="s">
        <v>28</v>
      </c>
      <c r="AC2" s="432" t="s">
        <v>29</v>
      </c>
      <c r="AD2" s="460" t="s">
        <v>30</v>
      </c>
      <c r="AE2" s="467">
        <v>1</v>
      </c>
      <c r="AF2" s="434" t="s">
        <v>83</v>
      </c>
    </row>
    <row r="3" spans="2:32" x14ac:dyDescent="0.35">
      <c r="B3" s="420">
        <v>2</v>
      </c>
      <c r="C3" s="321" t="s">
        <v>56</v>
      </c>
      <c r="D3" s="168">
        <v>45017</v>
      </c>
      <c r="E3" s="168">
        <v>45047</v>
      </c>
      <c r="F3" s="168">
        <v>45078</v>
      </c>
      <c r="G3" s="168">
        <v>45108</v>
      </c>
      <c r="H3" s="168">
        <v>45139</v>
      </c>
      <c r="I3" s="168">
        <v>45170</v>
      </c>
      <c r="J3" s="168">
        <v>45200</v>
      </c>
      <c r="K3" s="168">
        <v>45231</v>
      </c>
      <c r="L3" s="168">
        <v>45261</v>
      </c>
      <c r="M3" s="168">
        <v>45292</v>
      </c>
      <c r="N3" s="168">
        <v>45323</v>
      </c>
      <c r="O3" s="168">
        <v>45352</v>
      </c>
      <c r="P3" s="168"/>
      <c r="Q3" s="468">
        <v>2</v>
      </c>
      <c r="R3" s="323" t="s">
        <v>56</v>
      </c>
      <c r="S3" s="168">
        <v>45017</v>
      </c>
      <c r="T3" s="168">
        <v>45047</v>
      </c>
      <c r="U3" s="168">
        <v>45078</v>
      </c>
      <c r="V3" s="168">
        <v>45108</v>
      </c>
      <c r="W3" s="168">
        <v>45139</v>
      </c>
      <c r="X3" s="168">
        <v>45170</v>
      </c>
      <c r="Y3" s="168">
        <v>45200</v>
      </c>
      <c r="Z3" s="168">
        <v>45231</v>
      </c>
      <c r="AA3" s="168">
        <v>45261</v>
      </c>
      <c r="AB3" s="168">
        <v>45292</v>
      </c>
      <c r="AC3" s="168">
        <v>45323</v>
      </c>
      <c r="AD3" s="168">
        <v>45352</v>
      </c>
      <c r="AE3" s="468">
        <v>2</v>
      </c>
    </row>
    <row r="4" spans="2:32" x14ac:dyDescent="0.35">
      <c r="B4" s="421">
        <v>3</v>
      </c>
      <c r="C4" s="321" t="s">
        <v>33</v>
      </c>
      <c r="D4" s="194">
        <f>[2]Force!DF2</f>
        <v>3261</v>
      </c>
      <c r="E4" s="194">
        <f>[2]Force!DG2</f>
        <v>3370</v>
      </c>
      <c r="F4" s="194">
        <f>[2]Force!DH2</f>
        <v>3564</v>
      </c>
      <c r="G4" s="194">
        <f>[2]Force!DI2</f>
        <v>3534</v>
      </c>
      <c r="H4" s="194">
        <f>[2]Force!DJ2</f>
        <v>3196</v>
      </c>
      <c r="I4" s="194">
        <f>[2]Force!DK2</f>
        <v>3356</v>
      </c>
      <c r="J4" s="194">
        <f>[2]Force!DL2</f>
        <v>3405</v>
      </c>
      <c r="K4" s="194">
        <f>[2]Force!DM2</f>
        <v>3144</v>
      </c>
      <c r="L4" s="194">
        <f>[2]Force!DN2</f>
        <v>3183</v>
      </c>
      <c r="M4" s="194">
        <f>[2]Force!DO2</f>
        <v>3277</v>
      </c>
      <c r="N4" s="194">
        <f>[2]Force!DP2</f>
        <v>3098</v>
      </c>
      <c r="O4" s="194">
        <f>[2]Force!DQ2</f>
        <v>3302</v>
      </c>
      <c r="P4" s="178"/>
      <c r="Q4" s="468">
        <v>3</v>
      </c>
      <c r="R4" s="323" t="s">
        <v>33</v>
      </c>
      <c r="S4" s="176">
        <f>D4</f>
        <v>3261</v>
      </c>
      <c r="T4" s="176">
        <f t="shared" ref="T4:T18" si="0">S4+E4</f>
        <v>6631</v>
      </c>
      <c r="U4" s="176">
        <f t="shared" ref="U4:U18" si="1">T4+F4</f>
        <v>10195</v>
      </c>
      <c r="V4" s="176">
        <f t="shared" ref="V4:V18" si="2">U4+G4</f>
        <v>13729</v>
      </c>
      <c r="W4" s="176">
        <f t="shared" ref="W4:W18" si="3">V4+H4</f>
        <v>16925</v>
      </c>
      <c r="X4" s="176">
        <f t="shared" ref="X4:X18" si="4">W4+I4</f>
        <v>20281</v>
      </c>
      <c r="Y4" s="176">
        <f t="shared" ref="Y4:Y18" si="5">X4+J4</f>
        <v>23686</v>
      </c>
      <c r="Z4" s="176">
        <f t="shared" ref="Z4:Z18" si="6">Y4+K4</f>
        <v>26830</v>
      </c>
      <c r="AA4" s="176">
        <f t="shared" ref="AA4:AA18" si="7">Z4+L4</f>
        <v>30013</v>
      </c>
      <c r="AB4" s="176">
        <f t="shared" ref="AB4:AB18" si="8">AA4+M4</f>
        <v>33290</v>
      </c>
      <c r="AC4" s="176">
        <f t="shared" ref="AC4:AC18" si="9">AB4+N4</f>
        <v>36388</v>
      </c>
      <c r="AD4" s="462">
        <f>AC4+O4</f>
        <v>39690</v>
      </c>
      <c r="AE4" s="470">
        <v>3</v>
      </c>
      <c r="AF4" s="163">
        <f t="shared" ref="AF4:AF37" si="10">SUM(D4:O4)</f>
        <v>39690</v>
      </c>
    </row>
    <row r="5" spans="2:32" x14ac:dyDescent="0.35">
      <c r="B5" s="420">
        <v>4</v>
      </c>
      <c r="C5" s="321" t="s">
        <v>39</v>
      </c>
      <c r="D5" s="194">
        <f>[2]Force!DF4</f>
        <v>383</v>
      </c>
      <c r="E5" s="194">
        <f>[2]Force!DG4</f>
        <v>430</v>
      </c>
      <c r="F5" s="194">
        <f>[2]Force!DH4</f>
        <v>490</v>
      </c>
      <c r="G5" s="194">
        <f>[2]Force!DI4</f>
        <v>432</v>
      </c>
      <c r="H5" s="194">
        <f>[2]Force!DJ4</f>
        <v>411</v>
      </c>
      <c r="I5" s="194">
        <f>[2]Force!DK4</f>
        <v>400</v>
      </c>
      <c r="J5" s="194">
        <f>[2]Force!DL4</f>
        <v>417</v>
      </c>
      <c r="K5" s="194">
        <f>[2]Force!DM4</f>
        <v>365</v>
      </c>
      <c r="L5" s="194">
        <f>[2]Force!DN4</f>
        <v>425</v>
      </c>
      <c r="M5" s="194">
        <f>[2]Force!DO4</f>
        <v>372</v>
      </c>
      <c r="N5" s="194">
        <f>[2]Force!DP4</f>
        <v>359</v>
      </c>
      <c r="O5" s="194">
        <f>[2]Force!DQ4</f>
        <v>374</v>
      </c>
      <c r="P5" s="178"/>
      <c r="Q5" s="468">
        <v>4</v>
      </c>
      <c r="R5" s="323" t="s">
        <v>39</v>
      </c>
      <c r="S5" s="176">
        <f>D5</f>
        <v>383</v>
      </c>
      <c r="T5" s="176">
        <f t="shared" si="0"/>
        <v>813</v>
      </c>
      <c r="U5" s="174">
        <f>T5+F5</f>
        <v>1303</v>
      </c>
      <c r="V5" s="176">
        <f t="shared" si="2"/>
        <v>1735</v>
      </c>
      <c r="W5" s="176">
        <f t="shared" si="3"/>
        <v>2146</v>
      </c>
      <c r="X5" s="176">
        <f t="shared" si="4"/>
        <v>2546</v>
      </c>
      <c r="Y5" s="176">
        <f t="shared" si="5"/>
        <v>2963</v>
      </c>
      <c r="Z5" s="176">
        <f t="shared" si="6"/>
        <v>3328</v>
      </c>
      <c r="AA5" s="176">
        <f t="shared" si="7"/>
        <v>3753</v>
      </c>
      <c r="AB5" s="176">
        <f t="shared" si="8"/>
        <v>4125</v>
      </c>
      <c r="AC5" s="176">
        <f t="shared" si="9"/>
        <v>4484</v>
      </c>
      <c r="AD5" s="461">
        <f t="shared" ref="AD5:AD18" si="11">AC5+O5</f>
        <v>4858</v>
      </c>
      <c r="AE5" s="468">
        <v>4</v>
      </c>
      <c r="AF5" s="163">
        <f t="shared" si="10"/>
        <v>4858</v>
      </c>
    </row>
    <row r="6" spans="2:32" x14ac:dyDescent="0.35">
      <c r="B6" s="420">
        <v>5</v>
      </c>
      <c r="C6" s="321" t="s">
        <v>40</v>
      </c>
      <c r="D6" s="194">
        <f>[2]Force!DF5</f>
        <v>854</v>
      </c>
      <c r="E6" s="194">
        <f>[2]Force!DG5</f>
        <v>814</v>
      </c>
      <c r="F6" s="194">
        <f>[2]Force!DH5</f>
        <v>880</v>
      </c>
      <c r="G6" s="194">
        <f>[2]Force!DI5</f>
        <v>840</v>
      </c>
      <c r="H6" s="194">
        <f>[2]Force!DJ5</f>
        <v>794</v>
      </c>
      <c r="I6" s="194">
        <f>[2]Force!DK5</f>
        <v>847</v>
      </c>
      <c r="J6" s="194">
        <f>[2]Force!DL5</f>
        <v>881</v>
      </c>
      <c r="K6" s="194">
        <f>[2]Force!DM5</f>
        <v>852</v>
      </c>
      <c r="L6" s="194">
        <f>[2]Force!DN5</f>
        <v>816</v>
      </c>
      <c r="M6" s="194">
        <f>[2]Force!DO5</f>
        <v>826</v>
      </c>
      <c r="N6" s="194">
        <f>[2]Force!DP5</f>
        <v>823</v>
      </c>
      <c r="O6" s="194">
        <f>[2]Force!DQ5</f>
        <v>795</v>
      </c>
      <c r="P6" s="178"/>
      <c r="Q6" s="468">
        <v>5</v>
      </c>
      <c r="R6" s="323" t="s">
        <v>40</v>
      </c>
      <c r="S6" s="176">
        <f t="shared" ref="S6:S48" si="12">D6</f>
        <v>854</v>
      </c>
      <c r="T6" s="176">
        <f t="shared" si="0"/>
        <v>1668</v>
      </c>
      <c r="U6" s="176">
        <f t="shared" si="1"/>
        <v>2548</v>
      </c>
      <c r="V6" s="176">
        <f t="shared" si="2"/>
        <v>3388</v>
      </c>
      <c r="W6" s="176">
        <f t="shared" si="3"/>
        <v>4182</v>
      </c>
      <c r="X6" s="176">
        <f t="shared" si="4"/>
        <v>5029</v>
      </c>
      <c r="Y6" s="176">
        <f t="shared" si="5"/>
        <v>5910</v>
      </c>
      <c r="Z6" s="176">
        <f t="shared" si="6"/>
        <v>6762</v>
      </c>
      <c r="AA6" s="176">
        <f t="shared" si="7"/>
        <v>7578</v>
      </c>
      <c r="AB6" s="176">
        <f t="shared" si="8"/>
        <v>8404</v>
      </c>
      <c r="AC6" s="176">
        <f t="shared" si="9"/>
        <v>9227</v>
      </c>
      <c r="AD6" s="461">
        <f t="shared" si="11"/>
        <v>10022</v>
      </c>
      <c r="AE6" s="468">
        <v>5</v>
      </c>
      <c r="AF6" s="163">
        <f t="shared" si="10"/>
        <v>10022</v>
      </c>
    </row>
    <row r="7" spans="2:32" x14ac:dyDescent="0.35">
      <c r="B7" s="420">
        <v>6</v>
      </c>
      <c r="C7" s="321" t="s">
        <v>5</v>
      </c>
      <c r="D7" s="194">
        <f>[2]Force!DF6</f>
        <v>30</v>
      </c>
      <c r="E7" s="194">
        <f>[2]Force!DG6</f>
        <v>50</v>
      </c>
      <c r="F7" s="194">
        <f>[2]Force!DH6</f>
        <v>40</v>
      </c>
      <c r="G7" s="194">
        <f>[2]Force!DI6</f>
        <v>33</v>
      </c>
      <c r="H7" s="194">
        <f>[2]Force!DJ6</f>
        <v>38</v>
      </c>
      <c r="I7" s="194">
        <f>[2]Force!DK6</f>
        <v>50</v>
      </c>
      <c r="J7" s="194">
        <f>[2]Force!DL6</f>
        <v>45</v>
      </c>
      <c r="K7" s="194">
        <f>[2]Force!DM6</f>
        <v>44</v>
      </c>
      <c r="L7" s="194">
        <f>[2]Force!DN6</f>
        <v>46</v>
      </c>
      <c r="M7" s="194">
        <f>[2]Force!DO6</f>
        <v>48</v>
      </c>
      <c r="N7" s="194">
        <f>[2]Force!DP6</f>
        <v>34</v>
      </c>
      <c r="O7" s="194">
        <f>[2]Force!DQ6</f>
        <v>45</v>
      </c>
      <c r="P7" s="178"/>
      <c r="Q7" s="468">
        <v>6</v>
      </c>
      <c r="R7" s="323" t="s">
        <v>5</v>
      </c>
      <c r="S7" s="176">
        <f t="shared" si="12"/>
        <v>30</v>
      </c>
      <c r="T7" s="176">
        <f t="shared" si="0"/>
        <v>80</v>
      </c>
      <c r="U7" s="176">
        <f t="shared" si="1"/>
        <v>120</v>
      </c>
      <c r="V7" s="176">
        <f t="shared" si="2"/>
        <v>153</v>
      </c>
      <c r="W7" s="176">
        <f t="shared" si="3"/>
        <v>191</v>
      </c>
      <c r="X7" s="176">
        <f t="shared" si="4"/>
        <v>241</v>
      </c>
      <c r="Y7" s="176">
        <f t="shared" si="5"/>
        <v>286</v>
      </c>
      <c r="Z7" s="176">
        <f t="shared" si="6"/>
        <v>330</v>
      </c>
      <c r="AA7" s="176">
        <f t="shared" si="7"/>
        <v>376</v>
      </c>
      <c r="AB7" s="176">
        <f t="shared" si="8"/>
        <v>424</v>
      </c>
      <c r="AC7" s="176">
        <f t="shared" si="9"/>
        <v>458</v>
      </c>
      <c r="AD7" s="461">
        <f t="shared" si="11"/>
        <v>503</v>
      </c>
      <c r="AE7" s="470">
        <v>6</v>
      </c>
      <c r="AF7" s="163">
        <f t="shared" si="10"/>
        <v>503</v>
      </c>
    </row>
    <row r="8" spans="2:32" x14ac:dyDescent="0.35">
      <c r="B8" s="420">
        <v>7</v>
      </c>
      <c r="C8" s="321" t="s">
        <v>35</v>
      </c>
      <c r="D8" s="194">
        <f>[2]Force!DF7</f>
        <v>68</v>
      </c>
      <c r="E8" s="194">
        <f>[2]Force!DG7</f>
        <v>84</v>
      </c>
      <c r="F8" s="194">
        <f>[2]Force!DH7</f>
        <v>112</v>
      </c>
      <c r="G8" s="194">
        <f>[2]Force!DI7</f>
        <v>88</v>
      </c>
      <c r="H8" s="194">
        <f>[2]Force!DJ7</f>
        <v>86</v>
      </c>
      <c r="I8" s="194">
        <f>[2]Force!DK7</f>
        <v>89</v>
      </c>
      <c r="J8" s="194">
        <f>[2]Force!DL7</f>
        <v>136</v>
      </c>
      <c r="K8" s="194">
        <f>[2]Force!DM7</f>
        <v>82</v>
      </c>
      <c r="L8" s="194">
        <f>[2]Force!DN7</f>
        <v>102</v>
      </c>
      <c r="M8" s="194">
        <f>[2]Force!DO7</f>
        <v>95</v>
      </c>
      <c r="N8" s="194">
        <f>[2]Force!DP7</f>
        <v>97</v>
      </c>
      <c r="O8" s="194">
        <f>[2]Force!DQ7</f>
        <v>87</v>
      </c>
      <c r="P8" s="178"/>
      <c r="Q8" s="468">
        <v>7</v>
      </c>
      <c r="R8" s="323" t="s">
        <v>35</v>
      </c>
      <c r="S8" s="176">
        <f t="shared" si="12"/>
        <v>68</v>
      </c>
      <c r="T8" s="176">
        <f t="shared" si="0"/>
        <v>152</v>
      </c>
      <c r="U8" s="176">
        <f t="shared" si="1"/>
        <v>264</v>
      </c>
      <c r="V8" s="176">
        <f t="shared" si="2"/>
        <v>352</v>
      </c>
      <c r="W8" s="176">
        <f t="shared" si="3"/>
        <v>438</v>
      </c>
      <c r="X8" s="176">
        <f t="shared" si="4"/>
        <v>527</v>
      </c>
      <c r="Y8" s="176">
        <f t="shared" si="5"/>
        <v>663</v>
      </c>
      <c r="Z8" s="176">
        <f t="shared" si="6"/>
        <v>745</v>
      </c>
      <c r="AA8" s="176">
        <f t="shared" si="7"/>
        <v>847</v>
      </c>
      <c r="AB8" s="176">
        <f t="shared" si="8"/>
        <v>942</v>
      </c>
      <c r="AC8" s="176">
        <f t="shared" si="9"/>
        <v>1039</v>
      </c>
      <c r="AD8" s="461">
        <f t="shared" si="11"/>
        <v>1126</v>
      </c>
      <c r="AE8" s="468">
        <v>7</v>
      </c>
      <c r="AF8" s="163">
        <f t="shared" si="10"/>
        <v>1126</v>
      </c>
    </row>
    <row r="9" spans="2:32" x14ac:dyDescent="0.35">
      <c r="B9" s="421">
        <v>8</v>
      </c>
      <c r="C9" s="321" t="s">
        <v>36</v>
      </c>
      <c r="D9" s="194">
        <f>[2]Force!DF8</f>
        <v>3</v>
      </c>
      <c r="E9" s="194">
        <f>[2]Force!DG8</f>
        <v>5</v>
      </c>
      <c r="F9" s="194">
        <f>[2]Force!DH8</f>
        <v>5</v>
      </c>
      <c r="G9" s="194">
        <f>[2]Force!DI8</f>
        <v>1</v>
      </c>
      <c r="H9" s="194">
        <f>[2]Force!DJ8</f>
        <v>3</v>
      </c>
      <c r="I9" s="194">
        <f>[2]Force!DK8</f>
        <v>2</v>
      </c>
      <c r="J9" s="194">
        <f>[2]Force!DL8</f>
        <v>10</v>
      </c>
      <c r="K9" s="194">
        <f>[2]Force!DM8</f>
        <v>5</v>
      </c>
      <c r="L9" s="194">
        <f>[2]Force!DN8</f>
        <v>4</v>
      </c>
      <c r="M9" s="194">
        <f>[2]Force!DO8</f>
        <v>2</v>
      </c>
      <c r="N9" s="194">
        <f>[2]Force!DP8</f>
        <v>1</v>
      </c>
      <c r="O9" s="194">
        <f>[2]Force!DQ8</f>
        <v>2</v>
      </c>
      <c r="P9" s="178"/>
      <c r="Q9" s="468">
        <v>8</v>
      </c>
      <c r="R9" s="323" t="s">
        <v>36</v>
      </c>
      <c r="S9" s="176">
        <f t="shared" si="12"/>
        <v>3</v>
      </c>
      <c r="T9" s="176">
        <f t="shared" si="0"/>
        <v>8</v>
      </c>
      <c r="U9" s="176">
        <f t="shared" si="1"/>
        <v>13</v>
      </c>
      <c r="V9" s="176">
        <f t="shared" si="2"/>
        <v>14</v>
      </c>
      <c r="W9" s="176">
        <f t="shared" si="3"/>
        <v>17</v>
      </c>
      <c r="X9" s="176">
        <f t="shared" si="4"/>
        <v>19</v>
      </c>
      <c r="Y9" s="176">
        <f t="shared" si="5"/>
        <v>29</v>
      </c>
      <c r="Z9" s="176">
        <f t="shared" si="6"/>
        <v>34</v>
      </c>
      <c r="AA9" s="176">
        <f t="shared" si="7"/>
        <v>38</v>
      </c>
      <c r="AB9" s="176">
        <f t="shared" si="8"/>
        <v>40</v>
      </c>
      <c r="AC9" s="176">
        <f t="shared" si="9"/>
        <v>41</v>
      </c>
      <c r="AD9" s="461">
        <f t="shared" si="11"/>
        <v>43</v>
      </c>
      <c r="AE9" s="468">
        <v>8</v>
      </c>
      <c r="AF9" s="163">
        <f t="shared" si="10"/>
        <v>43</v>
      </c>
    </row>
    <row r="10" spans="2:32" x14ac:dyDescent="0.35">
      <c r="B10" s="420">
        <v>9</v>
      </c>
      <c r="C10" s="394" t="s">
        <v>37</v>
      </c>
      <c r="D10" s="194">
        <f>[2]Force!DF9</f>
        <v>24</v>
      </c>
      <c r="E10" s="194">
        <f>[2]Force!DG9</f>
        <v>31</v>
      </c>
      <c r="F10" s="194">
        <f>[2]Force!DH9</f>
        <v>27</v>
      </c>
      <c r="G10" s="194">
        <f>[2]Force!DI9</f>
        <v>43</v>
      </c>
      <c r="H10" s="194">
        <f>[2]Force!DJ9</f>
        <v>38</v>
      </c>
      <c r="I10" s="194">
        <f>[2]Force!DK9</f>
        <v>28</v>
      </c>
      <c r="J10" s="194">
        <f>[2]Force!DL9</f>
        <v>17</v>
      </c>
      <c r="K10" s="194">
        <f>[2]Force!DM9</f>
        <v>19</v>
      </c>
      <c r="L10" s="194">
        <f>[2]Force!DN9</f>
        <v>27</v>
      </c>
      <c r="M10" s="194">
        <f>[2]Force!DO9</f>
        <v>30</v>
      </c>
      <c r="N10" s="194">
        <f>[2]Force!DP9</f>
        <v>24</v>
      </c>
      <c r="O10" s="194">
        <f>[2]Force!DQ9</f>
        <v>38</v>
      </c>
      <c r="P10" s="178"/>
      <c r="Q10" s="468">
        <v>9</v>
      </c>
      <c r="R10" s="323" t="s">
        <v>37</v>
      </c>
      <c r="S10" s="176">
        <f t="shared" si="12"/>
        <v>24</v>
      </c>
      <c r="T10" s="176">
        <f t="shared" si="0"/>
        <v>55</v>
      </c>
      <c r="U10" s="176">
        <f t="shared" si="1"/>
        <v>82</v>
      </c>
      <c r="V10" s="176">
        <f t="shared" si="2"/>
        <v>125</v>
      </c>
      <c r="W10" s="176">
        <f t="shared" si="3"/>
        <v>163</v>
      </c>
      <c r="X10" s="176">
        <f t="shared" si="4"/>
        <v>191</v>
      </c>
      <c r="Y10" s="176">
        <f t="shared" si="5"/>
        <v>208</v>
      </c>
      <c r="Z10" s="176">
        <f t="shared" si="6"/>
        <v>227</v>
      </c>
      <c r="AA10" s="176">
        <f t="shared" si="7"/>
        <v>254</v>
      </c>
      <c r="AB10" s="176">
        <f t="shared" si="8"/>
        <v>284</v>
      </c>
      <c r="AC10" s="176">
        <f t="shared" si="9"/>
        <v>308</v>
      </c>
      <c r="AD10" s="461">
        <f t="shared" si="11"/>
        <v>346</v>
      </c>
      <c r="AE10" s="468">
        <v>9</v>
      </c>
      <c r="AF10" s="163">
        <f t="shared" si="10"/>
        <v>346</v>
      </c>
    </row>
    <row r="11" spans="2:32" x14ac:dyDescent="0.35">
      <c r="B11" s="420">
        <v>10</v>
      </c>
      <c r="C11" s="396" t="s">
        <v>31</v>
      </c>
      <c r="D11" s="194">
        <f>[2]Force!DF10</f>
        <v>147</v>
      </c>
      <c r="E11" s="194">
        <f>[2]Force!DG10</f>
        <v>118</v>
      </c>
      <c r="F11" s="194">
        <f>[2]Force!DH10</f>
        <v>116</v>
      </c>
      <c r="G11" s="194">
        <f>[2]Force!DI10</f>
        <v>127</v>
      </c>
      <c r="H11" s="194">
        <f>[2]Force!DJ10</f>
        <v>99</v>
      </c>
      <c r="I11" s="194">
        <f>[2]Force!DK10</f>
        <v>116</v>
      </c>
      <c r="J11" s="194">
        <f>[2]Force!DL10</f>
        <v>132</v>
      </c>
      <c r="K11" s="194">
        <f>[2]Force!DM10</f>
        <v>127</v>
      </c>
      <c r="L11" s="194">
        <f>[2]Force!DN10</f>
        <v>111</v>
      </c>
      <c r="M11" s="194">
        <f>[2]Force!DO10</f>
        <v>124</v>
      </c>
      <c r="N11" s="194">
        <f>[2]Force!DP10</f>
        <v>120</v>
      </c>
      <c r="O11" s="194">
        <f>[2]Force!DQ10</f>
        <v>120</v>
      </c>
      <c r="P11" s="178"/>
      <c r="Q11" s="468">
        <v>10</v>
      </c>
      <c r="R11" s="324" t="s">
        <v>31</v>
      </c>
      <c r="S11" s="176">
        <f t="shared" si="12"/>
        <v>147</v>
      </c>
      <c r="T11" s="176">
        <f t="shared" si="0"/>
        <v>265</v>
      </c>
      <c r="U11" s="176">
        <f t="shared" si="1"/>
        <v>381</v>
      </c>
      <c r="V11" s="176">
        <f t="shared" si="2"/>
        <v>508</v>
      </c>
      <c r="W11" s="176">
        <f t="shared" si="3"/>
        <v>607</v>
      </c>
      <c r="X11" s="176">
        <f t="shared" si="4"/>
        <v>723</v>
      </c>
      <c r="Y11" s="176">
        <f t="shared" si="5"/>
        <v>855</v>
      </c>
      <c r="Z11" s="176">
        <f t="shared" si="6"/>
        <v>982</v>
      </c>
      <c r="AA11" s="176">
        <f t="shared" si="7"/>
        <v>1093</v>
      </c>
      <c r="AB11" s="176">
        <f t="shared" si="8"/>
        <v>1217</v>
      </c>
      <c r="AC11" s="176">
        <f t="shared" si="9"/>
        <v>1337</v>
      </c>
      <c r="AD11" s="461">
        <f t="shared" si="11"/>
        <v>1457</v>
      </c>
      <c r="AE11" s="468">
        <v>10</v>
      </c>
      <c r="AF11" s="163">
        <f t="shared" si="10"/>
        <v>1457</v>
      </c>
    </row>
    <row r="12" spans="2:32" x14ac:dyDescent="0.35">
      <c r="B12" s="420">
        <v>11</v>
      </c>
      <c r="C12" s="396" t="s">
        <v>55</v>
      </c>
      <c r="D12" s="194">
        <f>[2]Force!DF11</f>
        <v>58</v>
      </c>
      <c r="E12" s="194">
        <f>[2]Force!DG11</f>
        <v>51</v>
      </c>
      <c r="F12" s="194">
        <f>[2]Force!DH11</f>
        <v>51</v>
      </c>
      <c r="G12" s="194">
        <f>[2]Force!DI11</f>
        <v>58</v>
      </c>
      <c r="H12" s="194">
        <f>[2]Force!DJ11</f>
        <v>76</v>
      </c>
      <c r="I12" s="194">
        <f>[2]Force!DK11</f>
        <v>82</v>
      </c>
      <c r="J12" s="194">
        <f>[2]Force!DL11</f>
        <v>76</v>
      </c>
      <c r="K12" s="194">
        <f>[2]Force!DM11</f>
        <v>70</v>
      </c>
      <c r="L12" s="194">
        <f>[2]Force!DN11</f>
        <v>61</v>
      </c>
      <c r="M12" s="194">
        <f>[2]Force!DO11</f>
        <v>80</v>
      </c>
      <c r="N12" s="194">
        <f>[2]Force!DP11</f>
        <v>50</v>
      </c>
      <c r="O12" s="194">
        <f>[2]Force!DQ11</f>
        <v>67</v>
      </c>
      <c r="P12" s="178"/>
      <c r="Q12" s="468">
        <v>11</v>
      </c>
      <c r="R12" s="324" t="s">
        <v>55</v>
      </c>
      <c r="S12" s="176">
        <f t="shared" si="12"/>
        <v>58</v>
      </c>
      <c r="T12" s="176">
        <f t="shared" si="0"/>
        <v>109</v>
      </c>
      <c r="U12" s="176">
        <f t="shared" si="1"/>
        <v>160</v>
      </c>
      <c r="V12" s="176">
        <f t="shared" si="2"/>
        <v>218</v>
      </c>
      <c r="W12" s="176">
        <f t="shared" si="3"/>
        <v>294</v>
      </c>
      <c r="X12" s="176">
        <f t="shared" si="4"/>
        <v>376</v>
      </c>
      <c r="Y12" s="176">
        <f t="shared" si="5"/>
        <v>452</v>
      </c>
      <c r="Z12" s="176">
        <f t="shared" si="6"/>
        <v>522</v>
      </c>
      <c r="AA12" s="176">
        <f t="shared" si="7"/>
        <v>583</v>
      </c>
      <c r="AB12" s="176">
        <f t="shared" si="8"/>
        <v>663</v>
      </c>
      <c r="AC12" s="176">
        <f t="shared" si="9"/>
        <v>713</v>
      </c>
      <c r="AD12" s="461">
        <f t="shared" si="11"/>
        <v>780</v>
      </c>
      <c r="AE12" s="470">
        <v>11</v>
      </c>
      <c r="AF12" s="163">
        <f t="shared" si="10"/>
        <v>780</v>
      </c>
    </row>
    <row r="13" spans="2:32" x14ac:dyDescent="0.35">
      <c r="B13" s="420">
        <v>12</v>
      </c>
      <c r="C13" s="395" t="s">
        <v>38</v>
      </c>
      <c r="D13" s="194">
        <f>[2]Force!DF12</f>
        <v>362</v>
      </c>
      <c r="E13" s="194">
        <f>[2]Force!DG12</f>
        <v>333</v>
      </c>
      <c r="F13" s="194">
        <f>[2]Force!DH12</f>
        <v>323</v>
      </c>
      <c r="G13" s="194">
        <f>[2]Force!DI12</f>
        <v>402</v>
      </c>
      <c r="H13" s="194">
        <f>[2]Force!DJ12</f>
        <v>324</v>
      </c>
      <c r="I13" s="194">
        <f>[2]Force!DK12</f>
        <v>323</v>
      </c>
      <c r="J13" s="194">
        <f>[2]Force!DL12</f>
        <v>318</v>
      </c>
      <c r="K13" s="194">
        <f>[2]Force!DM12</f>
        <v>339</v>
      </c>
      <c r="L13" s="194">
        <f>[2]Force!DN12</f>
        <v>343</v>
      </c>
      <c r="M13" s="194">
        <f>[2]Force!DO12</f>
        <v>335</v>
      </c>
      <c r="N13" s="194">
        <f>[2]Force!DP12</f>
        <v>292</v>
      </c>
      <c r="O13" s="194">
        <f>[2]Force!DQ12</f>
        <v>380</v>
      </c>
      <c r="P13" s="178"/>
      <c r="Q13" s="468">
        <v>12</v>
      </c>
      <c r="R13" s="323" t="s">
        <v>38</v>
      </c>
      <c r="S13" s="176">
        <f t="shared" si="12"/>
        <v>362</v>
      </c>
      <c r="T13" s="176">
        <f t="shared" si="0"/>
        <v>695</v>
      </c>
      <c r="U13" s="176">
        <f t="shared" si="1"/>
        <v>1018</v>
      </c>
      <c r="V13" s="176">
        <f t="shared" si="2"/>
        <v>1420</v>
      </c>
      <c r="W13" s="176">
        <f t="shared" si="3"/>
        <v>1744</v>
      </c>
      <c r="X13" s="176">
        <f t="shared" si="4"/>
        <v>2067</v>
      </c>
      <c r="Y13" s="176">
        <f t="shared" si="5"/>
        <v>2385</v>
      </c>
      <c r="Z13" s="176">
        <f t="shared" si="6"/>
        <v>2724</v>
      </c>
      <c r="AA13" s="176">
        <f t="shared" si="7"/>
        <v>3067</v>
      </c>
      <c r="AB13" s="176">
        <f t="shared" si="8"/>
        <v>3402</v>
      </c>
      <c r="AC13" s="176">
        <f t="shared" si="9"/>
        <v>3694</v>
      </c>
      <c r="AD13" s="461">
        <f t="shared" si="11"/>
        <v>4074</v>
      </c>
      <c r="AE13" s="468">
        <v>12</v>
      </c>
      <c r="AF13" s="163">
        <f t="shared" si="10"/>
        <v>4074</v>
      </c>
    </row>
    <row r="14" spans="2:32" x14ac:dyDescent="0.35">
      <c r="B14" s="421">
        <v>13</v>
      </c>
      <c r="C14" s="321" t="s">
        <v>17</v>
      </c>
      <c r="D14" s="194">
        <f>[2]Force!DF13</f>
        <v>211</v>
      </c>
      <c r="E14" s="194">
        <f>[2]Force!DG13</f>
        <v>217</v>
      </c>
      <c r="F14" s="194">
        <f>[2]Force!DH13</f>
        <v>224</v>
      </c>
      <c r="G14" s="194">
        <f>[2]Force!DI13</f>
        <v>230</v>
      </c>
      <c r="H14" s="194">
        <f>[2]Force!DJ13</f>
        <v>193</v>
      </c>
      <c r="I14" s="194">
        <f>[2]Force!DK13</f>
        <v>242</v>
      </c>
      <c r="J14" s="194">
        <f>[2]Force!DL13</f>
        <v>251</v>
      </c>
      <c r="K14" s="194">
        <f>[2]Force!DM13</f>
        <v>267</v>
      </c>
      <c r="L14" s="194">
        <f>[2]Force!DN13</f>
        <v>229</v>
      </c>
      <c r="M14" s="194">
        <f>[2]Force!DO13</f>
        <v>292</v>
      </c>
      <c r="N14" s="194">
        <f>[2]Force!DP13</f>
        <v>291</v>
      </c>
      <c r="O14" s="194">
        <f>[2]Force!DQ13</f>
        <v>326</v>
      </c>
      <c r="P14" s="178"/>
      <c r="Q14" s="468">
        <v>13</v>
      </c>
      <c r="R14" s="323" t="s">
        <v>17</v>
      </c>
      <c r="S14" s="176">
        <f t="shared" si="12"/>
        <v>211</v>
      </c>
      <c r="T14" s="176">
        <f t="shared" si="0"/>
        <v>428</v>
      </c>
      <c r="U14" s="176">
        <f t="shared" si="1"/>
        <v>652</v>
      </c>
      <c r="V14" s="176">
        <f t="shared" si="2"/>
        <v>882</v>
      </c>
      <c r="W14" s="176">
        <f t="shared" si="3"/>
        <v>1075</v>
      </c>
      <c r="X14" s="176">
        <f t="shared" si="4"/>
        <v>1317</v>
      </c>
      <c r="Y14" s="176">
        <f t="shared" si="5"/>
        <v>1568</v>
      </c>
      <c r="Z14" s="176">
        <f t="shared" si="6"/>
        <v>1835</v>
      </c>
      <c r="AA14" s="176">
        <f t="shared" si="7"/>
        <v>2064</v>
      </c>
      <c r="AB14" s="176">
        <f t="shared" si="8"/>
        <v>2356</v>
      </c>
      <c r="AC14" s="176">
        <f t="shared" si="9"/>
        <v>2647</v>
      </c>
      <c r="AD14" s="461">
        <f t="shared" si="11"/>
        <v>2973</v>
      </c>
      <c r="AE14" s="468">
        <v>13</v>
      </c>
      <c r="AF14" s="163">
        <f t="shared" si="10"/>
        <v>2973</v>
      </c>
    </row>
    <row r="15" spans="2:32" x14ac:dyDescent="0.35">
      <c r="B15" s="420">
        <v>14</v>
      </c>
      <c r="C15" s="321" t="s">
        <v>34</v>
      </c>
      <c r="D15" s="194">
        <f>[2]Force!DF14</f>
        <v>310</v>
      </c>
      <c r="E15" s="194">
        <f>[2]Force!DG14</f>
        <v>317</v>
      </c>
      <c r="F15" s="194">
        <f>[2]Force!DH14</f>
        <v>347</v>
      </c>
      <c r="G15" s="194">
        <f>[2]Force!DI14</f>
        <v>364</v>
      </c>
      <c r="H15" s="194">
        <f>[2]Force!DJ14</f>
        <v>298</v>
      </c>
      <c r="I15" s="194">
        <f>[2]Force!DK14</f>
        <v>311</v>
      </c>
      <c r="J15" s="194">
        <f>[2]Force!DL14</f>
        <v>280</v>
      </c>
      <c r="K15" s="194">
        <f>[2]Force!DM14</f>
        <v>224</v>
      </c>
      <c r="L15" s="194">
        <f>[2]Force!DN14</f>
        <v>268</v>
      </c>
      <c r="M15" s="194">
        <f>[2]Force!DO14</f>
        <v>240</v>
      </c>
      <c r="N15" s="194">
        <f>[2]Force!DP14</f>
        <v>222</v>
      </c>
      <c r="O15" s="194">
        <f>[2]Force!DQ14</f>
        <v>248</v>
      </c>
      <c r="P15" s="178"/>
      <c r="Q15" s="468">
        <v>14</v>
      </c>
      <c r="R15" s="323" t="s">
        <v>34</v>
      </c>
      <c r="S15" s="176">
        <f t="shared" si="12"/>
        <v>310</v>
      </c>
      <c r="T15" s="176">
        <f t="shared" si="0"/>
        <v>627</v>
      </c>
      <c r="U15" s="176">
        <f t="shared" si="1"/>
        <v>974</v>
      </c>
      <c r="V15" s="176">
        <f t="shared" si="2"/>
        <v>1338</v>
      </c>
      <c r="W15" s="176">
        <f t="shared" si="3"/>
        <v>1636</v>
      </c>
      <c r="X15" s="176">
        <f t="shared" si="4"/>
        <v>1947</v>
      </c>
      <c r="Y15" s="176">
        <f t="shared" si="5"/>
        <v>2227</v>
      </c>
      <c r="Z15" s="176">
        <f t="shared" si="6"/>
        <v>2451</v>
      </c>
      <c r="AA15" s="176">
        <f t="shared" si="7"/>
        <v>2719</v>
      </c>
      <c r="AB15" s="176">
        <f t="shared" si="8"/>
        <v>2959</v>
      </c>
      <c r="AC15" s="176">
        <f t="shared" si="9"/>
        <v>3181</v>
      </c>
      <c r="AD15" s="461">
        <f t="shared" si="11"/>
        <v>3429</v>
      </c>
      <c r="AE15" s="470">
        <v>14</v>
      </c>
      <c r="AF15" s="163">
        <f t="shared" si="10"/>
        <v>3429</v>
      </c>
    </row>
    <row r="16" spans="2:32" x14ac:dyDescent="0.35">
      <c r="B16" s="420">
        <v>15</v>
      </c>
      <c r="C16" s="321" t="s">
        <v>41</v>
      </c>
      <c r="D16" s="194">
        <f>[2]Force!DF15</f>
        <v>27</v>
      </c>
      <c r="E16" s="194">
        <f>[2]Force!DG15</f>
        <v>36</v>
      </c>
      <c r="F16" s="194">
        <f>[2]Force!DH15</f>
        <v>32</v>
      </c>
      <c r="G16" s="194">
        <f>[2]Force!DI15</f>
        <v>44</v>
      </c>
      <c r="H16" s="194">
        <f>[2]Force!DJ15</f>
        <v>41</v>
      </c>
      <c r="I16" s="194">
        <f>[2]Force!DK15</f>
        <v>30</v>
      </c>
      <c r="J16" s="194">
        <f>[2]Force!DL15</f>
        <v>27</v>
      </c>
      <c r="K16" s="194">
        <f>[2]Force!DM15</f>
        <v>24</v>
      </c>
      <c r="L16" s="194">
        <f>[2]Force!DN15</f>
        <v>31</v>
      </c>
      <c r="M16" s="194">
        <f>[2]Force!DO15</f>
        <v>32</v>
      </c>
      <c r="N16" s="194">
        <f>[2]Force!DP15</f>
        <v>25</v>
      </c>
      <c r="O16" s="194">
        <f>[2]Force!DQ15</f>
        <v>40</v>
      </c>
      <c r="P16" s="178"/>
      <c r="Q16" s="468">
        <v>15</v>
      </c>
      <c r="R16" s="323" t="s">
        <v>41</v>
      </c>
      <c r="S16" s="176">
        <f t="shared" si="12"/>
        <v>27</v>
      </c>
      <c r="T16" s="176">
        <f t="shared" si="0"/>
        <v>63</v>
      </c>
      <c r="U16" s="176">
        <f t="shared" si="1"/>
        <v>95</v>
      </c>
      <c r="V16" s="176">
        <f t="shared" si="2"/>
        <v>139</v>
      </c>
      <c r="W16" s="176">
        <f t="shared" si="3"/>
        <v>180</v>
      </c>
      <c r="X16" s="176">
        <f t="shared" si="4"/>
        <v>210</v>
      </c>
      <c r="Y16" s="176">
        <f t="shared" si="5"/>
        <v>237</v>
      </c>
      <c r="Z16" s="176">
        <f t="shared" si="6"/>
        <v>261</v>
      </c>
      <c r="AA16" s="176">
        <f t="shared" si="7"/>
        <v>292</v>
      </c>
      <c r="AB16" s="176">
        <f t="shared" si="8"/>
        <v>324</v>
      </c>
      <c r="AC16" s="176">
        <f t="shared" si="9"/>
        <v>349</v>
      </c>
      <c r="AD16" s="461">
        <f t="shared" si="11"/>
        <v>389</v>
      </c>
      <c r="AE16" s="468">
        <v>15</v>
      </c>
      <c r="AF16" s="163">
        <f t="shared" si="10"/>
        <v>389</v>
      </c>
    </row>
    <row r="17" spans="1:32" x14ac:dyDescent="0.35">
      <c r="B17" s="420">
        <v>16</v>
      </c>
      <c r="C17" s="321" t="s">
        <v>42</v>
      </c>
      <c r="D17" s="194">
        <f>[2]Force!DF16</f>
        <v>1335</v>
      </c>
      <c r="E17" s="194">
        <f>[2]Force!DG16</f>
        <v>1378</v>
      </c>
      <c r="F17" s="194">
        <f>[2]Force!DH16</f>
        <v>1522</v>
      </c>
      <c r="G17" s="194">
        <f>[2]Force!DI16</f>
        <v>1393</v>
      </c>
      <c r="H17" s="194">
        <f>[2]Force!DJ16</f>
        <v>1329</v>
      </c>
      <c r="I17" s="194">
        <f>[2]Force!DK16</f>
        <v>1386</v>
      </c>
      <c r="J17" s="194">
        <f>[2]Force!DL16</f>
        <v>1479</v>
      </c>
      <c r="K17" s="194">
        <f>[2]Force!DM16</f>
        <v>1343</v>
      </c>
      <c r="L17" s="194">
        <f>[2]Force!DN16</f>
        <v>1389</v>
      </c>
      <c r="M17" s="194">
        <f>[2]Force!DO16</f>
        <v>1341</v>
      </c>
      <c r="N17" s="194">
        <f>[2]Force!DP16</f>
        <v>1313</v>
      </c>
      <c r="O17" s="194">
        <f>[2]Force!DQ16</f>
        <v>1301</v>
      </c>
      <c r="P17" s="178"/>
      <c r="Q17" s="468">
        <v>16</v>
      </c>
      <c r="R17" s="323" t="s">
        <v>42</v>
      </c>
      <c r="S17" s="176">
        <f t="shared" si="12"/>
        <v>1335</v>
      </c>
      <c r="T17" s="176">
        <f t="shared" si="0"/>
        <v>2713</v>
      </c>
      <c r="U17" s="176">
        <f t="shared" si="1"/>
        <v>4235</v>
      </c>
      <c r="V17" s="176">
        <f t="shared" si="2"/>
        <v>5628</v>
      </c>
      <c r="W17" s="176">
        <f t="shared" si="3"/>
        <v>6957</v>
      </c>
      <c r="X17" s="176">
        <f t="shared" si="4"/>
        <v>8343</v>
      </c>
      <c r="Y17" s="176">
        <f t="shared" si="5"/>
        <v>9822</v>
      </c>
      <c r="Z17" s="176">
        <f t="shared" si="6"/>
        <v>11165</v>
      </c>
      <c r="AA17" s="176">
        <f t="shared" si="7"/>
        <v>12554</v>
      </c>
      <c r="AB17" s="176">
        <f t="shared" si="8"/>
        <v>13895</v>
      </c>
      <c r="AC17" s="176">
        <f t="shared" si="9"/>
        <v>15208</v>
      </c>
      <c r="AD17" s="461">
        <f t="shared" si="11"/>
        <v>16509</v>
      </c>
      <c r="AE17" s="468">
        <v>16</v>
      </c>
      <c r="AF17" s="163">
        <f t="shared" si="10"/>
        <v>16509</v>
      </c>
    </row>
    <row r="18" spans="1:32" x14ac:dyDescent="0.35">
      <c r="B18" s="420">
        <v>17</v>
      </c>
      <c r="C18" s="321" t="s">
        <v>43</v>
      </c>
      <c r="D18" s="195">
        <f>[2]Force!DF18</f>
        <v>30</v>
      </c>
      <c r="E18" s="195">
        <f>[2]Force!DG18</f>
        <v>56</v>
      </c>
      <c r="F18" s="195">
        <f>[2]Force!DH18</f>
        <v>46</v>
      </c>
      <c r="G18" s="195">
        <f>[2]Force!DI18</f>
        <v>53</v>
      </c>
      <c r="H18" s="195">
        <f>[2]Force!DJ18</f>
        <v>42</v>
      </c>
      <c r="I18" s="195">
        <f>[2]Force!DK18</f>
        <v>39</v>
      </c>
      <c r="J18" s="195">
        <f>[2]Force!DL18</f>
        <v>38</v>
      </c>
      <c r="K18" s="195">
        <f>[2]Force!DM18</f>
        <v>50</v>
      </c>
      <c r="L18" s="195">
        <f>[2]Force!DN18</f>
        <v>58</v>
      </c>
      <c r="M18" s="195">
        <f>[2]Force!DO18</f>
        <v>35</v>
      </c>
      <c r="N18" s="195">
        <f>[2]Force!DP18</f>
        <v>26</v>
      </c>
      <c r="O18" s="195">
        <f>[2]Force!DQ18</f>
        <v>50</v>
      </c>
      <c r="P18" s="178"/>
      <c r="Q18" s="468">
        <v>17</v>
      </c>
      <c r="R18" s="321" t="s">
        <v>43</v>
      </c>
      <c r="S18" s="176">
        <f t="shared" si="12"/>
        <v>30</v>
      </c>
      <c r="T18" s="176">
        <f t="shared" si="0"/>
        <v>86</v>
      </c>
      <c r="U18" s="176">
        <f t="shared" si="1"/>
        <v>132</v>
      </c>
      <c r="V18" s="176">
        <f t="shared" si="2"/>
        <v>185</v>
      </c>
      <c r="W18" s="176">
        <f t="shared" si="3"/>
        <v>227</v>
      </c>
      <c r="X18" s="176">
        <f t="shared" si="4"/>
        <v>266</v>
      </c>
      <c r="Y18" s="176">
        <f t="shared" si="5"/>
        <v>304</v>
      </c>
      <c r="Z18" s="176">
        <f t="shared" si="6"/>
        <v>354</v>
      </c>
      <c r="AA18" s="176">
        <f t="shared" si="7"/>
        <v>412</v>
      </c>
      <c r="AB18" s="176">
        <f t="shared" si="8"/>
        <v>447</v>
      </c>
      <c r="AC18" s="176">
        <f t="shared" si="9"/>
        <v>473</v>
      </c>
      <c r="AD18" s="461">
        <f t="shared" si="11"/>
        <v>523</v>
      </c>
      <c r="AE18" s="468">
        <v>17</v>
      </c>
      <c r="AF18" s="163">
        <f t="shared" si="10"/>
        <v>523</v>
      </c>
    </row>
    <row r="19" spans="1:32" x14ac:dyDescent="0.35">
      <c r="B19" s="421">
        <v>18</v>
      </c>
      <c r="C19" s="321" t="s">
        <v>198</v>
      </c>
      <c r="D19" s="195">
        <f>[2]Force!DF19</f>
        <v>50</v>
      </c>
      <c r="E19" s="195">
        <f>[2]Force!DG19</f>
        <v>47</v>
      </c>
      <c r="F19" s="195">
        <f>[2]Force!DH19</f>
        <v>61</v>
      </c>
      <c r="G19" s="195">
        <f>[2]Force!DI19</f>
        <v>50</v>
      </c>
      <c r="H19" s="195">
        <f>[2]Force!DJ19</f>
        <v>43</v>
      </c>
      <c r="I19" s="195">
        <f>[2]Force!DK19</f>
        <v>47</v>
      </c>
      <c r="J19" s="195">
        <f>[2]Force!DL19</f>
        <v>42</v>
      </c>
      <c r="K19" s="195">
        <f>[2]Force!DM19</f>
        <v>44</v>
      </c>
      <c r="L19" s="195">
        <f>[2]Force!DN19</f>
        <v>58</v>
      </c>
      <c r="M19" s="195">
        <f>[2]Force!DO19</f>
        <v>49</v>
      </c>
      <c r="N19" s="195">
        <f>[2]Force!DP19</f>
        <v>28</v>
      </c>
      <c r="O19" s="195">
        <f>[2]Force!DQ19</f>
        <v>44</v>
      </c>
      <c r="P19" s="178"/>
      <c r="Q19" s="468">
        <v>18</v>
      </c>
      <c r="R19" s="321" t="s">
        <v>198</v>
      </c>
      <c r="S19" s="176">
        <f t="shared" ref="S19:S26" si="13">D19</f>
        <v>50</v>
      </c>
      <c r="T19" s="176">
        <f t="shared" ref="T19:AD19" si="14">S19+E19</f>
        <v>97</v>
      </c>
      <c r="U19" s="176">
        <f t="shared" si="14"/>
        <v>158</v>
      </c>
      <c r="V19" s="176">
        <f t="shared" si="14"/>
        <v>208</v>
      </c>
      <c r="W19" s="176">
        <f t="shared" si="14"/>
        <v>251</v>
      </c>
      <c r="X19" s="176">
        <f t="shared" si="14"/>
        <v>298</v>
      </c>
      <c r="Y19" s="176">
        <f t="shared" si="14"/>
        <v>340</v>
      </c>
      <c r="Z19" s="176">
        <f t="shared" si="14"/>
        <v>384</v>
      </c>
      <c r="AA19" s="176">
        <f t="shared" si="14"/>
        <v>442</v>
      </c>
      <c r="AB19" s="176">
        <f t="shared" si="14"/>
        <v>491</v>
      </c>
      <c r="AC19" s="176">
        <f t="shared" si="14"/>
        <v>519</v>
      </c>
      <c r="AD19" s="461">
        <f t="shared" si="14"/>
        <v>563</v>
      </c>
      <c r="AE19" s="468">
        <v>18</v>
      </c>
      <c r="AF19" s="163">
        <f t="shared" si="10"/>
        <v>563</v>
      </c>
    </row>
    <row r="20" spans="1:32" x14ac:dyDescent="0.35">
      <c r="A20" s="162" t="s">
        <v>128</v>
      </c>
      <c r="B20" s="420">
        <v>19</v>
      </c>
      <c r="C20" s="321" t="s">
        <v>204</v>
      </c>
      <c r="D20" s="280">
        <f>SUM(D18:D19)</f>
        <v>80</v>
      </c>
      <c r="E20" s="280">
        <f t="shared" ref="E20:O20" si="15">SUM(E18:E19)</f>
        <v>103</v>
      </c>
      <c r="F20" s="280">
        <f t="shared" si="15"/>
        <v>107</v>
      </c>
      <c r="G20" s="280">
        <f t="shared" si="15"/>
        <v>103</v>
      </c>
      <c r="H20" s="280">
        <f t="shared" si="15"/>
        <v>85</v>
      </c>
      <c r="I20" s="280">
        <f t="shared" si="15"/>
        <v>86</v>
      </c>
      <c r="J20" s="280">
        <f t="shared" si="15"/>
        <v>80</v>
      </c>
      <c r="K20" s="280">
        <f t="shared" si="15"/>
        <v>94</v>
      </c>
      <c r="L20" s="280">
        <f t="shared" si="15"/>
        <v>116</v>
      </c>
      <c r="M20" s="280">
        <f t="shared" si="15"/>
        <v>84</v>
      </c>
      <c r="N20" s="280">
        <f t="shared" si="15"/>
        <v>54</v>
      </c>
      <c r="O20" s="280">
        <f t="shared" si="15"/>
        <v>94</v>
      </c>
      <c r="P20" s="178"/>
      <c r="Q20" s="468">
        <v>19</v>
      </c>
      <c r="R20" s="321" t="s">
        <v>204</v>
      </c>
      <c r="S20" s="176">
        <f t="shared" ref="S20" si="16">SUM(S18:S19)</f>
        <v>80</v>
      </c>
      <c r="T20" s="176">
        <f t="shared" ref="T20" si="17">SUM(T18:T19)</f>
        <v>183</v>
      </c>
      <c r="U20" s="176">
        <f t="shared" ref="U20:V20" si="18">SUM(U18:U19)</f>
        <v>290</v>
      </c>
      <c r="V20" s="176">
        <f t="shared" si="18"/>
        <v>393</v>
      </c>
      <c r="W20" s="176">
        <f>SUM(W18:W19)</f>
        <v>478</v>
      </c>
      <c r="X20" s="176">
        <f t="shared" ref="X20:AD20" si="19">SUM(X18:X19)</f>
        <v>564</v>
      </c>
      <c r="Y20" s="176">
        <f t="shared" si="19"/>
        <v>644</v>
      </c>
      <c r="Z20" s="176">
        <f t="shared" si="19"/>
        <v>738</v>
      </c>
      <c r="AA20" s="176">
        <f t="shared" si="19"/>
        <v>854</v>
      </c>
      <c r="AB20" s="176">
        <f t="shared" si="19"/>
        <v>938</v>
      </c>
      <c r="AC20" s="176">
        <f t="shared" si="19"/>
        <v>992</v>
      </c>
      <c r="AD20" s="461">
        <f t="shared" si="19"/>
        <v>1086</v>
      </c>
      <c r="AE20" s="470">
        <v>19</v>
      </c>
      <c r="AF20" s="163"/>
    </row>
    <row r="21" spans="1:32" x14ac:dyDescent="0.35">
      <c r="B21" s="420">
        <v>20</v>
      </c>
      <c r="C21" s="321" t="s">
        <v>44</v>
      </c>
      <c r="D21" s="195">
        <f>[2]Force!DF20</f>
        <v>1</v>
      </c>
      <c r="E21" s="195">
        <f>[2]Force!DG20</f>
        <v>4</v>
      </c>
      <c r="F21" s="195">
        <f>[2]Force!DH20</f>
        <v>3</v>
      </c>
      <c r="G21" s="195">
        <f>[2]Force!DI20</f>
        <v>6</v>
      </c>
      <c r="H21" s="195">
        <f>[2]Force!DJ20</f>
        <v>4</v>
      </c>
      <c r="I21" s="195">
        <f>[2]Force!DK20</f>
        <v>2</v>
      </c>
      <c r="J21" s="195">
        <f>[2]Force!DL20</f>
        <v>2</v>
      </c>
      <c r="K21" s="195">
        <f>[2]Force!DM20</f>
        <v>1</v>
      </c>
      <c r="L21" s="195">
        <f>[2]Force!DN20</f>
        <v>5</v>
      </c>
      <c r="M21" s="195">
        <f>[2]Force!DO20</f>
        <v>2</v>
      </c>
      <c r="N21" s="195">
        <f>[2]Force!DP20</f>
        <v>1</v>
      </c>
      <c r="O21" s="195">
        <f>[2]Force!DQ20</f>
        <v>2</v>
      </c>
      <c r="P21" s="178"/>
      <c r="Q21" s="468">
        <v>20</v>
      </c>
      <c r="R21" s="321" t="s">
        <v>44</v>
      </c>
      <c r="S21" s="176">
        <f t="shared" si="13"/>
        <v>1</v>
      </c>
      <c r="T21" s="176">
        <f t="shared" ref="T21:AD22" si="20">S21+E21</f>
        <v>5</v>
      </c>
      <c r="U21" s="176">
        <f t="shared" si="20"/>
        <v>8</v>
      </c>
      <c r="V21" s="176">
        <f t="shared" si="20"/>
        <v>14</v>
      </c>
      <c r="W21" s="176">
        <f t="shared" si="20"/>
        <v>18</v>
      </c>
      <c r="X21" s="176">
        <f t="shared" si="20"/>
        <v>20</v>
      </c>
      <c r="Y21" s="176">
        <f t="shared" si="20"/>
        <v>22</v>
      </c>
      <c r="Z21" s="176">
        <f t="shared" si="20"/>
        <v>23</v>
      </c>
      <c r="AA21" s="176">
        <f t="shared" si="20"/>
        <v>28</v>
      </c>
      <c r="AB21" s="176">
        <f t="shared" si="20"/>
        <v>30</v>
      </c>
      <c r="AC21" s="176">
        <f t="shared" si="20"/>
        <v>31</v>
      </c>
      <c r="AD21" s="461">
        <f t="shared" si="20"/>
        <v>33</v>
      </c>
      <c r="AE21" s="468">
        <v>20</v>
      </c>
      <c r="AF21" s="163">
        <f t="shared" si="10"/>
        <v>33</v>
      </c>
    </row>
    <row r="22" spans="1:32" x14ac:dyDescent="0.35">
      <c r="B22" s="420">
        <v>21</v>
      </c>
      <c r="C22" s="321" t="s">
        <v>199</v>
      </c>
      <c r="D22" s="195">
        <f>[2]Force!DF21</f>
        <v>4</v>
      </c>
      <c r="E22" s="195">
        <f>[2]Force!DG21</f>
        <v>2</v>
      </c>
      <c r="F22" s="195">
        <f>[2]Force!DH21</f>
        <v>5</v>
      </c>
      <c r="G22" s="195">
        <f>[2]Force!DI21</f>
        <v>4</v>
      </c>
      <c r="H22" s="195">
        <f>[2]Force!DJ21</f>
        <v>3</v>
      </c>
      <c r="I22" s="195">
        <f>[2]Force!DK21</f>
        <v>7</v>
      </c>
      <c r="J22" s="195">
        <f>[2]Force!DL21</f>
        <v>8</v>
      </c>
      <c r="K22" s="195">
        <f>[2]Force!DM21</f>
        <v>3</v>
      </c>
      <c r="L22" s="195">
        <f>[2]Force!DN21</f>
        <v>3</v>
      </c>
      <c r="M22" s="195">
        <f>[2]Force!DO21</f>
        <v>5</v>
      </c>
      <c r="N22" s="195">
        <f>[2]Force!DP21</f>
        <v>0</v>
      </c>
      <c r="O22" s="195">
        <f>[2]Force!DQ21</f>
        <v>2</v>
      </c>
      <c r="P22" s="178"/>
      <c r="Q22" s="468">
        <v>21</v>
      </c>
      <c r="R22" s="321" t="s">
        <v>199</v>
      </c>
      <c r="S22" s="176">
        <f t="shared" si="13"/>
        <v>4</v>
      </c>
      <c r="T22" s="176">
        <f t="shared" si="20"/>
        <v>6</v>
      </c>
      <c r="U22" s="176">
        <f t="shared" si="20"/>
        <v>11</v>
      </c>
      <c r="V22" s="176">
        <f t="shared" si="20"/>
        <v>15</v>
      </c>
      <c r="W22" s="176">
        <f t="shared" si="20"/>
        <v>18</v>
      </c>
      <c r="X22" s="176">
        <f t="shared" si="20"/>
        <v>25</v>
      </c>
      <c r="Y22" s="176">
        <f t="shared" si="20"/>
        <v>33</v>
      </c>
      <c r="Z22" s="176">
        <f t="shared" si="20"/>
        <v>36</v>
      </c>
      <c r="AA22" s="176">
        <f t="shared" si="20"/>
        <v>39</v>
      </c>
      <c r="AB22" s="176">
        <f t="shared" si="20"/>
        <v>44</v>
      </c>
      <c r="AC22" s="176">
        <f t="shared" si="20"/>
        <v>44</v>
      </c>
      <c r="AD22" s="461">
        <f t="shared" si="20"/>
        <v>46</v>
      </c>
      <c r="AE22" s="468">
        <v>21</v>
      </c>
      <c r="AF22" s="163">
        <f t="shared" si="10"/>
        <v>46</v>
      </c>
    </row>
    <row r="23" spans="1:32" x14ac:dyDescent="0.35">
      <c r="A23" s="162" t="s">
        <v>128</v>
      </c>
      <c r="B23" s="420">
        <v>22</v>
      </c>
      <c r="C23" s="321" t="s">
        <v>205</v>
      </c>
      <c r="D23" s="281">
        <f>SUM(D21:D22)</f>
        <v>5</v>
      </c>
      <c r="E23" s="281">
        <f t="shared" ref="E23:O23" si="21">SUM(E21:E22)</f>
        <v>6</v>
      </c>
      <c r="F23" s="281">
        <f t="shared" si="21"/>
        <v>8</v>
      </c>
      <c r="G23" s="281">
        <f t="shared" si="21"/>
        <v>10</v>
      </c>
      <c r="H23" s="281">
        <f t="shared" si="21"/>
        <v>7</v>
      </c>
      <c r="I23" s="281">
        <f t="shared" si="21"/>
        <v>9</v>
      </c>
      <c r="J23" s="281">
        <f t="shared" si="21"/>
        <v>10</v>
      </c>
      <c r="K23" s="281">
        <f t="shared" si="21"/>
        <v>4</v>
      </c>
      <c r="L23" s="281">
        <f t="shared" si="21"/>
        <v>8</v>
      </c>
      <c r="M23" s="281">
        <f t="shared" si="21"/>
        <v>7</v>
      </c>
      <c r="N23" s="281">
        <f t="shared" si="21"/>
        <v>1</v>
      </c>
      <c r="O23" s="281">
        <f t="shared" si="21"/>
        <v>4</v>
      </c>
      <c r="P23" s="178"/>
      <c r="Q23" s="468">
        <v>22</v>
      </c>
      <c r="R23" s="321" t="s">
        <v>205</v>
      </c>
      <c r="S23" s="176">
        <f>SUM(S21:S22)</f>
        <v>5</v>
      </c>
      <c r="T23" s="176">
        <f t="shared" ref="T23" si="22">SUM(T21:T22)</f>
        <v>11</v>
      </c>
      <c r="U23" s="176">
        <f t="shared" ref="U23:V23" si="23">SUM(U21:U22)</f>
        <v>19</v>
      </c>
      <c r="V23" s="176">
        <f t="shared" si="23"/>
        <v>29</v>
      </c>
      <c r="W23" s="176">
        <f>SUM(W21:W22)</f>
        <v>36</v>
      </c>
      <c r="X23" s="176">
        <f t="shared" ref="X23:AD23" si="24">SUM(X21:X22)</f>
        <v>45</v>
      </c>
      <c r="Y23" s="176">
        <f t="shared" si="24"/>
        <v>55</v>
      </c>
      <c r="Z23" s="176">
        <f t="shared" si="24"/>
        <v>59</v>
      </c>
      <c r="AA23" s="176">
        <f t="shared" si="24"/>
        <v>67</v>
      </c>
      <c r="AB23" s="176">
        <f t="shared" si="24"/>
        <v>74</v>
      </c>
      <c r="AC23" s="176">
        <f t="shared" si="24"/>
        <v>75</v>
      </c>
      <c r="AD23" s="461">
        <f t="shared" si="24"/>
        <v>79</v>
      </c>
      <c r="AE23" s="470">
        <v>22</v>
      </c>
      <c r="AF23" s="163"/>
    </row>
    <row r="24" spans="1:32" x14ac:dyDescent="0.35">
      <c r="A24" s="162" t="s">
        <v>128</v>
      </c>
      <c r="B24" s="421">
        <v>23</v>
      </c>
      <c r="C24" s="321" t="s">
        <v>84</v>
      </c>
      <c r="D24" s="282">
        <f>SUM(D20+D23)</f>
        <v>85</v>
      </c>
      <c r="E24" s="282">
        <f t="shared" ref="E24:O24" si="25">SUM(E20+E23)</f>
        <v>109</v>
      </c>
      <c r="F24" s="282">
        <f t="shared" si="25"/>
        <v>115</v>
      </c>
      <c r="G24" s="282">
        <f t="shared" si="25"/>
        <v>113</v>
      </c>
      <c r="H24" s="282">
        <f t="shared" si="25"/>
        <v>92</v>
      </c>
      <c r="I24" s="282">
        <f t="shared" si="25"/>
        <v>95</v>
      </c>
      <c r="J24" s="282">
        <f t="shared" si="25"/>
        <v>90</v>
      </c>
      <c r="K24" s="282">
        <f t="shared" si="25"/>
        <v>98</v>
      </c>
      <c r="L24" s="282">
        <f t="shared" si="25"/>
        <v>124</v>
      </c>
      <c r="M24" s="282">
        <f t="shared" si="25"/>
        <v>91</v>
      </c>
      <c r="N24" s="282">
        <f t="shared" si="25"/>
        <v>55</v>
      </c>
      <c r="O24" s="282">
        <f t="shared" si="25"/>
        <v>98</v>
      </c>
      <c r="P24" s="179"/>
      <c r="Q24" s="468">
        <v>23</v>
      </c>
      <c r="R24" s="321" t="s">
        <v>84</v>
      </c>
      <c r="S24" s="176">
        <f t="shared" si="13"/>
        <v>85</v>
      </c>
      <c r="T24" s="176">
        <f t="shared" ref="T24:W26" si="26">S24+E24</f>
        <v>194</v>
      </c>
      <c r="U24" s="176">
        <f t="shared" si="26"/>
        <v>309</v>
      </c>
      <c r="V24" s="176">
        <f t="shared" si="26"/>
        <v>422</v>
      </c>
      <c r="W24" s="176">
        <f t="shared" si="26"/>
        <v>514</v>
      </c>
      <c r="X24" s="176">
        <f t="shared" ref="X24:AD24" si="27">W24+I24</f>
        <v>609</v>
      </c>
      <c r="Y24" s="176">
        <f t="shared" si="27"/>
        <v>699</v>
      </c>
      <c r="Z24" s="176">
        <f t="shared" si="27"/>
        <v>797</v>
      </c>
      <c r="AA24" s="176">
        <f t="shared" si="27"/>
        <v>921</v>
      </c>
      <c r="AB24" s="176">
        <f t="shared" si="27"/>
        <v>1012</v>
      </c>
      <c r="AC24" s="176">
        <f t="shared" si="27"/>
        <v>1067</v>
      </c>
      <c r="AD24" s="461">
        <f t="shared" si="27"/>
        <v>1165</v>
      </c>
      <c r="AE24" s="468">
        <v>23</v>
      </c>
      <c r="AF24" s="163">
        <f t="shared" si="10"/>
        <v>1165</v>
      </c>
    </row>
    <row r="25" spans="1:32" x14ac:dyDescent="0.35">
      <c r="B25" s="420">
        <v>24</v>
      </c>
      <c r="C25" s="321" t="s">
        <v>45</v>
      </c>
      <c r="D25" s="195">
        <f>[2]Force!DF22</f>
        <v>142</v>
      </c>
      <c r="E25" s="195">
        <f>[2]Force!DG22</f>
        <v>136</v>
      </c>
      <c r="F25" s="195">
        <f>[2]Force!DH22</f>
        <v>163</v>
      </c>
      <c r="G25" s="195">
        <f>[2]Force!DI22</f>
        <v>154</v>
      </c>
      <c r="H25" s="195">
        <f>[2]Force!DJ22</f>
        <v>154</v>
      </c>
      <c r="I25" s="195">
        <f>[2]Force!DK22</f>
        <v>129</v>
      </c>
      <c r="J25" s="195">
        <f>[2]Force!DL22</f>
        <v>118</v>
      </c>
      <c r="K25" s="195">
        <f>[2]Force!DM22</f>
        <v>137</v>
      </c>
      <c r="L25" s="195">
        <f>[2]Force!DN22</f>
        <v>143</v>
      </c>
      <c r="M25" s="195">
        <f>[2]Force!DO22</f>
        <v>134</v>
      </c>
      <c r="N25" s="195">
        <f>[2]Force!DP22</f>
        <v>111</v>
      </c>
      <c r="O25" s="195">
        <f>[2]Force!DQ22</f>
        <v>120</v>
      </c>
      <c r="P25" s="178"/>
      <c r="Q25" s="468">
        <v>24</v>
      </c>
      <c r="R25" s="321" t="s">
        <v>45</v>
      </c>
      <c r="S25" s="176">
        <f t="shared" si="13"/>
        <v>142</v>
      </c>
      <c r="T25" s="176">
        <f t="shared" si="26"/>
        <v>278</v>
      </c>
      <c r="U25" s="176">
        <f t="shared" si="26"/>
        <v>441</v>
      </c>
      <c r="V25" s="176">
        <f t="shared" si="26"/>
        <v>595</v>
      </c>
      <c r="W25" s="176">
        <f t="shared" si="26"/>
        <v>749</v>
      </c>
      <c r="X25" s="176">
        <f t="shared" ref="X25:AD26" si="28">W25+I25</f>
        <v>878</v>
      </c>
      <c r="Y25" s="176">
        <f t="shared" si="28"/>
        <v>996</v>
      </c>
      <c r="Z25" s="176">
        <f t="shared" si="28"/>
        <v>1133</v>
      </c>
      <c r="AA25" s="176">
        <f t="shared" si="28"/>
        <v>1276</v>
      </c>
      <c r="AB25" s="176">
        <f t="shared" si="28"/>
        <v>1410</v>
      </c>
      <c r="AC25" s="176">
        <f t="shared" si="28"/>
        <v>1521</v>
      </c>
      <c r="AD25" s="461">
        <f t="shared" si="28"/>
        <v>1641</v>
      </c>
      <c r="AE25" s="468">
        <v>24</v>
      </c>
      <c r="AF25" s="163">
        <f t="shared" si="10"/>
        <v>1641</v>
      </c>
    </row>
    <row r="26" spans="1:32" x14ac:dyDescent="0.35">
      <c r="B26" s="420">
        <v>25</v>
      </c>
      <c r="C26" s="321" t="s">
        <v>191</v>
      </c>
      <c r="D26" s="195">
        <f>[2]Force!DF23</f>
        <v>306</v>
      </c>
      <c r="E26" s="195">
        <f>[2]Force!DG23</f>
        <v>315</v>
      </c>
      <c r="F26" s="195">
        <f>[2]Force!DH23</f>
        <v>266</v>
      </c>
      <c r="G26" s="195">
        <f>[2]Force!DI23</f>
        <v>330</v>
      </c>
      <c r="H26" s="195">
        <f>[2]Force!DJ23</f>
        <v>290</v>
      </c>
      <c r="I26" s="195">
        <f>[2]Force!DK23</f>
        <v>292</v>
      </c>
      <c r="J26" s="195">
        <f>[2]Force!DL23</f>
        <v>314</v>
      </c>
      <c r="K26" s="195">
        <f>[2]Force!DM23</f>
        <v>302</v>
      </c>
      <c r="L26" s="195">
        <f>[2]Force!DN23</f>
        <v>300</v>
      </c>
      <c r="M26" s="195">
        <f>[2]Force!DO23</f>
        <v>308</v>
      </c>
      <c r="N26" s="195">
        <f>[2]Force!DP23</f>
        <v>267</v>
      </c>
      <c r="O26" s="195">
        <f>[2]Force!DQ23</f>
        <v>300</v>
      </c>
      <c r="P26" s="178"/>
      <c r="Q26" s="468">
        <v>25</v>
      </c>
      <c r="R26" s="321" t="s">
        <v>191</v>
      </c>
      <c r="S26" s="176">
        <f t="shared" si="13"/>
        <v>306</v>
      </c>
      <c r="T26" s="176">
        <f t="shared" si="26"/>
        <v>621</v>
      </c>
      <c r="U26" s="176">
        <f t="shared" si="26"/>
        <v>887</v>
      </c>
      <c r="V26" s="176">
        <f t="shared" si="26"/>
        <v>1217</v>
      </c>
      <c r="W26" s="176">
        <f t="shared" si="26"/>
        <v>1507</v>
      </c>
      <c r="X26" s="176">
        <f t="shared" si="28"/>
        <v>1799</v>
      </c>
      <c r="Y26" s="176">
        <f t="shared" si="28"/>
        <v>2113</v>
      </c>
      <c r="Z26" s="176">
        <f t="shared" si="28"/>
        <v>2415</v>
      </c>
      <c r="AA26" s="176">
        <f t="shared" si="28"/>
        <v>2715</v>
      </c>
      <c r="AB26" s="176">
        <f t="shared" si="28"/>
        <v>3023</v>
      </c>
      <c r="AC26" s="176">
        <f t="shared" si="28"/>
        <v>3290</v>
      </c>
      <c r="AD26" s="461">
        <f t="shared" si="28"/>
        <v>3590</v>
      </c>
      <c r="AE26" s="468">
        <v>25</v>
      </c>
      <c r="AF26" s="163">
        <f t="shared" si="10"/>
        <v>3590</v>
      </c>
    </row>
    <row r="27" spans="1:32" x14ac:dyDescent="0.35">
      <c r="B27" s="420">
        <v>26</v>
      </c>
      <c r="C27" s="321" t="s">
        <v>494</v>
      </c>
      <c r="D27" s="195">
        <f>[2]Force!DF25</f>
        <v>28</v>
      </c>
      <c r="E27" s="195">
        <f>[2]Force!DG25</f>
        <v>32</v>
      </c>
      <c r="F27" s="195">
        <f>[2]Force!DH25</f>
        <v>28</v>
      </c>
      <c r="G27" s="195">
        <f>[2]Force!DI25</f>
        <v>31</v>
      </c>
      <c r="H27" s="195">
        <f>[2]Force!DJ25</f>
        <v>28</v>
      </c>
      <c r="I27" s="195">
        <f>[2]Force!DK25</f>
        <v>36</v>
      </c>
      <c r="J27" s="195">
        <f>[2]Force!DL25</f>
        <v>19</v>
      </c>
      <c r="K27" s="195">
        <f>[2]Force!DM25</f>
        <v>13</v>
      </c>
      <c r="L27" s="195">
        <f>[2]Force!DN25</f>
        <v>25</v>
      </c>
      <c r="M27" s="195">
        <f>[2]Force!DO25</f>
        <v>18</v>
      </c>
      <c r="N27" s="195">
        <f>[2]Force!DP25</f>
        <v>31</v>
      </c>
      <c r="O27" s="195">
        <f>[2]Force!DQ25</f>
        <v>28</v>
      </c>
      <c r="P27" s="178"/>
      <c r="Q27" s="468">
        <v>26</v>
      </c>
      <c r="R27" s="323" t="s">
        <v>494</v>
      </c>
      <c r="S27" s="176">
        <f t="shared" si="12"/>
        <v>28</v>
      </c>
      <c r="T27" s="176">
        <f t="shared" ref="T27:T35" si="29">S27+E27</f>
        <v>60</v>
      </c>
      <c r="U27" s="176">
        <f t="shared" ref="U27:U35" si="30">T27+F27</f>
        <v>88</v>
      </c>
      <c r="V27" s="176">
        <f t="shared" ref="V27:V35" si="31">U27+G27</f>
        <v>119</v>
      </c>
      <c r="W27" s="176">
        <f t="shared" ref="W27:W35" si="32">V27+H27</f>
        <v>147</v>
      </c>
      <c r="X27" s="176">
        <f t="shared" ref="X27:X35" si="33">W27+I27</f>
        <v>183</v>
      </c>
      <c r="Y27" s="176">
        <f t="shared" ref="Y27:Y35" si="34">X27+J27</f>
        <v>202</v>
      </c>
      <c r="Z27" s="176">
        <f t="shared" ref="Z27:Z35" si="35">Y27+K27</f>
        <v>215</v>
      </c>
      <c r="AA27" s="176">
        <f t="shared" ref="AA27:AA35" si="36">Z27+L27</f>
        <v>240</v>
      </c>
      <c r="AB27" s="176">
        <f t="shared" ref="AB27:AB35" si="37">AA27+M27</f>
        <v>258</v>
      </c>
      <c r="AC27" s="176">
        <f t="shared" ref="AC27:AC35" si="38">AB27+N27</f>
        <v>289</v>
      </c>
      <c r="AD27" s="461">
        <f t="shared" ref="AD27:AD35" si="39">AC27+O27</f>
        <v>317</v>
      </c>
      <c r="AE27" s="468">
        <v>26</v>
      </c>
      <c r="AF27" s="163">
        <f t="shared" si="10"/>
        <v>317</v>
      </c>
    </row>
    <row r="28" spans="1:32" x14ac:dyDescent="0.35">
      <c r="B28" s="420">
        <v>27</v>
      </c>
      <c r="C28" s="321" t="s">
        <v>495</v>
      </c>
      <c r="D28" s="195">
        <f>[2]Force!DF26</f>
        <v>18</v>
      </c>
      <c r="E28" s="195">
        <f>[2]Force!DG26</f>
        <v>12</v>
      </c>
      <c r="F28" s="195">
        <f>[2]Force!DH26</f>
        <v>17</v>
      </c>
      <c r="G28" s="195">
        <f>[2]Force!DI26</f>
        <v>18</v>
      </c>
      <c r="H28" s="195">
        <f>[2]Force!DJ26</f>
        <v>19</v>
      </c>
      <c r="I28" s="195">
        <f>[2]Force!DK26</f>
        <v>12</v>
      </c>
      <c r="J28" s="195">
        <f>[2]Force!DL26</f>
        <v>13</v>
      </c>
      <c r="K28" s="195">
        <f>[2]Force!DM26</f>
        <v>16</v>
      </c>
      <c r="L28" s="195">
        <f>[2]Force!DN26</f>
        <v>17</v>
      </c>
      <c r="M28" s="195">
        <f>[2]Force!DO26</f>
        <v>12</v>
      </c>
      <c r="N28" s="195">
        <f>[2]Force!DP26</f>
        <v>12</v>
      </c>
      <c r="O28" s="195">
        <f>[2]Force!DQ26</f>
        <v>13</v>
      </c>
      <c r="P28" s="178"/>
      <c r="Q28" s="468">
        <v>27</v>
      </c>
      <c r="R28" s="323" t="s">
        <v>495</v>
      </c>
      <c r="S28" s="176">
        <f t="shared" si="12"/>
        <v>18</v>
      </c>
      <c r="T28" s="176">
        <f t="shared" si="29"/>
        <v>30</v>
      </c>
      <c r="U28" s="176">
        <f t="shared" si="30"/>
        <v>47</v>
      </c>
      <c r="V28" s="176">
        <f t="shared" si="31"/>
        <v>65</v>
      </c>
      <c r="W28" s="176">
        <f t="shared" si="32"/>
        <v>84</v>
      </c>
      <c r="X28" s="176">
        <f t="shared" si="33"/>
        <v>96</v>
      </c>
      <c r="Y28" s="176">
        <f t="shared" si="34"/>
        <v>109</v>
      </c>
      <c r="Z28" s="176">
        <f t="shared" si="35"/>
        <v>125</v>
      </c>
      <c r="AA28" s="176">
        <f t="shared" si="36"/>
        <v>142</v>
      </c>
      <c r="AB28" s="176">
        <f t="shared" si="37"/>
        <v>154</v>
      </c>
      <c r="AC28" s="176">
        <f t="shared" si="38"/>
        <v>166</v>
      </c>
      <c r="AD28" s="461">
        <f t="shared" si="39"/>
        <v>179</v>
      </c>
      <c r="AE28" s="470">
        <v>27</v>
      </c>
      <c r="AF28" s="163">
        <f t="shared" si="10"/>
        <v>179</v>
      </c>
    </row>
    <row r="29" spans="1:32" x14ac:dyDescent="0.35">
      <c r="B29" s="421">
        <v>28</v>
      </c>
      <c r="C29" s="321" t="s">
        <v>46</v>
      </c>
      <c r="D29" s="195">
        <f>[2]Force!DF28</f>
        <v>6</v>
      </c>
      <c r="E29" s="195">
        <f>[2]Force!DG28</f>
        <v>8</v>
      </c>
      <c r="F29" s="195">
        <f>[2]Force!DH28</f>
        <v>2</v>
      </c>
      <c r="G29" s="195">
        <f>[2]Force!DI28</f>
        <v>6</v>
      </c>
      <c r="H29" s="195">
        <f>[2]Force!DJ28</f>
        <v>4</v>
      </c>
      <c r="I29" s="195">
        <f>[2]Force!DK28</f>
        <v>8</v>
      </c>
      <c r="J29" s="195">
        <f>[2]Force!DL28</f>
        <v>6</v>
      </c>
      <c r="K29" s="195">
        <f>[2]Force!DM28</f>
        <v>3</v>
      </c>
      <c r="L29" s="195">
        <f>[2]Force!DN28</f>
        <v>6</v>
      </c>
      <c r="M29" s="195">
        <f>[2]Force!DO28</f>
        <v>8</v>
      </c>
      <c r="N29" s="195">
        <f>[2]Force!DP28</f>
        <v>4</v>
      </c>
      <c r="O29" s="195">
        <f>[2]Force!DQ28</f>
        <v>3</v>
      </c>
      <c r="P29" s="178"/>
      <c r="Q29" s="468">
        <v>28</v>
      </c>
      <c r="R29" s="323" t="s">
        <v>46</v>
      </c>
      <c r="S29" s="176">
        <f t="shared" si="12"/>
        <v>6</v>
      </c>
      <c r="T29" s="176">
        <f t="shared" si="29"/>
        <v>14</v>
      </c>
      <c r="U29" s="176">
        <f t="shared" si="30"/>
        <v>16</v>
      </c>
      <c r="V29" s="176">
        <f t="shared" si="31"/>
        <v>22</v>
      </c>
      <c r="W29" s="176">
        <f t="shared" si="32"/>
        <v>26</v>
      </c>
      <c r="X29" s="176">
        <f t="shared" si="33"/>
        <v>34</v>
      </c>
      <c r="Y29" s="176">
        <f t="shared" si="34"/>
        <v>40</v>
      </c>
      <c r="Z29" s="176">
        <f t="shared" si="35"/>
        <v>43</v>
      </c>
      <c r="AA29" s="176">
        <f t="shared" si="36"/>
        <v>49</v>
      </c>
      <c r="AB29" s="176">
        <f t="shared" si="37"/>
        <v>57</v>
      </c>
      <c r="AC29" s="176">
        <f t="shared" si="38"/>
        <v>61</v>
      </c>
      <c r="AD29" s="461">
        <f t="shared" si="39"/>
        <v>64</v>
      </c>
      <c r="AE29" s="468">
        <v>28</v>
      </c>
      <c r="AF29" s="163">
        <f t="shared" si="10"/>
        <v>64</v>
      </c>
    </row>
    <row r="30" spans="1:32" x14ac:dyDescent="0.35">
      <c r="B30" s="420">
        <v>29</v>
      </c>
      <c r="C30" s="321" t="s">
        <v>47</v>
      </c>
      <c r="D30" s="195">
        <f>[2]Force!DF29</f>
        <v>59</v>
      </c>
      <c r="E30" s="195">
        <f>[2]Force!DG29</f>
        <v>68</v>
      </c>
      <c r="F30" s="195">
        <f>[2]Force!DH29</f>
        <v>56</v>
      </c>
      <c r="G30" s="195">
        <f>[2]Force!DI29</f>
        <v>74</v>
      </c>
      <c r="H30" s="195">
        <f>[2]Force!DJ29</f>
        <v>48</v>
      </c>
      <c r="I30" s="195">
        <f>[2]Force!DK29</f>
        <v>56</v>
      </c>
      <c r="J30" s="195">
        <f>[2]Force!DL29</f>
        <v>69</v>
      </c>
      <c r="K30" s="195">
        <f>[2]Force!DM29</f>
        <v>77</v>
      </c>
      <c r="L30" s="195">
        <f>[2]Force!DN29</f>
        <v>82</v>
      </c>
      <c r="M30" s="195">
        <f>[2]Force!DO29</f>
        <v>105</v>
      </c>
      <c r="N30" s="195">
        <f>[2]Force!DP29</f>
        <v>81</v>
      </c>
      <c r="O30" s="195">
        <f>[2]Force!DQ29</f>
        <v>92</v>
      </c>
      <c r="P30" s="178"/>
      <c r="Q30" s="468">
        <v>29</v>
      </c>
      <c r="R30" s="323" t="s">
        <v>47</v>
      </c>
      <c r="S30" s="176">
        <f>D30</f>
        <v>59</v>
      </c>
      <c r="T30" s="176">
        <f t="shared" si="29"/>
        <v>127</v>
      </c>
      <c r="U30" s="176">
        <f t="shared" si="30"/>
        <v>183</v>
      </c>
      <c r="V30" s="176">
        <f t="shared" si="31"/>
        <v>257</v>
      </c>
      <c r="W30" s="176">
        <f t="shared" si="32"/>
        <v>305</v>
      </c>
      <c r="X30" s="176">
        <f t="shared" si="33"/>
        <v>361</v>
      </c>
      <c r="Y30" s="176">
        <f t="shared" si="34"/>
        <v>430</v>
      </c>
      <c r="Z30" s="176">
        <f t="shared" si="35"/>
        <v>507</v>
      </c>
      <c r="AA30" s="176">
        <f t="shared" si="36"/>
        <v>589</v>
      </c>
      <c r="AB30" s="176">
        <f t="shared" si="37"/>
        <v>694</v>
      </c>
      <c r="AC30" s="176">
        <f t="shared" si="38"/>
        <v>775</v>
      </c>
      <c r="AD30" s="461">
        <f t="shared" si="39"/>
        <v>867</v>
      </c>
      <c r="AE30" s="468">
        <v>29</v>
      </c>
      <c r="AF30" s="163">
        <f>SUM(D30:O30)</f>
        <v>867</v>
      </c>
    </row>
    <row r="31" spans="1:32" x14ac:dyDescent="0.35">
      <c r="B31" s="420">
        <v>30</v>
      </c>
      <c r="C31" s="322" t="s">
        <v>48</v>
      </c>
      <c r="D31" s="195">
        <f>[2]Force!DF30</f>
        <v>193</v>
      </c>
      <c r="E31" s="195">
        <f>[2]Force!DG30</f>
        <v>156</v>
      </c>
      <c r="F31" s="195">
        <f>[2]Force!DH30</f>
        <v>178</v>
      </c>
      <c r="G31" s="195">
        <f>[2]Force!DI30</f>
        <v>228</v>
      </c>
      <c r="H31" s="195">
        <f>[2]Force!DJ30</f>
        <v>168</v>
      </c>
      <c r="I31" s="195">
        <f>[2]Force!DK30</f>
        <v>163</v>
      </c>
      <c r="J31" s="195">
        <f>[2]Force!DL30</f>
        <v>169</v>
      </c>
      <c r="K31" s="195">
        <f>[2]Force!DM30</f>
        <v>178</v>
      </c>
      <c r="L31" s="195">
        <f>[2]Force!DN30</f>
        <v>190</v>
      </c>
      <c r="M31" s="195">
        <f>[2]Force!DO30</f>
        <v>141</v>
      </c>
      <c r="N31" s="195">
        <f>[2]Force!DP30</f>
        <v>121</v>
      </c>
      <c r="O31" s="195">
        <f>[2]Force!DQ30</f>
        <v>172</v>
      </c>
      <c r="P31" s="178"/>
      <c r="Q31" s="468">
        <v>30</v>
      </c>
      <c r="R31" s="323" t="s">
        <v>48</v>
      </c>
      <c r="S31" s="176">
        <f t="shared" si="12"/>
        <v>193</v>
      </c>
      <c r="T31" s="176">
        <f t="shared" si="29"/>
        <v>349</v>
      </c>
      <c r="U31" s="176">
        <f t="shared" si="30"/>
        <v>527</v>
      </c>
      <c r="V31" s="176">
        <f t="shared" si="31"/>
        <v>755</v>
      </c>
      <c r="W31" s="176">
        <f t="shared" si="32"/>
        <v>923</v>
      </c>
      <c r="X31" s="176">
        <f t="shared" si="33"/>
        <v>1086</v>
      </c>
      <c r="Y31" s="176">
        <f t="shared" si="34"/>
        <v>1255</v>
      </c>
      <c r="Z31" s="176">
        <f t="shared" si="35"/>
        <v>1433</v>
      </c>
      <c r="AA31" s="176">
        <f t="shared" si="36"/>
        <v>1623</v>
      </c>
      <c r="AB31" s="176">
        <f t="shared" si="37"/>
        <v>1764</v>
      </c>
      <c r="AC31" s="176">
        <f t="shared" si="38"/>
        <v>1885</v>
      </c>
      <c r="AD31" s="461">
        <f t="shared" si="39"/>
        <v>2057</v>
      </c>
      <c r="AE31" s="470">
        <v>30</v>
      </c>
      <c r="AF31" s="163">
        <f t="shared" si="10"/>
        <v>2057</v>
      </c>
    </row>
    <row r="32" spans="1:32" x14ac:dyDescent="0.35">
      <c r="B32" s="420">
        <v>31</v>
      </c>
      <c r="C32" s="322" t="s">
        <v>49</v>
      </c>
      <c r="D32" s="195">
        <f>[2]Force!DF31</f>
        <v>104</v>
      </c>
      <c r="E32" s="195">
        <f>[2]Force!DG31</f>
        <v>101</v>
      </c>
      <c r="F32" s="195">
        <f>[2]Force!DH31</f>
        <v>87</v>
      </c>
      <c r="G32" s="195">
        <f>[2]Force!DI31</f>
        <v>94</v>
      </c>
      <c r="H32" s="195">
        <f>[2]Force!DJ31</f>
        <v>104</v>
      </c>
      <c r="I32" s="195">
        <f>[2]Force!DK31</f>
        <v>96</v>
      </c>
      <c r="J32" s="195">
        <f>[2]Force!DL31</f>
        <v>74</v>
      </c>
      <c r="K32" s="195">
        <f>[2]Force!DM31</f>
        <v>81</v>
      </c>
      <c r="L32" s="195">
        <f>[2]Force!DN31</f>
        <v>65</v>
      </c>
      <c r="M32" s="195">
        <f>[2]Force!DO31</f>
        <v>81</v>
      </c>
      <c r="N32" s="195">
        <f>[2]Force!DP31</f>
        <v>86</v>
      </c>
      <c r="O32" s="195">
        <f>[2]Force!DQ31</f>
        <v>113</v>
      </c>
      <c r="P32" s="178"/>
      <c r="Q32" s="468">
        <v>31</v>
      </c>
      <c r="R32" s="323" t="s">
        <v>49</v>
      </c>
      <c r="S32" s="176">
        <f t="shared" si="12"/>
        <v>104</v>
      </c>
      <c r="T32" s="176">
        <f t="shared" si="29"/>
        <v>205</v>
      </c>
      <c r="U32" s="176">
        <f t="shared" si="30"/>
        <v>292</v>
      </c>
      <c r="V32" s="176">
        <f t="shared" si="31"/>
        <v>386</v>
      </c>
      <c r="W32" s="176">
        <f t="shared" si="32"/>
        <v>490</v>
      </c>
      <c r="X32" s="176">
        <f t="shared" si="33"/>
        <v>586</v>
      </c>
      <c r="Y32" s="176">
        <f t="shared" si="34"/>
        <v>660</v>
      </c>
      <c r="Z32" s="176">
        <f t="shared" si="35"/>
        <v>741</v>
      </c>
      <c r="AA32" s="176">
        <f t="shared" si="36"/>
        <v>806</v>
      </c>
      <c r="AB32" s="176">
        <f t="shared" si="37"/>
        <v>887</v>
      </c>
      <c r="AC32" s="176">
        <f t="shared" si="38"/>
        <v>973</v>
      </c>
      <c r="AD32" s="461">
        <f t="shared" si="39"/>
        <v>1086</v>
      </c>
      <c r="AE32" s="468">
        <v>31</v>
      </c>
      <c r="AF32" s="163">
        <f t="shared" si="10"/>
        <v>1086</v>
      </c>
    </row>
    <row r="33" spans="1:32" x14ac:dyDescent="0.35">
      <c r="A33" s="162" t="s">
        <v>128</v>
      </c>
      <c r="B33" s="420">
        <v>32</v>
      </c>
      <c r="C33" s="321" t="s">
        <v>85</v>
      </c>
      <c r="D33" s="282">
        <f>D29+D32</f>
        <v>110</v>
      </c>
      <c r="E33" s="282">
        <f t="shared" ref="E33:O33" si="40">E29+E32</f>
        <v>109</v>
      </c>
      <c r="F33" s="282">
        <f t="shared" si="40"/>
        <v>89</v>
      </c>
      <c r="G33" s="282">
        <f t="shared" si="40"/>
        <v>100</v>
      </c>
      <c r="H33" s="282">
        <f t="shared" si="40"/>
        <v>108</v>
      </c>
      <c r="I33" s="282">
        <f t="shared" si="40"/>
        <v>104</v>
      </c>
      <c r="J33" s="282">
        <f t="shared" si="40"/>
        <v>80</v>
      </c>
      <c r="K33" s="282">
        <f t="shared" si="40"/>
        <v>84</v>
      </c>
      <c r="L33" s="282">
        <f t="shared" si="40"/>
        <v>71</v>
      </c>
      <c r="M33" s="282">
        <f t="shared" si="40"/>
        <v>89</v>
      </c>
      <c r="N33" s="282">
        <f t="shared" si="40"/>
        <v>90</v>
      </c>
      <c r="O33" s="282">
        <f t="shared" si="40"/>
        <v>116</v>
      </c>
      <c r="P33" s="179"/>
      <c r="Q33" s="468">
        <v>32</v>
      </c>
      <c r="R33" s="323" t="s">
        <v>85</v>
      </c>
      <c r="S33" s="176">
        <f t="shared" si="12"/>
        <v>110</v>
      </c>
      <c r="T33" s="176">
        <f t="shared" si="29"/>
        <v>219</v>
      </c>
      <c r="U33" s="176">
        <f t="shared" si="30"/>
        <v>308</v>
      </c>
      <c r="V33" s="176">
        <f t="shared" si="31"/>
        <v>408</v>
      </c>
      <c r="W33" s="176">
        <f t="shared" si="32"/>
        <v>516</v>
      </c>
      <c r="X33" s="176">
        <f t="shared" si="33"/>
        <v>620</v>
      </c>
      <c r="Y33" s="176">
        <f t="shared" si="34"/>
        <v>700</v>
      </c>
      <c r="Z33" s="176">
        <f t="shared" si="35"/>
        <v>784</v>
      </c>
      <c r="AA33" s="176">
        <f t="shared" si="36"/>
        <v>855</v>
      </c>
      <c r="AB33" s="176">
        <f t="shared" si="37"/>
        <v>944</v>
      </c>
      <c r="AC33" s="176">
        <f t="shared" si="38"/>
        <v>1034</v>
      </c>
      <c r="AD33" s="461">
        <f t="shared" si="39"/>
        <v>1150</v>
      </c>
      <c r="AE33" s="468">
        <v>32</v>
      </c>
      <c r="AF33" s="163">
        <f t="shared" si="10"/>
        <v>1150</v>
      </c>
    </row>
    <row r="34" spans="1:32" x14ac:dyDescent="0.35">
      <c r="B34" s="421">
        <v>33</v>
      </c>
      <c r="C34" s="321" t="s">
        <v>50</v>
      </c>
      <c r="D34" s="197">
        <f>[2]Force!DF32</f>
        <v>362</v>
      </c>
      <c r="E34" s="197">
        <f>[2]Force!DG32</f>
        <v>333</v>
      </c>
      <c r="F34" s="197">
        <f>[2]Force!DH32</f>
        <v>323</v>
      </c>
      <c r="G34" s="197">
        <f>[2]Force!DI32</f>
        <v>402</v>
      </c>
      <c r="H34" s="197">
        <f>[2]Force!DJ32</f>
        <v>324</v>
      </c>
      <c r="I34" s="197">
        <f>[2]Force!DK32</f>
        <v>323</v>
      </c>
      <c r="J34" s="197">
        <f>[2]Force!DL32</f>
        <v>318</v>
      </c>
      <c r="K34" s="197">
        <f>[2]Force!DM32</f>
        <v>339</v>
      </c>
      <c r="L34" s="197">
        <f>[2]Force!DN32</f>
        <v>343</v>
      </c>
      <c r="M34" s="197">
        <f>[2]Force!DO32</f>
        <v>335</v>
      </c>
      <c r="N34" s="197">
        <f>[2]Force!DP32</f>
        <v>292</v>
      </c>
      <c r="O34" s="197">
        <f>[2]Force!DQ32</f>
        <v>380</v>
      </c>
      <c r="P34" s="178"/>
      <c r="Q34" s="468">
        <v>33</v>
      </c>
      <c r="R34" s="323" t="s">
        <v>50</v>
      </c>
      <c r="S34" s="176">
        <f t="shared" si="12"/>
        <v>362</v>
      </c>
      <c r="T34" s="176">
        <f t="shared" si="29"/>
        <v>695</v>
      </c>
      <c r="U34" s="176">
        <f t="shared" si="30"/>
        <v>1018</v>
      </c>
      <c r="V34" s="176">
        <f t="shared" si="31"/>
        <v>1420</v>
      </c>
      <c r="W34" s="176">
        <f t="shared" si="32"/>
        <v>1744</v>
      </c>
      <c r="X34" s="176">
        <f t="shared" si="33"/>
        <v>2067</v>
      </c>
      <c r="Y34" s="176">
        <f t="shared" si="34"/>
        <v>2385</v>
      </c>
      <c r="Z34" s="176">
        <f t="shared" si="35"/>
        <v>2724</v>
      </c>
      <c r="AA34" s="176">
        <f t="shared" si="36"/>
        <v>3067</v>
      </c>
      <c r="AB34" s="176">
        <f t="shared" si="37"/>
        <v>3402</v>
      </c>
      <c r="AC34" s="176">
        <f t="shared" si="38"/>
        <v>3694</v>
      </c>
      <c r="AD34" s="461">
        <f t="shared" si="39"/>
        <v>4074</v>
      </c>
      <c r="AE34" s="468">
        <v>33</v>
      </c>
      <c r="AF34" s="163">
        <f t="shared" si="10"/>
        <v>4074</v>
      </c>
    </row>
    <row r="35" spans="1:32" x14ac:dyDescent="0.35">
      <c r="B35" s="420">
        <v>34</v>
      </c>
      <c r="C35" s="394" t="s">
        <v>51</v>
      </c>
      <c r="D35" s="195">
        <f>[2]Force!DF34</f>
        <v>95</v>
      </c>
      <c r="E35" s="195">
        <f>[2]Force!DG34</f>
        <v>76</v>
      </c>
      <c r="F35" s="195">
        <f>[2]Force!DH34</f>
        <v>83</v>
      </c>
      <c r="G35" s="195">
        <f>[2]Force!DI34</f>
        <v>95</v>
      </c>
      <c r="H35" s="195">
        <f>[2]Force!DJ34</f>
        <v>82</v>
      </c>
      <c r="I35" s="195">
        <f>[2]Force!DK34</f>
        <v>86</v>
      </c>
      <c r="J35" s="195">
        <f>[2]Force!DL34</f>
        <v>94</v>
      </c>
      <c r="K35" s="195">
        <f>[2]Force!DM34</f>
        <v>92</v>
      </c>
      <c r="L35" s="195">
        <f>[2]Force!DN34</f>
        <v>66</v>
      </c>
      <c r="M35" s="195">
        <f>[2]Force!DO34</f>
        <v>63</v>
      </c>
      <c r="N35" s="195">
        <f>[2]Force!DP34</f>
        <v>85</v>
      </c>
      <c r="O35" s="195">
        <f>[2]Force!DQ34</f>
        <v>78</v>
      </c>
      <c r="P35" s="178"/>
      <c r="Q35" s="468">
        <v>34</v>
      </c>
      <c r="R35" s="323" t="s">
        <v>51</v>
      </c>
      <c r="S35" s="176">
        <f t="shared" si="12"/>
        <v>95</v>
      </c>
      <c r="T35" s="176">
        <f t="shared" si="29"/>
        <v>171</v>
      </c>
      <c r="U35" s="176">
        <f t="shared" si="30"/>
        <v>254</v>
      </c>
      <c r="V35" s="176">
        <f t="shared" si="31"/>
        <v>349</v>
      </c>
      <c r="W35" s="176">
        <f t="shared" si="32"/>
        <v>431</v>
      </c>
      <c r="X35" s="176">
        <f t="shared" si="33"/>
        <v>517</v>
      </c>
      <c r="Y35" s="176">
        <f t="shared" si="34"/>
        <v>611</v>
      </c>
      <c r="Z35" s="176">
        <f t="shared" si="35"/>
        <v>703</v>
      </c>
      <c r="AA35" s="176">
        <f t="shared" si="36"/>
        <v>769</v>
      </c>
      <c r="AB35" s="176">
        <f t="shared" si="37"/>
        <v>832</v>
      </c>
      <c r="AC35" s="176">
        <f t="shared" si="38"/>
        <v>917</v>
      </c>
      <c r="AD35" s="461">
        <f t="shared" si="39"/>
        <v>995</v>
      </c>
      <c r="AE35" s="468">
        <v>34</v>
      </c>
      <c r="AF35" s="163">
        <f t="shared" si="10"/>
        <v>995</v>
      </c>
    </row>
    <row r="36" spans="1:32" x14ac:dyDescent="0.35">
      <c r="B36" s="420">
        <v>35</v>
      </c>
      <c r="C36" s="396" t="s">
        <v>200</v>
      </c>
      <c r="D36" s="195">
        <f>[2]Force!DF35</f>
        <v>906</v>
      </c>
      <c r="E36" s="195">
        <f>[2]Force!DG35</f>
        <v>897</v>
      </c>
      <c r="F36" s="195">
        <f>[2]Force!DH35</f>
        <v>908</v>
      </c>
      <c r="G36" s="195">
        <f>[2]Force!DI35</f>
        <v>906</v>
      </c>
      <c r="H36" s="195">
        <f>[2]Force!DJ35</f>
        <v>877</v>
      </c>
      <c r="I36" s="195">
        <f>[2]Force!DK35</f>
        <v>788</v>
      </c>
      <c r="J36" s="195">
        <f>[2]Force!DL35</f>
        <v>857</v>
      </c>
      <c r="K36" s="195">
        <f>[2]Force!DM35</f>
        <v>833</v>
      </c>
      <c r="L36" s="195">
        <f>[2]Force!DN35</f>
        <v>908</v>
      </c>
      <c r="M36" s="195">
        <f>[2]Force!DO35</f>
        <v>834</v>
      </c>
      <c r="N36" s="195">
        <f>[2]Force!DP35</f>
        <v>804</v>
      </c>
      <c r="O36" s="195">
        <f>[2]Force!DQ35</f>
        <v>860</v>
      </c>
      <c r="P36" s="180"/>
      <c r="Q36" s="468">
        <v>35</v>
      </c>
      <c r="R36" s="324" t="s">
        <v>200</v>
      </c>
      <c r="S36" s="176">
        <f t="shared" ref="S36:S39" si="41">D36</f>
        <v>906</v>
      </c>
      <c r="T36" s="176">
        <f t="shared" ref="T36:AD39" si="42">S36+E36</f>
        <v>1803</v>
      </c>
      <c r="U36" s="176">
        <f t="shared" si="42"/>
        <v>2711</v>
      </c>
      <c r="V36" s="176">
        <f t="shared" si="42"/>
        <v>3617</v>
      </c>
      <c r="W36" s="176">
        <f t="shared" si="42"/>
        <v>4494</v>
      </c>
      <c r="X36" s="176">
        <f t="shared" si="42"/>
        <v>5282</v>
      </c>
      <c r="Y36" s="176">
        <f t="shared" si="42"/>
        <v>6139</v>
      </c>
      <c r="Z36" s="176">
        <f t="shared" si="42"/>
        <v>6972</v>
      </c>
      <c r="AA36" s="176">
        <f t="shared" si="42"/>
        <v>7880</v>
      </c>
      <c r="AB36" s="176">
        <f t="shared" si="42"/>
        <v>8714</v>
      </c>
      <c r="AC36" s="176">
        <f t="shared" si="42"/>
        <v>9518</v>
      </c>
      <c r="AD36" s="461">
        <f t="shared" si="42"/>
        <v>10378</v>
      </c>
      <c r="AE36" s="470">
        <v>35</v>
      </c>
      <c r="AF36" s="163">
        <f t="shared" si="10"/>
        <v>10378</v>
      </c>
    </row>
    <row r="37" spans="1:32" x14ac:dyDescent="0.35">
      <c r="B37" s="420">
        <v>36</v>
      </c>
      <c r="C37" s="397" t="s">
        <v>243</v>
      </c>
      <c r="D37" s="195">
        <f>[2]Force!DF36</f>
        <v>555</v>
      </c>
      <c r="E37" s="195">
        <f>[2]Force!DG36</f>
        <v>594</v>
      </c>
      <c r="F37" s="195">
        <f>[2]Force!DH36</f>
        <v>580</v>
      </c>
      <c r="G37" s="195">
        <f>[2]Force!DI36</f>
        <v>571</v>
      </c>
      <c r="H37" s="195">
        <f>[2]Force!DJ36</f>
        <v>511</v>
      </c>
      <c r="I37" s="195">
        <f>[2]Force!DK36</f>
        <v>499</v>
      </c>
      <c r="J37" s="195">
        <f>[2]Force!DL36</f>
        <v>541</v>
      </c>
      <c r="K37" s="195">
        <f>[2]Force!DM36</f>
        <v>503</v>
      </c>
      <c r="L37" s="195">
        <f>[2]Force!DN36</f>
        <v>547</v>
      </c>
      <c r="M37" s="195">
        <f>[2]Force!DO36</f>
        <v>480</v>
      </c>
      <c r="N37" s="195">
        <f>[2]Force!DP36</f>
        <v>500</v>
      </c>
      <c r="O37" s="195">
        <f>[2]Force!DQ36</f>
        <v>472</v>
      </c>
      <c r="P37" s="180"/>
      <c r="Q37" s="468">
        <v>36</v>
      </c>
      <c r="R37" s="324" t="s">
        <v>201</v>
      </c>
      <c r="S37" s="176">
        <f t="shared" si="41"/>
        <v>555</v>
      </c>
      <c r="T37" s="176">
        <f t="shared" si="42"/>
        <v>1149</v>
      </c>
      <c r="U37" s="176">
        <f t="shared" si="42"/>
        <v>1729</v>
      </c>
      <c r="V37" s="176">
        <f t="shared" si="42"/>
        <v>2300</v>
      </c>
      <c r="W37" s="176">
        <f t="shared" si="42"/>
        <v>2811</v>
      </c>
      <c r="X37" s="176">
        <f t="shared" si="42"/>
        <v>3310</v>
      </c>
      <c r="Y37" s="176">
        <f t="shared" si="42"/>
        <v>3851</v>
      </c>
      <c r="Z37" s="176">
        <f t="shared" si="42"/>
        <v>4354</v>
      </c>
      <c r="AA37" s="176">
        <f t="shared" si="42"/>
        <v>4901</v>
      </c>
      <c r="AB37" s="176">
        <f t="shared" si="42"/>
        <v>5381</v>
      </c>
      <c r="AC37" s="176">
        <f t="shared" si="42"/>
        <v>5881</v>
      </c>
      <c r="AD37" s="461">
        <f t="shared" si="42"/>
        <v>6353</v>
      </c>
      <c r="AE37" s="468">
        <v>36</v>
      </c>
      <c r="AF37" s="163">
        <f t="shared" si="10"/>
        <v>6353</v>
      </c>
    </row>
    <row r="38" spans="1:32" x14ac:dyDescent="0.35">
      <c r="B38" s="420">
        <v>37</v>
      </c>
      <c r="C38" s="396" t="s">
        <v>202</v>
      </c>
      <c r="D38" s="195">
        <f>[2]Force!DF37</f>
        <v>9</v>
      </c>
      <c r="E38" s="195">
        <f>[2]Force!DG37</f>
        <v>11</v>
      </c>
      <c r="F38" s="195">
        <f>[2]Force!DH37</f>
        <v>6</v>
      </c>
      <c r="G38" s="195">
        <f>[2]Force!DI37</f>
        <v>7</v>
      </c>
      <c r="H38" s="195">
        <f>[2]Force!DJ37</f>
        <v>6</v>
      </c>
      <c r="I38" s="195">
        <f>[2]Force!DK37</f>
        <v>12</v>
      </c>
      <c r="J38" s="195">
        <f>[2]Force!DL37</f>
        <v>16</v>
      </c>
      <c r="K38" s="195">
        <f>[2]Force!DM37</f>
        <v>8</v>
      </c>
      <c r="L38" s="195">
        <f>[2]Force!DN37</f>
        <v>12</v>
      </c>
      <c r="M38" s="195">
        <f>[2]Force!DO37</f>
        <v>28</v>
      </c>
      <c r="N38" s="195">
        <f>[2]Force!DP37</f>
        <v>10</v>
      </c>
      <c r="O38" s="195">
        <f>[2]Force!DQ37</f>
        <v>8</v>
      </c>
      <c r="P38" s="180"/>
      <c r="Q38" s="468">
        <v>37</v>
      </c>
      <c r="R38" s="324" t="s">
        <v>202</v>
      </c>
      <c r="S38" s="176">
        <f t="shared" si="41"/>
        <v>9</v>
      </c>
      <c r="T38" s="176">
        <f t="shared" si="42"/>
        <v>20</v>
      </c>
      <c r="U38" s="176">
        <f t="shared" si="42"/>
        <v>26</v>
      </c>
      <c r="V38" s="176">
        <f t="shared" si="42"/>
        <v>33</v>
      </c>
      <c r="W38" s="176">
        <f t="shared" si="42"/>
        <v>39</v>
      </c>
      <c r="X38" s="176">
        <f t="shared" si="42"/>
        <v>51</v>
      </c>
      <c r="Y38" s="176">
        <f t="shared" si="42"/>
        <v>67</v>
      </c>
      <c r="Z38" s="176">
        <f t="shared" si="42"/>
        <v>75</v>
      </c>
      <c r="AA38" s="176">
        <f t="shared" si="42"/>
        <v>87</v>
      </c>
      <c r="AB38" s="176">
        <f t="shared" si="42"/>
        <v>115</v>
      </c>
      <c r="AC38" s="176">
        <f t="shared" si="42"/>
        <v>125</v>
      </c>
      <c r="AD38" s="461">
        <f t="shared" si="42"/>
        <v>133</v>
      </c>
      <c r="AE38" s="468">
        <v>37</v>
      </c>
      <c r="AF38" s="163">
        <f t="shared" ref="AF38:AF71" si="43">SUM(D38:O38)</f>
        <v>133</v>
      </c>
    </row>
    <row r="39" spans="1:32" x14ac:dyDescent="0.35">
      <c r="B39" s="421">
        <v>38</v>
      </c>
      <c r="C39" s="395" t="s">
        <v>52</v>
      </c>
      <c r="D39" s="195">
        <f>[2]Force!DF39</f>
        <v>470</v>
      </c>
      <c r="E39" s="195">
        <f>[2]Force!DG39</f>
        <v>528</v>
      </c>
      <c r="F39" s="195">
        <f>[2]Force!DH39</f>
        <v>480</v>
      </c>
      <c r="G39" s="195">
        <f>[2]Force!DI39</f>
        <v>547</v>
      </c>
      <c r="H39" s="195">
        <f>[2]Force!DJ39</f>
        <v>459</v>
      </c>
      <c r="I39" s="195">
        <f>[2]Force!DK39</f>
        <v>541</v>
      </c>
      <c r="J39" s="195">
        <f>[2]Force!DL39</f>
        <v>552</v>
      </c>
      <c r="K39" s="195">
        <f>[2]Force!DM39</f>
        <v>591</v>
      </c>
      <c r="L39" s="195">
        <f>[2]Force!DN39</f>
        <v>509</v>
      </c>
      <c r="M39" s="195">
        <f>[2]Force!DO39</f>
        <v>644</v>
      </c>
      <c r="N39" s="195">
        <f>[2]Force!DP39</f>
        <v>567</v>
      </c>
      <c r="O39" s="195">
        <f>[2]Force!DQ39</f>
        <v>618</v>
      </c>
      <c r="P39" s="178"/>
      <c r="Q39" s="468">
        <v>38</v>
      </c>
      <c r="R39" s="323" t="s">
        <v>52</v>
      </c>
      <c r="S39" s="176">
        <f t="shared" si="41"/>
        <v>470</v>
      </c>
      <c r="T39" s="176">
        <f t="shared" si="42"/>
        <v>998</v>
      </c>
      <c r="U39" s="176">
        <f t="shared" si="42"/>
        <v>1478</v>
      </c>
      <c r="V39" s="176">
        <f t="shared" si="42"/>
        <v>2025</v>
      </c>
      <c r="W39" s="176">
        <f t="shared" si="42"/>
        <v>2484</v>
      </c>
      <c r="X39" s="176">
        <f t="shared" si="42"/>
        <v>3025</v>
      </c>
      <c r="Y39" s="176">
        <f t="shared" si="42"/>
        <v>3577</v>
      </c>
      <c r="Z39" s="176">
        <f t="shared" si="42"/>
        <v>4168</v>
      </c>
      <c r="AA39" s="176">
        <f t="shared" si="42"/>
        <v>4677</v>
      </c>
      <c r="AB39" s="176">
        <f t="shared" si="42"/>
        <v>5321</v>
      </c>
      <c r="AC39" s="176">
        <f t="shared" si="42"/>
        <v>5888</v>
      </c>
      <c r="AD39" s="461">
        <f t="shared" si="42"/>
        <v>6506</v>
      </c>
      <c r="AE39" s="470">
        <v>38</v>
      </c>
      <c r="AF39" s="163">
        <f t="shared" si="43"/>
        <v>6506</v>
      </c>
    </row>
    <row r="40" spans="1:32" x14ac:dyDescent="0.35">
      <c r="B40" s="420">
        <v>39</v>
      </c>
      <c r="C40" s="321" t="s">
        <v>81</v>
      </c>
      <c r="D40" s="196">
        <f>[2]Force!DF41</f>
        <v>115</v>
      </c>
      <c r="E40" s="196">
        <f>[2]Force!DG41</f>
        <v>91</v>
      </c>
      <c r="F40" s="196">
        <f>[2]Force!DH41</f>
        <v>83</v>
      </c>
      <c r="G40" s="196">
        <f>[2]Force!DI41</f>
        <v>95</v>
      </c>
      <c r="H40" s="196">
        <f>[2]Force!DJ41</f>
        <v>68</v>
      </c>
      <c r="I40" s="196">
        <f>[2]Force!DK41</f>
        <v>89</v>
      </c>
      <c r="J40" s="196">
        <f>[2]Force!DL41</f>
        <v>87</v>
      </c>
      <c r="K40" s="196">
        <f>[2]Force!DM41</f>
        <v>86</v>
      </c>
      <c r="L40" s="196">
        <f>[2]Force!DN41</f>
        <v>89</v>
      </c>
      <c r="M40" s="196">
        <f>[2]Force!DO41</f>
        <v>106</v>
      </c>
      <c r="N40" s="196">
        <f>[2]Force!DP41</f>
        <v>98</v>
      </c>
      <c r="O40" s="196">
        <f>[2]Force!DQ41</f>
        <v>94</v>
      </c>
      <c r="P40" s="178"/>
      <c r="Q40" s="468">
        <v>39</v>
      </c>
      <c r="R40" s="323" t="s">
        <v>81</v>
      </c>
      <c r="S40" s="176">
        <f t="shared" si="12"/>
        <v>115</v>
      </c>
      <c r="T40" s="174">
        <f t="shared" ref="T40:T48" si="44">S40+E40</f>
        <v>206</v>
      </c>
      <c r="U40" s="174">
        <f t="shared" ref="U40:U48" si="45">T40+F40</f>
        <v>289</v>
      </c>
      <c r="V40" s="174">
        <f t="shared" ref="V40:V48" si="46">U40+G40</f>
        <v>384</v>
      </c>
      <c r="W40" s="174">
        <f t="shared" ref="W40:W48" si="47">V40+H40</f>
        <v>452</v>
      </c>
      <c r="X40" s="174">
        <f t="shared" ref="X40:X48" si="48">W40+I40</f>
        <v>541</v>
      </c>
      <c r="Y40" s="174">
        <f t="shared" ref="Y40:Y48" si="49">X40+J40</f>
        <v>628</v>
      </c>
      <c r="Z40" s="174">
        <f t="shared" ref="Z40:Z48" si="50">Y40+K40</f>
        <v>714</v>
      </c>
      <c r="AA40" s="174">
        <f t="shared" ref="AA40:AA48" si="51">Z40+L40</f>
        <v>803</v>
      </c>
      <c r="AB40" s="174">
        <f t="shared" ref="AB40:AB48" si="52">AA40+M40</f>
        <v>909</v>
      </c>
      <c r="AC40" s="174">
        <f t="shared" ref="AC40:AC48" si="53">AB40+N40</f>
        <v>1007</v>
      </c>
      <c r="AD40" s="462">
        <f t="shared" ref="AD40:AD48" si="54">AC40+O40</f>
        <v>1101</v>
      </c>
      <c r="AE40" s="468">
        <v>39</v>
      </c>
      <c r="AF40" s="163">
        <f t="shared" si="43"/>
        <v>1101</v>
      </c>
    </row>
    <row r="41" spans="1:32" x14ac:dyDescent="0.35">
      <c r="B41" s="420">
        <v>40</v>
      </c>
      <c r="C41" s="321" t="s">
        <v>76</v>
      </c>
      <c r="D41" s="42">
        <f>[2]ASB!DF5</f>
        <v>736</v>
      </c>
      <c r="E41" s="42">
        <f>[2]ASB!DG5</f>
        <v>779</v>
      </c>
      <c r="F41" s="42">
        <f>[2]ASB!DH5</f>
        <v>747</v>
      </c>
      <c r="G41" s="42">
        <f>[2]ASB!DI5</f>
        <v>675</v>
      </c>
      <c r="H41" s="42">
        <f>[2]ASB!DJ5</f>
        <v>794</v>
      </c>
      <c r="I41" s="42">
        <f>[2]ASB!DK5</f>
        <v>730</v>
      </c>
      <c r="J41" s="42">
        <f>[2]ASB!DL5</f>
        <v>546</v>
      </c>
      <c r="K41" s="42">
        <f>[2]ASB!DM5</f>
        <v>512</v>
      </c>
      <c r="L41" s="42">
        <f>[2]ASB!DN5</f>
        <v>491</v>
      </c>
      <c r="M41" s="42">
        <f>[2]ASB!DO5</f>
        <v>529</v>
      </c>
      <c r="N41" s="42">
        <f>[2]ASB!DP5</f>
        <v>592</v>
      </c>
      <c r="O41" s="42">
        <f>[2]ASB!DQ5</f>
        <v>625</v>
      </c>
      <c r="P41" s="166"/>
      <c r="Q41" s="468">
        <v>40</v>
      </c>
      <c r="R41" s="323" t="s">
        <v>76</v>
      </c>
      <c r="S41" s="176">
        <f t="shared" si="12"/>
        <v>736</v>
      </c>
      <c r="T41" s="176">
        <f t="shared" si="44"/>
        <v>1515</v>
      </c>
      <c r="U41" s="176">
        <f t="shared" si="45"/>
        <v>2262</v>
      </c>
      <c r="V41" s="176">
        <f t="shared" si="46"/>
        <v>2937</v>
      </c>
      <c r="W41" s="176">
        <f t="shared" si="47"/>
        <v>3731</v>
      </c>
      <c r="X41" s="176">
        <f t="shared" si="48"/>
        <v>4461</v>
      </c>
      <c r="Y41" s="176">
        <f t="shared" si="49"/>
        <v>5007</v>
      </c>
      <c r="Z41" s="176">
        <f t="shared" si="50"/>
        <v>5519</v>
      </c>
      <c r="AA41" s="176">
        <f t="shared" si="51"/>
        <v>6010</v>
      </c>
      <c r="AB41" s="176">
        <f t="shared" si="52"/>
        <v>6539</v>
      </c>
      <c r="AC41" s="176">
        <f t="shared" si="53"/>
        <v>7131</v>
      </c>
      <c r="AD41" s="461">
        <f t="shared" si="54"/>
        <v>7756</v>
      </c>
      <c r="AE41" s="468">
        <v>40</v>
      </c>
      <c r="AF41" s="163">
        <f t="shared" si="43"/>
        <v>7756</v>
      </c>
    </row>
    <row r="42" spans="1:32" x14ac:dyDescent="0.35">
      <c r="B42" s="420">
        <v>41</v>
      </c>
      <c r="C42" s="321" t="s">
        <v>86</v>
      </c>
      <c r="D42" s="42">
        <f>[2]ASB!DF6</f>
        <v>99</v>
      </c>
      <c r="E42" s="42">
        <f>[2]ASB!DG6</f>
        <v>117</v>
      </c>
      <c r="F42" s="42">
        <f>[2]ASB!DH6</f>
        <v>127</v>
      </c>
      <c r="G42" s="42">
        <f>[2]ASB!DI6</f>
        <v>123</v>
      </c>
      <c r="H42" s="42">
        <f>[2]ASB!DJ6</f>
        <v>162</v>
      </c>
      <c r="I42" s="42">
        <f>[2]ASB!DK6</f>
        <v>189</v>
      </c>
      <c r="J42" s="42">
        <f>[2]ASB!DL6</f>
        <v>143</v>
      </c>
      <c r="K42" s="42">
        <f>[2]ASB!DM6</f>
        <v>155</v>
      </c>
      <c r="L42" s="42">
        <f>[2]ASB!DN6</f>
        <v>133</v>
      </c>
      <c r="M42" s="42">
        <f>[2]ASB!DO6</f>
        <v>156</v>
      </c>
      <c r="N42" s="42">
        <f>[2]ASB!DP6</f>
        <v>177</v>
      </c>
      <c r="O42" s="42">
        <f>[2]ASB!DQ6</f>
        <v>205</v>
      </c>
      <c r="P42" s="166"/>
      <c r="Q42" s="468">
        <v>41</v>
      </c>
      <c r="R42" s="323" t="s">
        <v>86</v>
      </c>
      <c r="S42" s="176">
        <f t="shared" si="12"/>
        <v>99</v>
      </c>
      <c r="T42" s="176">
        <f t="shared" si="44"/>
        <v>216</v>
      </c>
      <c r="U42" s="176">
        <f t="shared" si="45"/>
        <v>343</v>
      </c>
      <c r="V42" s="176">
        <f t="shared" si="46"/>
        <v>466</v>
      </c>
      <c r="W42" s="176">
        <f t="shared" si="47"/>
        <v>628</v>
      </c>
      <c r="X42" s="176">
        <f t="shared" si="48"/>
        <v>817</v>
      </c>
      <c r="Y42" s="176">
        <f t="shared" si="49"/>
        <v>960</v>
      </c>
      <c r="Z42" s="176">
        <f t="shared" si="50"/>
        <v>1115</v>
      </c>
      <c r="AA42" s="176">
        <f t="shared" si="51"/>
        <v>1248</v>
      </c>
      <c r="AB42" s="176">
        <f t="shared" si="52"/>
        <v>1404</v>
      </c>
      <c r="AC42" s="176">
        <f t="shared" si="53"/>
        <v>1581</v>
      </c>
      <c r="AD42" s="461">
        <f t="shared" si="54"/>
        <v>1786</v>
      </c>
      <c r="AE42" s="468">
        <v>41</v>
      </c>
      <c r="AF42" s="163">
        <f t="shared" si="43"/>
        <v>1786</v>
      </c>
    </row>
    <row r="43" spans="1:32" x14ac:dyDescent="0.35">
      <c r="B43" s="420">
        <v>42</v>
      </c>
      <c r="C43" s="321" t="s">
        <v>88</v>
      </c>
      <c r="D43" s="42">
        <f>[2]ASB!DF7</f>
        <v>551</v>
      </c>
      <c r="E43" s="42">
        <f>[2]ASB!DG7</f>
        <v>589</v>
      </c>
      <c r="F43" s="42">
        <f>[2]ASB!DH7</f>
        <v>543</v>
      </c>
      <c r="G43" s="42">
        <f>[2]ASB!DI7</f>
        <v>493</v>
      </c>
      <c r="H43" s="42">
        <f>[2]ASB!DJ7</f>
        <v>581</v>
      </c>
      <c r="I43" s="42">
        <f>[2]ASB!DK7</f>
        <v>464</v>
      </c>
      <c r="J43" s="42">
        <f>[2]ASB!DL7</f>
        <v>354</v>
      </c>
      <c r="K43" s="42">
        <f>[2]ASB!DM7</f>
        <v>260</v>
      </c>
      <c r="L43" s="42">
        <f>[2]ASB!DN7</f>
        <v>310</v>
      </c>
      <c r="M43" s="42">
        <f>[2]ASB!DO7</f>
        <v>319</v>
      </c>
      <c r="N43" s="42">
        <f>[2]ASB!DP7</f>
        <v>353</v>
      </c>
      <c r="O43" s="42">
        <f>[2]ASB!DQ7</f>
        <v>360</v>
      </c>
      <c r="P43" s="166"/>
      <c r="Q43" s="468">
        <v>42</v>
      </c>
      <c r="R43" s="323" t="s">
        <v>88</v>
      </c>
      <c r="S43" s="176">
        <f t="shared" si="12"/>
        <v>551</v>
      </c>
      <c r="T43" s="176">
        <f t="shared" si="44"/>
        <v>1140</v>
      </c>
      <c r="U43" s="176">
        <f t="shared" si="45"/>
        <v>1683</v>
      </c>
      <c r="V43" s="176">
        <f t="shared" si="46"/>
        <v>2176</v>
      </c>
      <c r="W43" s="176">
        <f t="shared" si="47"/>
        <v>2757</v>
      </c>
      <c r="X43" s="176">
        <f t="shared" si="48"/>
        <v>3221</v>
      </c>
      <c r="Y43" s="176">
        <f t="shared" si="49"/>
        <v>3575</v>
      </c>
      <c r="Z43" s="176">
        <f t="shared" si="50"/>
        <v>3835</v>
      </c>
      <c r="AA43" s="176">
        <f t="shared" si="51"/>
        <v>4145</v>
      </c>
      <c r="AB43" s="176">
        <f t="shared" si="52"/>
        <v>4464</v>
      </c>
      <c r="AC43" s="176">
        <f t="shared" si="53"/>
        <v>4817</v>
      </c>
      <c r="AD43" s="461">
        <f t="shared" si="54"/>
        <v>5177</v>
      </c>
      <c r="AE43" s="468">
        <v>42</v>
      </c>
      <c r="AF43" s="163">
        <f t="shared" si="43"/>
        <v>5177</v>
      </c>
    </row>
    <row r="44" spans="1:32" x14ac:dyDescent="0.35">
      <c r="B44" s="421">
        <v>43</v>
      </c>
      <c r="C44" s="321" t="s">
        <v>87</v>
      </c>
      <c r="D44" s="42">
        <f>[2]ASB!DF8</f>
        <v>86</v>
      </c>
      <c r="E44" s="42">
        <f>[2]ASB!DG8</f>
        <v>73</v>
      </c>
      <c r="F44" s="42">
        <f>[2]ASB!DH8</f>
        <v>77</v>
      </c>
      <c r="G44" s="42">
        <f>[2]ASB!DI8</f>
        <v>59</v>
      </c>
      <c r="H44" s="42">
        <f>[2]ASB!DJ8</f>
        <v>51</v>
      </c>
      <c r="I44" s="42">
        <f>[2]ASB!DK8</f>
        <v>77</v>
      </c>
      <c r="J44" s="42">
        <f>[2]ASB!DL8</f>
        <v>49</v>
      </c>
      <c r="K44" s="42">
        <f>[2]ASB!DM8</f>
        <v>97</v>
      </c>
      <c r="L44" s="42">
        <f>[2]ASB!DN8</f>
        <v>48</v>
      </c>
      <c r="M44" s="42">
        <f>[2]ASB!DO8</f>
        <v>54</v>
      </c>
      <c r="N44" s="42">
        <f>[2]ASB!DP8</f>
        <v>62</v>
      </c>
      <c r="O44" s="42">
        <f>[2]ASB!DQ8</f>
        <v>60</v>
      </c>
      <c r="P44" s="166"/>
      <c r="Q44" s="468">
        <v>43</v>
      </c>
      <c r="R44" s="323" t="s">
        <v>87</v>
      </c>
      <c r="S44" s="176">
        <f t="shared" si="12"/>
        <v>86</v>
      </c>
      <c r="T44" s="176">
        <f t="shared" si="44"/>
        <v>159</v>
      </c>
      <c r="U44" s="176">
        <f t="shared" si="45"/>
        <v>236</v>
      </c>
      <c r="V44" s="176">
        <f t="shared" si="46"/>
        <v>295</v>
      </c>
      <c r="W44" s="176">
        <f t="shared" si="47"/>
        <v>346</v>
      </c>
      <c r="X44" s="176">
        <f t="shared" si="48"/>
        <v>423</v>
      </c>
      <c r="Y44" s="176">
        <f t="shared" si="49"/>
        <v>472</v>
      </c>
      <c r="Z44" s="176">
        <f t="shared" si="50"/>
        <v>569</v>
      </c>
      <c r="AA44" s="176">
        <f t="shared" si="51"/>
        <v>617</v>
      </c>
      <c r="AB44" s="176">
        <f t="shared" si="52"/>
        <v>671</v>
      </c>
      <c r="AC44" s="176">
        <f t="shared" si="53"/>
        <v>733</v>
      </c>
      <c r="AD44" s="461">
        <f t="shared" si="54"/>
        <v>793</v>
      </c>
      <c r="AE44" s="470">
        <v>43</v>
      </c>
      <c r="AF44" s="163">
        <f t="shared" si="43"/>
        <v>793</v>
      </c>
    </row>
    <row r="45" spans="1:32" x14ac:dyDescent="0.35">
      <c r="B45" s="420">
        <v>44</v>
      </c>
      <c r="C45" s="321" t="s">
        <v>90</v>
      </c>
      <c r="D45" s="173">
        <f>[2]DSF!EG8</f>
        <v>28</v>
      </c>
      <c r="E45" s="173">
        <f>[2]DSF!EH8</f>
        <v>26</v>
      </c>
      <c r="F45" s="173">
        <f>[2]DSF!EI8</f>
        <v>28</v>
      </c>
      <c r="G45" s="173">
        <f>[2]DSF!EJ8</f>
        <v>19</v>
      </c>
      <c r="H45" s="173">
        <f>[2]DSF!EK8</f>
        <v>17</v>
      </c>
      <c r="I45" s="173">
        <f>[2]DSF!EL8</f>
        <v>8</v>
      </c>
      <c r="J45" s="173">
        <f>[2]DSF!EM8</f>
        <v>18</v>
      </c>
      <c r="K45" s="173">
        <f>[2]DSF!EN8</f>
        <v>9</v>
      </c>
      <c r="L45" s="173">
        <f>[2]DSF!EO8</f>
        <v>8</v>
      </c>
      <c r="M45" s="173">
        <f>[2]DSF!EP8</f>
        <v>11</v>
      </c>
      <c r="N45" s="173">
        <f>[2]DSF!EQ8</f>
        <v>8</v>
      </c>
      <c r="O45" s="173">
        <f>[2]DSF!ER8</f>
        <v>19</v>
      </c>
      <c r="P45" s="173"/>
      <c r="Q45" s="468">
        <v>44</v>
      </c>
      <c r="R45" s="323" t="s">
        <v>90</v>
      </c>
      <c r="S45" s="176">
        <f>D45</f>
        <v>28</v>
      </c>
      <c r="T45" s="176">
        <f t="shared" si="44"/>
        <v>54</v>
      </c>
      <c r="U45" s="176">
        <f t="shared" si="45"/>
        <v>82</v>
      </c>
      <c r="V45" s="176">
        <f t="shared" si="46"/>
        <v>101</v>
      </c>
      <c r="W45" s="176">
        <f t="shared" si="47"/>
        <v>118</v>
      </c>
      <c r="X45" s="176">
        <f t="shared" si="48"/>
        <v>126</v>
      </c>
      <c r="Y45" s="176">
        <f t="shared" si="49"/>
        <v>144</v>
      </c>
      <c r="Z45" s="176">
        <f t="shared" si="50"/>
        <v>153</v>
      </c>
      <c r="AA45" s="176">
        <f t="shared" si="51"/>
        <v>161</v>
      </c>
      <c r="AB45" s="176">
        <f t="shared" si="52"/>
        <v>172</v>
      </c>
      <c r="AC45" s="176">
        <f t="shared" si="53"/>
        <v>180</v>
      </c>
      <c r="AD45" s="461">
        <f t="shared" si="54"/>
        <v>199</v>
      </c>
      <c r="AE45" s="468">
        <v>44</v>
      </c>
      <c r="AF45" s="163">
        <f t="shared" si="43"/>
        <v>199</v>
      </c>
    </row>
    <row r="46" spans="1:32" x14ac:dyDescent="0.35">
      <c r="A46" s="162" t="s">
        <v>128</v>
      </c>
      <c r="B46" s="420">
        <v>45</v>
      </c>
      <c r="C46" s="321" t="s">
        <v>89</v>
      </c>
      <c r="D46" s="286">
        <f>D47+D48</f>
        <v>21</v>
      </c>
      <c r="E46" s="286">
        <f t="shared" ref="E46:O46" si="55">E47+E48</f>
        <v>28</v>
      </c>
      <c r="F46" s="286">
        <f t="shared" si="55"/>
        <v>26</v>
      </c>
      <c r="G46" s="286">
        <f t="shared" si="55"/>
        <v>33</v>
      </c>
      <c r="H46" s="286">
        <f t="shared" si="55"/>
        <v>21</v>
      </c>
      <c r="I46" s="286">
        <f t="shared" si="55"/>
        <v>24</v>
      </c>
      <c r="J46" s="286">
        <f t="shared" si="55"/>
        <v>25</v>
      </c>
      <c r="K46" s="286">
        <f t="shared" si="55"/>
        <v>20</v>
      </c>
      <c r="L46" s="286">
        <f t="shared" si="55"/>
        <v>22</v>
      </c>
      <c r="M46" s="286">
        <f t="shared" si="55"/>
        <v>21</v>
      </c>
      <c r="N46" s="286">
        <f t="shared" si="55"/>
        <v>27</v>
      </c>
      <c r="O46" s="286">
        <f t="shared" si="55"/>
        <v>21</v>
      </c>
      <c r="P46" s="181"/>
      <c r="Q46" s="468">
        <v>45</v>
      </c>
      <c r="R46" s="323" t="s">
        <v>89</v>
      </c>
      <c r="S46" s="176">
        <f t="shared" si="12"/>
        <v>21</v>
      </c>
      <c r="T46" s="176">
        <f t="shared" si="44"/>
        <v>49</v>
      </c>
      <c r="U46" s="176">
        <f t="shared" si="45"/>
        <v>75</v>
      </c>
      <c r="V46" s="176">
        <f t="shared" si="46"/>
        <v>108</v>
      </c>
      <c r="W46" s="176">
        <f t="shared" si="47"/>
        <v>129</v>
      </c>
      <c r="X46" s="176">
        <f t="shared" si="48"/>
        <v>153</v>
      </c>
      <c r="Y46" s="176">
        <f t="shared" si="49"/>
        <v>178</v>
      </c>
      <c r="Z46" s="176">
        <f t="shared" si="50"/>
        <v>198</v>
      </c>
      <c r="AA46" s="176">
        <f t="shared" si="51"/>
        <v>220</v>
      </c>
      <c r="AB46" s="176">
        <f t="shared" si="52"/>
        <v>241</v>
      </c>
      <c r="AC46" s="176">
        <f t="shared" si="53"/>
        <v>268</v>
      </c>
      <c r="AD46" s="461">
        <f t="shared" si="54"/>
        <v>289</v>
      </c>
      <c r="AE46" s="468">
        <v>45</v>
      </c>
      <c r="AF46" s="163">
        <f t="shared" si="43"/>
        <v>289</v>
      </c>
    </row>
    <row r="47" spans="1:32" x14ac:dyDescent="0.35">
      <c r="B47" s="420">
        <v>46</v>
      </c>
      <c r="C47" s="321" t="s">
        <v>66</v>
      </c>
      <c r="D47" s="176">
        <f>[2]KSI!DG12</f>
        <v>4</v>
      </c>
      <c r="E47" s="176">
        <f>[2]KSI!DH12</f>
        <v>2</v>
      </c>
      <c r="F47" s="176">
        <f>[2]KSI!DI12</f>
        <v>3</v>
      </c>
      <c r="G47" s="176">
        <f>[2]KSI!DJ12</f>
        <v>5</v>
      </c>
      <c r="H47" s="176">
        <f>[2]KSI!DK12</f>
        <v>2</v>
      </c>
      <c r="I47" s="176">
        <f>[2]KSI!DL12</f>
        <v>1</v>
      </c>
      <c r="J47" s="176">
        <f>[2]KSI!DM12</f>
        <v>4</v>
      </c>
      <c r="K47" s="176">
        <f>[2]KSI!DN12</f>
        <v>3</v>
      </c>
      <c r="L47" s="176">
        <f>[2]KSI!DO12</f>
        <v>2</v>
      </c>
      <c r="M47" s="176">
        <f>[2]KSI!DP12</f>
        <v>3</v>
      </c>
      <c r="N47" s="176">
        <f>[2]KSI!DQ12</f>
        <v>2</v>
      </c>
      <c r="O47" s="176">
        <f>[2]KSI!DR12</f>
        <v>2</v>
      </c>
      <c r="P47" s="181"/>
      <c r="Q47" s="468">
        <v>46</v>
      </c>
      <c r="R47" s="323" t="s">
        <v>66</v>
      </c>
      <c r="S47" s="176">
        <f t="shared" si="12"/>
        <v>4</v>
      </c>
      <c r="T47" s="176">
        <f t="shared" si="44"/>
        <v>6</v>
      </c>
      <c r="U47" s="176">
        <f t="shared" si="45"/>
        <v>9</v>
      </c>
      <c r="V47" s="176">
        <f t="shared" si="46"/>
        <v>14</v>
      </c>
      <c r="W47" s="176">
        <f t="shared" si="47"/>
        <v>16</v>
      </c>
      <c r="X47" s="176">
        <f t="shared" si="48"/>
        <v>17</v>
      </c>
      <c r="Y47" s="176">
        <f t="shared" si="49"/>
        <v>21</v>
      </c>
      <c r="Z47" s="176">
        <f t="shared" si="50"/>
        <v>24</v>
      </c>
      <c r="AA47" s="176">
        <f t="shared" si="51"/>
        <v>26</v>
      </c>
      <c r="AB47" s="176">
        <f t="shared" si="52"/>
        <v>29</v>
      </c>
      <c r="AC47" s="176">
        <f t="shared" si="53"/>
        <v>31</v>
      </c>
      <c r="AD47" s="461">
        <f t="shared" si="54"/>
        <v>33</v>
      </c>
      <c r="AE47" s="470">
        <v>46</v>
      </c>
      <c r="AF47" s="163">
        <f t="shared" si="43"/>
        <v>33</v>
      </c>
    </row>
    <row r="48" spans="1:32" x14ac:dyDescent="0.35">
      <c r="B48" s="420">
        <v>47</v>
      </c>
      <c r="C48" s="321" t="s">
        <v>67</v>
      </c>
      <c r="D48" s="176">
        <f>[2]KSI!DG13</f>
        <v>17</v>
      </c>
      <c r="E48" s="176">
        <f>[2]KSI!DH13</f>
        <v>26</v>
      </c>
      <c r="F48" s="176">
        <f>[2]KSI!DI13</f>
        <v>23</v>
      </c>
      <c r="G48" s="176">
        <f>[2]KSI!DJ13</f>
        <v>28</v>
      </c>
      <c r="H48" s="176">
        <f>[2]KSI!DK13</f>
        <v>19</v>
      </c>
      <c r="I48" s="176">
        <f>[2]KSI!DL13</f>
        <v>23</v>
      </c>
      <c r="J48" s="176">
        <f>[2]KSI!DM13</f>
        <v>21</v>
      </c>
      <c r="K48" s="176">
        <f>[2]KSI!DN13</f>
        <v>17</v>
      </c>
      <c r="L48" s="176">
        <f>[2]KSI!DO13</f>
        <v>20</v>
      </c>
      <c r="M48" s="176">
        <f>[2]KSI!DP13</f>
        <v>18</v>
      </c>
      <c r="N48" s="176">
        <f>[2]KSI!DQ13</f>
        <v>25</v>
      </c>
      <c r="O48" s="176">
        <f>[2]KSI!DR13</f>
        <v>19</v>
      </c>
      <c r="P48" s="181"/>
      <c r="Q48" s="468">
        <v>47</v>
      </c>
      <c r="R48" s="323" t="s">
        <v>67</v>
      </c>
      <c r="S48" s="176">
        <f t="shared" si="12"/>
        <v>17</v>
      </c>
      <c r="T48" s="176">
        <f t="shared" si="44"/>
        <v>43</v>
      </c>
      <c r="U48" s="176">
        <f t="shared" si="45"/>
        <v>66</v>
      </c>
      <c r="V48" s="176">
        <f t="shared" si="46"/>
        <v>94</v>
      </c>
      <c r="W48" s="176">
        <f t="shared" si="47"/>
        <v>113</v>
      </c>
      <c r="X48" s="176">
        <f t="shared" si="48"/>
        <v>136</v>
      </c>
      <c r="Y48" s="176">
        <f t="shared" si="49"/>
        <v>157</v>
      </c>
      <c r="Z48" s="176">
        <f t="shared" si="50"/>
        <v>174</v>
      </c>
      <c r="AA48" s="176">
        <f t="shared" si="51"/>
        <v>194</v>
      </c>
      <c r="AB48" s="176">
        <f t="shared" si="52"/>
        <v>212</v>
      </c>
      <c r="AC48" s="176">
        <f t="shared" si="53"/>
        <v>237</v>
      </c>
      <c r="AD48" s="461">
        <f t="shared" si="54"/>
        <v>256</v>
      </c>
      <c r="AE48" s="468">
        <v>47</v>
      </c>
      <c r="AF48" s="163">
        <f t="shared" si="43"/>
        <v>256</v>
      </c>
    </row>
    <row r="49" spans="2:32" ht="23" x14ac:dyDescent="0.5">
      <c r="B49" s="421">
        <v>48</v>
      </c>
      <c r="C49" s="325" t="s">
        <v>57</v>
      </c>
      <c r="D49" s="172"/>
      <c r="E49" s="172"/>
      <c r="F49" s="172"/>
      <c r="G49" s="172"/>
      <c r="H49" s="172"/>
      <c r="I49" s="172"/>
      <c r="J49" s="172"/>
      <c r="K49" s="172"/>
      <c r="L49" s="172"/>
      <c r="M49" s="172"/>
      <c r="N49" s="172"/>
      <c r="O49" s="172"/>
      <c r="P49" s="182"/>
      <c r="Q49" s="468">
        <v>48</v>
      </c>
      <c r="R49" s="325" t="s">
        <v>57</v>
      </c>
      <c r="S49" s="176"/>
      <c r="T49" s="176"/>
      <c r="U49" s="176"/>
      <c r="V49" s="176"/>
      <c r="W49" s="176"/>
      <c r="X49" s="176"/>
      <c r="Y49" s="176"/>
      <c r="Z49" s="176"/>
      <c r="AA49" s="176"/>
      <c r="AB49" s="176"/>
      <c r="AC49" s="176"/>
      <c r="AD49" s="461"/>
      <c r="AE49" s="468">
        <v>48</v>
      </c>
      <c r="AF49" s="163">
        <f t="shared" si="43"/>
        <v>0</v>
      </c>
    </row>
    <row r="50" spans="2:32" x14ac:dyDescent="0.35">
      <c r="B50" s="420">
        <v>49</v>
      </c>
      <c r="C50" s="326" t="s">
        <v>56</v>
      </c>
      <c r="D50" s="168">
        <v>45017</v>
      </c>
      <c r="E50" s="168">
        <v>45047</v>
      </c>
      <c r="F50" s="168">
        <v>45078</v>
      </c>
      <c r="G50" s="168">
        <v>45108</v>
      </c>
      <c r="H50" s="168">
        <v>45139</v>
      </c>
      <c r="I50" s="168">
        <v>45170</v>
      </c>
      <c r="J50" s="168">
        <v>45200</v>
      </c>
      <c r="K50" s="168">
        <v>45231</v>
      </c>
      <c r="L50" s="168">
        <v>45261</v>
      </c>
      <c r="M50" s="168">
        <v>45292</v>
      </c>
      <c r="N50" s="168">
        <v>45323</v>
      </c>
      <c r="O50" s="168">
        <v>45352</v>
      </c>
      <c r="P50" s="168"/>
      <c r="Q50" s="468">
        <v>49</v>
      </c>
      <c r="R50" s="328" t="s">
        <v>56</v>
      </c>
      <c r="S50" s="168">
        <v>45017</v>
      </c>
      <c r="T50" s="168">
        <v>45047</v>
      </c>
      <c r="U50" s="168">
        <v>45078</v>
      </c>
      <c r="V50" s="168">
        <v>45108</v>
      </c>
      <c r="W50" s="168">
        <v>45139</v>
      </c>
      <c r="X50" s="168">
        <v>45170</v>
      </c>
      <c r="Y50" s="168">
        <v>45200</v>
      </c>
      <c r="Z50" s="168">
        <v>45231</v>
      </c>
      <c r="AA50" s="168">
        <v>45261</v>
      </c>
      <c r="AB50" s="168">
        <v>45292</v>
      </c>
      <c r="AC50" s="168">
        <v>45323</v>
      </c>
      <c r="AD50" s="168">
        <v>45352</v>
      </c>
      <c r="AE50" s="468">
        <v>49</v>
      </c>
      <c r="AF50" s="163">
        <f t="shared" si="43"/>
        <v>542218</v>
      </c>
    </row>
    <row r="51" spans="2:32" x14ac:dyDescent="0.35">
      <c r="B51" s="420">
        <v>50</v>
      </c>
      <c r="C51" s="326" t="s">
        <v>33</v>
      </c>
      <c r="D51" s="194">
        <f>[2]Districts_Boroughs!DF4</f>
        <v>339</v>
      </c>
      <c r="E51" s="194">
        <f>[2]Districts_Boroughs!DG4</f>
        <v>358</v>
      </c>
      <c r="F51" s="194">
        <f>[2]Districts_Boroughs!DH4</f>
        <v>381</v>
      </c>
      <c r="G51" s="194">
        <f>[2]Districts_Boroughs!DI4</f>
        <v>430</v>
      </c>
      <c r="H51" s="194">
        <f>[2]Districts_Boroughs!DJ4</f>
        <v>348</v>
      </c>
      <c r="I51" s="194">
        <f>[2]Districts_Boroughs!DK4</f>
        <v>375</v>
      </c>
      <c r="J51" s="194">
        <f>[2]Districts_Boroughs!DL4</f>
        <v>399</v>
      </c>
      <c r="K51" s="194">
        <f>[2]Districts_Boroughs!DM4</f>
        <v>386</v>
      </c>
      <c r="L51" s="194">
        <f>[2]Districts_Boroughs!DN4</f>
        <v>364</v>
      </c>
      <c r="M51" s="194">
        <f>[2]Districts_Boroughs!DO4</f>
        <v>343</v>
      </c>
      <c r="N51" s="194">
        <f>[2]Districts_Boroughs!DP4</f>
        <v>352</v>
      </c>
      <c r="O51" s="194">
        <f>[2]Districts_Boroughs!DQ4</f>
        <v>387</v>
      </c>
      <c r="P51" s="178"/>
      <c r="Q51" s="468">
        <v>50</v>
      </c>
      <c r="R51" s="328" t="s">
        <v>33</v>
      </c>
      <c r="S51" s="176">
        <f t="shared" ref="S51:S65" si="56">D51</f>
        <v>339</v>
      </c>
      <c r="T51" s="176">
        <f t="shared" ref="T51:T65" si="57">S51+E51</f>
        <v>697</v>
      </c>
      <c r="U51" s="176">
        <f t="shared" ref="U51:U65" si="58">T51+F51</f>
        <v>1078</v>
      </c>
      <c r="V51" s="176">
        <f t="shared" ref="V51:V65" si="59">U51+G51</f>
        <v>1508</v>
      </c>
      <c r="W51" s="176">
        <f t="shared" ref="W51:W65" si="60">V51+H51</f>
        <v>1856</v>
      </c>
      <c r="X51" s="176">
        <f t="shared" ref="X51:X65" si="61">W51+I51</f>
        <v>2231</v>
      </c>
      <c r="Y51" s="176">
        <f t="shared" ref="Y51:Y65" si="62">X51+J51</f>
        <v>2630</v>
      </c>
      <c r="Z51" s="176">
        <f t="shared" ref="Z51:Z65" si="63">Y51+K51</f>
        <v>3016</v>
      </c>
      <c r="AA51" s="176">
        <f t="shared" ref="AA51:AA65" si="64">Z51+L51</f>
        <v>3380</v>
      </c>
      <c r="AB51" s="176">
        <f t="shared" ref="AB51:AB65" si="65">AA51+M51</f>
        <v>3723</v>
      </c>
      <c r="AC51" s="176">
        <f t="shared" ref="AC51:AC65" si="66">AB51+N51</f>
        <v>4075</v>
      </c>
      <c r="AD51" s="461">
        <f t="shared" ref="AD51:AD64" si="67">AC51+O51</f>
        <v>4462</v>
      </c>
      <c r="AE51" s="468">
        <v>50</v>
      </c>
      <c r="AF51" s="163">
        <f t="shared" si="43"/>
        <v>4462</v>
      </c>
    </row>
    <row r="52" spans="2:32" x14ac:dyDescent="0.35">
      <c r="B52" s="420">
        <v>51</v>
      </c>
      <c r="C52" s="326" t="s">
        <v>39</v>
      </c>
      <c r="D52" s="194">
        <f>[2]Districts_Boroughs!DF6</f>
        <v>38</v>
      </c>
      <c r="E52" s="194">
        <f>[2]Districts_Boroughs!DG6</f>
        <v>44</v>
      </c>
      <c r="F52" s="194">
        <f>[2]Districts_Boroughs!DH6</f>
        <v>55</v>
      </c>
      <c r="G52" s="194">
        <f>[2]Districts_Boroughs!DI6</f>
        <v>54</v>
      </c>
      <c r="H52" s="194">
        <f>[2]Districts_Boroughs!DJ6</f>
        <v>42</v>
      </c>
      <c r="I52" s="194">
        <f>[2]Districts_Boroughs!DK6</f>
        <v>49</v>
      </c>
      <c r="J52" s="194">
        <f>[2]Districts_Boroughs!DL6</f>
        <v>46</v>
      </c>
      <c r="K52" s="194">
        <f>[2]Districts_Boroughs!DM6</f>
        <v>34</v>
      </c>
      <c r="L52" s="194">
        <f>[2]Districts_Boroughs!DN6</f>
        <v>58</v>
      </c>
      <c r="M52" s="194">
        <f>[2]Districts_Boroughs!DO6</f>
        <v>42</v>
      </c>
      <c r="N52" s="194">
        <f>[2]Districts_Boroughs!DP6</f>
        <v>36</v>
      </c>
      <c r="O52" s="194">
        <f>[2]Districts_Boroughs!DQ6</f>
        <v>49</v>
      </c>
      <c r="P52" s="178"/>
      <c r="Q52" s="468">
        <v>51</v>
      </c>
      <c r="R52" s="328" t="s">
        <v>39</v>
      </c>
      <c r="S52" s="176">
        <f t="shared" si="56"/>
        <v>38</v>
      </c>
      <c r="T52" s="176">
        <f t="shared" si="57"/>
        <v>82</v>
      </c>
      <c r="U52" s="176">
        <f t="shared" si="58"/>
        <v>137</v>
      </c>
      <c r="V52" s="176">
        <f t="shared" si="59"/>
        <v>191</v>
      </c>
      <c r="W52" s="176">
        <f t="shared" si="60"/>
        <v>233</v>
      </c>
      <c r="X52" s="176">
        <f t="shared" si="61"/>
        <v>282</v>
      </c>
      <c r="Y52" s="176">
        <f t="shared" si="62"/>
        <v>328</v>
      </c>
      <c r="Z52" s="176">
        <f t="shared" si="63"/>
        <v>362</v>
      </c>
      <c r="AA52" s="176">
        <f t="shared" si="64"/>
        <v>420</v>
      </c>
      <c r="AB52" s="176">
        <f t="shared" si="65"/>
        <v>462</v>
      </c>
      <c r="AC52" s="176">
        <f t="shared" si="66"/>
        <v>498</v>
      </c>
      <c r="AD52" s="461">
        <f t="shared" si="67"/>
        <v>547</v>
      </c>
      <c r="AE52" s="470">
        <v>51</v>
      </c>
      <c r="AF52" s="163">
        <f t="shared" si="43"/>
        <v>547</v>
      </c>
    </row>
    <row r="53" spans="2:32" x14ac:dyDescent="0.35">
      <c r="B53" s="420">
        <v>52</v>
      </c>
      <c r="C53" s="326" t="s">
        <v>40</v>
      </c>
      <c r="D53" s="194">
        <f>[2]Districts_Boroughs!DF7</f>
        <v>86</v>
      </c>
      <c r="E53" s="194">
        <f>[2]Districts_Boroughs!DG7</f>
        <v>85</v>
      </c>
      <c r="F53" s="194">
        <f>[2]Districts_Boroughs!DH7</f>
        <v>87</v>
      </c>
      <c r="G53" s="194">
        <f>[2]Districts_Boroughs!DI7</f>
        <v>83</v>
      </c>
      <c r="H53" s="194">
        <f>[2]Districts_Boroughs!DJ7</f>
        <v>78</v>
      </c>
      <c r="I53" s="194">
        <f>[2]Districts_Boroughs!DK7</f>
        <v>69</v>
      </c>
      <c r="J53" s="194">
        <f>[2]Districts_Boroughs!DL7</f>
        <v>89</v>
      </c>
      <c r="K53" s="194">
        <f>[2]Districts_Boroughs!DM7</f>
        <v>100</v>
      </c>
      <c r="L53" s="194">
        <f>[2]Districts_Boroughs!DN7</f>
        <v>75</v>
      </c>
      <c r="M53" s="194">
        <f>[2]Districts_Boroughs!DO7</f>
        <v>81</v>
      </c>
      <c r="N53" s="194">
        <f>[2]Districts_Boroughs!DP7</f>
        <v>86</v>
      </c>
      <c r="O53" s="194">
        <f>[2]Districts_Boroughs!DQ7</f>
        <v>88</v>
      </c>
      <c r="P53" s="178"/>
      <c r="Q53" s="468">
        <v>52</v>
      </c>
      <c r="R53" s="328" t="s">
        <v>40</v>
      </c>
      <c r="S53" s="176">
        <f t="shared" si="56"/>
        <v>86</v>
      </c>
      <c r="T53" s="176">
        <f t="shared" si="57"/>
        <v>171</v>
      </c>
      <c r="U53" s="176">
        <f t="shared" si="58"/>
        <v>258</v>
      </c>
      <c r="V53" s="176">
        <f t="shared" si="59"/>
        <v>341</v>
      </c>
      <c r="W53" s="176">
        <f t="shared" si="60"/>
        <v>419</v>
      </c>
      <c r="X53" s="176">
        <f t="shared" si="61"/>
        <v>488</v>
      </c>
      <c r="Y53" s="176">
        <f t="shared" si="62"/>
        <v>577</v>
      </c>
      <c r="Z53" s="176">
        <f t="shared" si="63"/>
        <v>677</v>
      </c>
      <c r="AA53" s="176">
        <f t="shared" si="64"/>
        <v>752</v>
      </c>
      <c r="AB53" s="176">
        <f t="shared" si="65"/>
        <v>833</v>
      </c>
      <c r="AC53" s="176">
        <f t="shared" si="66"/>
        <v>919</v>
      </c>
      <c r="AD53" s="461">
        <f t="shared" si="67"/>
        <v>1007</v>
      </c>
      <c r="AE53" s="468">
        <v>52</v>
      </c>
      <c r="AF53" s="163">
        <f t="shared" si="43"/>
        <v>1007</v>
      </c>
    </row>
    <row r="54" spans="2:32" x14ac:dyDescent="0.35">
      <c r="B54" s="421">
        <v>53</v>
      </c>
      <c r="C54" s="326" t="s">
        <v>5</v>
      </c>
      <c r="D54" s="194">
        <f>[2]Districts_Boroughs!DF8</f>
        <v>4</v>
      </c>
      <c r="E54" s="194">
        <f>[2]Districts_Boroughs!DG8</f>
        <v>4</v>
      </c>
      <c r="F54" s="194">
        <f>[2]Districts_Boroughs!DH8</f>
        <v>3</v>
      </c>
      <c r="G54" s="194">
        <f>[2]Districts_Boroughs!DI8</f>
        <v>3</v>
      </c>
      <c r="H54" s="194">
        <f>[2]Districts_Boroughs!DJ8</f>
        <v>1</v>
      </c>
      <c r="I54" s="194">
        <f>[2]Districts_Boroughs!DK8</f>
        <v>1</v>
      </c>
      <c r="J54" s="194">
        <f>[2]Districts_Boroughs!DL8</f>
        <v>5</v>
      </c>
      <c r="K54" s="194">
        <f>[2]Districts_Boroughs!DM8</f>
        <v>3</v>
      </c>
      <c r="L54" s="194">
        <f>[2]Districts_Boroughs!DN8</f>
        <v>7</v>
      </c>
      <c r="M54" s="194">
        <f>[2]Districts_Boroughs!DO8</f>
        <v>4</v>
      </c>
      <c r="N54" s="194">
        <f>[2]Districts_Boroughs!DP8</f>
        <v>4</v>
      </c>
      <c r="O54" s="194">
        <f>[2]Districts_Boroughs!DQ8</f>
        <v>4</v>
      </c>
      <c r="P54" s="178"/>
      <c r="Q54" s="468">
        <v>53</v>
      </c>
      <c r="R54" s="328" t="s">
        <v>5</v>
      </c>
      <c r="S54" s="176">
        <f t="shared" si="56"/>
        <v>4</v>
      </c>
      <c r="T54" s="176">
        <f t="shared" si="57"/>
        <v>8</v>
      </c>
      <c r="U54" s="176">
        <f t="shared" si="58"/>
        <v>11</v>
      </c>
      <c r="V54" s="176">
        <f t="shared" si="59"/>
        <v>14</v>
      </c>
      <c r="W54" s="176">
        <f t="shared" si="60"/>
        <v>15</v>
      </c>
      <c r="X54" s="176">
        <f t="shared" si="61"/>
        <v>16</v>
      </c>
      <c r="Y54" s="176">
        <f t="shared" si="62"/>
        <v>21</v>
      </c>
      <c r="Z54" s="176">
        <f t="shared" si="63"/>
        <v>24</v>
      </c>
      <c r="AA54" s="176">
        <f t="shared" si="64"/>
        <v>31</v>
      </c>
      <c r="AB54" s="176">
        <f t="shared" si="65"/>
        <v>35</v>
      </c>
      <c r="AC54" s="176">
        <f t="shared" si="66"/>
        <v>39</v>
      </c>
      <c r="AD54" s="461">
        <f t="shared" si="67"/>
        <v>43</v>
      </c>
      <c r="AE54" s="468">
        <v>53</v>
      </c>
      <c r="AF54" s="163">
        <f t="shared" si="43"/>
        <v>43</v>
      </c>
    </row>
    <row r="55" spans="2:32" x14ac:dyDescent="0.35">
      <c r="B55" s="420">
        <v>54</v>
      </c>
      <c r="C55" s="326" t="s">
        <v>35</v>
      </c>
      <c r="D55" s="194">
        <f>[2]Districts_Boroughs!DF9</f>
        <v>7</v>
      </c>
      <c r="E55" s="194">
        <f>[2]Districts_Boroughs!DG9</f>
        <v>5</v>
      </c>
      <c r="F55" s="194">
        <f>[2]Districts_Boroughs!DH9</f>
        <v>5</v>
      </c>
      <c r="G55" s="194">
        <f>[2]Districts_Boroughs!DI9</f>
        <v>7</v>
      </c>
      <c r="H55" s="194">
        <f>[2]Districts_Boroughs!DJ9</f>
        <v>7</v>
      </c>
      <c r="I55" s="194">
        <f>[2]Districts_Boroughs!DK9</f>
        <v>8</v>
      </c>
      <c r="J55" s="194">
        <f>[2]Districts_Boroughs!DL9</f>
        <v>18</v>
      </c>
      <c r="K55" s="194">
        <f>[2]Districts_Boroughs!DM9</f>
        <v>12</v>
      </c>
      <c r="L55" s="194">
        <f>[2]Districts_Boroughs!DN9</f>
        <v>9</v>
      </c>
      <c r="M55" s="194">
        <f>[2]Districts_Boroughs!DO9</f>
        <v>15</v>
      </c>
      <c r="N55" s="194">
        <f>[2]Districts_Boroughs!DP9</f>
        <v>10</v>
      </c>
      <c r="O55" s="194">
        <f>[2]Districts_Boroughs!DQ9</f>
        <v>3</v>
      </c>
      <c r="P55" s="178"/>
      <c r="Q55" s="468">
        <v>54</v>
      </c>
      <c r="R55" s="328" t="s">
        <v>35</v>
      </c>
      <c r="S55" s="176">
        <f t="shared" si="56"/>
        <v>7</v>
      </c>
      <c r="T55" s="176">
        <f t="shared" si="57"/>
        <v>12</v>
      </c>
      <c r="U55" s="176">
        <f t="shared" si="58"/>
        <v>17</v>
      </c>
      <c r="V55" s="176">
        <f t="shared" si="59"/>
        <v>24</v>
      </c>
      <c r="W55" s="176">
        <f t="shared" si="60"/>
        <v>31</v>
      </c>
      <c r="X55" s="176">
        <f t="shared" si="61"/>
        <v>39</v>
      </c>
      <c r="Y55" s="176">
        <f t="shared" si="62"/>
        <v>57</v>
      </c>
      <c r="Z55" s="176">
        <f t="shared" si="63"/>
        <v>69</v>
      </c>
      <c r="AA55" s="176">
        <f t="shared" si="64"/>
        <v>78</v>
      </c>
      <c r="AB55" s="176">
        <f t="shared" si="65"/>
        <v>93</v>
      </c>
      <c r="AC55" s="176">
        <f t="shared" si="66"/>
        <v>103</v>
      </c>
      <c r="AD55" s="461">
        <f t="shared" si="67"/>
        <v>106</v>
      </c>
      <c r="AE55" s="470">
        <v>54</v>
      </c>
      <c r="AF55" s="163">
        <f t="shared" si="43"/>
        <v>106</v>
      </c>
    </row>
    <row r="56" spans="2:32" x14ac:dyDescent="0.35">
      <c r="B56" s="420">
        <v>55</v>
      </c>
      <c r="C56" s="326" t="s">
        <v>36</v>
      </c>
      <c r="D56" s="194">
        <f>[2]Districts_Boroughs!DF10</f>
        <v>0</v>
      </c>
      <c r="E56" s="194">
        <f>[2]Districts_Boroughs!DG10</f>
        <v>1</v>
      </c>
      <c r="F56" s="194">
        <f>[2]Districts_Boroughs!DH10</f>
        <v>1</v>
      </c>
      <c r="G56" s="194">
        <f>[2]Districts_Boroughs!DI10</f>
        <v>0</v>
      </c>
      <c r="H56" s="194">
        <f>[2]Districts_Boroughs!DJ10</f>
        <v>0</v>
      </c>
      <c r="I56" s="194">
        <f>[2]Districts_Boroughs!DK10</f>
        <v>0</v>
      </c>
      <c r="J56" s="194">
        <f>[2]Districts_Boroughs!DL10</f>
        <v>3</v>
      </c>
      <c r="K56" s="194">
        <f>[2]Districts_Boroughs!DM10</f>
        <v>1</v>
      </c>
      <c r="L56" s="194">
        <f>[2]Districts_Boroughs!DN10</f>
        <v>1</v>
      </c>
      <c r="M56" s="194">
        <f>[2]Districts_Boroughs!DO10</f>
        <v>0</v>
      </c>
      <c r="N56" s="194">
        <f>[2]Districts_Boroughs!DP10</f>
        <v>0</v>
      </c>
      <c r="O56" s="194">
        <f>[2]Districts_Boroughs!DQ10</f>
        <v>0</v>
      </c>
      <c r="P56" s="178"/>
      <c r="Q56" s="468">
        <v>55</v>
      </c>
      <c r="R56" s="328" t="s">
        <v>36</v>
      </c>
      <c r="S56" s="176">
        <f t="shared" si="56"/>
        <v>0</v>
      </c>
      <c r="T56" s="176">
        <f t="shared" si="57"/>
        <v>1</v>
      </c>
      <c r="U56" s="176">
        <f t="shared" si="58"/>
        <v>2</v>
      </c>
      <c r="V56" s="176">
        <f t="shared" si="59"/>
        <v>2</v>
      </c>
      <c r="W56" s="176">
        <f t="shared" si="60"/>
        <v>2</v>
      </c>
      <c r="X56" s="176">
        <f t="shared" si="61"/>
        <v>2</v>
      </c>
      <c r="Y56" s="176">
        <f t="shared" si="62"/>
        <v>5</v>
      </c>
      <c r="Z56" s="176">
        <f t="shared" si="63"/>
        <v>6</v>
      </c>
      <c r="AA56" s="176">
        <f t="shared" si="64"/>
        <v>7</v>
      </c>
      <c r="AB56" s="176">
        <f t="shared" si="65"/>
        <v>7</v>
      </c>
      <c r="AC56" s="176">
        <f t="shared" si="66"/>
        <v>7</v>
      </c>
      <c r="AD56" s="461">
        <f t="shared" si="67"/>
        <v>7</v>
      </c>
      <c r="AE56" s="468">
        <v>55</v>
      </c>
      <c r="AF56" s="163">
        <f t="shared" si="43"/>
        <v>7</v>
      </c>
    </row>
    <row r="57" spans="2:32" x14ac:dyDescent="0.35">
      <c r="B57" s="420">
        <v>56</v>
      </c>
      <c r="C57" s="326" t="s">
        <v>37</v>
      </c>
      <c r="D57" s="194">
        <f>[2]Districts_Boroughs!DF11</f>
        <v>5</v>
      </c>
      <c r="E57" s="194">
        <f>[2]Districts_Boroughs!DG11</f>
        <v>1</v>
      </c>
      <c r="F57" s="194">
        <f>[2]Districts_Boroughs!DH11</f>
        <v>2</v>
      </c>
      <c r="G57" s="194">
        <f>[2]Districts_Boroughs!DI11</f>
        <v>3</v>
      </c>
      <c r="H57" s="194">
        <f>[2]Districts_Boroughs!DJ11</f>
        <v>3</v>
      </c>
      <c r="I57" s="194">
        <f>[2]Districts_Boroughs!DK11</f>
        <v>2</v>
      </c>
      <c r="J57" s="194">
        <f>[2]Districts_Boroughs!DL11</f>
        <v>1</v>
      </c>
      <c r="K57" s="194">
        <f>[2]Districts_Boroughs!DM11</f>
        <v>3</v>
      </c>
      <c r="L57" s="194">
        <f>[2]Districts_Boroughs!DN11</f>
        <v>5</v>
      </c>
      <c r="M57" s="194">
        <f>[2]Districts_Boroughs!DO11</f>
        <v>3</v>
      </c>
      <c r="N57" s="194">
        <f>[2]Districts_Boroughs!DP11</f>
        <v>1</v>
      </c>
      <c r="O57" s="194">
        <f>[2]Districts_Boroughs!DQ11</f>
        <v>8</v>
      </c>
      <c r="P57" s="178"/>
      <c r="Q57" s="468">
        <v>56</v>
      </c>
      <c r="R57" s="328" t="s">
        <v>37</v>
      </c>
      <c r="S57" s="176">
        <f t="shared" si="56"/>
        <v>5</v>
      </c>
      <c r="T57" s="176">
        <f t="shared" si="57"/>
        <v>6</v>
      </c>
      <c r="U57" s="176">
        <f t="shared" si="58"/>
        <v>8</v>
      </c>
      <c r="V57" s="176">
        <f t="shared" si="59"/>
        <v>11</v>
      </c>
      <c r="W57" s="176">
        <f t="shared" si="60"/>
        <v>14</v>
      </c>
      <c r="X57" s="176">
        <f t="shared" si="61"/>
        <v>16</v>
      </c>
      <c r="Y57" s="176">
        <f t="shared" si="62"/>
        <v>17</v>
      </c>
      <c r="Z57" s="176">
        <f t="shared" si="63"/>
        <v>20</v>
      </c>
      <c r="AA57" s="176">
        <f t="shared" si="64"/>
        <v>25</v>
      </c>
      <c r="AB57" s="176">
        <f t="shared" si="65"/>
        <v>28</v>
      </c>
      <c r="AC57" s="176">
        <f t="shared" si="66"/>
        <v>29</v>
      </c>
      <c r="AD57" s="461">
        <f t="shared" si="67"/>
        <v>37</v>
      </c>
      <c r="AE57" s="468">
        <v>56</v>
      </c>
      <c r="AF57" s="163">
        <f t="shared" si="43"/>
        <v>37</v>
      </c>
    </row>
    <row r="58" spans="2:32" x14ac:dyDescent="0.35">
      <c r="B58" s="420">
        <v>57</v>
      </c>
      <c r="C58" s="327" t="s">
        <v>31</v>
      </c>
      <c r="D58" s="194">
        <f>[2]Districts_Boroughs!DF12</f>
        <v>13</v>
      </c>
      <c r="E58" s="194">
        <f>[2]Districts_Boroughs!DG12</f>
        <v>18</v>
      </c>
      <c r="F58" s="194">
        <f>[2]Districts_Boroughs!DH12</f>
        <v>11</v>
      </c>
      <c r="G58" s="194">
        <f>[2]Districts_Boroughs!DI12</f>
        <v>25</v>
      </c>
      <c r="H58" s="194">
        <f>[2]Districts_Boroughs!DJ12</f>
        <v>25</v>
      </c>
      <c r="I58" s="194">
        <f>[2]Districts_Boroughs!DK12</f>
        <v>17</v>
      </c>
      <c r="J58" s="194">
        <f>[2]Districts_Boroughs!DL12</f>
        <v>8</v>
      </c>
      <c r="K58" s="194">
        <f>[2]Districts_Boroughs!DM12</f>
        <v>17</v>
      </c>
      <c r="L58" s="194">
        <f>[2]Districts_Boroughs!DN12</f>
        <v>18</v>
      </c>
      <c r="M58" s="194">
        <f>[2]Districts_Boroughs!DO12</f>
        <v>12</v>
      </c>
      <c r="N58" s="194">
        <f>[2]Districts_Boroughs!DP12</f>
        <v>12</v>
      </c>
      <c r="O58" s="194">
        <f>[2]Districts_Boroughs!DQ12</f>
        <v>19</v>
      </c>
      <c r="P58" s="178"/>
      <c r="Q58" s="468">
        <v>57</v>
      </c>
      <c r="R58" s="329" t="s">
        <v>31</v>
      </c>
      <c r="S58" s="176">
        <f t="shared" si="56"/>
        <v>13</v>
      </c>
      <c r="T58" s="176">
        <f t="shared" si="57"/>
        <v>31</v>
      </c>
      <c r="U58" s="176">
        <f t="shared" si="58"/>
        <v>42</v>
      </c>
      <c r="V58" s="176">
        <f t="shared" si="59"/>
        <v>67</v>
      </c>
      <c r="W58" s="176">
        <f t="shared" si="60"/>
        <v>92</v>
      </c>
      <c r="X58" s="176">
        <f t="shared" si="61"/>
        <v>109</v>
      </c>
      <c r="Y58" s="176">
        <f t="shared" si="62"/>
        <v>117</v>
      </c>
      <c r="Z58" s="176">
        <f t="shared" si="63"/>
        <v>134</v>
      </c>
      <c r="AA58" s="176">
        <f t="shared" si="64"/>
        <v>152</v>
      </c>
      <c r="AB58" s="176">
        <f t="shared" si="65"/>
        <v>164</v>
      </c>
      <c r="AC58" s="176">
        <f t="shared" si="66"/>
        <v>176</v>
      </c>
      <c r="AD58" s="461">
        <f t="shared" si="67"/>
        <v>195</v>
      </c>
      <c r="AE58" s="468">
        <v>57</v>
      </c>
      <c r="AF58" s="163">
        <f t="shared" si="43"/>
        <v>195</v>
      </c>
    </row>
    <row r="59" spans="2:32" x14ac:dyDescent="0.35">
      <c r="B59" s="421">
        <v>58</v>
      </c>
      <c r="C59" s="327" t="s">
        <v>55</v>
      </c>
      <c r="D59" s="194">
        <f>[2]Districts_Boroughs!DF13</f>
        <v>11</v>
      </c>
      <c r="E59" s="194">
        <f>[2]Districts_Boroughs!DG13</f>
        <v>4</v>
      </c>
      <c r="F59" s="194">
        <f>[2]Districts_Boroughs!DH13</f>
        <v>6</v>
      </c>
      <c r="G59" s="194">
        <f>[2]Districts_Boroughs!DI13</f>
        <v>8</v>
      </c>
      <c r="H59" s="194">
        <f>[2]Districts_Boroughs!DJ13</f>
        <v>10</v>
      </c>
      <c r="I59" s="194">
        <f>[2]Districts_Boroughs!DK13</f>
        <v>15</v>
      </c>
      <c r="J59" s="194">
        <f>[2]Districts_Boroughs!DL13</f>
        <v>14</v>
      </c>
      <c r="K59" s="194">
        <f>[2]Districts_Boroughs!DM13</f>
        <v>17</v>
      </c>
      <c r="L59" s="194">
        <f>[2]Districts_Boroughs!DN13</f>
        <v>10</v>
      </c>
      <c r="M59" s="194">
        <f>[2]Districts_Boroughs!DO13</f>
        <v>9</v>
      </c>
      <c r="N59" s="194">
        <f>[2]Districts_Boroughs!DP13</f>
        <v>7</v>
      </c>
      <c r="O59" s="194">
        <f>[2]Districts_Boroughs!DQ13</f>
        <v>10</v>
      </c>
      <c r="P59" s="178"/>
      <c r="Q59" s="468">
        <v>58</v>
      </c>
      <c r="R59" s="329" t="s">
        <v>55</v>
      </c>
      <c r="S59" s="176">
        <f t="shared" si="56"/>
        <v>11</v>
      </c>
      <c r="T59" s="176">
        <f t="shared" si="57"/>
        <v>15</v>
      </c>
      <c r="U59" s="176">
        <f t="shared" si="58"/>
        <v>21</v>
      </c>
      <c r="V59" s="176">
        <f t="shared" si="59"/>
        <v>29</v>
      </c>
      <c r="W59" s="176">
        <f t="shared" si="60"/>
        <v>39</v>
      </c>
      <c r="X59" s="176">
        <f t="shared" si="61"/>
        <v>54</v>
      </c>
      <c r="Y59" s="176">
        <f t="shared" si="62"/>
        <v>68</v>
      </c>
      <c r="Z59" s="176">
        <f t="shared" si="63"/>
        <v>85</v>
      </c>
      <c r="AA59" s="176">
        <f t="shared" si="64"/>
        <v>95</v>
      </c>
      <c r="AB59" s="176">
        <f t="shared" si="65"/>
        <v>104</v>
      </c>
      <c r="AC59" s="176">
        <f t="shared" si="66"/>
        <v>111</v>
      </c>
      <c r="AD59" s="461">
        <f t="shared" si="67"/>
        <v>121</v>
      </c>
      <c r="AE59" s="468">
        <v>58</v>
      </c>
      <c r="AF59" s="163">
        <f t="shared" si="43"/>
        <v>121</v>
      </c>
    </row>
    <row r="60" spans="2:32" x14ac:dyDescent="0.35">
      <c r="B60" s="420">
        <v>59</v>
      </c>
      <c r="C60" s="326" t="s">
        <v>38</v>
      </c>
      <c r="D60" s="194">
        <f>[2]Districts_Boroughs!DF14</f>
        <v>40</v>
      </c>
      <c r="E60" s="194">
        <f>[2]Districts_Boroughs!DG14</f>
        <v>45</v>
      </c>
      <c r="F60" s="194">
        <f>[2]Districts_Boroughs!DH14</f>
        <v>52</v>
      </c>
      <c r="G60" s="194">
        <f>[2]Districts_Boroughs!DI14</f>
        <v>74</v>
      </c>
      <c r="H60" s="194">
        <f>[2]Districts_Boroughs!DJ14</f>
        <v>50</v>
      </c>
      <c r="I60" s="194">
        <f>[2]Districts_Boroughs!DK14</f>
        <v>57</v>
      </c>
      <c r="J60" s="194">
        <f>[2]Districts_Boroughs!DL14</f>
        <v>43</v>
      </c>
      <c r="K60" s="194">
        <f>[2]Districts_Boroughs!DM14</f>
        <v>68</v>
      </c>
      <c r="L60" s="194">
        <f>[2]Districts_Boroughs!DN14</f>
        <v>62</v>
      </c>
      <c r="M60" s="194">
        <f>[2]Districts_Boroughs!DO14</f>
        <v>67</v>
      </c>
      <c r="N60" s="194">
        <f>[2]Districts_Boroughs!DP14</f>
        <v>70</v>
      </c>
      <c r="O60" s="194">
        <f>[2]Districts_Boroughs!DQ14</f>
        <v>81</v>
      </c>
      <c r="P60" s="178"/>
      <c r="Q60" s="468">
        <v>59</v>
      </c>
      <c r="R60" s="328" t="s">
        <v>38</v>
      </c>
      <c r="S60" s="176">
        <f t="shared" si="56"/>
        <v>40</v>
      </c>
      <c r="T60" s="176">
        <f t="shared" si="57"/>
        <v>85</v>
      </c>
      <c r="U60" s="176">
        <f t="shared" si="58"/>
        <v>137</v>
      </c>
      <c r="V60" s="176">
        <f t="shared" si="59"/>
        <v>211</v>
      </c>
      <c r="W60" s="176">
        <f t="shared" si="60"/>
        <v>261</v>
      </c>
      <c r="X60" s="176">
        <f t="shared" si="61"/>
        <v>318</v>
      </c>
      <c r="Y60" s="176">
        <f t="shared" si="62"/>
        <v>361</v>
      </c>
      <c r="Z60" s="176">
        <f t="shared" si="63"/>
        <v>429</v>
      </c>
      <c r="AA60" s="176">
        <f t="shared" si="64"/>
        <v>491</v>
      </c>
      <c r="AB60" s="176">
        <f t="shared" si="65"/>
        <v>558</v>
      </c>
      <c r="AC60" s="176">
        <f t="shared" si="66"/>
        <v>628</v>
      </c>
      <c r="AD60" s="461">
        <f t="shared" si="67"/>
        <v>709</v>
      </c>
      <c r="AE60" s="470">
        <v>59</v>
      </c>
      <c r="AF60" s="163">
        <f t="shared" si="43"/>
        <v>709</v>
      </c>
    </row>
    <row r="61" spans="2:32" x14ac:dyDescent="0.35">
      <c r="B61" s="420">
        <v>60</v>
      </c>
      <c r="C61" s="326" t="s">
        <v>17</v>
      </c>
      <c r="D61" s="194">
        <f>[2]Districts_Boroughs!DF15</f>
        <v>13</v>
      </c>
      <c r="E61" s="194">
        <f>[2]Districts_Boroughs!DG15</f>
        <v>20</v>
      </c>
      <c r="F61" s="194">
        <f>[2]Districts_Boroughs!DH15</f>
        <v>27</v>
      </c>
      <c r="G61" s="194">
        <f>[2]Districts_Boroughs!DI15</f>
        <v>17</v>
      </c>
      <c r="H61" s="194">
        <f>[2]Districts_Boroughs!DJ15</f>
        <v>11</v>
      </c>
      <c r="I61" s="194">
        <f>[2]Districts_Boroughs!DK15</f>
        <v>25</v>
      </c>
      <c r="J61" s="194">
        <f>[2]Districts_Boroughs!DL15</f>
        <v>36</v>
      </c>
      <c r="K61" s="194">
        <f>[2]Districts_Boroughs!DM15</f>
        <v>30</v>
      </c>
      <c r="L61" s="194">
        <f>[2]Districts_Boroughs!DN15</f>
        <v>20</v>
      </c>
      <c r="M61" s="194">
        <f>[2]Districts_Boroughs!DO15</f>
        <v>10</v>
      </c>
      <c r="N61" s="194">
        <f>[2]Districts_Boroughs!DP15</f>
        <v>10</v>
      </c>
      <c r="O61" s="194">
        <f>[2]Districts_Boroughs!DQ15</f>
        <v>17</v>
      </c>
      <c r="P61" s="178"/>
      <c r="Q61" s="468">
        <v>60</v>
      </c>
      <c r="R61" s="328" t="s">
        <v>17</v>
      </c>
      <c r="S61" s="176">
        <f t="shared" si="56"/>
        <v>13</v>
      </c>
      <c r="T61" s="176">
        <f t="shared" si="57"/>
        <v>33</v>
      </c>
      <c r="U61" s="176">
        <f t="shared" si="58"/>
        <v>60</v>
      </c>
      <c r="V61" s="176">
        <f t="shared" si="59"/>
        <v>77</v>
      </c>
      <c r="W61" s="176">
        <f t="shared" si="60"/>
        <v>88</v>
      </c>
      <c r="X61" s="176">
        <f t="shared" si="61"/>
        <v>113</v>
      </c>
      <c r="Y61" s="176">
        <f t="shared" si="62"/>
        <v>149</v>
      </c>
      <c r="Z61" s="176">
        <f t="shared" si="63"/>
        <v>179</v>
      </c>
      <c r="AA61" s="176">
        <f t="shared" si="64"/>
        <v>199</v>
      </c>
      <c r="AB61" s="176">
        <f t="shared" si="65"/>
        <v>209</v>
      </c>
      <c r="AC61" s="176">
        <f t="shared" si="66"/>
        <v>219</v>
      </c>
      <c r="AD61" s="461">
        <f t="shared" si="67"/>
        <v>236</v>
      </c>
      <c r="AE61" s="468">
        <v>60</v>
      </c>
      <c r="AF61" s="163">
        <f t="shared" si="43"/>
        <v>236</v>
      </c>
    </row>
    <row r="62" spans="2:32" x14ac:dyDescent="0.35">
      <c r="B62" s="420">
        <v>61</v>
      </c>
      <c r="C62" s="326" t="s">
        <v>34</v>
      </c>
      <c r="D62" s="194">
        <f>[2]Districts_Boroughs!DF16</f>
        <v>36</v>
      </c>
      <c r="E62" s="194">
        <f>[2]Districts_Boroughs!DG16</f>
        <v>34</v>
      </c>
      <c r="F62" s="194">
        <f>[2]Districts_Boroughs!DH16</f>
        <v>34</v>
      </c>
      <c r="G62" s="194">
        <f>[2]Districts_Boroughs!DI16</f>
        <v>58</v>
      </c>
      <c r="H62" s="194">
        <f>[2]Districts_Boroughs!DJ16</f>
        <v>41</v>
      </c>
      <c r="I62" s="194">
        <f>[2]Districts_Boroughs!DK16</f>
        <v>35</v>
      </c>
      <c r="J62" s="194">
        <f>[2]Districts_Boroughs!DL16</f>
        <v>38</v>
      </c>
      <c r="K62" s="194">
        <f>[2]Districts_Boroughs!DM16</f>
        <v>34</v>
      </c>
      <c r="L62" s="194">
        <f>[2]Districts_Boroughs!DN16</f>
        <v>26</v>
      </c>
      <c r="M62" s="194">
        <f>[2]Districts_Boroughs!DO16</f>
        <v>25</v>
      </c>
      <c r="N62" s="194">
        <f>[2]Districts_Boroughs!DP16</f>
        <v>38</v>
      </c>
      <c r="O62" s="194">
        <f>[2]Districts_Boroughs!DQ16</f>
        <v>30</v>
      </c>
      <c r="P62" s="178"/>
      <c r="Q62" s="468">
        <v>61</v>
      </c>
      <c r="R62" s="328" t="s">
        <v>34</v>
      </c>
      <c r="S62" s="176">
        <f t="shared" si="56"/>
        <v>36</v>
      </c>
      <c r="T62" s="176">
        <f t="shared" si="57"/>
        <v>70</v>
      </c>
      <c r="U62" s="176">
        <f t="shared" si="58"/>
        <v>104</v>
      </c>
      <c r="V62" s="176">
        <f t="shared" si="59"/>
        <v>162</v>
      </c>
      <c r="W62" s="176">
        <f t="shared" si="60"/>
        <v>203</v>
      </c>
      <c r="X62" s="176">
        <f t="shared" si="61"/>
        <v>238</v>
      </c>
      <c r="Y62" s="176">
        <f t="shared" si="62"/>
        <v>276</v>
      </c>
      <c r="Z62" s="176">
        <f t="shared" si="63"/>
        <v>310</v>
      </c>
      <c r="AA62" s="176">
        <f t="shared" si="64"/>
        <v>336</v>
      </c>
      <c r="AB62" s="176">
        <f t="shared" si="65"/>
        <v>361</v>
      </c>
      <c r="AC62" s="176">
        <f t="shared" si="66"/>
        <v>399</v>
      </c>
      <c r="AD62" s="461">
        <f t="shared" si="67"/>
        <v>429</v>
      </c>
      <c r="AE62" s="468">
        <v>61</v>
      </c>
      <c r="AF62" s="163">
        <f t="shared" si="43"/>
        <v>429</v>
      </c>
    </row>
    <row r="63" spans="2:32" x14ac:dyDescent="0.35">
      <c r="B63" s="420">
        <v>62</v>
      </c>
      <c r="C63" s="326" t="s">
        <v>41</v>
      </c>
      <c r="D63" s="194">
        <f>[2]Districts_Boroughs!DF17</f>
        <v>5</v>
      </c>
      <c r="E63" s="194">
        <f>[2]Districts_Boroughs!DG17</f>
        <v>2</v>
      </c>
      <c r="F63" s="194">
        <f>[2]Districts_Boroughs!DH17</f>
        <v>3</v>
      </c>
      <c r="G63" s="194">
        <f>[2]Districts_Boroughs!DI17</f>
        <v>3</v>
      </c>
      <c r="H63" s="194">
        <f>[2]Districts_Boroughs!DJ17</f>
        <v>3</v>
      </c>
      <c r="I63" s="194">
        <f>[2]Districts_Boroughs!DK17</f>
        <v>2</v>
      </c>
      <c r="J63" s="194">
        <f>[2]Districts_Boroughs!DL17</f>
        <v>4</v>
      </c>
      <c r="K63" s="194">
        <f>[2]Districts_Boroughs!DM17</f>
        <v>4</v>
      </c>
      <c r="L63" s="194">
        <f>[2]Districts_Boroughs!DN17</f>
        <v>6</v>
      </c>
      <c r="M63" s="194">
        <f>[2]Districts_Boroughs!DO17</f>
        <v>3</v>
      </c>
      <c r="N63" s="194">
        <f>[2]Districts_Boroughs!DP17</f>
        <v>1</v>
      </c>
      <c r="O63" s="194">
        <f>[2]Districts_Boroughs!DQ17</f>
        <v>8</v>
      </c>
      <c r="P63" s="178"/>
      <c r="Q63" s="468">
        <v>62</v>
      </c>
      <c r="R63" s="328" t="s">
        <v>41</v>
      </c>
      <c r="S63" s="176">
        <f t="shared" si="56"/>
        <v>5</v>
      </c>
      <c r="T63" s="176">
        <f t="shared" si="57"/>
        <v>7</v>
      </c>
      <c r="U63" s="176">
        <f t="shared" si="58"/>
        <v>10</v>
      </c>
      <c r="V63" s="176">
        <f t="shared" si="59"/>
        <v>13</v>
      </c>
      <c r="W63" s="176">
        <f t="shared" si="60"/>
        <v>16</v>
      </c>
      <c r="X63" s="176">
        <f t="shared" si="61"/>
        <v>18</v>
      </c>
      <c r="Y63" s="176">
        <f t="shared" si="62"/>
        <v>22</v>
      </c>
      <c r="Z63" s="176">
        <f t="shared" si="63"/>
        <v>26</v>
      </c>
      <c r="AA63" s="176">
        <f t="shared" si="64"/>
        <v>32</v>
      </c>
      <c r="AB63" s="176">
        <f t="shared" si="65"/>
        <v>35</v>
      </c>
      <c r="AC63" s="176">
        <f t="shared" si="66"/>
        <v>36</v>
      </c>
      <c r="AD63" s="461">
        <f t="shared" si="67"/>
        <v>44</v>
      </c>
      <c r="AE63" s="470">
        <v>62</v>
      </c>
      <c r="AF63" s="163">
        <f t="shared" si="43"/>
        <v>44</v>
      </c>
    </row>
    <row r="64" spans="2:32" x14ac:dyDescent="0.35">
      <c r="B64" s="421">
        <v>63</v>
      </c>
      <c r="C64" s="326" t="s">
        <v>42</v>
      </c>
      <c r="D64" s="194">
        <f>[2]Districts_Boroughs!DF18</f>
        <v>135</v>
      </c>
      <c r="E64" s="194">
        <f>[2]Districts_Boroughs!DG18</f>
        <v>138</v>
      </c>
      <c r="F64" s="194">
        <f>[2]Districts_Boroughs!DH18</f>
        <v>150</v>
      </c>
      <c r="G64" s="194">
        <f>[2]Districts_Boroughs!DI18</f>
        <v>147</v>
      </c>
      <c r="H64" s="194">
        <f>[2]Districts_Boroughs!DJ18</f>
        <v>128</v>
      </c>
      <c r="I64" s="194">
        <f>[2]Districts_Boroughs!DK18</f>
        <v>127</v>
      </c>
      <c r="J64" s="194">
        <f>[2]Districts_Boroughs!DL18</f>
        <v>158</v>
      </c>
      <c r="K64" s="194">
        <f>[2]Districts_Boroughs!DM18</f>
        <v>149</v>
      </c>
      <c r="L64" s="194">
        <f>[2]Districts_Boroughs!DN18</f>
        <v>149</v>
      </c>
      <c r="M64" s="194">
        <f>[2]Districts_Boroughs!DO18</f>
        <v>142</v>
      </c>
      <c r="N64" s="194">
        <f>[2]Districts_Boroughs!DP18</f>
        <v>136</v>
      </c>
      <c r="O64" s="194">
        <f>[2]Districts_Boroughs!DQ18</f>
        <v>144</v>
      </c>
      <c r="P64" s="178"/>
      <c r="Q64" s="468">
        <v>63</v>
      </c>
      <c r="R64" s="328" t="s">
        <v>42</v>
      </c>
      <c r="S64" s="176">
        <f t="shared" si="56"/>
        <v>135</v>
      </c>
      <c r="T64" s="176">
        <f t="shared" si="57"/>
        <v>273</v>
      </c>
      <c r="U64" s="176">
        <f t="shared" si="58"/>
        <v>423</v>
      </c>
      <c r="V64" s="176">
        <f t="shared" si="59"/>
        <v>570</v>
      </c>
      <c r="W64" s="176">
        <f t="shared" si="60"/>
        <v>698</v>
      </c>
      <c r="X64" s="176">
        <f t="shared" si="61"/>
        <v>825</v>
      </c>
      <c r="Y64" s="176">
        <f t="shared" si="62"/>
        <v>983</v>
      </c>
      <c r="Z64" s="176">
        <f t="shared" si="63"/>
        <v>1132</v>
      </c>
      <c r="AA64" s="176">
        <f t="shared" si="64"/>
        <v>1281</v>
      </c>
      <c r="AB64" s="176">
        <f t="shared" si="65"/>
        <v>1423</v>
      </c>
      <c r="AC64" s="176">
        <f t="shared" si="66"/>
        <v>1559</v>
      </c>
      <c r="AD64" s="461">
        <f t="shared" si="67"/>
        <v>1703</v>
      </c>
      <c r="AE64" s="468">
        <v>63</v>
      </c>
      <c r="AF64" s="163">
        <f t="shared" si="43"/>
        <v>1703</v>
      </c>
    </row>
    <row r="65" spans="1:32" x14ac:dyDescent="0.35">
      <c r="B65" s="420">
        <v>64</v>
      </c>
      <c r="C65" s="326" t="s">
        <v>43</v>
      </c>
      <c r="D65" s="195">
        <f>[2]Districts_Boroughs!DF20</f>
        <v>2</v>
      </c>
      <c r="E65" s="195">
        <f>[2]Districts_Boroughs!DG20</f>
        <v>2</v>
      </c>
      <c r="F65" s="195">
        <f>[2]Districts_Boroughs!DH20</f>
        <v>6</v>
      </c>
      <c r="G65" s="195">
        <f>[2]Districts_Boroughs!DI20</f>
        <v>6</v>
      </c>
      <c r="H65" s="195">
        <f>[2]Districts_Boroughs!DJ20</f>
        <v>6</v>
      </c>
      <c r="I65" s="195">
        <f>[2]Districts_Boroughs!DK20</f>
        <v>6</v>
      </c>
      <c r="J65" s="195">
        <f>[2]Districts_Boroughs!DL20</f>
        <v>5</v>
      </c>
      <c r="K65" s="195">
        <f>[2]Districts_Boroughs!DM20</f>
        <v>3</v>
      </c>
      <c r="L65" s="195">
        <f>[2]Districts_Boroughs!DN20</f>
        <v>5</v>
      </c>
      <c r="M65" s="195">
        <f>[2]Districts_Boroughs!DO20</f>
        <v>5</v>
      </c>
      <c r="N65" s="195">
        <f>[2]Districts_Boroughs!DP20</f>
        <v>0</v>
      </c>
      <c r="O65" s="195">
        <f>[2]Districts_Boroughs!DQ20</f>
        <v>8</v>
      </c>
      <c r="P65" s="178"/>
      <c r="Q65" s="468">
        <v>64</v>
      </c>
      <c r="R65" s="328" t="s">
        <v>43</v>
      </c>
      <c r="S65" s="176">
        <f t="shared" si="56"/>
        <v>2</v>
      </c>
      <c r="T65" s="176">
        <f t="shared" si="57"/>
        <v>4</v>
      </c>
      <c r="U65" s="176">
        <f t="shared" si="58"/>
        <v>10</v>
      </c>
      <c r="V65" s="176">
        <f t="shared" si="59"/>
        <v>16</v>
      </c>
      <c r="W65" s="176">
        <f t="shared" si="60"/>
        <v>22</v>
      </c>
      <c r="X65" s="176">
        <f t="shared" si="61"/>
        <v>28</v>
      </c>
      <c r="Y65" s="176">
        <f t="shared" si="62"/>
        <v>33</v>
      </c>
      <c r="Z65" s="176">
        <f t="shared" si="63"/>
        <v>36</v>
      </c>
      <c r="AA65" s="176">
        <f t="shared" si="64"/>
        <v>41</v>
      </c>
      <c r="AB65" s="176">
        <f t="shared" si="65"/>
        <v>46</v>
      </c>
      <c r="AC65" s="176">
        <f t="shared" si="66"/>
        <v>46</v>
      </c>
      <c r="AD65" s="461">
        <f>AC65+O65</f>
        <v>54</v>
      </c>
      <c r="AE65" s="468">
        <v>64</v>
      </c>
      <c r="AF65" s="163">
        <f t="shared" si="43"/>
        <v>54</v>
      </c>
    </row>
    <row r="66" spans="1:32" x14ac:dyDescent="0.35">
      <c r="B66" s="420">
        <v>65</v>
      </c>
      <c r="C66" s="326" t="s">
        <v>198</v>
      </c>
      <c r="D66" s="195">
        <f>[2]Districts_Boroughs!DF21</f>
        <v>7</v>
      </c>
      <c r="E66" s="195">
        <f>[2]Districts_Boroughs!DG21</f>
        <v>4</v>
      </c>
      <c r="F66" s="195">
        <f>[2]Districts_Boroughs!DH21</f>
        <v>9</v>
      </c>
      <c r="G66" s="195">
        <f>[2]Districts_Boroughs!DI21</f>
        <v>6</v>
      </c>
      <c r="H66" s="195">
        <f>[2]Districts_Boroughs!DJ21</f>
        <v>5</v>
      </c>
      <c r="I66" s="195">
        <f>[2]Districts_Boroughs!DK21</f>
        <v>2</v>
      </c>
      <c r="J66" s="195">
        <f>[2]Districts_Boroughs!DL21</f>
        <v>4</v>
      </c>
      <c r="K66" s="195">
        <f>[2]Districts_Boroughs!DM21</f>
        <v>5</v>
      </c>
      <c r="L66" s="195">
        <f>[2]Districts_Boroughs!DN21</f>
        <v>5</v>
      </c>
      <c r="M66" s="195">
        <f>[2]Districts_Boroughs!DO21</f>
        <v>8</v>
      </c>
      <c r="N66" s="195">
        <f>[2]Districts_Boroughs!DP21</f>
        <v>1</v>
      </c>
      <c r="O66" s="195">
        <f>[2]Districts_Boroughs!DQ21</f>
        <v>3</v>
      </c>
      <c r="P66" s="178"/>
      <c r="Q66" s="468">
        <v>65</v>
      </c>
      <c r="R66" s="328" t="s">
        <v>198</v>
      </c>
      <c r="S66" s="176">
        <f t="shared" ref="S66:S72" si="68">D66</f>
        <v>7</v>
      </c>
      <c r="T66" s="176">
        <f t="shared" ref="T66:AD66" si="69">S66+E66</f>
        <v>11</v>
      </c>
      <c r="U66" s="176">
        <f t="shared" si="69"/>
        <v>20</v>
      </c>
      <c r="V66" s="176">
        <f t="shared" si="69"/>
        <v>26</v>
      </c>
      <c r="W66" s="176">
        <f t="shared" si="69"/>
        <v>31</v>
      </c>
      <c r="X66" s="176">
        <f t="shared" si="69"/>
        <v>33</v>
      </c>
      <c r="Y66" s="176">
        <f t="shared" si="69"/>
        <v>37</v>
      </c>
      <c r="Z66" s="176">
        <f t="shared" si="69"/>
        <v>42</v>
      </c>
      <c r="AA66" s="176">
        <f t="shared" si="69"/>
        <v>47</v>
      </c>
      <c r="AB66" s="176">
        <f t="shared" si="69"/>
        <v>55</v>
      </c>
      <c r="AC66" s="176">
        <f t="shared" si="69"/>
        <v>56</v>
      </c>
      <c r="AD66" s="461">
        <f t="shared" si="69"/>
        <v>59</v>
      </c>
      <c r="AE66" s="468">
        <v>65</v>
      </c>
      <c r="AF66" s="163">
        <f t="shared" si="43"/>
        <v>59</v>
      </c>
    </row>
    <row r="67" spans="1:32" x14ac:dyDescent="0.35">
      <c r="A67" s="162" t="s">
        <v>128</v>
      </c>
      <c r="B67" s="420">
        <v>66</v>
      </c>
      <c r="C67" s="326" t="s">
        <v>204</v>
      </c>
      <c r="D67" s="283">
        <f>SUM(D65:D66)</f>
        <v>9</v>
      </c>
      <c r="E67" s="283">
        <f t="shared" ref="E67:O67" si="70">SUM(E65:E66)</f>
        <v>6</v>
      </c>
      <c r="F67" s="283">
        <f t="shared" si="70"/>
        <v>15</v>
      </c>
      <c r="G67" s="283">
        <f t="shared" si="70"/>
        <v>12</v>
      </c>
      <c r="H67" s="283">
        <f t="shared" si="70"/>
        <v>11</v>
      </c>
      <c r="I67" s="283">
        <f t="shared" si="70"/>
        <v>8</v>
      </c>
      <c r="J67" s="283">
        <f t="shared" si="70"/>
        <v>9</v>
      </c>
      <c r="K67" s="283">
        <f t="shared" si="70"/>
        <v>8</v>
      </c>
      <c r="L67" s="283">
        <f t="shared" si="70"/>
        <v>10</v>
      </c>
      <c r="M67" s="283">
        <f t="shared" si="70"/>
        <v>13</v>
      </c>
      <c r="N67" s="283">
        <f t="shared" si="70"/>
        <v>1</v>
      </c>
      <c r="O67" s="283">
        <f t="shared" si="70"/>
        <v>11</v>
      </c>
      <c r="P67" s="178"/>
      <c r="Q67" s="468">
        <v>66</v>
      </c>
      <c r="R67" s="326" t="s">
        <v>204</v>
      </c>
      <c r="S67" s="176">
        <f t="shared" ref="S67:T67" si="71">SUM(S65:S66)</f>
        <v>9</v>
      </c>
      <c r="T67" s="176">
        <f t="shared" si="71"/>
        <v>15</v>
      </c>
      <c r="U67" s="176">
        <f>SUM(U65:U66)</f>
        <v>30</v>
      </c>
      <c r="V67" s="176">
        <f t="shared" ref="V67:AD67" si="72">SUM(V65:V66)</f>
        <v>42</v>
      </c>
      <c r="W67" s="176">
        <f t="shared" si="72"/>
        <v>53</v>
      </c>
      <c r="X67" s="176">
        <f t="shared" si="72"/>
        <v>61</v>
      </c>
      <c r="Y67" s="176">
        <f t="shared" si="72"/>
        <v>70</v>
      </c>
      <c r="Z67" s="176">
        <f t="shared" si="72"/>
        <v>78</v>
      </c>
      <c r="AA67" s="176">
        <f t="shared" si="72"/>
        <v>88</v>
      </c>
      <c r="AB67" s="176">
        <f t="shared" si="72"/>
        <v>101</v>
      </c>
      <c r="AC67" s="176">
        <f t="shared" si="72"/>
        <v>102</v>
      </c>
      <c r="AD67" s="461">
        <f t="shared" si="72"/>
        <v>113</v>
      </c>
      <c r="AE67" s="468">
        <v>66</v>
      </c>
      <c r="AF67" s="163"/>
    </row>
    <row r="68" spans="1:32" x14ac:dyDescent="0.35">
      <c r="B68" s="420">
        <v>67</v>
      </c>
      <c r="C68" s="326" t="s">
        <v>44</v>
      </c>
      <c r="D68" s="195">
        <f>[2]Districts_Boroughs!DF22</f>
        <v>0</v>
      </c>
      <c r="E68" s="195">
        <f>[2]Districts_Boroughs!DG22</f>
        <v>0</v>
      </c>
      <c r="F68" s="195">
        <f>[2]Districts_Boroughs!DH22</f>
        <v>1</v>
      </c>
      <c r="G68" s="195">
        <f>[2]Districts_Boroughs!DI22</f>
        <v>1</v>
      </c>
      <c r="H68" s="195">
        <f>[2]Districts_Boroughs!DJ22</f>
        <v>2</v>
      </c>
      <c r="I68" s="195">
        <f>[2]Districts_Boroughs!DK22</f>
        <v>0</v>
      </c>
      <c r="J68" s="195">
        <f>[2]Districts_Boroughs!DL22</f>
        <v>1</v>
      </c>
      <c r="K68" s="195">
        <f>[2]Districts_Boroughs!DM22</f>
        <v>1</v>
      </c>
      <c r="L68" s="195">
        <f>[2]Districts_Boroughs!DN22</f>
        <v>0</v>
      </c>
      <c r="M68" s="195">
        <f>[2]Districts_Boroughs!DO22</f>
        <v>1</v>
      </c>
      <c r="N68" s="195">
        <f>[2]Districts_Boroughs!DP22</f>
        <v>0</v>
      </c>
      <c r="O68" s="195">
        <f>[2]Districts_Boroughs!DQ22</f>
        <v>0</v>
      </c>
      <c r="P68" s="178"/>
      <c r="Q68" s="468">
        <v>67</v>
      </c>
      <c r="R68" s="328" t="s">
        <v>44</v>
      </c>
      <c r="S68" s="176">
        <f t="shared" si="68"/>
        <v>0</v>
      </c>
      <c r="T68" s="176">
        <f t="shared" ref="T68:AD69" si="73">S68+E68</f>
        <v>0</v>
      </c>
      <c r="U68" s="176">
        <f t="shared" si="73"/>
        <v>1</v>
      </c>
      <c r="V68" s="176">
        <f t="shared" si="73"/>
        <v>2</v>
      </c>
      <c r="W68" s="176">
        <f t="shared" si="73"/>
        <v>4</v>
      </c>
      <c r="X68" s="176">
        <f t="shared" si="73"/>
        <v>4</v>
      </c>
      <c r="Y68" s="176">
        <f t="shared" si="73"/>
        <v>5</v>
      </c>
      <c r="Z68" s="176">
        <f t="shared" si="73"/>
        <v>6</v>
      </c>
      <c r="AA68" s="176">
        <f t="shared" si="73"/>
        <v>6</v>
      </c>
      <c r="AB68" s="176">
        <f t="shared" si="73"/>
        <v>7</v>
      </c>
      <c r="AC68" s="176">
        <f t="shared" si="73"/>
        <v>7</v>
      </c>
      <c r="AD68" s="461">
        <f t="shared" si="73"/>
        <v>7</v>
      </c>
      <c r="AE68" s="470">
        <v>67</v>
      </c>
      <c r="AF68" s="163">
        <f t="shared" si="43"/>
        <v>7</v>
      </c>
    </row>
    <row r="69" spans="1:32" x14ac:dyDescent="0.35">
      <c r="B69" s="421">
        <v>68</v>
      </c>
      <c r="C69" s="326" t="s">
        <v>199</v>
      </c>
      <c r="D69" s="195">
        <f>[2]Districts_Boroughs!DF23</f>
        <v>1</v>
      </c>
      <c r="E69" s="195">
        <f>[2]Districts_Boroughs!DG23</f>
        <v>0</v>
      </c>
      <c r="F69" s="195">
        <f>[2]Districts_Boroughs!DH23</f>
        <v>1</v>
      </c>
      <c r="G69" s="195">
        <f>[2]Districts_Boroughs!DI23</f>
        <v>0</v>
      </c>
      <c r="H69" s="195">
        <f>[2]Districts_Boroughs!DJ23</f>
        <v>1</v>
      </c>
      <c r="I69" s="195">
        <f>[2]Districts_Boroughs!DK23</f>
        <v>0</v>
      </c>
      <c r="J69" s="195">
        <f>[2]Districts_Boroughs!DL23</f>
        <v>0</v>
      </c>
      <c r="K69" s="195">
        <f>[2]Districts_Boroughs!DM23</f>
        <v>1</v>
      </c>
      <c r="L69" s="195">
        <f>[2]Districts_Boroughs!DN23</f>
        <v>0</v>
      </c>
      <c r="M69" s="195">
        <f>[2]Districts_Boroughs!DO23</f>
        <v>2</v>
      </c>
      <c r="N69" s="195">
        <f>[2]Districts_Boroughs!DP23</f>
        <v>0</v>
      </c>
      <c r="O69" s="195">
        <f>[2]Districts_Boroughs!DQ23</f>
        <v>0</v>
      </c>
      <c r="P69" s="178"/>
      <c r="Q69" s="468">
        <v>68</v>
      </c>
      <c r="R69" s="328" t="s">
        <v>199</v>
      </c>
      <c r="S69" s="176">
        <f t="shared" si="68"/>
        <v>1</v>
      </c>
      <c r="T69" s="176">
        <f t="shared" si="73"/>
        <v>1</v>
      </c>
      <c r="U69" s="176">
        <f t="shared" si="73"/>
        <v>2</v>
      </c>
      <c r="V69" s="176">
        <f t="shared" si="73"/>
        <v>2</v>
      </c>
      <c r="W69" s="176">
        <f t="shared" si="73"/>
        <v>3</v>
      </c>
      <c r="X69" s="176">
        <f t="shared" si="73"/>
        <v>3</v>
      </c>
      <c r="Y69" s="176">
        <f t="shared" si="73"/>
        <v>3</v>
      </c>
      <c r="Z69" s="176">
        <f t="shared" si="73"/>
        <v>4</v>
      </c>
      <c r="AA69" s="176">
        <f t="shared" si="73"/>
        <v>4</v>
      </c>
      <c r="AB69" s="176">
        <f t="shared" si="73"/>
        <v>6</v>
      </c>
      <c r="AC69" s="176">
        <f t="shared" si="73"/>
        <v>6</v>
      </c>
      <c r="AD69" s="461">
        <f t="shared" si="73"/>
        <v>6</v>
      </c>
      <c r="AE69" s="468">
        <v>68</v>
      </c>
      <c r="AF69" s="163">
        <f t="shared" si="43"/>
        <v>6</v>
      </c>
    </row>
    <row r="70" spans="1:32" x14ac:dyDescent="0.35">
      <c r="A70" s="162" t="s">
        <v>128</v>
      </c>
      <c r="B70" s="420">
        <v>69</v>
      </c>
      <c r="C70" s="326" t="s">
        <v>205</v>
      </c>
      <c r="D70" s="283">
        <f>SUM(D68:D69)</f>
        <v>1</v>
      </c>
      <c r="E70" s="283">
        <f t="shared" ref="E70:O70" si="74">SUM(E68:E69)</f>
        <v>0</v>
      </c>
      <c r="F70" s="283">
        <f t="shared" si="74"/>
        <v>2</v>
      </c>
      <c r="G70" s="283">
        <f t="shared" si="74"/>
        <v>1</v>
      </c>
      <c r="H70" s="283">
        <f t="shared" si="74"/>
        <v>3</v>
      </c>
      <c r="I70" s="283">
        <f t="shared" si="74"/>
        <v>0</v>
      </c>
      <c r="J70" s="283">
        <f t="shared" si="74"/>
        <v>1</v>
      </c>
      <c r="K70" s="283">
        <f t="shared" si="74"/>
        <v>2</v>
      </c>
      <c r="L70" s="283">
        <f t="shared" si="74"/>
        <v>0</v>
      </c>
      <c r="M70" s="283">
        <f t="shared" si="74"/>
        <v>3</v>
      </c>
      <c r="N70" s="283">
        <f t="shared" si="74"/>
        <v>0</v>
      </c>
      <c r="O70" s="283">
        <f t="shared" si="74"/>
        <v>0</v>
      </c>
      <c r="P70" s="178"/>
      <c r="Q70" s="468">
        <v>69</v>
      </c>
      <c r="R70" s="326" t="s">
        <v>205</v>
      </c>
      <c r="S70" s="176">
        <f>SUM(S68:S69)</f>
        <v>1</v>
      </c>
      <c r="T70" s="176">
        <f t="shared" ref="T70:AD70" si="75">SUM(T68:T69)</f>
        <v>1</v>
      </c>
      <c r="U70" s="176">
        <f t="shared" si="75"/>
        <v>3</v>
      </c>
      <c r="V70" s="176">
        <f t="shared" si="75"/>
        <v>4</v>
      </c>
      <c r="W70" s="176">
        <f t="shared" si="75"/>
        <v>7</v>
      </c>
      <c r="X70" s="176">
        <f t="shared" si="75"/>
        <v>7</v>
      </c>
      <c r="Y70" s="176">
        <f t="shared" si="75"/>
        <v>8</v>
      </c>
      <c r="Z70" s="176">
        <f t="shared" si="75"/>
        <v>10</v>
      </c>
      <c r="AA70" s="176">
        <f t="shared" si="75"/>
        <v>10</v>
      </c>
      <c r="AB70" s="176">
        <f t="shared" si="75"/>
        <v>13</v>
      </c>
      <c r="AC70" s="176">
        <f t="shared" si="75"/>
        <v>13</v>
      </c>
      <c r="AD70" s="461">
        <f t="shared" si="75"/>
        <v>13</v>
      </c>
      <c r="AE70" s="468">
        <v>69</v>
      </c>
      <c r="AF70" s="163"/>
    </row>
    <row r="71" spans="1:32" x14ac:dyDescent="0.35">
      <c r="B71" s="420">
        <v>70</v>
      </c>
      <c r="C71" s="326" t="s">
        <v>45</v>
      </c>
      <c r="D71" s="195">
        <f>[2]Districts_Boroughs!DF24</f>
        <v>15</v>
      </c>
      <c r="E71" s="195">
        <f>[2]Districts_Boroughs!DG24</f>
        <v>11</v>
      </c>
      <c r="F71" s="195">
        <f>[2]Districts_Boroughs!DH24</f>
        <v>18</v>
      </c>
      <c r="G71" s="195">
        <f>[2]Districts_Boroughs!DI24</f>
        <v>22</v>
      </c>
      <c r="H71" s="195">
        <f>[2]Districts_Boroughs!DJ24</f>
        <v>13</v>
      </c>
      <c r="I71" s="195">
        <f>[2]Districts_Boroughs!DK24</f>
        <v>13</v>
      </c>
      <c r="J71" s="195">
        <f>[2]Districts_Boroughs!DL24</f>
        <v>17</v>
      </c>
      <c r="K71" s="195">
        <f>[2]Districts_Boroughs!DM24</f>
        <v>14</v>
      </c>
      <c r="L71" s="195">
        <f>[2]Districts_Boroughs!DN24</f>
        <v>23</v>
      </c>
      <c r="M71" s="195">
        <f>[2]Districts_Boroughs!DO24</f>
        <v>16</v>
      </c>
      <c r="N71" s="195">
        <f>[2]Districts_Boroughs!DP24</f>
        <v>9</v>
      </c>
      <c r="O71" s="195">
        <f>[2]Districts_Boroughs!DQ24</f>
        <v>14</v>
      </c>
      <c r="P71" s="178"/>
      <c r="Q71" s="468">
        <v>70</v>
      </c>
      <c r="R71" s="328" t="s">
        <v>45</v>
      </c>
      <c r="S71" s="176">
        <f t="shared" si="68"/>
        <v>15</v>
      </c>
      <c r="T71" s="176">
        <f t="shared" ref="T71:AD72" si="76">S71+E71</f>
        <v>26</v>
      </c>
      <c r="U71" s="176">
        <f t="shared" si="76"/>
        <v>44</v>
      </c>
      <c r="V71" s="176">
        <f t="shared" si="76"/>
        <v>66</v>
      </c>
      <c r="W71" s="176">
        <f t="shared" si="76"/>
        <v>79</v>
      </c>
      <c r="X71" s="176">
        <f t="shared" si="76"/>
        <v>92</v>
      </c>
      <c r="Y71" s="176">
        <f t="shared" si="76"/>
        <v>109</v>
      </c>
      <c r="Z71" s="176">
        <f t="shared" si="76"/>
        <v>123</v>
      </c>
      <c r="AA71" s="176">
        <f t="shared" si="76"/>
        <v>146</v>
      </c>
      <c r="AB71" s="176">
        <f t="shared" si="76"/>
        <v>162</v>
      </c>
      <c r="AC71" s="176">
        <f t="shared" si="76"/>
        <v>171</v>
      </c>
      <c r="AD71" s="461">
        <f t="shared" si="76"/>
        <v>185</v>
      </c>
      <c r="AE71" s="470">
        <v>70</v>
      </c>
      <c r="AF71" s="163">
        <f t="shared" si="43"/>
        <v>185</v>
      </c>
    </row>
    <row r="72" spans="1:32" x14ac:dyDescent="0.35">
      <c r="B72" s="420">
        <v>71</v>
      </c>
      <c r="C72" s="326" t="s">
        <v>191</v>
      </c>
      <c r="D72" s="195">
        <f>[2]Districts_Boroughs!DF25</f>
        <v>30</v>
      </c>
      <c r="E72" s="195">
        <f>[2]Districts_Boroughs!DG25</f>
        <v>37</v>
      </c>
      <c r="F72" s="195">
        <f>[2]Districts_Boroughs!DH25</f>
        <v>27</v>
      </c>
      <c r="G72" s="195">
        <f>[2]Districts_Boroughs!DI25</f>
        <v>38</v>
      </c>
      <c r="H72" s="195">
        <f>[2]Districts_Boroughs!DJ25</f>
        <v>29</v>
      </c>
      <c r="I72" s="195">
        <f>[2]Districts_Boroughs!DK25</f>
        <v>21</v>
      </c>
      <c r="J72" s="195">
        <f>[2]Districts_Boroughs!DL25</f>
        <v>32</v>
      </c>
      <c r="K72" s="195">
        <f>[2]Districts_Boroughs!DM25</f>
        <v>36</v>
      </c>
      <c r="L72" s="195">
        <f>[2]Districts_Boroughs!DN25</f>
        <v>32</v>
      </c>
      <c r="M72" s="195">
        <f>[2]Districts_Boroughs!DO25</f>
        <v>37</v>
      </c>
      <c r="N72" s="195">
        <f>[2]Districts_Boroughs!DP25</f>
        <v>23</v>
      </c>
      <c r="O72" s="195">
        <f>[2]Districts_Boroughs!DQ25</f>
        <v>35</v>
      </c>
      <c r="P72" s="178"/>
      <c r="Q72" s="468">
        <v>71</v>
      </c>
      <c r="R72" s="328" t="s">
        <v>191</v>
      </c>
      <c r="S72" s="176">
        <f t="shared" si="68"/>
        <v>30</v>
      </c>
      <c r="T72" s="176">
        <f t="shared" si="76"/>
        <v>67</v>
      </c>
      <c r="U72" s="176">
        <f t="shared" si="76"/>
        <v>94</v>
      </c>
      <c r="V72" s="176">
        <f t="shared" si="76"/>
        <v>132</v>
      </c>
      <c r="W72" s="176">
        <f t="shared" si="76"/>
        <v>161</v>
      </c>
      <c r="X72" s="176">
        <f t="shared" si="76"/>
        <v>182</v>
      </c>
      <c r="Y72" s="176">
        <f t="shared" si="76"/>
        <v>214</v>
      </c>
      <c r="Z72" s="176">
        <f t="shared" si="76"/>
        <v>250</v>
      </c>
      <c r="AA72" s="176">
        <f t="shared" si="76"/>
        <v>282</v>
      </c>
      <c r="AB72" s="176">
        <f t="shared" si="76"/>
        <v>319</v>
      </c>
      <c r="AC72" s="176">
        <f t="shared" si="76"/>
        <v>342</v>
      </c>
      <c r="AD72" s="461">
        <f t="shared" si="76"/>
        <v>377</v>
      </c>
      <c r="AE72" s="468">
        <v>71</v>
      </c>
      <c r="AF72" s="163">
        <f t="shared" ref="AF72:AF103" si="77">SUM(D72:O72)</f>
        <v>377</v>
      </c>
    </row>
    <row r="73" spans="1:32" x14ac:dyDescent="0.35">
      <c r="B73" s="420">
        <v>72</v>
      </c>
      <c r="C73" s="326" t="s">
        <v>53</v>
      </c>
      <c r="D73" s="195">
        <f>[2]Districts_Boroughs!DF27</f>
        <v>2</v>
      </c>
      <c r="E73" s="195">
        <f>[2]Districts_Boroughs!DG27</f>
        <v>5</v>
      </c>
      <c r="F73" s="195">
        <f>[2]Districts_Boroughs!DH27</f>
        <v>3</v>
      </c>
      <c r="G73" s="195">
        <f>[2]Districts_Boroughs!DI27</f>
        <v>6</v>
      </c>
      <c r="H73" s="195">
        <f>[2]Districts_Boroughs!DJ27</f>
        <v>3</v>
      </c>
      <c r="I73" s="195">
        <f>[2]Districts_Boroughs!DK27</f>
        <v>5</v>
      </c>
      <c r="J73" s="195">
        <f>[2]Districts_Boroughs!DL27</f>
        <v>2</v>
      </c>
      <c r="K73" s="195">
        <f>[2]Districts_Boroughs!DM27</f>
        <v>1</v>
      </c>
      <c r="L73" s="195">
        <f>[2]Districts_Boroughs!DN27</f>
        <v>4</v>
      </c>
      <c r="M73" s="195">
        <f>[2]Districts_Boroughs!DO27</f>
        <v>3</v>
      </c>
      <c r="N73" s="195">
        <f>[2]Districts_Boroughs!DP27</f>
        <v>3</v>
      </c>
      <c r="O73" s="195">
        <f>[2]Districts_Boroughs!DQ27</f>
        <v>5</v>
      </c>
      <c r="P73" s="178"/>
      <c r="Q73" s="468">
        <v>72</v>
      </c>
      <c r="R73" s="328" t="s">
        <v>53</v>
      </c>
      <c r="S73" s="176">
        <f t="shared" ref="S73:S81" si="78">D73</f>
        <v>2</v>
      </c>
      <c r="T73" s="176">
        <f t="shared" ref="T73:T81" si="79">S73+E73</f>
        <v>7</v>
      </c>
      <c r="U73" s="176">
        <f t="shared" ref="U73:U81" si="80">T73+F73</f>
        <v>10</v>
      </c>
      <c r="V73" s="176">
        <f t="shared" ref="V73:V81" si="81">U73+G73</f>
        <v>16</v>
      </c>
      <c r="W73" s="176">
        <f t="shared" ref="W73:W81" si="82">V73+H73</f>
        <v>19</v>
      </c>
      <c r="X73" s="176">
        <f t="shared" ref="X73:X81" si="83">W73+I73</f>
        <v>24</v>
      </c>
      <c r="Y73" s="176">
        <f t="shared" ref="Y73:Y81" si="84">X73+J73</f>
        <v>26</v>
      </c>
      <c r="Z73" s="176">
        <f t="shared" ref="Z73:Z81" si="85">Y73+K73</f>
        <v>27</v>
      </c>
      <c r="AA73" s="176">
        <f t="shared" ref="AA73:AA81" si="86">Z73+L73</f>
        <v>31</v>
      </c>
      <c r="AB73" s="176">
        <f t="shared" ref="AB73:AB81" si="87">AA73+M73</f>
        <v>34</v>
      </c>
      <c r="AC73" s="176">
        <f t="shared" ref="AC73:AC81" si="88">AB73+N73</f>
        <v>37</v>
      </c>
      <c r="AD73" s="461">
        <f t="shared" ref="AD73:AD81" si="89">AC73+O73</f>
        <v>42</v>
      </c>
      <c r="AE73" s="468">
        <v>72</v>
      </c>
      <c r="AF73" s="163">
        <f t="shared" si="77"/>
        <v>42</v>
      </c>
    </row>
    <row r="74" spans="1:32" x14ac:dyDescent="0.35">
      <c r="B74" s="421">
        <v>73</v>
      </c>
      <c r="C74" s="326" t="s">
        <v>54</v>
      </c>
      <c r="D74" s="195">
        <f>[2]Districts_Boroughs!DF28</f>
        <v>0</v>
      </c>
      <c r="E74" s="195">
        <f>[2]Districts_Boroughs!DG28</f>
        <v>2</v>
      </c>
      <c r="F74" s="195">
        <f>[2]Districts_Boroughs!DH28</f>
        <v>0</v>
      </c>
      <c r="G74" s="195">
        <f>[2]Districts_Boroughs!DI28</f>
        <v>4</v>
      </c>
      <c r="H74" s="195">
        <f>[2]Districts_Boroughs!DJ28</f>
        <v>2</v>
      </c>
      <c r="I74" s="195">
        <f>[2]Districts_Boroughs!DK28</f>
        <v>2</v>
      </c>
      <c r="J74" s="195">
        <f>[2]Districts_Boroughs!DL28</f>
        <v>0</v>
      </c>
      <c r="K74" s="195">
        <f>[2]Districts_Boroughs!DM28</f>
        <v>1</v>
      </c>
      <c r="L74" s="195">
        <f>[2]Districts_Boroughs!DN28</f>
        <v>1</v>
      </c>
      <c r="M74" s="195">
        <f>[2]Districts_Boroughs!DO28</f>
        <v>1</v>
      </c>
      <c r="N74" s="195">
        <f>[2]Districts_Boroughs!DP28</f>
        <v>1</v>
      </c>
      <c r="O74" s="195">
        <f>[2]Districts_Boroughs!DQ28</f>
        <v>0</v>
      </c>
      <c r="P74" s="178"/>
      <c r="Q74" s="468">
        <v>73</v>
      </c>
      <c r="R74" s="328" t="s">
        <v>54</v>
      </c>
      <c r="S74" s="176">
        <f t="shared" si="78"/>
        <v>0</v>
      </c>
      <c r="T74" s="176">
        <f t="shared" si="79"/>
        <v>2</v>
      </c>
      <c r="U74" s="176">
        <f t="shared" si="80"/>
        <v>2</v>
      </c>
      <c r="V74" s="176">
        <f t="shared" si="81"/>
        <v>6</v>
      </c>
      <c r="W74" s="176">
        <f t="shared" si="82"/>
        <v>8</v>
      </c>
      <c r="X74" s="176">
        <f t="shared" si="83"/>
        <v>10</v>
      </c>
      <c r="Y74" s="176">
        <f t="shared" si="84"/>
        <v>10</v>
      </c>
      <c r="Z74" s="176">
        <f t="shared" si="85"/>
        <v>11</v>
      </c>
      <c r="AA74" s="176">
        <f t="shared" si="86"/>
        <v>12</v>
      </c>
      <c r="AB74" s="176">
        <f t="shared" si="87"/>
        <v>13</v>
      </c>
      <c r="AC74" s="176">
        <f t="shared" si="88"/>
        <v>14</v>
      </c>
      <c r="AD74" s="461">
        <f t="shared" si="89"/>
        <v>14</v>
      </c>
      <c r="AE74" s="468">
        <v>73</v>
      </c>
      <c r="AF74" s="163">
        <f t="shared" si="77"/>
        <v>14</v>
      </c>
    </row>
    <row r="75" spans="1:32" x14ac:dyDescent="0.35">
      <c r="B75" s="420">
        <v>74</v>
      </c>
      <c r="C75" s="326" t="s">
        <v>46</v>
      </c>
      <c r="D75" s="195">
        <f>[2]Districts_Boroughs!DF30</f>
        <v>1</v>
      </c>
      <c r="E75" s="195">
        <f>[2]Districts_Boroughs!DG30</f>
        <v>2</v>
      </c>
      <c r="F75" s="195">
        <f>[2]Districts_Boroughs!DH30</f>
        <v>0</v>
      </c>
      <c r="G75" s="195">
        <f>[2]Districts_Boroughs!DI30</f>
        <v>1</v>
      </c>
      <c r="H75" s="195">
        <f>[2]Districts_Boroughs!DJ30</f>
        <v>1</v>
      </c>
      <c r="I75" s="195">
        <f>[2]Districts_Boroughs!DK30</f>
        <v>1</v>
      </c>
      <c r="J75" s="195">
        <f>[2]Districts_Boroughs!DL30</f>
        <v>1</v>
      </c>
      <c r="K75" s="195">
        <f>[2]Districts_Boroughs!DM30</f>
        <v>2</v>
      </c>
      <c r="L75" s="195">
        <f>[2]Districts_Boroughs!DN30</f>
        <v>1</v>
      </c>
      <c r="M75" s="195">
        <f>[2]Districts_Boroughs!DO30</f>
        <v>2</v>
      </c>
      <c r="N75" s="195">
        <f>[2]Districts_Boroughs!DP30</f>
        <v>0</v>
      </c>
      <c r="O75" s="195">
        <f>[2]Districts_Boroughs!DQ30</f>
        <v>0</v>
      </c>
      <c r="P75" s="178"/>
      <c r="Q75" s="468">
        <v>74</v>
      </c>
      <c r="R75" s="328" t="s">
        <v>46</v>
      </c>
      <c r="S75" s="176">
        <f t="shared" si="78"/>
        <v>1</v>
      </c>
      <c r="T75" s="176">
        <f t="shared" si="79"/>
        <v>3</v>
      </c>
      <c r="U75" s="176">
        <f t="shared" si="80"/>
        <v>3</v>
      </c>
      <c r="V75" s="176">
        <f t="shared" si="81"/>
        <v>4</v>
      </c>
      <c r="W75" s="176">
        <f t="shared" si="82"/>
        <v>5</v>
      </c>
      <c r="X75" s="176">
        <f t="shared" si="83"/>
        <v>6</v>
      </c>
      <c r="Y75" s="176">
        <f t="shared" si="84"/>
        <v>7</v>
      </c>
      <c r="Z75" s="176">
        <f t="shared" si="85"/>
        <v>9</v>
      </c>
      <c r="AA75" s="176">
        <f t="shared" si="86"/>
        <v>10</v>
      </c>
      <c r="AB75" s="176">
        <f t="shared" si="87"/>
        <v>12</v>
      </c>
      <c r="AC75" s="176">
        <f t="shared" si="88"/>
        <v>12</v>
      </c>
      <c r="AD75" s="461">
        <f t="shared" si="89"/>
        <v>12</v>
      </c>
      <c r="AE75" s="468">
        <v>74</v>
      </c>
      <c r="AF75" s="163">
        <f t="shared" si="77"/>
        <v>12</v>
      </c>
    </row>
    <row r="76" spans="1:32" x14ac:dyDescent="0.35">
      <c r="B76" s="420">
        <v>75</v>
      </c>
      <c r="C76" s="326" t="s">
        <v>47</v>
      </c>
      <c r="D76" s="195">
        <f>[2]Districts_Boroughs!DF31</f>
        <v>8</v>
      </c>
      <c r="E76" s="195">
        <f>[2]Districts_Boroughs!DG31</f>
        <v>10</v>
      </c>
      <c r="F76" s="195">
        <f>[2]Districts_Boroughs!DH31</f>
        <v>14</v>
      </c>
      <c r="G76" s="195">
        <f>[2]Districts_Boroughs!DI31</f>
        <v>23</v>
      </c>
      <c r="H76" s="195">
        <f>[2]Districts_Boroughs!DJ31</f>
        <v>12</v>
      </c>
      <c r="I76" s="195">
        <f>[2]Districts_Boroughs!DK31</f>
        <v>14</v>
      </c>
      <c r="J76" s="195">
        <f>[2]Districts_Boroughs!DL31</f>
        <v>9</v>
      </c>
      <c r="K76" s="195">
        <f>[2]Districts_Boroughs!DM31</f>
        <v>19</v>
      </c>
      <c r="L76" s="195">
        <f>[2]Districts_Boroughs!DN31</f>
        <v>22</v>
      </c>
      <c r="M76" s="195">
        <f>[2]Districts_Boroughs!DO31</f>
        <v>25</v>
      </c>
      <c r="N76" s="195">
        <f>[2]Districts_Boroughs!DP31</f>
        <v>27</v>
      </c>
      <c r="O76" s="195">
        <f>[2]Districts_Boroughs!DQ31</f>
        <v>15</v>
      </c>
      <c r="P76" s="178"/>
      <c r="Q76" s="468">
        <v>75</v>
      </c>
      <c r="R76" s="328" t="s">
        <v>47</v>
      </c>
      <c r="S76" s="176">
        <f t="shared" si="78"/>
        <v>8</v>
      </c>
      <c r="T76" s="176">
        <f t="shared" si="79"/>
        <v>18</v>
      </c>
      <c r="U76" s="176">
        <f t="shared" si="80"/>
        <v>32</v>
      </c>
      <c r="V76" s="176">
        <f t="shared" si="81"/>
        <v>55</v>
      </c>
      <c r="W76" s="176">
        <f t="shared" si="82"/>
        <v>67</v>
      </c>
      <c r="X76" s="176">
        <f t="shared" si="83"/>
        <v>81</v>
      </c>
      <c r="Y76" s="176">
        <f t="shared" si="84"/>
        <v>90</v>
      </c>
      <c r="Z76" s="176">
        <f t="shared" si="85"/>
        <v>109</v>
      </c>
      <c r="AA76" s="176">
        <f t="shared" si="86"/>
        <v>131</v>
      </c>
      <c r="AB76" s="176">
        <f t="shared" si="87"/>
        <v>156</v>
      </c>
      <c r="AC76" s="176">
        <f t="shared" si="88"/>
        <v>183</v>
      </c>
      <c r="AD76" s="461">
        <f t="shared" si="89"/>
        <v>198</v>
      </c>
      <c r="AE76" s="470">
        <v>75</v>
      </c>
      <c r="AF76" s="163">
        <f t="shared" si="77"/>
        <v>198</v>
      </c>
    </row>
    <row r="77" spans="1:32" x14ac:dyDescent="0.35">
      <c r="B77" s="420">
        <v>76</v>
      </c>
      <c r="C77" s="326" t="s">
        <v>48</v>
      </c>
      <c r="D77" s="195">
        <f>[2]Districts_Boroughs!DF32</f>
        <v>21</v>
      </c>
      <c r="E77" s="195">
        <f>[2]Districts_Boroughs!DG32</f>
        <v>15</v>
      </c>
      <c r="F77" s="195">
        <f>[2]Districts_Boroughs!DH32</f>
        <v>24</v>
      </c>
      <c r="G77" s="195">
        <f>[2]Districts_Boroughs!DI32</f>
        <v>36</v>
      </c>
      <c r="H77" s="195">
        <f>[2]Districts_Boroughs!DJ32</f>
        <v>22</v>
      </c>
      <c r="I77" s="195">
        <f>[2]Districts_Boroughs!DK32</f>
        <v>27</v>
      </c>
      <c r="J77" s="195">
        <f>[2]Districts_Boroughs!DL32</f>
        <v>17</v>
      </c>
      <c r="K77" s="195">
        <f>[2]Districts_Boroughs!DM32</f>
        <v>29</v>
      </c>
      <c r="L77" s="195">
        <f>[2]Districts_Boroughs!DN32</f>
        <v>29</v>
      </c>
      <c r="M77" s="195">
        <f>[2]Districts_Boroughs!DO32</f>
        <v>25</v>
      </c>
      <c r="N77" s="195">
        <f>[2]Districts_Boroughs!DP32</f>
        <v>27</v>
      </c>
      <c r="O77" s="195">
        <f>[2]Districts_Boroughs!DQ32</f>
        <v>38</v>
      </c>
      <c r="P77" s="178"/>
      <c r="Q77" s="468">
        <v>76</v>
      </c>
      <c r="R77" s="328" t="s">
        <v>48</v>
      </c>
      <c r="S77" s="176">
        <f t="shared" si="78"/>
        <v>21</v>
      </c>
      <c r="T77" s="176">
        <f t="shared" si="79"/>
        <v>36</v>
      </c>
      <c r="U77" s="176">
        <f t="shared" si="80"/>
        <v>60</v>
      </c>
      <c r="V77" s="176">
        <f t="shared" si="81"/>
        <v>96</v>
      </c>
      <c r="W77" s="176">
        <f t="shared" si="82"/>
        <v>118</v>
      </c>
      <c r="X77" s="176">
        <f t="shared" si="83"/>
        <v>145</v>
      </c>
      <c r="Y77" s="176">
        <f t="shared" si="84"/>
        <v>162</v>
      </c>
      <c r="Z77" s="176">
        <f t="shared" si="85"/>
        <v>191</v>
      </c>
      <c r="AA77" s="176">
        <f t="shared" si="86"/>
        <v>220</v>
      </c>
      <c r="AB77" s="176">
        <f t="shared" si="87"/>
        <v>245</v>
      </c>
      <c r="AC77" s="176">
        <f t="shared" si="88"/>
        <v>272</v>
      </c>
      <c r="AD77" s="461">
        <f t="shared" si="89"/>
        <v>310</v>
      </c>
      <c r="AE77" s="468">
        <v>76</v>
      </c>
      <c r="AF77" s="163">
        <f t="shared" si="77"/>
        <v>310</v>
      </c>
    </row>
    <row r="78" spans="1:32" x14ac:dyDescent="0.35">
      <c r="B78" s="420">
        <v>77</v>
      </c>
      <c r="C78" s="326" t="s">
        <v>49</v>
      </c>
      <c r="D78" s="195">
        <f>[2]Districts_Boroughs!DF33</f>
        <v>10</v>
      </c>
      <c r="E78" s="195">
        <f>[2]Districts_Boroughs!DG33</f>
        <v>18</v>
      </c>
      <c r="F78" s="195">
        <f>[2]Districts_Boroughs!DH33</f>
        <v>14</v>
      </c>
      <c r="G78" s="195">
        <f>[2]Districts_Boroughs!DI33</f>
        <v>14</v>
      </c>
      <c r="H78" s="195">
        <f>[2]Districts_Boroughs!DJ33</f>
        <v>15</v>
      </c>
      <c r="I78" s="195">
        <f>[2]Districts_Boroughs!DK33</f>
        <v>15</v>
      </c>
      <c r="J78" s="195">
        <f>[2]Districts_Boroughs!DL33</f>
        <v>16</v>
      </c>
      <c r="K78" s="195">
        <f>[2]Districts_Boroughs!DM33</f>
        <v>18</v>
      </c>
      <c r="L78" s="195">
        <f>[2]Districts_Boroughs!DN33</f>
        <v>10</v>
      </c>
      <c r="M78" s="195">
        <f>[2]Districts_Boroughs!DO33</f>
        <v>15</v>
      </c>
      <c r="N78" s="195">
        <f>[2]Districts_Boroughs!DP33</f>
        <v>16</v>
      </c>
      <c r="O78" s="195">
        <f>[2]Districts_Boroughs!DQ33</f>
        <v>28</v>
      </c>
      <c r="P78" s="178"/>
      <c r="Q78" s="468">
        <v>77</v>
      </c>
      <c r="R78" s="328" t="s">
        <v>49</v>
      </c>
      <c r="S78" s="176">
        <f t="shared" si="78"/>
        <v>10</v>
      </c>
      <c r="T78" s="176">
        <f t="shared" si="79"/>
        <v>28</v>
      </c>
      <c r="U78" s="176">
        <f t="shared" si="80"/>
        <v>42</v>
      </c>
      <c r="V78" s="176">
        <f t="shared" si="81"/>
        <v>56</v>
      </c>
      <c r="W78" s="176">
        <f t="shared" si="82"/>
        <v>71</v>
      </c>
      <c r="X78" s="176">
        <f t="shared" si="83"/>
        <v>86</v>
      </c>
      <c r="Y78" s="176">
        <f t="shared" si="84"/>
        <v>102</v>
      </c>
      <c r="Z78" s="176">
        <f t="shared" si="85"/>
        <v>120</v>
      </c>
      <c r="AA78" s="176">
        <f t="shared" si="86"/>
        <v>130</v>
      </c>
      <c r="AB78" s="176">
        <f t="shared" si="87"/>
        <v>145</v>
      </c>
      <c r="AC78" s="176">
        <f t="shared" si="88"/>
        <v>161</v>
      </c>
      <c r="AD78" s="461">
        <f t="shared" si="89"/>
        <v>189</v>
      </c>
      <c r="AE78" s="468">
        <v>77</v>
      </c>
      <c r="AF78" s="163">
        <f t="shared" si="77"/>
        <v>189</v>
      </c>
    </row>
    <row r="79" spans="1:32" x14ac:dyDescent="0.35">
      <c r="A79" s="162" t="s">
        <v>128</v>
      </c>
      <c r="B79" s="421">
        <v>78</v>
      </c>
      <c r="C79" s="326" t="s">
        <v>85</v>
      </c>
      <c r="D79" s="284">
        <f>D75+D78</f>
        <v>11</v>
      </c>
      <c r="E79" s="284">
        <f t="shared" ref="E79:O79" si="90">E75+E78</f>
        <v>20</v>
      </c>
      <c r="F79" s="284">
        <f t="shared" si="90"/>
        <v>14</v>
      </c>
      <c r="G79" s="284">
        <f t="shared" si="90"/>
        <v>15</v>
      </c>
      <c r="H79" s="284">
        <f t="shared" si="90"/>
        <v>16</v>
      </c>
      <c r="I79" s="284">
        <f t="shared" si="90"/>
        <v>16</v>
      </c>
      <c r="J79" s="284">
        <f t="shared" si="90"/>
        <v>17</v>
      </c>
      <c r="K79" s="284">
        <f t="shared" si="90"/>
        <v>20</v>
      </c>
      <c r="L79" s="284">
        <f t="shared" si="90"/>
        <v>11</v>
      </c>
      <c r="M79" s="284">
        <f t="shared" si="90"/>
        <v>17</v>
      </c>
      <c r="N79" s="284">
        <f t="shared" si="90"/>
        <v>16</v>
      </c>
      <c r="O79" s="284">
        <f t="shared" si="90"/>
        <v>28</v>
      </c>
      <c r="P79" s="183"/>
      <c r="Q79" s="468">
        <v>78</v>
      </c>
      <c r="R79" s="328" t="s">
        <v>85</v>
      </c>
      <c r="S79" s="176">
        <f t="shared" si="78"/>
        <v>11</v>
      </c>
      <c r="T79" s="176">
        <f t="shared" si="79"/>
        <v>31</v>
      </c>
      <c r="U79" s="176">
        <f t="shared" si="80"/>
        <v>45</v>
      </c>
      <c r="V79" s="176">
        <f t="shared" si="81"/>
        <v>60</v>
      </c>
      <c r="W79" s="176">
        <f t="shared" si="82"/>
        <v>76</v>
      </c>
      <c r="X79" s="176">
        <f t="shared" si="83"/>
        <v>92</v>
      </c>
      <c r="Y79" s="176">
        <f t="shared" si="84"/>
        <v>109</v>
      </c>
      <c r="Z79" s="176">
        <f t="shared" si="85"/>
        <v>129</v>
      </c>
      <c r="AA79" s="176">
        <f t="shared" si="86"/>
        <v>140</v>
      </c>
      <c r="AB79" s="176">
        <f t="shared" si="87"/>
        <v>157</v>
      </c>
      <c r="AC79" s="176">
        <f t="shared" si="88"/>
        <v>173</v>
      </c>
      <c r="AD79" s="461">
        <f t="shared" si="89"/>
        <v>201</v>
      </c>
      <c r="AE79" s="470">
        <v>78</v>
      </c>
      <c r="AF79" s="163">
        <f t="shared" si="77"/>
        <v>201</v>
      </c>
    </row>
    <row r="80" spans="1:32" x14ac:dyDescent="0.35">
      <c r="B80" s="420">
        <v>79</v>
      </c>
      <c r="C80" s="326" t="s">
        <v>50</v>
      </c>
      <c r="D80" s="197">
        <f>[2]Districts_Boroughs!DF34</f>
        <v>40</v>
      </c>
      <c r="E80" s="197">
        <f>[2]Districts_Boroughs!DG34</f>
        <v>45</v>
      </c>
      <c r="F80" s="197">
        <f>[2]Districts_Boroughs!DH34</f>
        <v>52</v>
      </c>
      <c r="G80" s="197">
        <f>[2]Districts_Boroughs!DI34</f>
        <v>74</v>
      </c>
      <c r="H80" s="197">
        <f>[2]Districts_Boroughs!DJ34</f>
        <v>50</v>
      </c>
      <c r="I80" s="197">
        <f>[2]Districts_Boroughs!DK34</f>
        <v>57</v>
      </c>
      <c r="J80" s="197">
        <f>[2]Districts_Boroughs!DL34</f>
        <v>43</v>
      </c>
      <c r="K80" s="197">
        <f>[2]Districts_Boroughs!DM34</f>
        <v>68</v>
      </c>
      <c r="L80" s="197">
        <f>[2]Districts_Boroughs!DN34</f>
        <v>62</v>
      </c>
      <c r="M80" s="197">
        <f>[2]Districts_Boroughs!DO34</f>
        <v>67</v>
      </c>
      <c r="N80" s="197">
        <f>[2]Districts_Boroughs!DP34</f>
        <v>70</v>
      </c>
      <c r="O80" s="197">
        <f>[2]Districts_Boroughs!DQ34</f>
        <v>81</v>
      </c>
      <c r="P80" s="178"/>
      <c r="Q80" s="468">
        <v>79</v>
      </c>
      <c r="R80" s="328" t="s">
        <v>50</v>
      </c>
      <c r="S80" s="176">
        <f t="shared" si="78"/>
        <v>40</v>
      </c>
      <c r="T80" s="176">
        <f t="shared" si="79"/>
        <v>85</v>
      </c>
      <c r="U80" s="176">
        <f t="shared" si="80"/>
        <v>137</v>
      </c>
      <c r="V80" s="176">
        <f t="shared" si="81"/>
        <v>211</v>
      </c>
      <c r="W80" s="176">
        <f t="shared" si="82"/>
        <v>261</v>
      </c>
      <c r="X80" s="176">
        <f t="shared" si="83"/>
        <v>318</v>
      </c>
      <c r="Y80" s="176">
        <f t="shared" si="84"/>
        <v>361</v>
      </c>
      <c r="Z80" s="176">
        <f t="shared" si="85"/>
        <v>429</v>
      </c>
      <c r="AA80" s="176">
        <f t="shared" si="86"/>
        <v>491</v>
      </c>
      <c r="AB80" s="176">
        <f t="shared" si="87"/>
        <v>558</v>
      </c>
      <c r="AC80" s="176">
        <f t="shared" si="88"/>
        <v>628</v>
      </c>
      <c r="AD80" s="461">
        <f t="shared" si="89"/>
        <v>709</v>
      </c>
      <c r="AE80" s="468">
        <v>79</v>
      </c>
      <c r="AF80" s="163">
        <f t="shared" si="77"/>
        <v>709</v>
      </c>
    </row>
    <row r="81" spans="1:32" x14ac:dyDescent="0.35">
      <c r="B81" s="420">
        <v>80</v>
      </c>
      <c r="C81" s="326" t="s">
        <v>51</v>
      </c>
      <c r="D81" s="195">
        <f>[2]Districts_Boroughs!DF36</f>
        <v>10</v>
      </c>
      <c r="E81" s="195">
        <f>[2]Districts_Boroughs!DG36</f>
        <v>6</v>
      </c>
      <c r="F81" s="195">
        <f>[2]Districts_Boroughs!DH36</f>
        <v>10</v>
      </c>
      <c r="G81" s="195">
        <f>[2]Districts_Boroughs!DI36</f>
        <v>6</v>
      </c>
      <c r="H81" s="195">
        <f>[2]Districts_Boroughs!DJ36</f>
        <v>6</v>
      </c>
      <c r="I81" s="195">
        <f>[2]Districts_Boroughs!DK36</f>
        <v>6</v>
      </c>
      <c r="J81" s="195">
        <f>[2]Districts_Boroughs!DL36</f>
        <v>8</v>
      </c>
      <c r="K81" s="195">
        <f>[2]Districts_Boroughs!DM36</f>
        <v>6</v>
      </c>
      <c r="L81" s="195">
        <f>[2]Districts_Boroughs!DN36</f>
        <v>5</v>
      </c>
      <c r="M81" s="195">
        <f>[2]Districts_Boroughs!DO36</f>
        <v>2</v>
      </c>
      <c r="N81" s="195">
        <f>[2]Districts_Boroughs!DP36</f>
        <v>4</v>
      </c>
      <c r="O81" s="195">
        <f>[2]Districts_Boroughs!DQ36</f>
        <v>8</v>
      </c>
      <c r="P81" s="178"/>
      <c r="Q81" s="468">
        <v>80</v>
      </c>
      <c r="R81" s="328" t="s">
        <v>51</v>
      </c>
      <c r="S81" s="176">
        <f t="shared" si="78"/>
        <v>10</v>
      </c>
      <c r="T81" s="176">
        <f t="shared" si="79"/>
        <v>16</v>
      </c>
      <c r="U81" s="176">
        <f t="shared" si="80"/>
        <v>26</v>
      </c>
      <c r="V81" s="176">
        <f t="shared" si="81"/>
        <v>32</v>
      </c>
      <c r="W81" s="176">
        <f t="shared" si="82"/>
        <v>38</v>
      </c>
      <c r="X81" s="176">
        <f t="shared" si="83"/>
        <v>44</v>
      </c>
      <c r="Y81" s="176">
        <f t="shared" si="84"/>
        <v>52</v>
      </c>
      <c r="Z81" s="176">
        <f t="shared" si="85"/>
        <v>58</v>
      </c>
      <c r="AA81" s="176">
        <f t="shared" si="86"/>
        <v>63</v>
      </c>
      <c r="AB81" s="176">
        <f t="shared" si="87"/>
        <v>65</v>
      </c>
      <c r="AC81" s="176">
        <f t="shared" si="88"/>
        <v>69</v>
      </c>
      <c r="AD81" s="461">
        <f t="shared" si="89"/>
        <v>77</v>
      </c>
      <c r="AE81" s="468">
        <v>80</v>
      </c>
      <c r="AF81" s="163">
        <f t="shared" si="77"/>
        <v>77</v>
      </c>
    </row>
    <row r="82" spans="1:32" x14ac:dyDescent="0.35">
      <c r="B82" s="420">
        <v>81</v>
      </c>
      <c r="C82" s="327" t="s">
        <v>200</v>
      </c>
      <c r="D82" s="195">
        <f>[2]Districts_Boroughs!DF37</f>
        <v>97</v>
      </c>
      <c r="E82" s="195">
        <f>[2]Districts_Boroughs!DG37</f>
        <v>102</v>
      </c>
      <c r="F82" s="195">
        <f>[2]Districts_Boroughs!DH37</f>
        <v>94</v>
      </c>
      <c r="G82" s="195">
        <f>[2]Districts_Boroughs!DI37</f>
        <v>106</v>
      </c>
      <c r="H82" s="195">
        <f>[2]Districts_Boroughs!DJ37</f>
        <v>94</v>
      </c>
      <c r="I82" s="195">
        <f>[2]Districts_Boroughs!DK37</f>
        <v>64</v>
      </c>
      <c r="J82" s="195">
        <f>[2]Districts_Boroughs!DL37</f>
        <v>108</v>
      </c>
      <c r="K82" s="195">
        <f>[2]Districts_Boroughs!DM37</f>
        <v>96</v>
      </c>
      <c r="L82" s="195">
        <f>[2]Districts_Boroughs!DN37</f>
        <v>96</v>
      </c>
      <c r="M82" s="195">
        <f>[2]Districts_Boroughs!DO37</f>
        <v>97</v>
      </c>
      <c r="N82" s="195">
        <f>[2]Districts_Boroughs!DP37</f>
        <v>84</v>
      </c>
      <c r="O82" s="195">
        <f>[2]Districts_Boroughs!DQ37</f>
        <v>91</v>
      </c>
      <c r="P82" s="178"/>
      <c r="Q82" s="468">
        <v>81</v>
      </c>
      <c r="R82" s="329" t="s">
        <v>200</v>
      </c>
      <c r="S82" s="176">
        <f t="shared" ref="S82:S85" si="91">D82</f>
        <v>97</v>
      </c>
      <c r="T82" s="176">
        <f t="shared" ref="T82:AD85" si="92">S82+E82</f>
        <v>199</v>
      </c>
      <c r="U82" s="176">
        <f t="shared" si="92"/>
        <v>293</v>
      </c>
      <c r="V82" s="176">
        <f t="shared" si="92"/>
        <v>399</v>
      </c>
      <c r="W82" s="176">
        <f t="shared" si="92"/>
        <v>493</v>
      </c>
      <c r="X82" s="176">
        <f t="shared" si="92"/>
        <v>557</v>
      </c>
      <c r="Y82" s="176">
        <f t="shared" si="92"/>
        <v>665</v>
      </c>
      <c r="Z82" s="176">
        <f t="shared" si="92"/>
        <v>761</v>
      </c>
      <c r="AA82" s="176">
        <f t="shared" si="92"/>
        <v>857</v>
      </c>
      <c r="AB82" s="176">
        <f t="shared" si="92"/>
        <v>954</v>
      </c>
      <c r="AC82" s="176">
        <f t="shared" si="92"/>
        <v>1038</v>
      </c>
      <c r="AD82" s="461">
        <f t="shared" si="92"/>
        <v>1129</v>
      </c>
      <c r="AE82" s="468">
        <v>81</v>
      </c>
      <c r="AF82" s="163">
        <f t="shared" si="77"/>
        <v>1129</v>
      </c>
    </row>
    <row r="83" spans="1:32" x14ac:dyDescent="0.35">
      <c r="B83" s="420">
        <v>82</v>
      </c>
      <c r="C83" s="327" t="s">
        <v>244</v>
      </c>
      <c r="D83" s="195">
        <f>[2]Districts_Boroughs!DF38</f>
        <v>43</v>
      </c>
      <c r="E83" s="195">
        <f>[2]Districts_Boroughs!DG38</f>
        <v>54</v>
      </c>
      <c r="F83" s="195">
        <f>[2]Districts_Boroughs!DH38</f>
        <v>57</v>
      </c>
      <c r="G83" s="195">
        <f>[2]Districts_Boroughs!DI38</f>
        <v>51</v>
      </c>
      <c r="H83" s="195">
        <f>[2]Districts_Boroughs!DJ38</f>
        <v>55</v>
      </c>
      <c r="I83" s="195">
        <f>[2]Districts_Boroughs!DK38</f>
        <v>35</v>
      </c>
      <c r="J83" s="195">
        <f>[2]Districts_Boroughs!DL38</f>
        <v>72</v>
      </c>
      <c r="K83" s="195">
        <f>[2]Districts_Boroughs!DM38</f>
        <v>48</v>
      </c>
      <c r="L83" s="195">
        <f>[2]Districts_Boroughs!DN38</f>
        <v>48</v>
      </c>
      <c r="M83" s="195">
        <f>[2]Districts_Boroughs!DO38</f>
        <v>53</v>
      </c>
      <c r="N83" s="195">
        <f>[2]Districts_Boroughs!DP38</f>
        <v>50</v>
      </c>
      <c r="O83" s="195">
        <f>[2]Districts_Boroughs!DQ38</f>
        <v>46</v>
      </c>
      <c r="P83" s="178"/>
      <c r="Q83" s="468">
        <v>82</v>
      </c>
      <c r="R83" s="329" t="s">
        <v>201</v>
      </c>
      <c r="S83" s="176">
        <f t="shared" si="91"/>
        <v>43</v>
      </c>
      <c r="T83" s="176">
        <f t="shared" si="92"/>
        <v>97</v>
      </c>
      <c r="U83" s="176">
        <f t="shared" si="92"/>
        <v>154</v>
      </c>
      <c r="V83" s="176">
        <f t="shared" si="92"/>
        <v>205</v>
      </c>
      <c r="W83" s="176">
        <f t="shared" si="92"/>
        <v>260</v>
      </c>
      <c r="X83" s="176">
        <f t="shared" si="92"/>
        <v>295</v>
      </c>
      <c r="Y83" s="176">
        <f t="shared" si="92"/>
        <v>367</v>
      </c>
      <c r="Z83" s="176">
        <f t="shared" si="92"/>
        <v>415</v>
      </c>
      <c r="AA83" s="176">
        <f t="shared" si="92"/>
        <v>463</v>
      </c>
      <c r="AB83" s="176">
        <f t="shared" si="92"/>
        <v>516</v>
      </c>
      <c r="AC83" s="176">
        <f t="shared" si="92"/>
        <v>566</v>
      </c>
      <c r="AD83" s="461">
        <f t="shared" si="92"/>
        <v>612</v>
      </c>
      <c r="AE83" s="468">
        <v>82</v>
      </c>
      <c r="AF83" s="163">
        <f t="shared" si="77"/>
        <v>612</v>
      </c>
    </row>
    <row r="84" spans="1:32" x14ac:dyDescent="0.35">
      <c r="B84" s="421">
        <v>83</v>
      </c>
      <c r="C84" s="327" t="s">
        <v>202</v>
      </c>
      <c r="D84" s="195">
        <f>[2]Districts_Boroughs!DF39</f>
        <v>1</v>
      </c>
      <c r="E84" s="195">
        <f>[2]Districts_Boroughs!DG39</f>
        <v>0</v>
      </c>
      <c r="F84" s="195">
        <f>[2]Districts_Boroughs!DH39</f>
        <v>0</v>
      </c>
      <c r="G84" s="195">
        <f>[2]Districts_Boroughs!DI39</f>
        <v>1</v>
      </c>
      <c r="H84" s="195">
        <f>[2]Districts_Boroughs!DJ39</f>
        <v>0</v>
      </c>
      <c r="I84" s="195">
        <f>[2]Districts_Boroughs!DK39</f>
        <v>1</v>
      </c>
      <c r="J84" s="195">
        <f>[2]Districts_Boroughs!DL39</f>
        <v>2</v>
      </c>
      <c r="K84" s="195">
        <f>[2]Districts_Boroughs!DM39</f>
        <v>0</v>
      </c>
      <c r="L84" s="195">
        <f>[2]Districts_Boroughs!DN39</f>
        <v>0</v>
      </c>
      <c r="M84" s="195">
        <f>[2]Districts_Boroughs!DO39</f>
        <v>0</v>
      </c>
      <c r="N84" s="195">
        <f>[2]Districts_Boroughs!DP39</f>
        <v>3</v>
      </c>
      <c r="O84" s="195">
        <f>[2]Districts_Boroughs!DQ39</f>
        <v>0</v>
      </c>
      <c r="P84" s="178"/>
      <c r="Q84" s="468">
        <v>83</v>
      </c>
      <c r="R84" s="329" t="s">
        <v>202</v>
      </c>
      <c r="S84" s="176">
        <f t="shared" si="91"/>
        <v>1</v>
      </c>
      <c r="T84" s="176">
        <f t="shared" si="92"/>
        <v>1</v>
      </c>
      <c r="U84" s="176">
        <f t="shared" si="92"/>
        <v>1</v>
      </c>
      <c r="V84" s="176">
        <f t="shared" si="92"/>
        <v>2</v>
      </c>
      <c r="W84" s="176">
        <f t="shared" si="92"/>
        <v>2</v>
      </c>
      <c r="X84" s="176">
        <f t="shared" si="92"/>
        <v>3</v>
      </c>
      <c r="Y84" s="176">
        <f t="shared" si="92"/>
        <v>5</v>
      </c>
      <c r="Z84" s="176">
        <f t="shared" si="92"/>
        <v>5</v>
      </c>
      <c r="AA84" s="176">
        <f t="shared" si="92"/>
        <v>5</v>
      </c>
      <c r="AB84" s="176">
        <f t="shared" si="92"/>
        <v>5</v>
      </c>
      <c r="AC84" s="176">
        <f t="shared" si="92"/>
        <v>8</v>
      </c>
      <c r="AD84" s="461">
        <f t="shared" si="92"/>
        <v>8</v>
      </c>
      <c r="AE84" s="470">
        <v>83</v>
      </c>
      <c r="AF84" s="163">
        <f t="shared" si="77"/>
        <v>8</v>
      </c>
    </row>
    <row r="85" spans="1:32" x14ac:dyDescent="0.35">
      <c r="B85" s="420">
        <v>84</v>
      </c>
      <c r="C85" s="326" t="s">
        <v>52</v>
      </c>
      <c r="D85" s="195">
        <f>[2]Districts_Boroughs!DF41</f>
        <v>54</v>
      </c>
      <c r="E85" s="195">
        <f>[2]Districts_Boroughs!DG41</f>
        <v>55</v>
      </c>
      <c r="F85" s="195">
        <f>[2]Districts_Boroughs!DH41</f>
        <v>61</v>
      </c>
      <c r="G85" s="195">
        <f>[2]Districts_Boroughs!DI41</f>
        <v>59</v>
      </c>
      <c r="H85" s="195">
        <f>[2]Districts_Boroughs!DJ41</f>
        <v>46</v>
      </c>
      <c r="I85" s="195">
        <f>[2]Districts_Boroughs!DK41</f>
        <v>76</v>
      </c>
      <c r="J85" s="195">
        <f>[2]Districts_Boroughs!DL41</f>
        <v>82</v>
      </c>
      <c r="K85" s="195">
        <f>[2]Districts_Boroughs!DM41</f>
        <v>79</v>
      </c>
      <c r="L85" s="195">
        <f>[2]Districts_Boroughs!DN41</f>
        <v>70</v>
      </c>
      <c r="M85" s="195">
        <f>[2]Districts_Boroughs!DO41</f>
        <v>66</v>
      </c>
      <c r="N85" s="195">
        <f>[2]Districts_Boroughs!DP41</f>
        <v>66</v>
      </c>
      <c r="O85" s="195">
        <f>[2]Districts_Boroughs!DQ41</f>
        <v>65</v>
      </c>
      <c r="P85" s="178"/>
      <c r="Q85" s="468">
        <v>84</v>
      </c>
      <c r="R85" s="328" t="s">
        <v>52</v>
      </c>
      <c r="S85" s="176">
        <f t="shared" si="91"/>
        <v>54</v>
      </c>
      <c r="T85" s="176">
        <f t="shared" si="92"/>
        <v>109</v>
      </c>
      <c r="U85" s="176">
        <f t="shared" si="92"/>
        <v>170</v>
      </c>
      <c r="V85" s="176">
        <f t="shared" si="92"/>
        <v>229</v>
      </c>
      <c r="W85" s="176">
        <f t="shared" si="92"/>
        <v>275</v>
      </c>
      <c r="X85" s="176">
        <f t="shared" si="92"/>
        <v>351</v>
      </c>
      <c r="Y85" s="176">
        <f t="shared" si="92"/>
        <v>433</v>
      </c>
      <c r="Z85" s="176">
        <f t="shared" si="92"/>
        <v>512</v>
      </c>
      <c r="AA85" s="176">
        <f t="shared" si="92"/>
        <v>582</v>
      </c>
      <c r="AB85" s="176">
        <f t="shared" si="92"/>
        <v>648</v>
      </c>
      <c r="AC85" s="176">
        <f t="shared" si="92"/>
        <v>714</v>
      </c>
      <c r="AD85" s="461">
        <f t="shared" si="92"/>
        <v>779</v>
      </c>
      <c r="AE85" s="468">
        <v>84</v>
      </c>
      <c r="AF85" s="163">
        <f t="shared" si="77"/>
        <v>779</v>
      </c>
    </row>
    <row r="86" spans="1:32" ht="15" customHeight="1" x14ac:dyDescent="0.35">
      <c r="B86" s="420">
        <v>85</v>
      </c>
      <c r="C86" s="326" t="s">
        <v>81</v>
      </c>
      <c r="D86" s="195">
        <f>[2]Districts_Boroughs!DF43</f>
        <v>10</v>
      </c>
      <c r="E86" s="195">
        <f>[2]Districts_Boroughs!DG43</f>
        <v>17</v>
      </c>
      <c r="F86" s="195">
        <f>[2]Districts_Boroughs!DH43</f>
        <v>9</v>
      </c>
      <c r="G86" s="195">
        <f>[2]Districts_Boroughs!DI43</f>
        <v>21</v>
      </c>
      <c r="H86" s="195">
        <f>[2]Districts_Boroughs!DJ43</f>
        <v>17</v>
      </c>
      <c r="I86" s="195">
        <f>[2]Districts_Boroughs!DK43</f>
        <v>16</v>
      </c>
      <c r="J86" s="195">
        <f>[2]Districts_Boroughs!DL43</f>
        <v>8</v>
      </c>
      <c r="K86" s="195">
        <f>[2]Districts_Boroughs!DM43</f>
        <v>10</v>
      </c>
      <c r="L86" s="195">
        <f>[2]Districts_Boroughs!DN43</f>
        <v>9</v>
      </c>
      <c r="M86" s="195">
        <f>[2]Districts_Boroughs!DO43</f>
        <v>11</v>
      </c>
      <c r="N86" s="195">
        <f>[2]Districts_Boroughs!DP43</f>
        <v>9</v>
      </c>
      <c r="O86" s="195">
        <f>[2]Districts_Boroughs!DQ43</f>
        <v>14</v>
      </c>
      <c r="P86" s="178"/>
      <c r="Q86" s="468">
        <v>85</v>
      </c>
      <c r="R86" s="328" t="s">
        <v>81</v>
      </c>
      <c r="S86" s="176">
        <f t="shared" ref="S86:S95" si="93">D86</f>
        <v>10</v>
      </c>
      <c r="T86" s="176">
        <f t="shared" ref="T86:T95" si="94">S86+E86</f>
        <v>27</v>
      </c>
      <c r="U86" s="176">
        <f t="shared" ref="U86:U95" si="95">T86+F86</f>
        <v>36</v>
      </c>
      <c r="V86" s="176">
        <f t="shared" ref="V86:V95" si="96">U86+G86</f>
        <v>57</v>
      </c>
      <c r="W86" s="176">
        <f t="shared" ref="W86:W95" si="97">V86+H86</f>
        <v>74</v>
      </c>
      <c r="X86" s="176">
        <f t="shared" ref="X86:X95" si="98">W86+I86</f>
        <v>90</v>
      </c>
      <c r="Y86" s="176">
        <f t="shared" ref="Y86:Y95" si="99">X86+J86</f>
        <v>98</v>
      </c>
      <c r="Z86" s="176">
        <f t="shared" ref="Z86:Z95" si="100">Y86+K86</f>
        <v>108</v>
      </c>
      <c r="AA86" s="176">
        <f t="shared" ref="AA86:AA95" si="101">Z86+L86</f>
        <v>117</v>
      </c>
      <c r="AB86" s="176">
        <f t="shared" ref="AB86:AB95" si="102">AA86+M86</f>
        <v>128</v>
      </c>
      <c r="AC86" s="176">
        <f t="shared" ref="AC86:AC95" si="103">AB86+N86</f>
        <v>137</v>
      </c>
      <c r="AD86" s="461">
        <f t="shared" ref="AD86:AD95" si="104">AC86+O86</f>
        <v>151</v>
      </c>
      <c r="AE86" s="468">
        <v>85</v>
      </c>
      <c r="AF86" s="163">
        <f t="shared" si="77"/>
        <v>151</v>
      </c>
    </row>
    <row r="87" spans="1:32" x14ac:dyDescent="0.35">
      <c r="A87" s="162" t="s">
        <v>128</v>
      </c>
      <c r="B87" s="420">
        <v>86</v>
      </c>
      <c r="C87" s="326" t="s">
        <v>75</v>
      </c>
      <c r="D87" s="284">
        <f t="shared" ref="D87:O87" si="105">D86+D56+D57+D79+D77</f>
        <v>47</v>
      </c>
      <c r="E87" s="284">
        <f t="shared" si="105"/>
        <v>54</v>
      </c>
      <c r="F87" s="284">
        <f t="shared" si="105"/>
        <v>50</v>
      </c>
      <c r="G87" s="284">
        <f t="shared" si="105"/>
        <v>75</v>
      </c>
      <c r="H87" s="284">
        <f t="shared" si="105"/>
        <v>58</v>
      </c>
      <c r="I87" s="284">
        <f t="shared" si="105"/>
        <v>61</v>
      </c>
      <c r="J87" s="284">
        <f t="shared" si="105"/>
        <v>46</v>
      </c>
      <c r="K87" s="284">
        <f t="shared" si="105"/>
        <v>63</v>
      </c>
      <c r="L87" s="284">
        <f t="shared" si="105"/>
        <v>55</v>
      </c>
      <c r="M87" s="284">
        <f t="shared" si="105"/>
        <v>56</v>
      </c>
      <c r="N87" s="284">
        <f t="shared" si="105"/>
        <v>53</v>
      </c>
      <c r="O87" s="284">
        <f t="shared" si="105"/>
        <v>88</v>
      </c>
      <c r="P87" s="183"/>
      <c r="Q87" s="468">
        <v>86</v>
      </c>
      <c r="R87" s="328" t="s">
        <v>75</v>
      </c>
      <c r="S87" s="176">
        <f t="shared" si="93"/>
        <v>47</v>
      </c>
      <c r="T87" s="176">
        <f t="shared" si="94"/>
        <v>101</v>
      </c>
      <c r="U87" s="176">
        <f t="shared" si="95"/>
        <v>151</v>
      </c>
      <c r="V87" s="176">
        <f t="shared" si="96"/>
        <v>226</v>
      </c>
      <c r="W87" s="176">
        <f t="shared" si="97"/>
        <v>284</v>
      </c>
      <c r="X87" s="176">
        <f t="shared" si="98"/>
        <v>345</v>
      </c>
      <c r="Y87" s="176">
        <f t="shared" si="99"/>
        <v>391</v>
      </c>
      <c r="Z87" s="176">
        <f t="shared" si="100"/>
        <v>454</v>
      </c>
      <c r="AA87" s="176">
        <f t="shared" si="101"/>
        <v>509</v>
      </c>
      <c r="AB87" s="176">
        <f t="shared" si="102"/>
        <v>565</v>
      </c>
      <c r="AC87" s="176">
        <f t="shared" si="103"/>
        <v>618</v>
      </c>
      <c r="AD87" s="461">
        <f t="shared" si="104"/>
        <v>706</v>
      </c>
      <c r="AE87" s="470">
        <v>86</v>
      </c>
      <c r="AF87" s="163">
        <f t="shared" si="77"/>
        <v>706</v>
      </c>
    </row>
    <row r="88" spans="1:32" x14ac:dyDescent="0.35">
      <c r="B88" s="420">
        <v>87</v>
      </c>
      <c r="C88" s="326" t="s">
        <v>76</v>
      </c>
      <c r="D88" s="100">
        <f>[2]ASB!DF13</f>
        <v>81</v>
      </c>
      <c r="E88" s="100">
        <f>[2]ASB!DG13</f>
        <v>71</v>
      </c>
      <c r="F88" s="100">
        <f>[2]ASB!DH13</f>
        <v>72</v>
      </c>
      <c r="G88" s="100">
        <f>[2]ASB!DI13</f>
        <v>81</v>
      </c>
      <c r="H88" s="100">
        <f>[2]ASB!DJ13</f>
        <v>103</v>
      </c>
      <c r="I88" s="100">
        <f>[2]ASB!DK13</f>
        <v>95</v>
      </c>
      <c r="J88" s="100">
        <f>[2]ASB!DL13</f>
        <v>76</v>
      </c>
      <c r="K88" s="100">
        <f>[2]ASB!DM13</f>
        <v>58</v>
      </c>
      <c r="L88" s="100">
        <f>[2]ASB!DN13</f>
        <v>60</v>
      </c>
      <c r="M88" s="100">
        <f>[2]ASB!DO13</f>
        <v>60</v>
      </c>
      <c r="N88" s="100">
        <f>[2]ASB!DP13</f>
        <v>77</v>
      </c>
      <c r="O88" s="100">
        <f>[2]ASB!DQ13</f>
        <v>85</v>
      </c>
      <c r="P88" s="100"/>
      <c r="Q88" s="468">
        <v>87</v>
      </c>
      <c r="R88" s="328" t="s">
        <v>76</v>
      </c>
      <c r="S88" s="176">
        <f t="shared" si="93"/>
        <v>81</v>
      </c>
      <c r="T88" s="176">
        <f t="shared" si="94"/>
        <v>152</v>
      </c>
      <c r="U88" s="176">
        <f t="shared" si="95"/>
        <v>224</v>
      </c>
      <c r="V88" s="176">
        <f t="shared" si="96"/>
        <v>305</v>
      </c>
      <c r="W88" s="176">
        <f t="shared" si="97"/>
        <v>408</v>
      </c>
      <c r="X88" s="176">
        <f t="shared" si="98"/>
        <v>503</v>
      </c>
      <c r="Y88" s="176">
        <f t="shared" si="99"/>
        <v>579</v>
      </c>
      <c r="Z88" s="176">
        <f t="shared" si="100"/>
        <v>637</v>
      </c>
      <c r="AA88" s="176">
        <f t="shared" si="101"/>
        <v>697</v>
      </c>
      <c r="AB88" s="176">
        <f t="shared" si="102"/>
        <v>757</v>
      </c>
      <c r="AC88" s="176">
        <f t="shared" si="103"/>
        <v>834</v>
      </c>
      <c r="AD88" s="461">
        <f t="shared" si="104"/>
        <v>919</v>
      </c>
      <c r="AE88" s="468">
        <v>87</v>
      </c>
      <c r="AF88" s="163">
        <f t="shared" si="77"/>
        <v>919</v>
      </c>
    </row>
    <row r="89" spans="1:32" x14ac:dyDescent="0.35">
      <c r="B89" s="421">
        <v>88</v>
      </c>
      <c r="C89" s="326" t="s">
        <v>86</v>
      </c>
      <c r="D89" s="100">
        <f>[2]ASB!DF14</f>
        <v>12</v>
      </c>
      <c r="E89" s="100">
        <f>[2]ASB!DG14</f>
        <v>9</v>
      </c>
      <c r="F89" s="100">
        <f>[2]ASB!DH14</f>
        <v>13</v>
      </c>
      <c r="G89" s="100">
        <f>[2]ASB!DI14</f>
        <v>18</v>
      </c>
      <c r="H89" s="100">
        <f>[2]ASB!DJ14</f>
        <v>12</v>
      </c>
      <c r="I89" s="100">
        <f>[2]ASB!DK14</f>
        <v>27</v>
      </c>
      <c r="J89" s="100">
        <f>[2]ASB!DL14</f>
        <v>20</v>
      </c>
      <c r="K89" s="100">
        <f>[2]ASB!DM14</f>
        <v>12</v>
      </c>
      <c r="L89" s="100">
        <f>[2]ASB!DN14</f>
        <v>8</v>
      </c>
      <c r="M89" s="100">
        <f>[2]ASB!DO14</f>
        <v>19</v>
      </c>
      <c r="N89" s="100">
        <f>[2]ASB!DP14</f>
        <v>30</v>
      </c>
      <c r="O89" s="100">
        <f>[2]ASB!DQ14</f>
        <v>31</v>
      </c>
      <c r="P89" s="100"/>
      <c r="Q89" s="468">
        <v>88</v>
      </c>
      <c r="R89" s="328" t="s">
        <v>86</v>
      </c>
      <c r="S89" s="176">
        <f t="shared" si="93"/>
        <v>12</v>
      </c>
      <c r="T89" s="176">
        <f t="shared" si="94"/>
        <v>21</v>
      </c>
      <c r="U89" s="176">
        <f t="shared" si="95"/>
        <v>34</v>
      </c>
      <c r="V89" s="176">
        <f t="shared" si="96"/>
        <v>52</v>
      </c>
      <c r="W89" s="176">
        <f t="shared" si="97"/>
        <v>64</v>
      </c>
      <c r="X89" s="176">
        <f t="shared" si="98"/>
        <v>91</v>
      </c>
      <c r="Y89" s="176">
        <f t="shared" si="99"/>
        <v>111</v>
      </c>
      <c r="Z89" s="176">
        <f t="shared" si="100"/>
        <v>123</v>
      </c>
      <c r="AA89" s="176">
        <f t="shared" si="101"/>
        <v>131</v>
      </c>
      <c r="AB89" s="176">
        <f t="shared" si="102"/>
        <v>150</v>
      </c>
      <c r="AC89" s="176">
        <f t="shared" si="103"/>
        <v>180</v>
      </c>
      <c r="AD89" s="461">
        <f t="shared" si="104"/>
        <v>211</v>
      </c>
      <c r="AE89" s="468">
        <v>88</v>
      </c>
      <c r="AF89" s="163">
        <f t="shared" si="77"/>
        <v>211</v>
      </c>
    </row>
    <row r="90" spans="1:32" x14ac:dyDescent="0.35">
      <c r="B90" s="420">
        <v>89</v>
      </c>
      <c r="C90" s="326" t="s">
        <v>88</v>
      </c>
      <c r="D90" s="100">
        <f>[2]ASB!DF15</f>
        <v>60</v>
      </c>
      <c r="E90" s="100">
        <f>[2]ASB!DG15</f>
        <v>53</v>
      </c>
      <c r="F90" s="100">
        <f>[2]ASB!DH15</f>
        <v>49</v>
      </c>
      <c r="G90" s="100">
        <f>[2]ASB!DI15</f>
        <v>57</v>
      </c>
      <c r="H90" s="100">
        <f>[2]ASB!DJ15</f>
        <v>84</v>
      </c>
      <c r="I90" s="100">
        <f>[2]ASB!DK15</f>
        <v>60</v>
      </c>
      <c r="J90" s="100">
        <f>[2]ASB!DL15</f>
        <v>55</v>
      </c>
      <c r="K90" s="100">
        <f>[2]ASB!DM15</f>
        <v>32</v>
      </c>
      <c r="L90" s="100">
        <f>[2]ASB!DN15</f>
        <v>49</v>
      </c>
      <c r="M90" s="100">
        <f>[2]ASB!DO15</f>
        <v>33</v>
      </c>
      <c r="N90" s="100">
        <f>[2]ASB!DP15</f>
        <v>40</v>
      </c>
      <c r="O90" s="100">
        <f>[2]ASB!DQ15</f>
        <v>47</v>
      </c>
      <c r="P90" s="100"/>
      <c r="Q90" s="468">
        <v>89</v>
      </c>
      <c r="R90" s="328" t="s">
        <v>88</v>
      </c>
      <c r="S90" s="176">
        <f t="shared" si="93"/>
        <v>60</v>
      </c>
      <c r="T90" s="176">
        <f t="shared" si="94"/>
        <v>113</v>
      </c>
      <c r="U90" s="176">
        <f t="shared" si="95"/>
        <v>162</v>
      </c>
      <c r="V90" s="176">
        <f t="shared" si="96"/>
        <v>219</v>
      </c>
      <c r="W90" s="176">
        <f t="shared" si="97"/>
        <v>303</v>
      </c>
      <c r="X90" s="176">
        <f t="shared" si="98"/>
        <v>363</v>
      </c>
      <c r="Y90" s="176">
        <f t="shared" si="99"/>
        <v>418</v>
      </c>
      <c r="Z90" s="176">
        <f t="shared" si="100"/>
        <v>450</v>
      </c>
      <c r="AA90" s="176">
        <f t="shared" si="101"/>
        <v>499</v>
      </c>
      <c r="AB90" s="176">
        <f t="shared" si="102"/>
        <v>532</v>
      </c>
      <c r="AC90" s="176">
        <f t="shared" si="103"/>
        <v>572</v>
      </c>
      <c r="AD90" s="461">
        <f t="shared" si="104"/>
        <v>619</v>
      </c>
      <c r="AE90" s="468">
        <v>89</v>
      </c>
      <c r="AF90" s="163">
        <f t="shared" si="77"/>
        <v>619</v>
      </c>
    </row>
    <row r="91" spans="1:32" x14ac:dyDescent="0.35">
      <c r="B91" s="420">
        <v>90</v>
      </c>
      <c r="C91" s="326" t="s">
        <v>87</v>
      </c>
      <c r="D91" s="100">
        <f>[2]ASB!DF16</f>
        <v>9</v>
      </c>
      <c r="E91" s="100">
        <f>[2]ASB!DG16</f>
        <v>9</v>
      </c>
      <c r="F91" s="100">
        <f>[2]ASB!DH16</f>
        <v>10</v>
      </c>
      <c r="G91" s="100">
        <f>[2]ASB!DI16</f>
        <v>6</v>
      </c>
      <c r="H91" s="100">
        <f>[2]ASB!DJ16</f>
        <v>7</v>
      </c>
      <c r="I91" s="100">
        <f>[2]ASB!DK16</f>
        <v>8</v>
      </c>
      <c r="J91" s="100">
        <f>[2]ASB!DL16</f>
        <v>1</v>
      </c>
      <c r="K91" s="100">
        <f>[2]ASB!DM16</f>
        <v>14</v>
      </c>
      <c r="L91" s="100">
        <f>[2]ASB!DN16</f>
        <v>3</v>
      </c>
      <c r="M91" s="100">
        <f>[2]ASB!DO16</f>
        <v>8</v>
      </c>
      <c r="N91" s="100">
        <f>[2]ASB!DP16</f>
        <v>7</v>
      </c>
      <c r="O91" s="100">
        <f>[2]ASB!DQ16</f>
        <v>7</v>
      </c>
      <c r="P91" s="100"/>
      <c r="Q91" s="468">
        <v>90</v>
      </c>
      <c r="R91" s="328" t="s">
        <v>87</v>
      </c>
      <c r="S91" s="176">
        <f t="shared" si="93"/>
        <v>9</v>
      </c>
      <c r="T91" s="176">
        <f t="shared" si="94"/>
        <v>18</v>
      </c>
      <c r="U91" s="176">
        <f t="shared" si="95"/>
        <v>28</v>
      </c>
      <c r="V91" s="176">
        <f t="shared" si="96"/>
        <v>34</v>
      </c>
      <c r="W91" s="176">
        <f t="shared" si="97"/>
        <v>41</v>
      </c>
      <c r="X91" s="176">
        <f t="shared" si="98"/>
        <v>49</v>
      </c>
      <c r="Y91" s="176">
        <f t="shared" si="99"/>
        <v>50</v>
      </c>
      <c r="Z91" s="176">
        <f t="shared" si="100"/>
        <v>64</v>
      </c>
      <c r="AA91" s="176">
        <f t="shared" si="101"/>
        <v>67</v>
      </c>
      <c r="AB91" s="176">
        <f t="shared" si="102"/>
        <v>75</v>
      </c>
      <c r="AC91" s="176">
        <f t="shared" si="103"/>
        <v>82</v>
      </c>
      <c r="AD91" s="461">
        <f t="shared" si="104"/>
        <v>89</v>
      </c>
      <c r="AE91" s="468">
        <v>90</v>
      </c>
      <c r="AF91" s="163">
        <f t="shared" si="77"/>
        <v>89</v>
      </c>
    </row>
    <row r="92" spans="1:32" x14ac:dyDescent="0.35">
      <c r="B92" s="420">
        <v>91</v>
      </c>
      <c r="C92" s="326" t="s">
        <v>90</v>
      </c>
      <c r="D92" s="257">
        <f>[2]DSF!EG5</f>
        <v>5</v>
      </c>
      <c r="E92" s="257">
        <f>[2]DSF!EH5</f>
        <v>1</v>
      </c>
      <c r="F92" s="257">
        <f>[2]DSF!EI5</f>
        <v>3</v>
      </c>
      <c r="G92" s="257">
        <f>[2]DSF!EJ5</f>
        <v>5</v>
      </c>
      <c r="H92" s="257">
        <f>[2]DSF!EK5</f>
        <v>2</v>
      </c>
      <c r="I92" s="257">
        <f>[2]DSF!EL5</f>
        <v>0</v>
      </c>
      <c r="J92" s="257">
        <f>[2]DSF!EM5</f>
        <v>1</v>
      </c>
      <c r="K92" s="257">
        <f>[2]DSF!EN5</f>
        <v>0</v>
      </c>
      <c r="L92" s="257">
        <f>[2]DSF!EO5</f>
        <v>1</v>
      </c>
      <c r="M92" s="257">
        <f>[2]DSF!EP5</f>
        <v>0</v>
      </c>
      <c r="N92" s="257">
        <f>[2]DSF!EQ5</f>
        <v>1</v>
      </c>
      <c r="O92" s="257">
        <f>[2]DSF!ER5</f>
        <v>3</v>
      </c>
      <c r="P92" s="100"/>
      <c r="Q92" s="468">
        <v>91</v>
      </c>
      <c r="R92" s="328" t="s">
        <v>90</v>
      </c>
      <c r="S92" s="176">
        <f t="shared" si="93"/>
        <v>5</v>
      </c>
      <c r="T92" s="176">
        <f t="shared" si="94"/>
        <v>6</v>
      </c>
      <c r="U92" s="176">
        <f t="shared" si="95"/>
        <v>9</v>
      </c>
      <c r="V92" s="176">
        <f t="shared" si="96"/>
        <v>14</v>
      </c>
      <c r="W92" s="176">
        <f t="shared" si="97"/>
        <v>16</v>
      </c>
      <c r="X92" s="176">
        <f t="shared" si="98"/>
        <v>16</v>
      </c>
      <c r="Y92" s="176">
        <f t="shared" si="99"/>
        <v>17</v>
      </c>
      <c r="Z92" s="176">
        <f t="shared" si="100"/>
        <v>17</v>
      </c>
      <c r="AA92" s="176">
        <f t="shared" si="101"/>
        <v>18</v>
      </c>
      <c r="AB92" s="176">
        <f t="shared" si="102"/>
        <v>18</v>
      </c>
      <c r="AC92" s="176">
        <f t="shared" si="103"/>
        <v>19</v>
      </c>
      <c r="AD92" s="461">
        <f t="shared" si="104"/>
        <v>22</v>
      </c>
      <c r="AE92" s="470">
        <v>91</v>
      </c>
      <c r="AF92" s="163">
        <f t="shared" si="77"/>
        <v>22</v>
      </c>
    </row>
    <row r="93" spans="1:32" x14ac:dyDescent="0.35">
      <c r="A93" s="162" t="s">
        <v>128</v>
      </c>
      <c r="B93" s="420">
        <v>92</v>
      </c>
      <c r="C93" s="326" t="s">
        <v>89</v>
      </c>
      <c r="D93" s="286">
        <f>SUM(D94:D95)</f>
        <v>7</v>
      </c>
      <c r="E93" s="286">
        <f t="shared" ref="E93:O93" si="106">SUM(E94:E95)</f>
        <v>9</v>
      </c>
      <c r="F93" s="286">
        <f t="shared" si="106"/>
        <v>8</v>
      </c>
      <c r="G93" s="286">
        <f t="shared" si="106"/>
        <v>9</v>
      </c>
      <c r="H93" s="286">
        <f t="shared" si="106"/>
        <v>2</v>
      </c>
      <c r="I93" s="286">
        <f t="shared" si="106"/>
        <v>4</v>
      </c>
      <c r="J93" s="286">
        <f t="shared" si="106"/>
        <v>3</v>
      </c>
      <c r="K93" s="286">
        <f t="shared" si="106"/>
        <v>5</v>
      </c>
      <c r="L93" s="286">
        <f t="shared" si="106"/>
        <v>4</v>
      </c>
      <c r="M93" s="286">
        <f t="shared" si="106"/>
        <v>4</v>
      </c>
      <c r="N93" s="286">
        <f t="shared" si="106"/>
        <v>5</v>
      </c>
      <c r="O93" s="286">
        <f t="shared" si="106"/>
        <v>5</v>
      </c>
      <c r="P93" s="181"/>
      <c r="Q93" s="468">
        <v>92</v>
      </c>
      <c r="R93" s="328" t="s">
        <v>89</v>
      </c>
      <c r="S93" s="176">
        <f t="shared" si="93"/>
        <v>7</v>
      </c>
      <c r="T93" s="176">
        <f t="shared" si="94"/>
        <v>16</v>
      </c>
      <c r="U93" s="176">
        <f t="shared" si="95"/>
        <v>24</v>
      </c>
      <c r="V93" s="176">
        <f t="shared" si="96"/>
        <v>33</v>
      </c>
      <c r="W93" s="176">
        <f t="shared" si="97"/>
        <v>35</v>
      </c>
      <c r="X93" s="176">
        <f t="shared" si="98"/>
        <v>39</v>
      </c>
      <c r="Y93" s="176">
        <f t="shared" si="99"/>
        <v>42</v>
      </c>
      <c r="Z93" s="176">
        <f t="shared" si="100"/>
        <v>47</v>
      </c>
      <c r="AA93" s="176">
        <f t="shared" si="101"/>
        <v>51</v>
      </c>
      <c r="AB93" s="176">
        <f t="shared" si="102"/>
        <v>55</v>
      </c>
      <c r="AC93" s="176">
        <f t="shared" si="103"/>
        <v>60</v>
      </c>
      <c r="AD93" s="461">
        <f t="shared" si="104"/>
        <v>65</v>
      </c>
      <c r="AE93" s="468">
        <v>92</v>
      </c>
      <c r="AF93" s="163">
        <f t="shared" si="77"/>
        <v>65</v>
      </c>
    </row>
    <row r="94" spans="1:32" x14ac:dyDescent="0.35">
      <c r="B94" s="421">
        <v>93</v>
      </c>
      <c r="C94" s="326" t="s">
        <v>66</v>
      </c>
      <c r="D94" s="285">
        <f>[2]KSI!DG4</f>
        <v>0</v>
      </c>
      <c r="E94" s="285">
        <f>[2]KSI!DH4</f>
        <v>1</v>
      </c>
      <c r="F94" s="285">
        <f>[2]KSI!DI4</f>
        <v>1</v>
      </c>
      <c r="G94" s="285">
        <f>[2]KSI!DJ4</f>
        <v>2</v>
      </c>
      <c r="H94" s="285">
        <f>[2]KSI!DK4</f>
        <v>0</v>
      </c>
      <c r="I94" s="285">
        <f>[2]KSI!DL4</f>
        <v>1</v>
      </c>
      <c r="J94" s="285">
        <f>[2]KSI!DM4</f>
        <v>0</v>
      </c>
      <c r="K94" s="285">
        <f>[2]KSI!DN4</f>
        <v>1</v>
      </c>
      <c r="L94" s="285">
        <f>[2]KSI!DO4</f>
        <v>1</v>
      </c>
      <c r="M94" s="285">
        <f>[2]KSI!DP4</f>
        <v>1</v>
      </c>
      <c r="N94" s="285">
        <f>[2]KSI!DQ4</f>
        <v>0</v>
      </c>
      <c r="O94" s="285">
        <f>[2]KSI!DR4</f>
        <v>1</v>
      </c>
      <c r="P94" s="181"/>
      <c r="Q94" s="468">
        <v>93</v>
      </c>
      <c r="R94" s="328" t="s">
        <v>66</v>
      </c>
      <c r="S94" s="176">
        <f t="shared" si="93"/>
        <v>0</v>
      </c>
      <c r="T94" s="176">
        <f t="shared" si="94"/>
        <v>1</v>
      </c>
      <c r="U94" s="176">
        <f t="shared" si="95"/>
        <v>2</v>
      </c>
      <c r="V94" s="176">
        <f t="shared" si="96"/>
        <v>4</v>
      </c>
      <c r="W94" s="176">
        <f t="shared" si="97"/>
        <v>4</v>
      </c>
      <c r="X94" s="176">
        <f t="shared" si="98"/>
        <v>5</v>
      </c>
      <c r="Y94" s="176">
        <f t="shared" si="99"/>
        <v>5</v>
      </c>
      <c r="Z94" s="176">
        <f t="shared" si="100"/>
        <v>6</v>
      </c>
      <c r="AA94" s="176">
        <f t="shared" si="101"/>
        <v>7</v>
      </c>
      <c r="AB94" s="176">
        <f t="shared" si="102"/>
        <v>8</v>
      </c>
      <c r="AC94" s="176">
        <f t="shared" si="103"/>
        <v>8</v>
      </c>
      <c r="AD94" s="461">
        <f t="shared" si="104"/>
        <v>9</v>
      </c>
      <c r="AE94" s="468">
        <v>93</v>
      </c>
      <c r="AF94" s="163">
        <f t="shared" si="77"/>
        <v>9</v>
      </c>
    </row>
    <row r="95" spans="1:32" x14ac:dyDescent="0.35">
      <c r="B95" s="420">
        <v>94</v>
      </c>
      <c r="C95" s="326" t="s">
        <v>67</v>
      </c>
      <c r="D95" s="285">
        <f>[2]KSI!DG5</f>
        <v>7</v>
      </c>
      <c r="E95" s="285">
        <f>[2]KSI!DH5</f>
        <v>8</v>
      </c>
      <c r="F95" s="285">
        <f>[2]KSI!DI5</f>
        <v>7</v>
      </c>
      <c r="G95" s="285">
        <f>[2]KSI!DJ5</f>
        <v>7</v>
      </c>
      <c r="H95" s="285">
        <f>[2]KSI!DK5</f>
        <v>2</v>
      </c>
      <c r="I95" s="285">
        <f>[2]KSI!DL5</f>
        <v>3</v>
      </c>
      <c r="J95" s="285">
        <f>[2]KSI!DM5</f>
        <v>3</v>
      </c>
      <c r="K95" s="285">
        <f>[2]KSI!DN5</f>
        <v>4</v>
      </c>
      <c r="L95" s="285">
        <f>[2]KSI!DO5</f>
        <v>3</v>
      </c>
      <c r="M95" s="285">
        <f>[2]KSI!DP5</f>
        <v>3</v>
      </c>
      <c r="N95" s="285">
        <f>[2]KSI!DQ5</f>
        <v>5</v>
      </c>
      <c r="O95" s="285">
        <f>[2]KSI!DR5</f>
        <v>4</v>
      </c>
      <c r="P95" s="181"/>
      <c r="Q95" s="468">
        <v>94</v>
      </c>
      <c r="R95" s="328" t="s">
        <v>67</v>
      </c>
      <c r="S95" s="176">
        <f t="shared" si="93"/>
        <v>7</v>
      </c>
      <c r="T95" s="176">
        <f t="shared" si="94"/>
        <v>15</v>
      </c>
      <c r="U95" s="176">
        <f t="shared" si="95"/>
        <v>22</v>
      </c>
      <c r="V95" s="176">
        <f t="shared" si="96"/>
        <v>29</v>
      </c>
      <c r="W95" s="176">
        <f t="shared" si="97"/>
        <v>31</v>
      </c>
      <c r="X95" s="176">
        <f t="shared" si="98"/>
        <v>34</v>
      </c>
      <c r="Y95" s="176">
        <f t="shared" si="99"/>
        <v>37</v>
      </c>
      <c r="Z95" s="176">
        <f t="shared" si="100"/>
        <v>41</v>
      </c>
      <c r="AA95" s="176">
        <f t="shared" si="101"/>
        <v>44</v>
      </c>
      <c r="AB95" s="176">
        <f t="shared" si="102"/>
        <v>47</v>
      </c>
      <c r="AC95" s="176">
        <f t="shared" si="103"/>
        <v>52</v>
      </c>
      <c r="AD95" s="461">
        <f t="shared" si="104"/>
        <v>56</v>
      </c>
      <c r="AE95" s="470">
        <v>94</v>
      </c>
      <c r="AF95" s="163">
        <f t="shared" si="77"/>
        <v>56</v>
      </c>
    </row>
    <row r="96" spans="1:32" ht="23" x14ac:dyDescent="0.5">
      <c r="B96" s="420">
        <v>95</v>
      </c>
      <c r="C96" s="330" t="s">
        <v>58</v>
      </c>
      <c r="D96" s="172"/>
      <c r="E96" s="172"/>
      <c r="F96" s="172"/>
      <c r="G96" s="172"/>
      <c r="H96" s="172"/>
      <c r="I96" s="172"/>
      <c r="J96" s="172"/>
      <c r="K96" s="172"/>
      <c r="L96" s="172"/>
      <c r="M96" s="172"/>
      <c r="N96" s="172"/>
      <c r="O96" s="172"/>
      <c r="P96" s="182"/>
      <c r="Q96" s="468">
        <v>95</v>
      </c>
      <c r="R96" s="330" t="s">
        <v>58</v>
      </c>
      <c r="S96" s="176"/>
      <c r="T96" s="176"/>
      <c r="U96" s="176"/>
      <c r="V96" s="176"/>
      <c r="W96" s="176"/>
      <c r="X96" s="176"/>
      <c r="Y96" s="176"/>
      <c r="Z96" s="176"/>
      <c r="AA96" s="176"/>
      <c r="AB96" s="176"/>
      <c r="AC96" s="176"/>
      <c r="AD96" s="461"/>
      <c r="AE96" s="468">
        <v>95</v>
      </c>
      <c r="AF96" s="163">
        <f t="shared" si="77"/>
        <v>0</v>
      </c>
    </row>
    <row r="97" spans="2:32" x14ac:dyDescent="0.35">
      <c r="B97" s="420">
        <v>96</v>
      </c>
      <c r="C97" s="331" t="s">
        <v>56</v>
      </c>
      <c r="D97" s="168">
        <v>45017</v>
      </c>
      <c r="E97" s="168">
        <v>45047</v>
      </c>
      <c r="F97" s="168">
        <v>45078</v>
      </c>
      <c r="G97" s="168">
        <v>45108</v>
      </c>
      <c r="H97" s="168">
        <v>45139</v>
      </c>
      <c r="I97" s="168">
        <v>45170</v>
      </c>
      <c r="J97" s="168">
        <v>45200</v>
      </c>
      <c r="K97" s="168">
        <v>45231</v>
      </c>
      <c r="L97" s="168">
        <v>45261</v>
      </c>
      <c r="M97" s="168">
        <v>45292</v>
      </c>
      <c r="N97" s="168">
        <v>45323</v>
      </c>
      <c r="O97" s="168">
        <v>45352</v>
      </c>
      <c r="P97" s="168"/>
      <c r="Q97" s="468">
        <v>96</v>
      </c>
      <c r="R97" s="333" t="s">
        <v>56</v>
      </c>
      <c r="S97" s="168">
        <v>45017</v>
      </c>
      <c r="T97" s="168">
        <v>45047</v>
      </c>
      <c r="U97" s="168">
        <v>45078</v>
      </c>
      <c r="V97" s="168">
        <v>45108</v>
      </c>
      <c r="W97" s="168">
        <v>45139</v>
      </c>
      <c r="X97" s="168">
        <v>45170</v>
      </c>
      <c r="Y97" s="168">
        <v>45200</v>
      </c>
      <c r="Z97" s="168">
        <v>45231</v>
      </c>
      <c r="AA97" s="168">
        <v>45261</v>
      </c>
      <c r="AB97" s="168">
        <v>45292</v>
      </c>
      <c r="AC97" s="168">
        <v>45323</v>
      </c>
      <c r="AD97" s="168">
        <v>45352</v>
      </c>
      <c r="AE97" s="468">
        <v>96</v>
      </c>
      <c r="AF97" s="163">
        <f t="shared" si="77"/>
        <v>542218</v>
      </c>
    </row>
    <row r="98" spans="2:32" x14ac:dyDescent="0.35">
      <c r="B98" s="420">
        <v>97</v>
      </c>
      <c r="C98" s="331" t="s">
        <v>33</v>
      </c>
      <c r="D98" s="194">
        <f>[2]Districts_Boroughs!DF53</f>
        <v>946</v>
      </c>
      <c r="E98" s="194">
        <f>[2]Districts_Boroughs!DG53</f>
        <v>917</v>
      </c>
      <c r="F98" s="194">
        <f>[2]Districts_Boroughs!DH53</f>
        <v>975</v>
      </c>
      <c r="G98" s="194">
        <f>[2]Districts_Boroughs!DI53</f>
        <v>1055</v>
      </c>
      <c r="H98" s="194">
        <f>[2]Districts_Boroughs!DJ53</f>
        <v>892</v>
      </c>
      <c r="I98" s="194">
        <f>[2]Districts_Boroughs!DK53</f>
        <v>959</v>
      </c>
      <c r="J98" s="194">
        <f>[2]Districts_Boroughs!DL53</f>
        <v>1021</v>
      </c>
      <c r="K98" s="194">
        <f>[2]Districts_Boroughs!DM53</f>
        <v>845</v>
      </c>
      <c r="L98" s="194">
        <f>[2]Districts_Boroughs!DN53</f>
        <v>895</v>
      </c>
      <c r="M98" s="194">
        <f>[2]Districts_Boroughs!DO53</f>
        <v>959</v>
      </c>
      <c r="N98" s="194">
        <f>[2]Districts_Boroughs!DP53</f>
        <v>859</v>
      </c>
      <c r="O98" s="194">
        <f>[2]Districts_Boroughs!DQ53</f>
        <v>944</v>
      </c>
      <c r="P98" s="184"/>
      <c r="Q98" s="468">
        <v>97</v>
      </c>
      <c r="R98" s="333" t="s">
        <v>33</v>
      </c>
      <c r="S98" s="176">
        <f t="shared" ref="S98:S112" si="107">D98</f>
        <v>946</v>
      </c>
      <c r="T98" s="176">
        <f t="shared" ref="T98:T112" si="108">S98+E98</f>
        <v>1863</v>
      </c>
      <c r="U98" s="176">
        <f t="shared" ref="U98:U112" si="109">T98+F98</f>
        <v>2838</v>
      </c>
      <c r="V98" s="176">
        <f t="shared" ref="V98:V112" si="110">U98+G98</f>
        <v>3893</v>
      </c>
      <c r="W98" s="176">
        <f t="shared" ref="W98:W112" si="111">V98+H98</f>
        <v>4785</v>
      </c>
      <c r="X98" s="176">
        <f t="shared" ref="X98:X112" si="112">W98+I98</f>
        <v>5744</v>
      </c>
      <c r="Y98" s="176">
        <f t="shared" ref="Y98:Y112" si="113">X98+J98</f>
        <v>6765</v>
      </c>
      <c r="Z98" s="176">
        <f t="shared" ref="Z98:Z112" si="114">Y98+K98</f>
        <v>7610</v>
      </c>
      <c r="AA98" s="176">
        <f t="shared" ref="AA98:AA112" si="115">Z98+L98</f>
        <v>8505</v>
      </c>
      <c r="AB98" s="176">
        <f t="shared" ref="AB98:AB112" si="116">AA98+M98</f>
        <v>9464</v>
      </c>
      <c r="AC98" s="176">
        <f t="shared" ref="AC98:AC112" si="117">AB98+N98</f>
        <v>10323</v>
      </c>
      <c r="AD98" s="461">
        <f t="shared" ref="AD98:AD112" si="118">AC98+O98</f>
        <v>11267</v>
      </c>
      <c r="AE98" s="468">
        <v>97</v>
      </c>
      <c r="AF98" s="163">
        <f t="shared" si="77"/>
        <v>11267</v>
      </c>
    </row>
    <row r="99" spans="2:32" x14ac:dyDescent="0.35">
      <c r="B99" s="421">
        <v>98</v>
      </c>
      <c r="C99" s="331" t="s">
        <v>39</v>
      </c>
      <c r="D99" s="194">
        <f>[2]Districts_Boroughs!DF55</f>
        <v>112</v>
      </c>
      <c r="E99" s="194">
        <f>[2]Districts_Boroughs!DG55</f>
        <v>126</v>
      </c>
      <c r="F99" s="194">
        <f>[2]Districts_Boroughs!DH55</f>
        <v>163</v>
      </c>
      <c r="G99" s="194">
        <f>[2]Districts_Boroughs!DI55</f>
        <v>129</v>
      </c>
      <c r="H99" s="194">
        <f>[2]Districts_Boroughs!DJ55</f>
        <v>149</v>
      </c>
      <c r="I99" s="194">
        <f>[2]Districts_Boroughs!DK55</f>
        <v>132</v>
      </c>
      <c r="J99" s="194">
        <f>[2]Districts_Boroughs!DL55</f>
        <v>131</v>
      </c>
      <c r="K99" s="194">
        <f>[2]Districts_Boroughs!DM55</f>
        <v>130</v>
      </c>
      <c r="L99" s="194">
        <f>[2]Districts_Boroughs!DN55</f>
        <v>135</v>
      </c>
      <c r="M99" s="194">
        <f>[2]Districts_Boroughs!DO55</f>
        <v>126</v>
      </c>
      <c r="N99" s="194">
        <f>[2]Districts_Boroughs!DP55</f>
        <v>113</v>
      </c>
      <c r="O99" s="194">
        <f>[2]Districts_Boroughs!DQ55</f>
        <v>123</v>
      </c>
      <c r="P99" s="184"/>
      <c r="Q99" s="468">
        <v>98</v>
      </c>
      <c r="R99" s="333" t="s">
        <v>39</v>
      </c>
      <c r="S99" s="176">
        <f t="shared" si="107"/>
        <v>112</v>
      </c>
      <c r="T99" s="176">
        <f t="shared" si="108"/>
        <v>238</v>
      </c>
      <c r="U99" s="176">
        <f t="shared" si="109"/>
        <v>401</v>
      </c>
      <c r="V99" s="176">
        <f t="shared" si="110"/>
        <v>530</v>
      </c>
      <c r="W99" s="176">
        <f t="shared" si="111"/>
        <v>679</v>
      </c>
      <c r="X99" s="176">
        <f t="shared" si="112"/>
        <v>811</v>
      </c>
      <c r="Y99" s="176">
        <f t="shared" si="113"/>
        <v>942</v>
      </c>
      <c r="Z99" s="176">
        <f t="shared" si="114"/>
        <v>1072</v>
      </c>
      <c r="AA99" s="176">
        <f t="shared" si="115"/>
        <v>1207</v>
      </c>
      <c r="AB99" s="176">
        <f t="shared" si="116"/>
        <v>1333</v>
      </c>
      <c r="AC99" s="176">
        <f t="shared" si="117"/>
        <v>1446</v>
      </c>
      <c r="AD99" s="461">
        <f t="shared" si="118"/>
        <v>1569</v>
      </c>
      <c r="AE99" s="468">
        <v>98</v>
      </c>
      <c r="AF99" s="163">
        <f t="shared" si="77"/>
        <v>1569</v>
      </c>
    </row>
    <row r="100" spans="2:32" x14ac:dyDescent="0.35">
      <c r="B100" s="420">
        <v>99</v>
      </c>
      <c r="C100" s="331" t="s">
        <v>40</v>
      </c>
      <c r="D100" s="194">
        <f>[2]Districts_Boroughs!DF56</f>
        <v>292</v>
      </c>
      <c r="E100" s="194">
        <f>[2]Districts_Boroughs!DG56</f>
        <v>250</v>
      </c>
      <c r="F100" s="194">
        <f>[2]Districts_Boroughs!DH56</f>
        <v>245</v>
      </c>
      <c r="G100" s="194">
        <f>[2]Districts_Boroughs!DI56</f>
        <v>272</v>
      </c>
      <c r="H100" s="194">
        <f>[2]Districts_Boroughs!DJ56</f>
        <v>234</v>
      </c>
      <c r="I100" s="194">
        <f>[2]Districts_Boroughs!DK56</f>
        <v>265</v>
      </c>
      <c r="J100" s="194">
        <f>[2]Districts_Boroughs!DL56</f>
        <v>294</v>
      </c>
      <c r="K100" s="194">
        <f>[2]Districts_Boroughs!DM56</f>
        <v>242</v>
      </c>
      <c r="L100" s="194">
        <f>[2]Districts_Boroughs!DN56</f>
        <v>245</v>
      </c>
      <c r="M100" s="194">
        <f>[2]Districts_Boroughs!DO56</f>
        <v>245</v>
      </c>
      <c r="N100" s="194">
        <f>[2]Districts_Boroughs!DP56</f>
        <v>262</v>
      </c>
      <c r="O100" s="194">
        <f>[2]Districts_Boroughs!DQ56</f>
        <v>211</v>
      </c>
      <c r="P100" s="184"/>
      <c r="Q100" s="468">
        <v>99</v>
      </c>
      <c r="R100" s="333" t="s">
        <v>40</v>
      </c>
      <c r="S100" s="176">
        <f t="shared" si="107"/>
        <v>292</v>
      </c>
      <c r="T100" s="176">
        <f t="shared" si="108"/>
        <v>542</v>
      </c>
      <c r="U100" s="176">
        <f t="shared" si="109"/>
        <v>787</v>
      </c>
      <c r="V100" s="176">
        <f t="shared" si="110"/>
        <v>1059</v>
      </c>
      <c r="W100" s="176">
        <f t="shared" si="111"/>
        <v>1293</v>
      </c>
      <c r="X100" s="176">
        <f t="shared" si="112"/>
        <v>1558</v>
      </c>
      <c r="Y100" s="176">
        <f t="shared" si="113"/>
        <v>1852</v>
      </c>
      <c r="Z100" s="176">
        <f t="shared" si="114"/>
        <v>2094</v>
      </c>
      <c r="AA100" s="176">
        <f t="shared" si="115"/>
        <v>2339</v>
      </c>
      <c r="AB100" s="176">
        <f t="shared" si="116"/>
        <v>2584</v>
      </c>
      <c r="AC100" s="176">
        <f t="shared" si="117"/>
        <v>2846</v>
      </c>
      <c r="AD100" s="461">
        <f t="shared" si="118"/>
        <v>3057</v>
      </c>
      <c r="AE100" s="470">
        <v>99</v>
      </c>
      <c r="AF100" s="163">
        <f t="shared" si="77"/>
        <v>3057</v>
      </c>
    </row>
    <row r="101" spans="2:32" x14ac:dyDescent="0.35">
      <c r="B101" s="420">
        <v>100</v>
      </c>
      <c r="C101" s="331" t="s">
        <v>5</v>
      </c>
      <c r="D101" s="194">
        <f>[2]Districts_Boroughs!DF57</f>
        <v>10</v>
      </c>
      <c r="E101" s="194">
        <f>[2]Districts_Boroughs!DG57</f>
        <v>20</v>
      </c>
      <c r="F101" s="194">
        <f>[2]Districts_Boroughs!DH57</f>
        <v>12</v>
      </c>
      <c r="G101" s="194">
        <f>[2]Districts_Boroughs!DI57</f>
        <v>7</v>
      </c>
      <c r="H101" s="194">
        <f>[2]Districts_Boroughs!DJ57</f>
        <v>5</v>
      </c>
      <c r="I101" s="194">
        <f>[2]Districts_Boroughs!DK57</f>
        <v>14</v>
      </c>
      <c r="J101" s="194">
        <f>[2]Districts_Boroughs!DL57</f>
        <v>12</v>
      </c>
      <c r="K101" s="194">
        <f>[2]Districts_Boroughs!DM57</f>
        <v>10</v>
      </c>
      <c r="L101" s="194">
        <f>[2]Districts_Boroughs!DN57</f>
        <v>10</v>
      </c>
      <c r="M101" s="194">
        <f>[2]Districts_Boroughs!DO57</f>
        <v>14</v>
      </c>
      <c r="N101" s="194">
        <f>[2]Districts_Boroughs!DP57</f>
        <v>7</v>
      </c>
      <c r="O101" s="194">
        <f>[2]Districts_Boroughs!DQ57</f>
        <v>11</v>
      </c>
      <c r="P101" s="184"/>
      <c r="Q101" s="468">
        <v>100</v>
      </c>
      <c r="R101" s="333" t="s">
        <v>5</v>
      </c>
      <c r="S101" s="176">
        <f t="shared" si="107"/>
        <v>10</v>
      </c>
      <c r="T101" s="176">
        <f t="shared" si="108"/>
        <v>30</v>
      </c>
      <c r="U101" s="176">
        <f t="shared" si="109"/>
        <v>42</v>
      </c>
      <c r="V101" s="176">
        <f t="shared" si="110"/>
        <v>49</v>
      </c>
      <c r="W101" s="176">
        <f t="shared" si="111"/>
        <v>54</v>
      </c>
      <c r="X101" s="176">
        <f t="shared" si="112"/>
        <v>68</v>
      </c>
      <c r="Y101" s="176">
        <f t="shared" si="113"/>
        <v>80</v>
      </c>
      <c r="Z101" s="176">
        <f t="shared" si="114"/>
        <v>90</v>
      </c>
      <c r="AA101" s="176">
        <f t="shared" si="115"/>
        <v>100</v>
      </c>
      <c r="AB101" s="176">
        <f t="shared" si="116"/>
        <v>114</v>
      </c>
      <c r="AC101" s="176">
        <f t="shared" si="117"/>
        <v>121</v>
      </c>
      <c r="AD101" s="461">
        <f t="shared" si="118"/>
        <v>132</v>
      </c>
      <c r="AE101" s="468">
        <v>100</v>
      </c>
      <c r="AF101" s="163">
        <f t="shared" si="77"/>
        <v>132</v>
      </c>
    </row>
    <row r="102" spans="2:32" x14ac:dyDescent="0.35">
      <c r="B102" s="420">
        <v>101</v>
      </c>
      <c r="C102" s="331" t="s">
        <v>35</v>
      </c>
      <c r="D102" s="194">
        <f>[2]Districts_Boroughs!DF58</f>
        <v>24</v>
      </c>
      <c r="E102" s="194">
        <f>[2]Districts_Boroughs!DG58</f>
        <v>30</v>
      </c>
      <c r="F102" s="194">
        <f>[2]Districts_Boroughs!DH58</f>
        <v>28</v>
      </c>
      <c r="G102" s="194">
        <f>[2]Districts_Boroughs!DI58</f>
        <v>29</v>
      </c>
      <c r="H102" s="194">
        <f>[2]Districts_Boroughs!DJ58</f>
        <v>23</v>
      </c>
      <c r="I102" s="194">
        <f>[2]Districts_Boroughs!DK58</f>
        <v>28</v>
      </c>
      <c r="J102" s="194">
        <f>[2]Districts_Boroughs!DL58</f>
        <v>40</v>
      </c>
      <c r="K102" s="194">
        <f>[2]Districts_Boroughs!DM58</f>
        <v>17</v>
      </c>
      <c r="L102" s="194">
        <f>[2]Districts_Boroughs!DN58</f>
        <v>19</v>
      </c>
      <c r="M102" s="194">
        <f>[2]Districts_Boroughs!DO58</f>
        <v>28</v>
      </c>
      <c r="N102" s="194">
        <f>[2]Districts_Boroughs!DP58</f>
        <v>23</v>
      </c>
      <c r="O102" s="194">
        <f>[2]Districts_Boroughs!DQ58</f>
        <v>28</v>
      </c>
      <c r="P102" s="184"/>
      <c r="Q102" s="468">
        <v>101</v>
      </c>
      <c r="R102" s="333" t="s">
        <v>35</v>
      </c>
      <c r="S102" s="176">
        <f t="shared" si="107"/>
        <v>24</v>
      </c>
      <c r="T102" s="176">
        <f t="shared" si="108"/>
        <v>54</v>
      </c>
      <c r="U102" s="176">
        <f t="shared" si="109"/>
        <v>82</v>
      </c>
      <c r="V102" s="176">
        <f t="shared" si="110"/>
        <v>111</v>
      </c>
      <c r="W102" s="176">
        <f t="shared" si="111"/>
        <v>134</v>
      </c>
      <c r="X102" s="176">
        <f t="shared" si="112"/>
        <v>162</v>
      </c>
      <c r="Y102" s="176">
        <f t="shared" si="113"/>
        <v>202</v>
      </c>
      <c r="Z102" s="176">
        <f t="shared" si="114"/>
        <v>219</v>
      </c>
      <c r="AA102" s="176">
        <f t="shared" si="115"/>
        <v>238</v>
      </c>
      <c r="AB102" s="176">
        <f t="shared" si="116"/>
        <v>266</v>
      </c>
      <c r="AC102" s="176">
        <f t="shared" si="117"/>
        <v>289</v>
      </c>
      <c r="AD102" s="461">
        <f t="shared" si="118"/>
        <v>317</v>
      </c>
      <c r="AE102" s="468">
        <v>101</v>
      </c>
      <c r="AF102" s="163">
        <f t="shared" si="77"/>
        <v>317</v>
      </c>
    </row>
    <row r="103" spans="2:32" x14ac:dyDescent="0.35">
      <c r="B103" s="420">
        <v>102</v>
      </c>
      <c r="C103" s="331" t="s">
        <v>36</v>
      </c>
      <c r="D103" s="194">
        <f>[2]Districts_Boroughs!DF59</f>
        <v>0</v>
      </c>
      <c r="E103" s="194">
        <f>[2]Districts_Boroughs!DG59</f>
        <v>2</v>
      </c>
      <c r="F103" s="194">
        <f>[2]Districts_Boroughs!DH59</f>
        <v>1</v>
      </c>
      <c r="G103" s="194">
        <f>[2]Districts_Boroughs!DI59</f>
        <v>0</v>
      </c>
      <c r="H103" s="194">
        <f>[2]Districts_Boroughs!DJ59</f>
        <v>0</v>
      </c>
      <c r="I103" s="194">
        <f>[2]Districts_Boroughs!DK59</f>
        <v>0</v>
      </c>
      <c r="J103" s="194">
        <f>[2]Districts_Boroughs!DL59</f>
        <v>4</v>
      </c>
      <c r="K103" s="194">
        <f>[2]Districts_Boroughs!DM59</f>
        <v>1</v>
      </c>
      <c r="L103" s="194">
        <f>[2]Districts_Boroughs!DN59</f>
        <v>2</v>
      </c>
      <c r="M103" s="194">
        <f>[2]Districts_Boroughs!DO59</f>
        <v>0</v>
      </c>
      <c r="N103" s="194">
        <f>[2]Districts_Boroughs!DP59</f>
        <v>0</v>
      </c>
      <c r="O103" s="194">
        <f>[2]Districts_Boroughs!DQ59</f>
        <v>0</v>
      </c>
      <c r="P103" s="184"/>
      <c r="Q103" s="468">
        <v>102</v>
      </c>
      <c r="R103" s="333" t="s">
        <v>36</v>
      </c>
      <c r="S103" s="176">
        <f t="shared" si="107"/>
        <v>0</v>
      </c>
      <c r="T103" s="176">
        <f t="shared" si="108"/>
        <v>2</v>
      </c>
      <c r="U103" s="176">
        <f t="shared" si="109"/>
        <v>3</v>
      </c>
      <c r="V103" s="176">
        <f t="shared" si="110"/>
        <v>3</v>
      </c>
      <c r="W103" s="176">
        <f t="shared" si="111"/>
        <v>3</v>
      </c>
      <c r="X103" s="176">
        <f t="shared" si="112"/>
        <v>3</v>
      </c>
      <c r="Y103" s="176">
        <f t="shared" si="113"/>
        <v>7</v>
      </c>
      <c r="Z103" s="176">
        <f t="shared" si="114"/>
        <v>8</v>
      </c>
      <c r="AA103" s="176">
        <f t="shared" si="115"/>
        <v>10</v>
      </c>
      <c r="AB103" s="176">
        <f t="shared" si="116"/>
        <v>10</v>
      </c>
      <c r="AC103" s="176">
        <f t="shared" si="117"/>
        <v>10</v>
      </c>
      <c r="AD103" s="461">
        <f t="shared" si="118"/>
        <v>10</v>
      </c>
      <c r="AE103" s="470">
        <v>102</v>
      </c>
      <c r="AF103" s="163">
        <f t="shared" si="77"/>
        <v>10</v>
      </c>
    </row>
    <row r="104" spans="2:32" x14ac:dyDescent="0.35">
      <c r="B104" s="421">
        <v>103</v>
      </c>
      <c r="C104" s="331" t="s">
        <v>37</v>
      </c>
      <c r="D104" s="194">
        <f>[2]Districts_Boroughs!DF60</f>
        <v>6</v>
      </c>
      <c r="E104" s="194">
        <f>[2]Districts_Boroughs!DG60</f>
        <v>10</v>
      </c>
      <c r="F104" s="194">
        <f>[2]Districts_Boroughs!DH60</f>
        <v>11</v>
      </c>
      <c r="G104" s="194">
        <f>[2]Districts_Boroughs!DI60</f>
        <v>19</v>
      </c>
      <c r="H104" s="194">
        <f>[2]Districts_Boroughs!DJ60</f>
        <v>17</v>
      </c>
      <c r="I104" s="194">
        <f>[2]Districts_Boroughs!DK60</f>
        <v>13</v>
      </c>
      <c r="J104" s="194">
        <f>[2]Districts_Boroughs!DL60</f>
        <v>6</v>
      </c>
      <c r="K104" s="194">
        <f>[2]Districts_Boroughs!DM60</f>
        <v>9</v>
      </c>
      <c r="L104" s="194">
        <f>[2]Districts_Boroughs!DN60</f>
        <v>12</v>
      </c>
      <c r="M104" s="194">
        <f>[2]Districts_Boroughs!DO60</f>
        <v>12</v>
      </c>
      <c r="N104" s="194">
        <f>[2]Districts_Boroughs!DP60</f>
        <v>11</v>
      </c>
      <c r="O104" s="194">
        <f>[2]Districts_Boroughs!DQ60</f>
        <v>15</v>
      </c>
      <c r="P104" s="184"/>
      <c r="Q104" s="468">
        <v>103</v>
      </c>
      <c r="R104" s="333" t="s">
        <v>37</v>
      </c>
      <c r="S104" s="176">
        <f t="shared" si="107"/>
        <v>6</v>
      </c>
      <c r="T104" s="176">
        <f t="shared" si="108"/>
        <v>16</v>
      </c>
      <c r="U104" s="176">
        <f t="shared" si="109"/>
        <v>27</v>
      </c>
      <c r="V104" s="176">
        <f t="shared" si="110"/>
        <v>46</v>
      </c>
      <c r="W104" s="176">
        <f t="shared" si="111"/>
        <v>63</v>
      </c>
      <c r="X104" s="176">
        <f t="shared" si="112"/>
        <v>76</v>
      </c>
      <c r="Y104" s="176">
        <f t="shared" si="113"/>
        <v>82</v>
      </c>
      <c r="Z104" s="176">
        <f t="shared" si="114"/>
        <v>91</v>
      </c>
      <c r="AA104" s="176">
        <f t="shared" si="115"/>
        <v>103</v>
      </c>
      <c r="AB104" s="176">
        <f t="shared" si="116"/>
        <v>115</v>
      </c>
      <c r="AC104" s="176">
        <f t="shared" si="117"/>
        <v>126</v>
      </c>
      <c r="AD104" s="461">
        <f t="shared" si="118"/>
        <v>141</v>
      </c>
      <c r="AE104" s="468">
        <v>103</v>
      </c>
      <c r="AF104" s="163">
        <f t="shared" ref="AF104:AF137" si="119">SUM(D104:O104)</f>
        <v>141</v>
      </c>
    </row>
    <row r="105" spans="2:32" x14ac:dyDescent="0.35">
      <c r="B105" s="420">
        <v>104</v>
      </c>
      <c r="C105" s="332" t="s">
        <v>31</v>
      </c>
      <c r="D105" s="194">
        <f>[2]Districts_Boroughs!DF61</f>
        <v>40</v>
      </c>
      <c r="E105" s="194">
        <f>[2]Districts_Boroughs!DG61</f>
        <v>37</v>
      </c>
      <c r="F105" s="194">
        <f>[2]Districts_Boroughs!DH61</f>
        <v>32</v>
      </c>
      <c r="G105" s="194">
        <f>[2]Districts_Boroughs!DI61</f>
        <v>42</v>
      </c>
      <c r="H105" s="194">
        <f>[2]Districts_Boroughs!DJ61</f>
        <v>21</v>
      </c>
      <c r="I105" s="194">
        <f>[2]Districts_Boroughs!DK61</f>
        <v>27</v>
      </c>
      <c r="J105" s="194">
        <f>[2]Districts_Boroughs!DL61</f>
        <v>44</v>
      </c>
      <c r="K105" s="194">
        <f>[2]Districts_Boroughs!DM61</f>
        <v>36</v>
      </c>
      <c r="L105" s="194">
        <f>[2]Districts_Boroughs!DN61</f>
        <v>19</v>
      </c>
      <c r="M105" s="194">
        <f>[2]Districts_Boroughs!DO61</f>
        <v>31</v>
      </c>
      <c r="N105" s="194">
        <f>[2]Districts_Boroughs!DP61</f>
        <v>31</v>
      </c>
      <c r="O105" s="194">
        <f>[2]Districts_Boroughs!DQ61</f>
        <v>35</v>
      </c>
      <c r="P105" s="184"/>
      <c r="Q105" s="468">
        <v>104</v>
      </c>
      <c r="R105" s="334" t="s">
        <v>31</v>
      </c>
      <c r="S105" s="176">
        <f t="shared" si="107"/>
        <v>40</v>
      </c>
      <c r="T105" s="176">
        <f t="shared" si="108"/>
        <v>77</v>
      </c>
      <c r="U105" s="176">
        <f t="shared" si="109"/>
        <v>109</v>
      </c>
      <c r="V105" s="176">
        <f t="shared" si="110"/>
        <v>151</v>
      </c>
      <c r="W105" s="176">
        <f t="shared" si="111"/>
        <v>172</v>
      </c>
      <c r="X105" s="176">
        <f t="shared" si="112"/>
        <v>199</v>
      </c>
      <c r="Y105" s="176">
        <f t="shared" si="113"/>
        <v>243</v>
      </c>
      <c r="Z105" s="176">
        <f t="shared" si="114"/>
        <v>279</v>
      </c>
      <c r="AA105" s="176">
        <f t="shared" si="115"/>
        <v>298</v>
      </c>
      <c r="AB105" s="176">
        <f t="shared" si="116"/>
        <v>329</v>
      </c>
      <c r="AC105" s="176">
        <f t="shared" si="117"/>
        <v>360</v>
      </c>
      <c r="AD105" s="461">
        <f t="shared" si="118"/>
        <v>395</v>
      </c>
      <c r="AE105" s="468">
        <v>104</v>
      </c>
      <c r="AF105" s="163">
        <f t="shared" si="119"/>
        <v>395</v>
      </c>
    </row>
    <row r="106" spans="2:32" x14ac:dyDescent="0.35">
      <c r="B106" s="420">
        <v>105</v>
      </c>
      <c r="C106" s="332" t="s">
        <v>55</v>
      </c>
      <c r="D106" s="194">
        <f>[2]Districts_Boroughs!DF62</f>
        <v>7</v>
      </c>
      <c r="E106" s="194">
        <f>[2]Districts_Boroughs!DG62</f>
        <v>9</v>
      </c>
      <c r="F106" s="194">
        <f>[2]Districts_Boroughs!DH62</f>
        <v>9</v>
      </c>
      <c r="G106" s="194">
        <f>[2]Districts_Boroughs!DI62</f>
        <v>15</v>
      </c>
      <c r="H106" s="194">
        <f>[2]Districts_Boroughs!DJ62</f>
        <v>15</v>
      </c>
      <c r="I106" s="194">
        <f>[2]Districts_Boroughs!DK62</f>
        <v>17</v>
      </c>
      <c r="J106" s="194">
        <f>[2]Districts_Boroughs!DL62</f>
        <v>11</v>
      </c>
      <c r="K106" s="194">
        <f>[2]Districts_Boroughs!DM62</f>
        <v>10</v>
      </c>
      <c r="L106" s="194">
        <f>[2]Districts_Boroughs!DN62</f>
        <v>19</v>
      </c>
      <c r="M106" s="194">
        <f>[2]Districts_Boroughs!DO62</f>
        <v>20</v>
      </c>
      <c r="N106" s="194">
        <f>[2]Districts_Boroughs!DP62</f>
        <v>10</v>
      </c>
      <c r="O106" s="194">
        <f>[2]Districts_Boroughs!DQ62</f>
        <v>13</v>
      </c>
      <c r="P106" s="184"/>
      <c r="Q106" s="468">
        <v>105</v>
      </c>
      <c r="R106" s="334" t="s">
        <v>55</v>
      </c>
      <c r="S106" s="176">
        <f t="shared" si="107"/>
        <v>7</v>
      </c>
      <c r="T106" s="176">
        <f t="shared" si="108"/>
        <v>16</v>
      </c>
      <c r="U106" s="176">
        <f t="shared" si="109"/>
        <v>25</v>
      </c>
      <c r="V106" s="176">
        <f t="shared" si="110"/>
        <v>40</v>
      </c>
      <c r="W106" s="176">
        <f t="shared" si="111"/>
        <v>55</v>
      </c>
      <c r="X106" s="176">
        <f t="shared" si="112"/>
        <v>72</v>
      </c>
      <c r="Y106" s="176">
        <f t="shared" si="113"/>
        <v>83</v>
      </c>
      <c r="Z106" s="176">
        <f t="shared" si="114"/>
        <v>93</v>
      </c>
      <c r="AA106" s="176">
        <f t="shared" si="115"/>
        <v>112</v>
      </c>
      <c r="AB106" s="176">
        <f t="shared" si="116"/>
        <v>132</v>
      </c>
      <c r="AC106" s="176">
        <f t="shared" si="117"/>
        <v>142</v>
      </c>
      <c r="AD106" s="461">
        <f t="shared" si="118"/>
        <v>155</v>
      </c>
      <c r="AE106" s="468">
        <v>105</v>
      </c>
      <c r="AF106" s="163">
        <f t="shared" si="119"/>
        <v>155</v>
      </c>
    </row>
    <row r="107" spans="2:32" x14ac:dyDescent="0.35">
      <c r="B107" s="420">
        <v>106</v>
      </c>
      <c r="C107" s="331" t="s">
        <v>38</v>
      </c>
      <c r="D107" s="194">
        <f>[2]Districts_Boroughs!DF63</f>
        <v>74</v>
      </c>
      <c r="E107" s="194">
        <f>[2]Districts_Boroughs!DG63</f>
        <v>58</v>
      </c>
      <c r="F107" s="194">
        <f>[2]Districts_Boroughs!DH63</f>
        <v>72</v>
      </c>
      <c r="G107" s="194">
        <f>[2]Districts_Boroughs!DI63</f>
        <v>82</v>
      </c>
      <c r="H107" s="194">
        <f>[2]Districts_Boroughs!DJ63</f>
        <v>79</v>
      </c>
      <c r="I107" s="194">
        <f>[2]Districts_Boroughs!DK63</f>
        <v>92</v>
      </c>
      <c r="J107" s="194">
        <f>[2]Districts_Boroughs!DL63</f>
        <v>58</v>
      </c>
      <c r="K107" s="194">
        <f>[2]Districts_Boroughs!DM63</f>
        <v>54</v>
      </c>
      <c r="L107" s="194">
        <f>[2]Districts_Boroughs!DN63</f>
        <v>79</v>
      </c>
      <c r="M107" s="194">
        <f>[2]Districts_Boroughs!DO63</f>
        <v>73</v>
      </c>
      <c r="N107" s="194">
        <f>[2]Districts_Boroughs!DP63</f>
        <v>75</v>
      </c>
      <c r="O107" s="194">
        <f>[2]Districts_Boroughs!DQ63</f>
        <v>128</v>
      </c>
      <c r="P107" s="184"/>
      <c r="Q107" s="468">
        <v>106</v>
      </c>
      <c r="R107" s="333" t="s">
        <v>38</v>
      </c>
      <c r="S107" s="176">
        <f t="shared" si="107"/>
        <v>74</v>
      </c>
      <c r="T107" s="176">
        <f t="shared" si="108"/>
        <v>132</v>
      </c>
      <c r="U107" s="176">
        <f t="shared" si="109"/>
        <v>204</v>
      </c>
      <c r="V107" s="176">
        <f t="shared" si="110"/>
        <v>286</v>
      </c>
      <c r="W107" s="176">
        <f t="shared" si="111"/>
        <v>365</v>
      </c>
      <c r="X107" s="176">
        <f t="shared" si="112"/>
        <v>457</v>
      </c>
      <c r="Y107" s="176">
        <f t="shared" si="113"/>
        <v>515</v>
      </c>
      <c r="Z107" s="176">
        <f t="shared" si="114"/>
        <v>569</v>
      </c>
      <c r="AA107" s="176">
        <f t="shared" si="115"/>
        <v>648</v>
      </c>
      <c r="AB107" s="176">
        <f t="shared" si="116"/>
        <v>721</v>
      </c>
      <c r="AC107" s="176">
        <f t="shared" si="117"/>
        <v>796</v>
      </c>
      <c r="AD107" s="461">
        <f t="shared" si="118"/>
        <v>924</v>
      </c>
      <c r="AE107" s="468">
        <v>106</v>
      </c>
      <c r="AF107" s="163">
        <f t="shared" si="119"/>
        <v>924</v>
      </c>
    </row>
    <row r="108" spans="2:32" x14ac:dyDescent="0.35">
      <c r="B108" s="420">
        <v>107</v>
      </c>
      <c r="C108" s="331" t="s">
        <v>17</v>
      </c>
      <c r="D108" s="194">
        <f>[2]Districts_Boroughs!DF64</f>
        <v>50</v>
      </c>
      <c r="E108" s="194">
        <f>[2]Districts_Boroughs!DG64</f>
        <v>51</v>
      </c>
      <c r="F108" s="194">
        <f>[2]Districts_Boroughs!DH64</f>
        <v>51</v>
      </c>
      <c r="G108" s="194">
        <f>[2]Districts_Boroughs!DI64</f>
        <v>84</v>
      </c>
      <c r="H108" s="194">
        <f>[2]Districts_Boroughs!DJ64</f>
        <v>58</v>
      </c>
      <c r="I108" s="194">
        <f>[2]Districts_Boroughs!DK64</f>
        <v>54</v>
      </c>
      <c r="J108" s="194">
        <f>[2]Districts_Boroughs!DL64</f>
        <v>72</v>
      </c>
      <c r="K108" s="194">
        <f>[2]Districts_Boroughs!DM64</f>
        <v>56</v>
      </c>
      <c r="L108" s="194">
        <f>[2]Districts_Boroughs!DN64</f>
        <v>63</v>
      </c>
      <c r="M108" s="194">
        <f>[2]Districts_Boroughs!DO64</f>
        <v>83</v>
      </c>
      <c r="N108" s="194">
        <f>[2]Districts_Boroughs!DP64</f>
        <v>77</v>
      </c>
      <c r="O108" s="194">
        <f>[2]Districts_Boroughs!DQ64</f>
        <v>83</v>
      </c>
      <c r="P108" s="184"/>
      <c r="Q108" s="468">
        <v>107</v>
      </c>
      <c r="R108" s="333" t="s">
        <v>17</v>
      </c>
      <c r="S108" s="176">
        <f t="shared" si="107"/>
        <v>50</v>
      </c>
      <c r="T108" s="176">
        <f t="shared" si="108"/>
        <v>101</v>
      </c>
      <c r="U108" s="176">
        <f t="shared" si="109"/>
        <v>152</v>
      </c>
      <c r="V108" s="176">
        <f t="shared" si="110"/>
        <v>236</v>
      </c>
      <c r="W108" s="176">
        <f t="shared" si="111"/>
        <v>294</v>
      </c>
      <c r="X108" s="176">
        <f t="shared" si="112"/>
        <v>348</v>
      </c>
      <c r="Y108" s="176">
        <f t="shared" si="113"/>
        <v>420</v>
      </c>
      <c r="Z108" s="176">
        <f t="shared" si="114"/>
        <v>476</v>
      </c>
      <c r="AA108" s="176">
        <f t="shared" si="115"/>
        <v>539</v>
      </c>
      <c r="AB108" s="176">
        <f t="shared" si="116"/>
        <v>622</v>
      </c>
      <c r="AC108" s="176">
        <f t="shared" si="117"/>
        <v>699</v>
      </c>
      <c r="AD108" s="461">
        <f t="shared" si="118"/>
        <v>782</v>
      </c>
      <c r="AE108" s="470">
        <v>107</v>
      </c>
      <c r="AF108" s="163">
        <f t="shared" si="119"/>
        <v>782</v>
      </c>
    </row>
    <row r="109" spans="2:32" x14ac:dyDescent="0.35">
      <c r="B109" s="421">
        <v>108</v>
      </c>
      <c r="C109" s="331" t="s">
        <v>34</v>
      </c>
      <c r="D109" s="194">
        <f>[2]Districts_Boroughs!DF65</f>
        <v>112</v>
      </c>
      <c r="E109" s="194">
        <f>[2]Districts_Boroughs!DG65</f>
        <v>107</v>
      </c>
      <c r="F109" s="194">
        <f>[2]Districts_Boroughs!DH65</f>
        <v>93</v>
      </c>
      <c r="G109" s="194">
        <f>[2]Districts_Boroughs!DI65</f>
        <v>118</v>
      </c>
      <c r="H109" s="194">
        <f>[2]Districts_Boroughs!DJ65</f>
        <v>87</v>
      </c>
      <c r="I109" s="194">
        <f>[2]Districts_Boroughs!DK65</f>
        <v>99</v>
      </c>
      <c r="J109" s="194">
        <f>[2]Districts_Boroughs!DL65</f>
        <v>107</v>
      </c>
      <c r="K109" s="194">
        <f>[2]Districts_Boroughs!DM65</f>
        <v>75</v>
      </c>
      <c r="L109" s="194">
        <f>[2]Districts_Boroughs!DN65</f>
        <v>94</v>
      </c>
      <c r="M109" s="194">
        <f>[2]Districts_Boroughs!DO65</f>
        <v>72</v>
      </c>
      <c r="N109" s="194">
        <f>[2]Districts_Boroughs!DP65</f>
        <v>57</v>
      </c>
      <c r="O109" s="194">
        <f>[2]Districts_Boroughs!DQ65</f>
        <v>68</v>
      </c>
      <c r="P109" s="184"/>
      <c r="Q109" s="468">
        <v>108</v>
      </c>
      <c r="R109" s="333" t="s">
        <v>34</v>
      </c>
      <c r="S109" s="176">
        <f t="shared" si="107"/>
        <v>112</v>
      </c>
      <c r="T109" s="176">
        <f t="shared" si="108"/>
        <v>219</v>
      </c>
      <c r="U109" s="176">
        <f t="shared" si="109"/>
        <v>312</v>
      </c>
      <c r="V109" s="176">
        <f t="shared" si="110"/>
        <v>430</v>
      </c>
      <c r="W109" s="176">
        <f t="shared" si="111"/>
        <v>517</v>
      </c>
      <c r="X109" s="176">
        <f t="shared" si="112"/>
        <v>616</v>
      </c>
      <c r="Y109" s="176">
        <f t="shared" si="113"/>
        <v>723</v>
      </c>
      <c r="Z109" s="176">
        <f t="shared" si="114"/>
        <v>798</v>
      </c>
      <c r="AA109" s="176">
        <f t="shared" si="115"/>
        <v>892</v>
      </c>
      <c r="AB109" s="176">
        <f t="shared" si="116"/>
        <v>964</v>
      </c>
      <c r="AC109" s="176">
        <f t="shared" si="117"/>
        <v>1021</v>
      </c>
      <c r="AD109" s="461">
        <f t="shared" si="118"/>
        <v>1089</v>
      </c>
      <c r="AE109" s="468">
        <v>108</v>
      </c>
      <c r="AF109" s="163">
        <f t="shared" si="119"/>
        <v>1089</v>
      </c>
    </row>
    <row r="110" spans="2:32" x14ac:dyDescent="0.35">
      <c r="B110" s="420">
        <v>109</v>
      </c>
      <c r="C110" s="331" t="s">
        <v>41</v>
      </c>
      <c r="D110" s="194">
        <f>[2]Districts_Boroughs!DF66</f>
        <v>6</v>
      </c>
      <c r="E110" s="194">
        <f>[2]Districts_Boroughs!DG66</f>
        <v>12</v>
      </c>
      <c r="F110" s="194">
        <f>[2]Districts_Boroughs!DH66</f>
        <v>12</v>
      </c>
      <c r="G110" s="194">
        <f>[2]Districts_Boroughs!DI66</f>
        <v>19</v>
      </c>
      <c r="H110" s="194">
        <f>[2]Districts_Boroughs!DJ66</f>
        <v>17</v>
      </c>
      <c r="I110" s="194">
        <f>[2]Districts_Boroughs!DK66</f>
        <v>13</v>
      </c>
      <c r="J110" s="194">
        <f>[2]Districts_Boroughs!DL66</f>
        <v>10</v>
      </c>
      <c r="K110" s="194">
        <f>[2]Districts_Boroughs!DM66</f>
        <v>10</v>
      </c>
      <c r="L110" s="194">
        <f>[2]Districts_Boroughs!DN66</f>
        <v>14</v>
      </c>
      <c r="M110" s="194">
        <f>[2]Districts_Boroughs!DO66</f>
        <v>12</v>
      </c>
      <c r="N110" s="194">
        <f>[2]Districts_Boroughs!DP66</f>
        <v>11</v>
      </c>
      <c r="O110" s="194">
        <f>[2]Districts_Boroughs!DQ66</f>
        <v>15</v>
      </c>
      <c r="P110" s="184"/>
      <c r="Q110" s="468">
        <v>109</v>
      </c>
      <c r="R110" s="333" t="s">
        <v>41</v>
      </c>
      <c r="S110" s="176">
        <f t="shared" si="107"/>
        <v>6</v>
      </c>
      <c r="T110" s="176">
        <f t="shared" si="108"/>
        <v>18</v>
      </c>
      <c r="U110" s="176">
        <f t="shared" si="109"/>
        <v>30</v>
      </c>
      <c r="V110" s="176">
        <f t="shared" si="110"/>
        <v>49</v>
      </c>
      <c r="W110" s="176">
        <f t="shared" si="111"/>
        <v>66</v>
      </c>
      <c r="X110" s="176">
        <f t="shared" si="112"/>
        <v>79</v>
      </c>
      <c r="Y110" s="176">
        <f t="shared" si="113"/>
        <v>89</v>
      </c>
      <c r="Z110" s="176">
        <f t="shared" si="114"/>
        <v>99</v>
      </c>
      <c r="AA110" s="176">
        <f t="shared" si="115"/>
        <v>113</v>
      </c>
      <c r="AB110" s="176">
        <f t="shared" si="116"/>
        <v>125</v>
      </c>
      <c r="AC110" s="176">
        <f t="shared" si="117"/>
        <v>136</v>
      </c>
      <c r="AD110" s="461">
        <f t="shared" si="118"/>
        <v>151</v>
      </c>
      <c r="AE110" s="468">
        <v>109</v>
      </c>
      <c r="AF110" s="163">
        <f t="shared" si="119"/>
        <v>151</v>
      </c>
    </row>
    <row r="111" spans="2:32" x14ac:dyDescent="0.35">
      <c r="B111" s="420">
        <v>110</v>
      </c>
      <c r="C111" s="331" t="s">
        <v>42</v>
      </c>
      <c r="D111" s="194">
        <f>[2]Districts_Boroughs!DF67</f>
        <v>438</v>
      </c>
      <c r="E111" s="194">
        <f>[2]Districts_Boroughs!DG67</f>
        <v>426</v>
      </c>
      <c r="F111" s="194">
        <f>[2]Districts_Boroughs!DH67</f>
        <v>448</v>
      </c>
      <c r="G111" s="194">
        <f>[2]Districts_Boroughs!DI67</f>
        <v>437</v>
      </c>
      <c r="H111" s="194">
        <f>[2]Districts_Boroughs!DJ67</f>
        <v>411</v>
      </c>
      <c r="I111" s="194">
        <f>[2]Districts_Boroughs!DK67</f>
        <v>439</v>
      </c>
      <c r="J111" s="194">
        <f>[2]Districts_Boroughs!DL67</f>
        <v>477</v>
      </c>
      <c r="K111" s="194">
        <f>[2]Districts_Boroughs!DM67</f>
        <v>399</v>
      </c>
      <c r="L111" s="194">
        <f>[2]Districts_Boroughs!DN67</f>
        <v>409</v>
      </c>
      <c r="M111" s="194">
        <f>[2]Districts_Boroughs!DO67</f>
        <v>413</v>
      </c>
      <c r="N111" s="194">
        <f>[2]Districts_Boroughs!DP67</f>
        <v>405</v>
      </c>
      <c r="O111" s="194">
        <f>[2]Districts_Boroughs!DQ67</f>
        <v>373</v>
      </c>
      <c r="P111" s="184"/>
      <c r="Q111" s="468">
        <v>110</v>
      </c>
      <c r="R111" s="333" t="s">
        <v>42</v>
      </c>
      <c r="S111" s="176">
        <f t="shared" si="107"/>
        <v>438</v>
      </c>
      <c r="T111" s="176">
        <f t="shared" si="108"/>
        <v>864</v>
      </c>
      <c r="U111" s="176">
        <f t="shared" si="109"/>
        <v>1312</v>
      </c>
      <c r="V111" s="176">
        <f t="shared" si="110"/>
        <v>1749</v>
      </c>
      <c r="W111" s="176">
        <f t="shared" si="111"/>
        <v>2160</v>
      </c>
      <c r="X111" s="176">
        <f t="shared" si="112"/>
        <v>2599</v>
      </c>
      <c r="Y111" s="176">
        <f t="shared" si="113"/>
        <v>3076</v>
      </c>
      <c r="Z111" s="176">
        <f t="shared" si="114"/>
        <v>3475</v>
      </c>
      <c r="AA111" s="176">
        <f t="shared" si="115"/>
        <v>3884</v>
      </c>
      <c r="AB111" s="176">
        <f t="shared" si="116"/>
        <v>4297</v>
      </c>
      <c r="AC111" s="176">
        <f t="shared" si="117"/>
        <v>4702</v>
      </c>
      <c r="AD111" s="461">
        <f t="shared" si="118"/>
        <v>5075</v>
      </c>
      <c r="AE111" s="470">
        <v>110</v>
      </c>
      <c r="AF111" s="163">
        <f t="shared" si="119"/>
        <v>5075</v>
      </c>
    </row>
    <row r="112" spans="2:32" x14ac:dyDescent="0.35">
      <c r="B112" s="420">
        <v>111</v>
      </c>
      <c r="C112" s="331" t="s">
        <v>43</v>
      </c>
      <c r="D112" s="195">
        <f>[2]Districts_Boroughs!DF69</f>
        <v>10</v>
      </c>
      <c r="E112" s="195">
        <f>[2]Districts_Boroughs!DG69</f>
        <v>16</v>
      </c>
      <c r="F112" s="195">
        <f>[2]Districts_Boroughs!DH69</f>
        <v>11</v>
      </c>
      <c r="G112" s="195">
        <f>[2]Districts_Boroughs!DI69</f>
        <v>20</v>
      </c>
      <c r="H112" s="195">
        <f>[2]Districts_Boroughs!DJ69</f>
        <v>15</v>
      </c>
      <c r="I112" s="195">
        <f>[2]Districts_Boroughs!DK69</f>
        <v>14</v>
      </c>
      <c r="J112" s="195">
        <f>[2]Districts_Boroughs!DL69</f>
        <v>17</v>
      </c>
      <c r="K112" s="195">
        <f>[2]Districts_Boroughs!DM69</f>
        <v>17</v>
      </c>
      <c r="L112" s="195">
        <f>[2]Districts_Boroughs!DN69</f>
        <v>15</v>
      </c>
      <c r="M112" s="195">
        <f>[2]Districts_Boroughs!DO69</f>
        <v>9</v>
      </c>
      <c r="N112" s="195">
        <f>[2]Districts_Boroughs!DP69</f>
        <v>8</v>
      </c>
      <c r="O112" s="195">
        <f>[2]Districts_Boroughs!DQ69</f>
        <v>16</v>
      </c>
      <c r="P112" s="178"/>
      <c r="Q112" s="468">
        <v>111</v>
      </c>
      <c r="R112" s="333" t="s">
        <v>43</v>
      </c>
      <c r="S112" s="176">
        <f t="shared" si="107"/>
        <v>10</v>
      </c>
      <c r="T112" s="176">
        <f t="shared" si="108"/>
        <v>26</v>
      </c>
      <c r="U112" s="176">
        <f t="shared" si="109"/>
        <v>37</v>
      </c>
      <c r="V112" s="176">
        <f t="shared" si="110"/>
        <v>57</v>
      </c>
      <c r="W112" s="176">
        <f t="shared" si="111"/>
        <v>72</v>
      </c>
      <c r="X112" s="176">
        <f t="shared" si="112"/>
        <v>86</v>
      </c>
      <c r="Y112" s="176">
        <f t="shared" si="113"/>
        <v>103</v>
      </c>
      <c r="Z112" s="176">
        <f t="shared" si="114"/>
        <v>120</v>
      </c>
      <c r="AA112" s="176">
        <f t="shared" si="115"/>
        <v>135</v>
      </c>
      <c r="AB112" s="176">
        <f t="shared" si="116"/>
        <v>144</v>
      </c>
      <c r="AC112" s="176">
        <f t="shared" si="117"/>
        <v>152</v>
      </c>
      <c r="AD112" s="461">
        <f t="shared" si="118"/>
        <v>168</v>
      </c>
      <c r="AE112" s="468">
        <v>111</v>
      </c>
      <c r="AF112" s="163">
        <f t="shared" si="119"/>
        <v>168</v>
      </c>
    </row>
    <row r="113" spans="1:32" x14ac:dyDescent="0.35">
      <c r="B113" s="420">
        <v>112</v>
      </c>
      <c r="C113" s="331" t="s">
        <v>198</v>
      </c>
      <c r="D113" s="195">
        <f>[2]Districts_Boroughs!DF70</f>
        <v>13</v>
      </c>
      <c r="E113" s="195">
        <f>[2]Districts_Boroughs!DG70</f>
        <v>12</v>
      </c>
      <c r="F113" s="195">
        <f>[2]Districts_Boroughs!DH70</f>
        <v>16</v>
      </c>
      <c r="G113" s="195">
        <f>[2]Districts_Boroughs!DI70</f>
        <v>24</v>
      </c>
      <c r="H113" s="195">
        <f>[2]Districts_Boroughs!DJ70</f>
        <v>11</v>
      </c>
      <c r="I113" s="195">
        <f>[2]Districts_Boroughs!DK70</f>
        <v>14</v>
      </c>
      <c r="J113" s="195">
        <f>[2]Districts_Boroughs!DL70</f>
        <v>11</v>
      </c>
      <c r="K113" s="195">
        <f>[2]Districts_Boroughs!DM70</f>
        <v>9</v>
      </c>
      <c r="L113" s="195">
        <f>[2]Districts_Boroughs!DN70</f>
        <v>19</v>
      </c>
      <c r="M113" s="195">
        <f>[2]Districts_Boroughs!DO70</f>
        <v>12</v>
      </c>
      <c r="N113" s="195">
        <f>[2]Districts_Boroughs!DP70</f>
        <v>14</v>
      </c>
      <c r="O113" s="195">
        <f>[2]Districts_Boroughs!DQ70</f>
        <v>12</v>
      </c>
      <c r="P113" s="178"/>
      <c r="Q113" s="468">
        <v>112</v>
      </c>
      <c r="R113" s="333" t="s">
        <v>198</v>
      </c>
      <c r="S113" s="176">
        <f t="shared" ref="S113:S119" si="120">D113</f>
        <v>13</v>
      </c>
      <c r="T113" s="176">
        <f t="shared" ref="T113:AD113" si="121">S113+E113</f>
        <v>25</v>
      </c>
      <c r="U113" s="176">
        <f t="shared" si="121"/>
        <v>41</v>
      </c>
      <c r="V113" s="176">
        <f t="shared" si="121"/>
        <v>65</v>
      </c>
      <c r="W113" s="176">
        <f t="shared" si="121"/>
        <v>76</v>
      </c>
      <c r="X113" s="176">
        <f t="shared" si="121"/>
        <v>90</v>
      </c>
      <c r="Y113" s="176">
        <f t="shared" si="121"/>
        <v>101</v>
      </c>
      <c r="Z113" s="176">
        <f t="shared" si="121"/>
        <v>110</v>
      </c>
      <c r="AA113" s="176">
        <f t="shared" si="121"/>
        <v>129</v>
      </c>
      <c r="AB113" s="176">
        <f t="shared" si="121"/>
        <v>141</v>
      </c>
      <c r="AC113" s="176">
        <f t="shared" si="121"/>
        <v>155</v>
      </c>
      <c r="AD113" s="461">
        <f t="shared" si="121"/>
        <v>167</v>
      </c>
      <c r="AE113" s="468">
        <v>112</v>
      </c>
      <c r="AF113" s="163">
        <f t="shared" si="119"/>
        <v>167</v>
      </c>
    </row>
    <row r="114" spans="1:32" x14ac:dyDescent="0.35">
      <c r="A114" s="162" t="s">
        <v>128</v>
      </c>
      <c r="B114" s="421">
        <v>113</v>
      </c>
      <c r="C114" s="331" t="s">
        <v>204</v>
      </c>
      <c r="D114" s="283">
        <f>SUM(D112:D113)</f>
        <v>23</v>
      </c>
      <c r="E114" s="283">
        <f t="shared" ref="E114:O114" si="122">SUM(E112:E113)</f>
        <v>28</v>
      </c>
      <c r="F114" s="283">
        <f t="shared" si="122"/>
        <v>27</v>
      </c>
      <c r="G114" s="283">
        <f t="shared" si="122"/>
        <v>44</v>
      </c>
      <c r="H114" s="283">
        <f t="shared" si="122"/>
        <v>26</v>
      </c>
      <c r="I114" s="283">
        <f t="shared" si="122"/>
        <v>28</v>
      </c>
      <c r="J114" s="283">
        <f t="shared" si="122"/>
        <v>28</v>
      </c>
      <c r="K114" s="283">
        <f t="shared" si="122"/>
        <v>26</v>
      </c>
      <c r="L114" s="283">
        <f t="shared" si="122"/>
        <v>34</v>
      </c>
      <c r="M114" s="283">
        <f t="shared" si="122"/>
        <v>21</v>
      </c>
      <c r="N114" s="283">
        <f t="shared" si="122"/>
        <v>22</v>
      </c>
      <c r="O114" s="283">
        <f t="shared" si="122"/>
        <v>28</v>
      </c>
      <c r="P114" s="178"/>
      <c r="Q114" s="468">
        <v>113</v>
      </c>
      <c r="R114" s="333" t="s">
        <v>204</v>
      </c>
      <c r="S114" s="176">
        <f>SUM(S112:S113)</f>
        <v>23</v>
      </c>
      <c r="T114" s="176">
        <f t="shared" ref="T114:AD114" si="123">SUM(T112:T113)</f>
        <v>51</v>
      </c>
      <c r="U114" s="176">
        <f t="shared" si="123"/>
        <v>78</v>
      </c>
      <c r="V114" s="176">
        <f t="shared" si="123"/>
        <v>122</v>
      </c>
      <c r="W114" s="176">
        <f t="shared" si="123"/>
        <v>148</v>
      </c>
      <c r="X114" s="176">
        <f t="shared" si="123"/>
        <v>176</v>
      </c>
      <c r="Y114" s="176">
        <f t="shared" si="123"/>
        <v>204</v>
      </c>
      <c r="Z114" s="176">
        <f t="shared" si="123"/>
        <v>230</v>
      </c>
      <c r="AA114" s="176">
        <f t="shared" si="123"/>
        <v>264</v>
      </c>
      <c r="AB114" s="176">
        <f t="shared" si="123"/>
        <v>285</v>
      </c>
      <c r="AC114" s="176">
        <f t="shared" si="123"/>
        <v>307</v>
      </c>
      <c r="AD114" s="461">
        <f t="shared" si="123"/>
        <v>335</v>
      </c>
      <c r="AE114" s="468">
        <v>113</v>
      </c>
      <c r="AF114" s="163"/>
    </row>
    <row r="115" spans="1:32" x14ac:dyDescent="0.35">
      <c r="B115" s="420">
        <v>114</v>
      </c>
      <c r="C115" s="331" t="s">
        <v>44</v>
      </c>
      <c r="D115" s="195">
        <f>[2]Districts_Boroughs!DF71</f>
        <v>0</v>
      </c>
      <c r="E115" s="195">
        <f>[2]Districts_Boroughs!DG71</f>
        <v>1</v>
      </c>
      <c r="F115" s="195">
        <f>[2]Districts_Boroughs!DH71</f>
        <v>1</v>
      </c>
      <c r="G115" s="195">
        <f>[2]Districts_Boroughs!DI71</f>
        <v>2</v>
      </c>
      <c r="H115" s="195">
        <f>[2]Districts_Boroughs!DJ71</f>
        <v>0</v>
      </c>
      <c r="I115" s="195">
        <f>[2]Districts_Boroughs!DK71</f>
        <v>2</v>
      </c>
      <c r="J115" s="195">
        <f>[2]Districts_Boroughs!DL71</f>
        <v>0</v>
      </c>
      <c r="K115" s="195">
        <f>[2]Districts_Boroughs!DM71</f>
        <v>0</v>
      </c>
      <c r="L115" s="195">
        <f>[2]Districts_Boroughs!DN71</f>
        <v>2</v>
      </c>
      <c r="M115" s="195">
        <f>[2]Districts_Boroughs!DO71</f>
        <v>0</v>
      </c>
      <c r="N115" s="195">
        <f>[2]Districts_Boroughs!DP71</f>
        <v>0</v>
      </c>
      <c r="O115" s="195">
        <f>[2]Districts_Boroughs!DQ71</f>
        <v>0</v>
      </c>
      <c r="P115" s="178"/>
      <c r="Q115" s="468">
        <v>114</v>
      </c>
      <c r="R115" s="333" t="s">
        <v>44</v>
      </c>
      <c r="S115" s="176">
        <f t="shared" si="120"/>
        <v>0</v>
      </c>
      <c r="T115" s="176">
        <f t="shared" ref="T115:AD116" si="124">S115+E115</f>
        <v>1</v>
      </c>
      <c r="U115" s="176">
        <f t="shared" si="124"/>
        <v>2</v>
      </c>
      <c r="V115" s="176">
        <f t="shared" si="124"/>
        <v>4</v>
      </c>
      <c r="W115" s="176">
        <f t="shared" si="124"/>
        <v>4</v>
      </c>
      <c r="X115" s="176">
        <f t="shared" si="124"/>
        <v>6</v>
      </c>
      <c r="Y115" s="176">
        <f t="shared" si="124"/>
        <v>6</v>
      </c>
      <c r="Z115" s="176">
        <f t="shared" si="124"/>
        <v>6</v>
      </c>
      <c r="AA115" s="176">
        <f t="shared" si="124"/>
        <v>8</v>
      </c>
      <c r="AB115" s="176">
        <f t="shared" si="124"/>
        <v>8</v>
      </c>
      <c r="AC115" s="176">
        <f t="shared" si="124"/>
        <v>8</v>
      </c>
      <c r="AD115" s="461">
        <f t="shared" si="124"/>
        <v>8</v>
      </c>
      <c r="AE115" s="468">
        <v>114</v>
      </c>
      <c r="AF115" s="163">
        <f t="shared" si="119"/>
        <v>8</v>
      </c>
    </row>
    <row r="116" spans="1:32" x14ac:dyDescent="0.35">
      <c r="B116" s="420">
        <v>115</v>
      </c>
      <c r="C116" s="331" t="s">
        <v>199</v>
      </c>
      <c r="D116" s="195">
        <f>[2]Districts_Boroughs!DF72</f>
        <v>3</v>
      </c>
      <c r="E116" s="195">
        <f>[2]Districts_Boroughs!DG72</f>
        <v>1</v>
      </c>
      <c r="F116" s="195">
        <f>[2]Districts_Boroughs!DH72</f>
        <v>2</v>
      </c>
      <c r="G116" s="195">
        <f>[2]Districts_Boroughs!DI72</f>
        <v>1</v>
      </c>
      <c r="H116" s="195">
        <f>[2]Districts_Boroughs!DJ72</f>
        <v>0</v>
      </c>
      <c r="I116" s="195">
        <f>[2]Districts_Boroughs!DK72</f>
        <v>1</v>
      </c>
      <c r="J116" s="195">
        <f>[2]Districts_Boroughs!DL72</f>
        <v>5</v>
      </c>
      <c r="K116" s="195">
        <f>[2]Districts_Boroughs!DM72</f>
        <v>1</v>
      </c>
      <c r="L116" s="195">
        <f>[2]Districts_Boroughs!DN72</f>
        <v>1</v>
      </c>
      <c r="M116" s="195">
        <f>[2]Districts_Boroughs!DO72</f>
        <v>1</v>
      </c>
      <c r="N116" s="195">
        <f>[2]Districts_Boroughs!DP72</f>
        <v>0</v>
      </c>
      <c r="O116" s="195">
        <f>[2]Districts_Boroughs!DQ72</f>
        <v>1</v>
      </c>
      <c r="P116" s="178"/>
      <c r="Q116" s="468">
        <v>115</v>
      </c>
      <c r="R116" s="333" t="s">
        <v>199</v>
      </c>
      <c r="S116" s="176">
        <f t="shared" si="120"/>
        <v>3</v>
      </c>
      <c r="T116" s="176">
        <f t="shared" si="124"/>
        <v>4</v>
      </c>
      <c r="U116" s="176">
        <f t="shared" si="124"/>
        <v>6</v>
      </c>
      <c r="V116" s="176">
        <f t="shared" si="124"/>
        <v>7</v>
      </c>
      <c r="W116" s="176">
        <f t="shared" si="124"/>
        <v>7</v>
      </c>
      <c r="X116" s="176">
        <f t="shared" si="124"/>
        <v>8</v>
      </c>
      <c r="Y116" s="176">
        <f t="shared" si="124"/>
        <v>13</v>
      </c>
      <c r="Z116" s="176">
        <f t="shared" si="124"/>
        <v>14</v>
      </c>
      <c r="AA116" s="176">
        <f t="shared" si="124"/>
        <v>15</v>
      </c>
      <c r="AB116" s="176">
        <f t="shared" si="124"/>
        <v>16</v>
      </c>
      <c r="AC116" s="176">
        <f t="shared" si="124"/>
        <v>16</v>
      </c>
      <c r="AD116" s="461">
        <f t="shared" si="124"/>
        <v>17</v>
      </c>
      <c r="AE116" s="470">
        <v>115</v>
      </c>
      <c r="AF116" s="163">
        <f t="shared" si="119"/>
        <v>17</v>
      </c>
    </row>
    <row r="117" spans="1:32" x14ac:dyDescent="0.35">
      <c r="A117" s="162" t="s">
        <v>128</v>
      </c>
      <c r="B117" s="420">
        <v>116</v>
      </c>
      <c r="C117" s="331" t="s">
        <v>205</v>
      </c>
      <c r="D117" s="283">
        <f>SUM(D115:D116)</f>
        <v>3</v>
      </c>
      <c r="E117" s="283">
        <f t="shared" ref="E117:O117" si="125">SUM(E115:E116)</f>
        <v>2</v>
      </c>
      <c r="F117" s="283">
        <f t="shared" si="125"/>
        <v>3</v>
      </c>
      <c r="G117" s="283">
        <f t="shared" si="125"/>
        <v>3</v>
      </c>
      <c r="H117" s="283">
        <f t="shared" si="125"/>
        <v>0</v>
      </c>
      <c r="I117" s="283">
        <f t="shared" si="125"/>
        <v>3</v>
      </c>
      <c r="J117" s="283">
        <f t="shared" si="125"/>
        <v>5</v>
      </c>
      <c r="K117" s="283">
        <f t="shared" si="125"/>
        <v>1</v>
      </c>
      <c r="L117" s="283">
        <f t="shared" si="125"/>
        <v>3</v>
      </c>
      <c r="M117" s="283">
        <f t="shared" si="125"/>
        <v>1</v>
      </c>
      <c r="N117" s="283">
        <f t="shared" si="125"/>
        <v>0</v>
      </c>
      <c r="O117" s="283">
        <f t="shared" si="125"/>
        <v>1</v>
      </c>
      <c r="P117" s="178"/>
      <c r="Q117" s="468">
        <v>116</v>
      </c>
      <c r="R117" s="331" t="s">
        <v>205</v>
      </c>
      <c r="S117" s="176">
        <f>SUM(S115:S116)</f>
        <v>3</v>
      </c>
      <c r="T117" s="176">
        <f t="shared" ref="T117:AD117" si="126">SUM(T115:T116)</f>
        <v>5</v>
      </c>
      <c r="U117" s="176">
        <f t="shared" si="126"/>
        <v>8</v>
      </c>
      <c r="V117" s="176">
        <f t="shared" si="126"/>
        <v>11</v>
      </c>
      <c r="W117" s="176">
        <f t="shared" si="126"/>
        <v>11</v>
      </c>
      <c r="X117" s="176">
        <f t="shared" si="126"/>
        <v>14</v>
      </c>
      <c r="Y117" s="176">
        <f t="shared" si="126"/>
        <v>19</v>
      </c>
      <c r="Z117" s="176">
        <f t="shared" si="126"/>
        <v>20</v>
      </c>
      <c r="AA117" s="176">
        <f t="shared" si="126"/>
        <v>23</v>
      </c>
      <c r="AB117" s="176">
        <f t="shared" si="126"/>
        <v>24</v>
      </c>
      <c r="AC117" s="176">
        <f t="shared" si="126"/>
        <v>24</v>
      </c>
      <c r="AD117" s="461">
        <f t="shared" si="126"/>
        <v>25</v>
      </c>
      <c r="AE117" s="468">
        <v>116</v>
      </c>
      <c r="AF117" s="163"/>
    </row>
    <row r="118" spans="1:32" x14ac:dyDescent="0.35">
      <c r="B118" s="420">
        <v>117</v>
      </c>
      <c r="C118" s="331" t="s">
        <v>45</v>
      </c>
      <c r="D118" s="195">
        <f>[2]Districts_Boroughs!DF73</f>
        <v>34</v>
      </c>
      <c r="E118" s="195">
        <f>[2]Districts_Boroughs!DG73</f>
        <v>42</v>
      </c>
      <c r="F118" s="195">
        <f>[2]Districts_Boroughs!DH73</f>
        <v>53</v>
      </c>
      <c r="G118" s="195">
        <f>[2]Districts_Boroughs!DI73</f>
        <v>51</v>
      </c>
      <c r="H118" s="195">
        <f>[2]Districts_Boroughs!DJ73</f>
        <v>58</v>
      </c>
      <c r="I118" s="195">
        <f>[2]Districts_Boroughs!DK73</f>
        <v>47</v>
      </c>
      <c r="J118" s="195">
        <f>[2]Districts_Boroughs!DL73</f>
        <v>45</v>
      </c>
      <c r="K118" s="195">
        <f>[2]Districts_Boroughs!DM73</f>
        <v>57</v>
      </c>
      <c r="L118" s="195">
        <f>[2]Districts_Boroughs!DN73</f>
        <v>52</v>
      </c>
      <c r="M118" s="195">
        <f>[2]Districts_Boroughs!DO73</f>
        <v>42</v>
      </c>
      <c r="N118" s="195">
        <f>[2]Districts_Boroughs!DP73</f>
        <v>40</v>
      </c>
      <c r="O118" s="195">
        <f>[2]Districts_Boroughs!DQ73</f>
        <v>49</v>
      </c>
      <c r="P118" s="178"/>
      <c r="Q118" s="468">
        <v>117</v>
      </c>
      <c r="R118" s="333" t="s">
        <v>45</v>
      </c>
      <c r="S118" s="176">
        <f t="shared" si="120"/>
        <v>34</v>
      </c>
      <c r="T118" s="176">
        <f t="shared" ref="T118:AD119" si="127">S118+E118</f>
        <v>76</v>
      </c>
      <c r="U118" s="176">
        <f t="shared" si="127"/>
        <v>129</v>
      </c>
      <c r="V118" s="176">
        <f t="shared" si="127"/>
        <v>180</v>
      </c>
      <c r="W118" s="176">
        <f t="shared" si="127"/>
        <v>238</v>
      </c>
      <c r="X118" s="176">
        <f t="shared" si="127"/>
        <v>285</v>
      </c>
      <c r="Y118" s="176">
        <f t="shared" si="127"/>
        <v>330</v>
      </c>
      <c r="Z118" s="176">
        <f t="shared" si="127"/>
        <v>387</v>
      </c>
      <c r="AA118" s="176">
        <f t="shared" si="127"/>
        <v>439</v>
      </c>
      <c r="AB118" s="176">
        <f t="shared" si="127"/>
        <v>481</v>
      </c>
      <c r="AC118" s="176">
        <f t="shared" si="127"/>
        <v>521</v>
      </c>
      <c r="AD118" s="461">
        <f t="shared" si="127"/>
        <v>570</v>
      </c>
      <c r="AE118" s="468">
        <v>117</v>
      </c>
      <c r="AF118" s="163">
        <f t="shared" si="119"/>
        <v>570</v>
      </c>
    </row>
    <row r="119" spans="1:32" x14ac:dyDescent="0.35">
      <c r="B119" s="421">
        <v>118</v>
      </c>
      <c r="C119" s="331" t="s">
        <v>191</v>
      </c>
      <c r="D119" s="195">
        <f>[2]Districts_Boroughs!DF74</f>
        <v>92</v>
      </c>
      <c r="E119" s="195">
        <f>[2]Districts_Boroughs!DG74</f>
        <v>100</v>
      </c>
      <c r="F119" s="195">
        <f>[2]Districts_Boroughs!DH74</f>
        <v>75</v>
      </c>
      <c r="G119" s="195">
        <f>[2]Districts_Boroughs!DI74</f>
        <v>102</v>
      </c>
      <c r="H119" s="195">
        <f>[2]Districts_Boroughs!DJ74</f>
        <v>92</v>
      </c>
      <c r="I119" s="195">
        <f>[2]Districts_Boroughs!DK74</f>
        <v>97</v>
      </c>
      <c r="J119" s="195">
        <f>[2]Districts_Boroughs!DL74</f>
        <v>111</v>
      </c>
      <c r="K119" s="195">
        <f>[2]Districts_Boroughs!DM74</f>
        <v>91</v>
      </c>
      <c r="L119" s="195">
        <f>[2]Districts_Boroughs!DN74</f>
        <v>100</v>
      </c>
      <c r="M119" s="195">
        <f>[2]Districts_Boroughs!DO74</f>
        <v>93</v>
      </c>
      <c r="N119" s="195">
        <f>[2]Districts_Boroughs!DP74</f>
        <v>89</v>
      </c>
      <c r="O119" s="195">
        <f>[2]Districts_Boroughs!DQ74</f>
        <v>78</v>
      </c>
      <c r="P119" s="178"/>
      <c r="Q119" s="468">
        <v>118</v>
      </c>
      <c r="R119" s="333" t="s">
        <v>191</v>
      </c>
      <c r="S119" s="176">
        <f t="shared" si="120"/>
        <v>92</v>
      </c>
      <c r="T119" s="176">
        <f t="shared" si="127"/>
        <v>192</v>
      </c>
      <c r="U119" s="176">
        <f t="shared" si="127"/>
        <v>267</v>
      </c>
      <c r="V119" s="176">
        <f t="shared" si="127"/>
        <v>369</v>
      </c>
      <c r="W119" s="176">
        <f t="shared" si="127"/>
        <v>461</v>
      </c>
      <c r="X119" s="176">
        <f t="shared" si="127"/>
        <v>558</v>
      </c>
      <c r="Y119" s="176">
        <f t="shared" si="127"/>
        <v>669</v>
      </c>
      <c r="Z119" s="176">
        <f t="shared" si="127"/>
        <v>760</v>
      </c>
      <c r="AA119" s="176">
        <f t="shared" si="127"/>
        <v>860</v>
      </c>
      <c r="AB119" s="176">
        <f t="shared" si="127"/>
        <v>953</v>
      </c>
      <c r="AC119" s="176">
        <f t="shared" si="127"/>
        <v>1042</v>
      </c>
      <c r="AD119" s="461">
        <f t="shared" si="127"/>
        <v>1120</v>
      </c>
      <c r="AE119" s="470">
        <v>118</v>
      </c>
      <c r="AF119" s="163">
        <f t="shared" si="119"/>
        <v>1120</v>
      </c>
    </row>
    <row r="120" spans="1:32" x14ac:dyDescent="0.35">
      <c r="B120" s="420">
        <v>119</v>
      </c>
      <c r="C120" s="331" t="s">
        <v>53</v>
      </c>
      <c r="D120" s="195">
        <f>[2]Districts_Boroughs!DF76</f>
        <v>10</v>
      </c>
      <c r="E120" s="195">
        <f>[2]Districts_Boroughs!DG76</f>
        <v>8</v>
      </c>
      <c r="F120" s="195">
        <f>[2]Districts_Boroughs!DH76</f>
        <v>6</v>
      </c>
      <c r="G120" s="195">
        <f>[2]Districts_Boroughs!DI76</f>
        <v>4</v>
      </c>
      <c r="H120" s="195">
        <f>[2]Districts_Boroughs!DJ76</f>
        <v>6</v>
      </c>
      <c r="I120" s="195">
        <f>[2]Districts_Boroughs!DK76</f>
        <v>11</v>
      </c>
      <c r="J120" s="195">
        <f>[2]Districts_Boroughs!DL76</f>
        <v>10</v>
      </c>
      <c r="K120" s="195">
        <f>[2]Districts_Boroughs!DM76</f>
        <v>4</v>
      </c>
      <c r="L120" s="195">
        <f>[2]Districts_Boroughs!DN76</f>
        <v>7</v>
      </c>
      <c r="M120" s="195">
        <f>[2]Districts_Boroughs!DO76</f>
        <v>3</v>
      </c>
      <c r="N120" s="195">
        <f>[2]Districts_Boroughs!DP76</f>
        <v>6</v>
      </c>
      <c r="O120" s="195">
        <f>[2]Districts_Boroughs!DQ76</f>
        <v>8</v>
      </c>
      <c r="P120" s="178"/>
      <c r="Q120" s="468">
        <v>119</v>
      </c>
      <c r="R120" s="333" t="s">
        <v>53</v>
      </c>
      <c r="S120" s="176">
        <f t="shared" ref="S120:S128" si="128">D120</f>
        <v>10</v>
      </c>
      <c r="T120" s="176">
        <f t="shared" ref="T120:T128" si="129">S120+E120</f>
        <v>18</v>
      </c>
      <c r="U120" s="176">
        <f t="shared" ref="U120:U128" si="130">T120+F120</f>
        <v>24</v>
      </c>
      <c r="V120" s="176">
        <f t="shared" ref="V120:V128" si="131">U120+G120</f>
        <v>28</v>
      </c>
      <c r="W120" s="176">
        <f t="shared" ref="W120:W128" si="132">V120+H120</f>
        <v>34</v>
      </c>
      <c r="X120" s="176">
        <f t="shared" ref="X120:X128" si="133">W120+I120</f>
        <v>45</v>
      </c>
      <c r="Y120" s="176">
        <f t="shared" ref="Y120:Y128" si="134">X120+J120</f>
        <v>55</v>
      </c>
      <c r="Z120" s="176">
        <f t="shared" ref="Z120:Z128" si="135">Y120+K120</f>
        <v>59</v>
      </c>
      <c r="AA120" s="176">
        <f t="shared" ref="AA120:AA128" si="136">Z120+L120</f>
        <v>66</v>
      </c>
      <c r="AB120" s="176">
        <f t="shared" ref="AB120:AB128" si="137">AA120+M120</f>
        <v>69</v>
      </c>
      <c r="AC120" s="176">
        <f t="shared" ref="AC120:AC128" si="138">AB120+N120</f>
        <v>75</v>
      </c>
      <c r="AD120" s="461">
        <f t="shared" ref="AD120:AD128" si="139">AC120+O120</f>
        <v>83</v>
      </c>
      <c r="AE120" s="468">
        <v>119</v>
      </c>
      <c r="AF120" s="163">
        <f t="shared" si="119"/>
        <v>83</v>
      </c>
    </row>
    <row r="121" spans="1:32" x14ac:dyDescent="0.35">
      <c r="B121" s="420">
        <v>120</v>
      </c>
      <c r="C121" s="331" t="s">
        <v>54</v>
      </c>
      <c r="D121" s="195">
        <f>[2]Districts_Boroughs!DF77</f>
        <v>10</v>
      </c>
      <c r="E121" s="195">
        <f>[2]Districts_Boroughs!DG77</f>
        <v>6</v>
      </c>
      <c r="F121" s="195">
        <f>[2]Districts_Boroughs!DH77</f>
        <v>7</v>
      </c>
      <c r="G121" s="195">
        <f>[2]Districts_Boroughs!DI77</f>
        <v>8</v>
      </c>
      <c r="H121" s="195">
        <f>[2]Districts_Boroughs!DJ77</f>
        <v>5</v>
      </c>
      <c r="I121" s="195">
        <f>[2]Districts_Boroughs!DK77</f>
        <v>5</v>
      </c>
      <c r="J121" s="195">
        <f>[2]Districts_Boroughs!DL77</f>
        <v>3</v>
      </c>
      <c r="K121" s="195">
        <f>[2]Districts_Boroughs!DM77</f>
        <v>6</v>
      </c>
      <c r="L121" s="195">
        <f>[2]Districts_Boroughs!DN77</f>
        <v>6</v>
      </c>
      <c r="M121" s="195">
        <f>[2]Districts_Boroughs!DO77</f>
        <v>3</v>
      </c>
      <c r="N121" s="195">
        <f>[2]Districts_Boroughs!DP77</f>
        <v>4</v>
      </c>
      <c r="O121" s="195">
        <f>[2]Districts_Boroughs!DQ77</f>
        <v>6</v>
      </c>
      <c r="P121" s="178"/>
      <c r="Q121" s="468">
        <v>120</v>
      </c>
      <c r="R121" s="333" t="s">
        <v>54</v>
      </c>
      <c r="S121" s="176">
        <f t="shared" si="128"/>
        <v>10</v>
      </c>
      <c r="T121" s="176">
        <f t="shared" si="129"/>
        <v>16</v>
      </c>
      <c r="U121" s="176">
        <f t="shared" si="130"/>
        <v>23</v>
      </c>
      <c r="V121" s="176">
        <f t="shared" si="131"/>
        <v>31</v>
      </c>
      <c r="W121" s="176">
        <f t="shared" si="132"/>
        <v>36</v>
      </c>
      <c r="X121" s="176">
        <f t="shared" si="133"/>
        <v>41</v>
      </c>
      <c r="Y121" s="176">
        <f t="shared" si="134"/>
        <v>44</v>
      </c>
      <c r="Z121" s="176">
        <f t="shared" si="135"/>
        <v>50</v>
      </c>
      <c r="AA121" s="176">
        <f t="shared" si="136"/>
        <v>56</v>
      </c>
      <c r="AB121" s="176">
        <f t="shared" si="137"/>
        <v>59</v>
      </c>
      <c r="AC121" s="176">
        <f t="shared" si="138"/>
        <v>63</v>
      </c>
      <c r="AD121" s="461">
        <f t="shared" si="139"/>
        <v>69</v>
      </c>
      <c r="AE121" s="468">
        <v>120</v>
      </c>
      <c r="AF121" s="163">
        <f t="shared" si="119"/>
        <v>69</v>
      </c>
    </row>
    <row r="122" spans="1:32" x14ac:dyDescent="0.35">
      <c r="B122" s="420">
        <v>121</v>
      </c>
      <c r="C122" s="331" t="s">
        <v>46</v>
      </c>
      <c r="D122" s="195">
        <f>[2]Districts_Boroughs!DF79</f>
        <v>2</v>
      </c>
      <c r="E122" s="195">
        <f>[2]Districts_Boroughs!DG79</f>
        <v>1</v>
      </c>
      <c r="F122" s="195">
        <f>[2]Districts_Boroughs!DH79</f>
        <v>0</v>
      </c>
      <c r="G122" s="195">
        <f>[2]Districts_Boroughs!DI79</f>
        <v>1</v>
      </c>
      <c r="H122" s="195">
        <f>[2]Districts_Boroughs!DJ79</f>
        <v>0</v>
      </c>
      <c r="I122" s="195">
        <f>[2]Districts_Boroughs!DK79</f>
        <v>3</v>
      </c>
      <c r="J122" s="195">
        <f>[2]Districts_Boroughs!DL79</f>
        <v>0</v>
      </c>
      <c r="K122" s="195">
        <f>[2]Districts_Boroughs!DM79</f>
        <v>0</v>
      </c>
      <c r="L122" s="195">
        <f>[2]Districts_Boroughs!DN79</f>
        <v>1</v>
      </c>
      <c r="M122" s="195">
        <f>[2]Districts_Boroughs!DO79</f>
        <v>2</v>
      </c>
      <c r="N122" s="195">
        <f>[2]Districts_Boroughs!DP79</f>
        <v>1</v>
      </c>
      <c r="O122" s="195">
        <f>[2]Districts_Boroughs!DQ79</f>
        <v>2</v>
      </c>
      <c r="P122" s="178"/>
      <c r="Q122" s="468">
        <v>121</v>
      </c>
      <c r="R122" s="333" t="s">
        <v>46</v>
      </c>
      <c r="S122" s="176">
        <f t="shared" si="128"/>
        <v>2</v>
      </c>
      <c r="T122" s="176">
        <f t="shared" si="129"/>
        <v>3</v>
      </c>
      <c r="U122" s="176">
        <f t="shared" si="130"/>
        <v>3</v>
      </c>
      <c r="V122" s="176">
        <f t="shared" si="131"/>
        <v>4</v>
      </c>
      <c r="W122" s="176">
        <f t="shared" si="132"/>
        <v>4</v>
      </c>
      <c r="X122" s="176">
        <f t="shared" si="133"/>
        <v>7</v>
      </c>
      <c r="Y122" s="176">
        <f t="shared" si="134"/>
        <v>7</v>
      </c>
      <c r="Z122" s="176">
        <f t="shared" si="135"/>
        <v>7</v>
      </c>
      <c r="AA122" s="176">
        <f t="shared" si="136"/>
        <v>8</v>
      </c>
      <c r="AB122" s="176">
        <f t="shared" si="137"/>
        <v>10</v>
      </c>
      <c r="AC122" s="176">
        <f t="shared" si="138"/>
        <v>11</v>
      </c>
      <c r="AD122" s="461">
        <f t="shared" si="139"/>
        <v>13</v>
      </c>
      <c r="AE122" s="468">
        <v>121</v>
      </c>
      <c r="AF122" s="163">
        <f t="shared" si="119"/>
        <v>13</v>
      </c>
    </row>
    <row r="123" spans="1:32" x14ac:dyDescent="0.35">
      <c r="B123" s="420">
        <v>122</v>
      </c>
      <c r="C123" s="331" t="s">
        <v>47</v>
      </c>
      <c r="D123" s="195">
        <f>[2]Districts_Boroughs!DF80</f>
        <v>14</v>
      </c>
      <c r="E123" s="195">
        <f>[2]Districts_Boroughs!DG80</f>
        <v>13</v>
      </c>
      <c r="F123" s="195">
        <f>[2]Districts_Boroughs!DH80</f>
        <v>13</v>
      </c>
      <c r="G123" s="195">
        <f>[2]Districts_Boroughs!DI80</f>
        <v>12</v>
      </c>
      <c r="H123" s="195">
        <f>[2]Districts_Boroughs!DJ80</f>
        <v>14</v>
      </c>
      <c r="I123" s="195">
        <f>[2]Districts_Boroughs!DK80</f>
        <v>13</v>
      </c>
      <c r="J123" s="195">
        <f>[2]Districts_Boroughs!DL80</f>
        <v>17</v>
      </c>
      <c r="K123" s="195">
        <f>[2]Districts_Boroughs!DM80</f>
        <v>11</v>
      </c>
      <c r="L123" s="195">
        <f>[2]Districts_Boroughs!DN80</f>
        <v>18</v>
      </c>
      <c r="M123" s="195">
        <f>[2]Districts_Boroughs!DO80</f>
        <v>22</v>
      </c>
      <c r="N123" s="195">
        <f>[2]Districts_Boroughs!DP80</f>
        <v>11</v>
      </c>
      <c r="O123" s="195">
        <f>[2]Districts_Boroughs!DQ80</f>
        <v>33</v>
      </c>
      <c r="P123" s="178"/>
      <c r="Q123" s="468">
        <v>122</v>
      </c>
      <c r="R123" s="333" t="s">
        <v>47</v>
      </c>
      <c r="S123" s="176">
        <f t="shared" si="128"/>
        <v>14</v>
      </c>
      <c r="T123" s="176">
        <f t="shared" si="129"/>
        <v>27</v>
      </c>
      <c r="U123" s="176">
        <f t="shared" si="130"/>
        <v>40</v>
      </c>
      <c r="V123" s="176">
        <f t="shared" si="131"/>
        <v>52</v>
      </c>
      <c r="W123" s="176">
        <f t="shared" si="132"/>
        <v>66</v>
      </c>
      <c r="X123" s="176">
        <f t="shared" si="133"/>
        <v>79</v>
      </c>
      <c r="Y123" s="176">
        <f t="shared" si="134"/>
        <v>96</v>
      </c>
      <c r="Z123" s="176">
        <f t="shared" si="135"/>
        <v>107</v>
      </c>
      <c r="AA123" s="176">
        <f t="shared" si="136"/>
        <v>125</v>
      </c>
      <c r="AB123" s="176">
        <f t="shared" si="137"/>
        <v>147</v>
      </c>
      <c r="AC123" s="176">
        <f t="shared" si="138"/>
        <v>158</v>
      </c>
      <c r="AD123" s="461">
        <f t="shared" si="139"/>
        <v>191</v>
      </c>
      <c r="AE123" s="468">
        <v>122</v>
      </c>
      <c r="AF123" s="163">
        <f t="shared" si="119"/>
        <v>191</v>
      </c>
    </row>
    <row r="124" spans="1:32" x14ac:dyDescent="0.35">
      <c r="B124" s="421">
        <v>123</v>
      </c>
      <c r="C124" s="331" t="s">
        <v>48</v>
      </c>
      <c r="D124" s="195">
        <f>[2]Districts_Boroughs!DF81</f>
        <v>21</v>
      </c>
      <c r="E124" s="195">
        <f>[2]Districts_Boroughs!DG81</f>
        <v>15</v>
      </c>
      <c r="F124" s="195">
        <f>[2]Districts_Boroughs!DH81</f>
        <v>24</v>
      </c>
      <c r="G124" s="195">
        <f>[2]Districts_Boroughs!DI81</f>
        <v>31</v>
      </c>
      <c r="H124" s="195">
        <f>[2]Districts_Boroughs!DJ81</f>
        <v>29</v>
      </c>
      <c r="I124" s="195">
        <f>[2]Districts_Boroughs!DK81</f>
        <v>45</v>
      </c>
      <c r="J124" s="195">
        <f>[2]Districts_Boroughs!DL81</f>
        <v>19</v>
      </c>
      <c r="K124" s="195">
        <f>[2]Districts_Boroughs!DM81</f>
        <v>22</v>
      </c>
      <c r="L124" s="195">
        <f>[2]Districts_Boroughs!DN81</f>
        <v>32</v>
      </c>
      <c r="M124" s="195">
        <f>[2]Districts_Boroughs!DO81</f>
        <v>24</v>
      </c>
      <c r="N124" s="195">
        <f>[2]Districts_Boroughs!DP81</f>
        <v>33</v>
      </c>
      <c r="O124" s="195">
        <f>[2]Districts_Boroughs!DQ81</f>
        <v>68</v>
      </c>
      <c r="P124" s="178"/>
      <c r="Q124" s="468">
        <v>123</v>
      </c>
      <c r="R124" s="333" t="s">
        <v>48</v>
      </c>
      <c r="S124" s="176">
        <f t="shared" si="128"/>
        <v>21</v>
      </c>
      <c r="T124" s="176">
        <f t="shared" si="129"/>
        <v>36</v>
      </c>
      <c r="U124" s="176">
        <f t="shared" si="130"/>
        <v>60</v>
      </c>
      <c r="V124" s="176">
        <f t="shared" si="131"/>
        <v>91</v>
      </c>
      <c r="W124" s="176">
        <f t="shared" si="132"/>
        <v>120</v>
      </c>
      <c r="X124" s="176">
        <f t="shared" si="133"/>
        <v>165</v>
      </c>
      <c r="Y124" s="176">
        <f t="shared" si="134"/>
        <v>184</v>
      </c>
      <c r="Z124" s="176">
        <f t="shared" si="135"/>
        <v>206</v>
      </c>
      <c r="AA124" s="176">
        <f t="shared" si="136"/>
        <v>238</v>
      </c>
      <c r="AB124" s="176">
        <f t="shared" si="137"/>
        <v>262</v>
      </c>
      <c r="AC124" s="176">
        <f t="shared" si="138"/>
        <v>295</v>
      </c>
      <c r="AD124" s="461">
        <f t="shared" si="139"/>
        <v>363</v>
      </c>
      <c r="AE124" s="470">
        <v>123</v>
      </c>
      <c r="AF124" s="163">
        <f t="shared" si="119"/>
        <v>363</v>
      </c>
    </row>
    <row r="125" spans="1:32" x14ac:dyDescent="0.35">
      <c r="B125" s="420">
        <v>124</v>
      </c>
      <c r="C125" s="331" t="s">
        <v>49</v>
      </c>
      <c r="D125" s="195">
        <f>[2]Districts_Boroughs!DF82</f>
        <v>37</v>
      </c>
      <c r="E125" s="195">
        <f>[2]Districts_Boroughs!DG82</f>
        <v>29</v>
      </c>
      <c r="F125" s="195">
        <f>[2]Districts_Boroughs!DH82</f>
        <v>35</v>
      </c>
      <c r="G125" s="195">
        <f>[2]Districts_Boroughs!DI82</f>
        <v>38</v>
      </c>
      <c r="H125" s="195">
        <f>[2]Districts_Boroughs!DJ82</f>
        <v>36</v>
      </c>
      <c r="I125" s="195">
        <f>[2]Districts_Boroughs!DK82</f>
        <v>31</v>
      </c>
      <c r="J125" s="195">
        <f>[2]Districts_Boroughs!DL82</f>
        <v>22</v>
      </c>
      <c r="K125" s="195">
        <f>[2]Districts_Boroughs!DM82</f>
        <v>21</v>
      </c>
      <c r="L125" s="195">
        <f>[2]Districts_Boroughs!DN82</f>
        <v>28</v>
      </c>
      <c r="M125" s="195">
        <f>[2]Districts_Boroughs!DO82</f>
        <v>25</v>
      </c>
      <c r="N125" s="195">
        <f>[2]Districts_Boroughs!DP82</f>
        <v>30</v>
      </c>
      <c r="O125" s="195">
        <f>[2]Districts_Boroughs!DQ82</f>
        <v>25</v>
      </c>
      <c r="P125" s="178"/>
      <c r="Q125" s="468">
        <v>124</v>
      </c>
      <c r="R125" s="333" t="s">
        <v>49</v>
      </c>
      <c r="S125" s="176">
        <f t="shared" si="128"/>
        <v>37</v>
      </c>
      <c r="T125" s="176">
        <f t="shared" si="129"/>
        <v>66</v>
      </c>
      <c r="U125" s="176">
        <f t="shared" si="130"/>
        <v>101</v>
      </c>
      <c r="V125" s="176">
        <f t="shared" si="131"/>
        <v>139</v>
      </c>
      <c r="W125" s="176">
        <f t="shared" si="132"/>
        <v>175</v>
      </c>
      <c r="X125" s="176">
        <f t="shared" si="133"/>
        <v>206</v>
      </c>
      <c r="Y125" s="176">
        <f t="shared" si="134"/>
        <v>228</v>
      </c>
      <c r="Z125" s="176">
        <f t="shared" si="135"/>
        <v>249</v>
      </c>
      <c r="AA125" s="176">
        <f t="shared" si="136"/>
        <v>277</v>
      </c>
      <c r="AB125" s="176">
        <f t="shared" si="137"/>
        <v>302</v>
      </c>
      <c r="AC125" s="176">
        <f t="shared" si="138"/>
        <v>332</v>
      </c>
      <c r="AD125" s="461">
        <f t="shared" si="139"/>
        <v>357</v>
      </c>
      <c r="AE125" s="468">
        <v>124</v>
      </c>
      <c r="AF125" s="163">
        <f t="shared" si="119"/>
        <v>357</v>
      </c>
    </row>
    <row r="126" spans="1:32" x14ac:dyDescent="0.35">
      <c r="A126" s="162" t="s">
        <v>128</v>
      </c>
      <c r="B126" s="420">
        <v>125</v>
      </c>
      <c r="C126" s="331" t="s">
        <v>85</v>
      </c>
      <c r="D126" s="284">
        <f>D122+D125</f>
        <v>39</v>
      </c>
      <c r="E126" s="284">
        <f t="shared" ref="E126:O126" si="140">E122+E125</f>
        <v>30</v>
      </c>
      <c r="F126" s="284">
        <f t="shared" si="140"/>
        <v>35</v>
      </c>
      <c r="G126" s="284">
        <f t="shared" si="140"/>
        <v>39</v>
      </c>
      <c r="H126" s="284">
        <f t="shared" si="140"/>
        <v>36</v>
      </c>
      <c r="I126" s="284">
        <f t="shared" si="140"/>
        <v>34</v>
      </c>
      <c r="J126" s="284">
        <f t="shared" si="140"/>
        <v>22</v>
      </c>
      <c r="K126" s="284">
        <f t="shared" si="140"/>
        <v>21</v>
      </c>
      <c r="L126" s="284">
        <f t="shared" si="140"/>
        <v>29</v>
      </c>
      <c r="M126" s="284">
        <f t="shared" si="140"/>
        <v>27</v>
      </c>
      <c r="N126" s="284">
        <f t="shared" si="140"/>
        <v>31</v>
      </c>
      <c r="O126" s="284">
        <f t="shared" si="140"/>
        <v>27</v>
      </c>
      <c r="P126" s="183"/>
      <c r="Q126" s="468">
        <v>125</v>
      </c>
      <c r="R126" s="333" t="s">
        <v>85</v>
      </c>
      <c r="S126" s="176">
        <f t="shared" si="128"/>
        <v>39</v>
      </c>
      <c r="T126" s="176">
        <f t="shared" si="129"/>
        <v>69</v>
      </c>
      <c r="U126" s="176">
        <f t="shared" si="130"/>
        <v>104</v>
      </c>
      <c r="V126" s="176">
        <f t="shared" si="131"/>
        <v>143</v>
      </c>
      <c r="W126" s="176">
        <f t="shared" si="132"/>
        <v>179</v>
      </c>
      <c r="X126" s="176">
        <f t="shared" si="133"/>
        <v>213</v>
      </c>
      <c r="Y126" s="176">
        <f t="shared" si="134"/>
        <v>235</v>
      </c>
      <c r="Z126" s="176">
        <f t="shared" si="135"/>
        <v>256</v>
      </c>
      <c r="AA126" s="176">
        <f t="shared" si="136"/>
        <v>285</v>
      </c>
      <c r="AB126" s="176">
        <f t="shared" si="137"/>
        <v>312</v>
      </c>
      <c r="AC126" s="176">
        <f t="shared" si="138"/>
        <v>343</v>
      </c>
      <c r="AD126" s="461">
        <f t="shared" si="139"/>
        <v>370</v>
      </c>
      <c r="AE126" s="468">
        <v>125</v>
      </c>
      <c r="AF126" s="163">
        <f t="shared" si="119"/>
        <v>370</v>
      </c>
    </row>
    <row r="127" spans="1:32" x14ac:dyDescent="0.35">
      <c r="B127" s="420">
        <v>126</v>
      </c>
      <c r="C127" s="331" t="s">
        <v>50</v>
      </c>
      <c r="D127" s="197">
        <f>[2]Districts_Boroughs!DF83</f>
        <v>74</v>
      </c>
      <c r="E127" s="197">
        <f>[2]Districts_Boroughs!DG83</f>
        <v>58</v>
      </c>
      <c r="F127" s="197">
        <f>[2]Districts_Boroughs!DH83</f>
        <v>72</v>
      </c>
      <c r="G127" s="197">
        <f>[2]Districts_Boroughs!DI83</f>
        <v>82</v>
      </c>
      <c r="H127" s="197">
        <f>[2]Districts_Boroughs!DJ83</f>
        <v>79</v>
      </c>
      <c r="I127" s="197">
        <f>[2]Districts_Boroughs!DK83</f>
        <v>92</v>
      </c>
      <c r="J127" s="197">
        <f>[2]Districts_Boroughs!DL83</f>
        <v>58</v>
      </c>
      <c r="K127" s="197">
        <f>[2]Districts_Boroughs!DM83</f>
        <v>54</v>
      </c>
      <c r="L127" s="197">
        <f>[2]Districts_Boroughs!DN83</f>
        <v>79</v>
      </c>
      <c r="M127" s="197">
        <f>[2]Districts_Boroughs!DO83</f>
        <v>73</v>
      </c>
      <c r="N127" s="197">
        <f>[2]Districts_Boroughs!DP83</f>
        <v>75</v>
      </c>
      <c r="O127" s="197">
        <f>[2]Districts_Boroughs!DQ83</f>
        <v>128</v>
      </c>
      <c r="P127" s="178"/>
      <c r="Q127" s="468">
        <v>126</v>
      </c>
      <c r="R127" s="333" t="s">
        <v>50</v>
      </c>
      <c r="S127" s="176">
        <f t="shared" si="128"/>
        <v>74</v>
      </c>
      <c r="T127" s="176">
        <f t="shared" si="129"/>
        <v>132</v>
      </c>
      <c r="U127" s="176">
        <f t="shared" si="130"/>
        <v>204</v>
      </c>
      <c r="V127" s="176">
        <f t="shared" si="131"/>
        <v>286</v>
      </c>
      <c r="W127" s="176">
        <f t="shared" si="132"/>
        <v>365</v>
      </c>
      <c r="X127" s="176">
        <f t="shared" si="133"/>
        <v>457</v>
      </c>
      <c r="Y127" s="176">
        <f t="shared" si="134"/>
        <v>515</v>
      </c>
      <c r="Z127" s="176">
        <f t="shared" si="135"/>
        <v>569</v>
      </c>
      <c r="AA127" s="176">
        <f t="shared" si="136"/>
        <v>648</v>
      </c>
      <c r="AB127" s="176">
        <f t="shared" si="137"/>
        <v>721</v>
      </c>
      <c r="AC127" s="176">
        <f t="shared" si="138"/>
        <v>796</v>
      </c>
      <c r="AD127" s="461">
        <f t="shared" si="139"/>
        <v>924</v>
      </c>
      <c r="AE127" s="470">
        <v>126</v>
      </c>
      <c r="AF127" s="163">
        <f t="shared" si="119"/>
        <v>924</v>
      </c>
    </row>
    <row r="128" spans="1:32" x14ac:dyDescent="0.35">
      <c r="B128" s="420">
        <v>127</v>
      </c>
      <c r="C128" s="331" t="s">
        <v>51</v>
      </c>
      <c r="D128" s="195">
        <f>[2]Districts_Boroughs!DF85</f>
        <v>30</v>
      </c>
      <c r="E128" s="195">
        <f>[2]Districts_Boroughs!DG85</f>
        <v>17</v>
      </c>
      <c r="F128" s="195">
        <f>[2]Districts_Boroughs!DH85</f>
        <v>24</v>
      </c>
      <c r="G128" s="195">
        <f>[2]Districts_Boroughs!DI85</f>
        <v>33</v>
      </c>
      <c r="H128" s="195">
        <f>[2]Districts_Boroughs!DJ85</f>
        <v>25</v>
      </c>
      <c r="I128" s="195">
        <f>[2]Districts_Boroughs!DK85</f>
        <v>19</v>
      </c>
      <c r="J128" s="195">
        <f>[2]Districts_Boroughs!DL85</f>
        <v>40</v>
      </c>
      <c r="K128" s="195">
        <f>[2]Districts_Boroughs!DM85</f>
        <v>29</v>
      </c>
      <c r="L128" s="195">
        <f>[2]Districts_Boroughs!DN85</f>
        <v>12</v>
      </c>
      <c r="M128" s="195">
        <f>[2]Districts_Boroughs!DO85</f>
        <v>25</v>
      </c>
      <c r="N128" s="195">
        <f>[2]Districts_Boroughs!DP85</f>
        <v>21</v>
      </c>
      <c r="O128" s="195">
        <f>[2]Districts_Boroughs!DQ85</f>
        <v>17</v>
      </c>
      <c r="P128" s="178"/>
      <c r="Q128" s="468">
        <v>127</v>
      </c>
      <c r="R128" s="333" t="s">
        <v>51</v>
      </c>
      <c r="S128" s="176">
        <f t="shared" si="128"/>
        <v>30</v>
      </c>
      <c r="T128" s="176">
        <f t="shared" si="129"/>
        <v>47</v>
      </c>
      <c r="U128" s="176">
        <f t="shared" si="130"/>
        <v>71</v>
      </c>
      <c r="V128" s="176">
        <f t="shared" si="131"/>
        <v>104</v>
      </c>
      <c r="W128" s="176">
        <f t="shared" si="132"/>
        <v>129</v>
      </c>
      <c r="X128" s="176">
        <f t="shared" si="133"/>
        <v>148</v>
      </c>
      <c r="Y128" s="176">
        <f t="shared" si="134"/>
        <v>188</v>
      </c>
      <c r="Z128" s="176">
        <f t="shared" si="135"/>
        <v>217</v>
      </c>
      <c r="AA128" s="176">
        <f t="shared" si="136"/>
        <v>229</v>
      </c>
      <c r="AB128" s="176">
        <f t="shared" si="137"/>
        <v>254</v>
      </c>
      <c r="AC128" s="176">
        <f t="shared" si="138"/>
        <v>275</v>
      </c>
      <c r="AD128" s="461">
        <f t="shared" si="139"/>
        <v>292</v>
      </c>
      <c r="AE128" s="468">
        <v>127</v>
      </c>
      <c r="AF128" s="163">
        <f t="shared" si="119"/>
        <v>292</v>
      </c>
    </row>
    <row r="129" spans="1:32" x14ac:dyDescent="0.35">
      <c r="B129" s="421">
        <v>128</v>
      </c>
      <c r="C129" s="332" t="s">
        <v>200</v>
      </c>
      <c r="D129" s="195">
        <f>[2]Districts_Boroughs!DF86</f>
        <v>265</v>
      </c>
      <c r="E129" s="195">
        <f>[2]Districts_Boroughs!DG86</f>
        <v>285</v>
      </c>
      <c r="F129" s="195">
        <f>[2]Districts_Boroughs!DH86</f>
        <v>278</v>
      </c>
      <c r="G129" s="195">
        <f>[2]Districts_Boroughs!DI86</f>
        <v>299</v>
      </c>
      <c r="H129" s="195">
        <f>[2]Districts_Boroughs!DJ86</f>
        <v>298</v>
      </c>
      <c r="I129" s="195">
        <f>[2]Districts_Boroughs!DK86</f>
        <v>273</v>
      </c>
      <c r="J129" s="195">
        <f>[2]Districts_Boroughs!DL86</f>
        <v>304</v>
      </c>
      <c r="K129" s="195">
        <f>[2]Districts_Boroughs!DM86</f>
        <v>277</v>
      </c>
      <c r="L129" s="195">
        <f>[2]Districts_Boroughs!DN86</f>
        <v>309</v>
      </c>
      <c r="M129" s="195">
        <f>[2]Districts_Boroughs!DO86</f>
        <v>279</v>
      </c>
      <c r="N129" s="195">
        <f>[2]Districts_Boroughs!DP86</f>
        <v>254</v>
      </c>
      <c r="O129" s="195">
        <f>[2]Districts_Boroughs!DQ86</f>
        <v>268</v>
      </c>
      <c r="P129" s="178"/>
      <c r="Q129" s="468">
        <v>128</v>
      </c>
      <c r="R129" s="334" t="s">
        <v>200</v>
      </c>
      <c r="S129" s="176">
        <f t="shared" ref="S129:S132" si="141">D129</f>
        <v>265</v>
      </c>
      <c r="T129" s="176">
        <f t="shared" ref="T129:AD132" si="142">S129+E129</f>
        <v>550</v>
      </c>
      <c r="U129" s="176">
        <f t="shared" si="142"/>
        <v>828</v>
      </c>
      <c r="V129" s="176">
        <f t="shared" si="142"/>
        <v>1127</v>
      </c>
      <c r="W129" s="176">
        <f t="shared" si="142"/>
        <v>1425</v>
      </c>
      <c r="X129" s="176">
        <f t="shared" si="142"/>
        <v>1698</v>
      </c>
      <c r="Y129" s="176">
        <f t="shared" si="142"/>
        <v>2002</v>
      </c>
      <c r="Z129" s="176">
        <f t="shared" si="142"/>
        <v>2279</v>
      </c>
      <c r="AA129" s="176">
        <f t="shared" si="142"/>
        <v>2588</v>
      </c>
      <c r="AB129" s="176">
        <f t="shared" si="142"/>
        <v>2867</v>
      </c>
      <c r="AC129" s="176">
        <f t="shared" si="142"/>
        <v>3121</v>
      </c>
      <c r="AD129" s="461">
        <f t="shared" si="142"/>
        <v>3389</v>
      </c>
      <c r="AE129" s="468">
        <v>128</v>
      </c>
      <c r="AF129" s="163">
        <f t="shared" si="119"/>
        <v>3389</v>
      </c>
    </row>
    <row r="130" spans="1:32" x14ac:dyDescent="0.35">
      <c r="B130" s="420">
        <v>129</v>
      </c>
      <c r="C130" s="332" t="s">
        <v>243</v>
      </c>
      <c r="D130" s="195">
        <f>[2]Districts_Boroughs!DF87</f>
        <v>164</v>
      </c>
      <c r="E130" s="195">
        <f>[2]Districts_Boroughs!DG87</f>
        <v>168</v>
      </c>
      <c r="F130" s="195">
        <f>[2]Districts_Boroughs!DH87</f>
        <v>172</v>
      </c>
      <c r="G130" s="195">
        <f>[2]Districts_Boroughs!DI87</f>
        <v>150</v>
      </c>
      <c r="H130" s="195">
        <f>[2]Districts_Boroughs!DJ87</f>
        <v>137</v>
      </c>
      <c r="I130" s="195">
        <f>[2]Districts_Boroughs!DK87</f>
        <v>139</v>
      </c>
      <c r="J130" s="195">
        <f>[2]Districts_Boroughs!DL87</f>
        <v>163</v>
      </c>
      <c r="K130" s="195">
        <f>[2]Districts_Boroughs!DM87</f>
        <v>147</v>
      </c>
      <c r="L130" s="195">
        <f>[2]Districts_Boroughs!DN87</f>
        <v>169</v>
      </c>
      <c r="M130" s="195">
        <f>[2]Districts_Boroughs!DO87</f>
        <v>141</v>
      </c>
      <c r="N130" s="195">
        <f>[2]Districts_Boroughs!DP87</f>
        <v>150</v>
      </c>
      <c r="O130" s="195">
        <f>[2]Districts_Boroughs!DQ87</f>
        <v>152</v>
      </c>
      <c r="P130" s="178"/>
      <c r="Q130" s="468">
        <v>129</v>
      </c>
      <c r="R130" s="334" t="s">
        <v>201</v>
      </c>
      <c r="S130" s="176">
        <f t="shared" si="141"/>
        <v>164</v>
      </c>
      <c r="T130" s="176">
        <f t="shared" si="142"/>
        <v>332</v>
      </c>
      <c r="U130" s="176">
        <f t="shared" si="142"/>
        <v>504</v>
      </c>
      <c r="V130" s="176">
        <f t="shared" si="142"/>
        <v>654</v>
      </c>
      <c r="W130" s="176">
        <f t="shared" si="142"/>
        <v>791</v>
      </c>
      <c r="X130" s="176">
        <f t="shared" si="142"/>
        <v>930</v>
      </c>
      <c r="Y130" s="176">
        <f t="shared" si="142"/>
        <v>1093</v>
      </c>
      <c r="Z130" s="176">
        <f t="shared" si="142"/>
        <v>1240</v>
      </c>
      <c r="AA130" s="176">
        <f t="shared" si="142"/>
        <v>1409</v>
      </c>
      <c r="AB130" s="176">
        <f t="shared" si="142"/>
        <v>1550</v>
      </c>
      <c r="AC130" s="176">
        <f t="shared" si="142"/>
        <v>1700</v>
      </c>
      <c r="AD130" s="461">
        <f t="shared" si="142"/>
        <v>1852</v>
      </c>
      <c r="AE130" s="468">
        <v>129</v>
      </c>
      <c r="AF130" s="163">
        <f t="shared" si="119"/>
        <v>1852</v>
      </c>
    </row>
    <row r="131" spans="1:32" x14ac:dyDescent="0.35">
      <c r="B131" s="420">
        <v>130</v>
      </c>
      <c r="C131" s="332" t="s">
        <v>202</v>
      </c>
      <c r="D131" s="195">
        <f>[2]Districts_Boroughs!DF88</f>
        <v>4</v>
      </c>
      <c r="E131" s="195">
        <f>[2]Districts_Boroughs!DG88</f>
        <v>5</v>
      </c>
      <c r="F131" s="195">
        <f>[2]Districts_Boroughs!DH88</f>
        <v>1</v>
      </c>
      <c r="G131" s="195">
        <f>[2]Districts_Boroughs!DI88</f>
        <v>5</v>
      </c>
      <c r="H131" s="195">
        <f>[2]Districts_Boroughs!DJ88</f>
        <v>2</v>
      </c>
      <c r="I131" s="195">
        <f>[2]Districts_Boroughs!DK88</f>
        <v>6</v>
      </c>
      <c r="J131" s="195">
        <f>[2]Districts_Boroughs!DL88</f>
        <v>4</v>
      </c>
      <c r="K131" s="195">
        <f>[2]Districts_Boroughs!DM88</f>
        <v>3</v>
      </c>
      <c r="L131" s="195">
        <f>[2]Districts_Boroughs!DN88</f>
        <v>0</v>
      </c>
      <c r="M131" s="195">
        <f>[2]Districts_Boroughs!DO88</f>
        <v>8</v>
      </c>
      <c r="N131" s="195">
        <f>[2]Districts_Boroughs!DP88</f>
        <v>2</v>
      </c>
      <c r="O131" s="195">
        <f>[2]Districts_Boroughs!DQ88</f>
        <v>2</v>
      </c>
      <c r="P131" s="178"/>
      <c r="Q131" s="468">
        <v>130</v>
      </c>
      <c r="R131" s="334" t="s">
        <v>202</v>
      </c>
      <c r="S131" s="176">
        <f t="shared" si="141"/>
        <v>4</v>
      </c>
      <c r="T131" s="176">
        <f t="shared" si="142"/>
        <v>9</v>
      </c>
      <c r="U131" s="176">
        <f t="shared" si="142"/>
        <v>10</v>
      </c>
      <c r="V131" s="176">
        <f t="shared" si="142"/>
        <v>15</v>
      </c>
      <c r="W131" s="176">
        <f t="shared" si="142"/>
        <v>17</v>
      </c>
      <c r="X131" s="176">
        <f t="shared" si="142"/>
        <v>23</v>
      </c>
      <c r="Y131" s="176">
        <f t="shared" si="142"/>
        <v>27</v>
      </c>
      <c r="Z131" s="176">
        <f t="shared" si="142"/>
        <v>30</v>
      </c>
      <c r="AA131" s="176">
        <f t="shared" si="142"/>
        <v>30</v>
      </c>
      <c r="AB131" s="176">
        <f t="shared" si="142"/>
        <v>38</v>
      </c>
      <c r="AC131" s="176">
        <f t="shared" si="142"/>
        <v>40</v>
      </c>
      <c r="AD131" s="461">
        <f t="shared" si="142"/>
        <v>42</v>
      </c>
      <c r="AE131" s="468">
        <v>130</v>
      </c>
      <c r="AF131" s="163">
        <f t="shared" si="119"/>
        <v>42</v>
      </c>
    </row>
    <row r="132" spans="1:32" x14ac:dyDescent="0.35">
      <c r="B132" s="420">
        <v>131</v>
      </c>
      <c r="C132" s="331" t="s">
        <v>52</v>
      </c>
      <c r="D132" s="195">
        <f>[2]Districts_Boroughs!DF90</f>
        <v>103</v>
      </c>
      <c r="E132" s="195">
        <f>[2]Districts_Boroughs!DG90</f>
        <v>120</v>
      </c>
      <c r="F132" s="195">
        <f>[2]Districts_Boroughs!DH90</f>
        <v>102</v>
      </c>
      <c r="G132" s="195">
        <f>[2]Districts_Boroughs!DI90</f>
        <v>178</v>
      </c>
      <c r="H132" s="195">
        <f>[2]Districts_Boroughs!DJ90</f>
        <v>126</v>
      </c>
      <c r="I132" s="195">
        <f>[2]Districts_Boroughs!DK90</f>
        <v>126</v>
      </c>
      <c r="J132" s="195">
        <f>[2]Districts_Boroughs!DL90</f>
        <v>146</v>
      </c>
      <c r="K132" s="195">
        <f>[2]Districts_Boroughs!DM90</f>
        <v>135</v>
      </c>
      <c r="L132" s="195">
        <f>[2]Districts_Boroughs!DN90</f>
        <v>133</v>
      </c>
      <c r="M132" s="195">
        <f>[2]Districts_Boroughs!DO90</f>
        <v>158</v>
      </c>
      <c r="N132" s="195">
        <f>[2]Districts_Boroughs!DP90</f>
        <v>131</v>
      </c>
      <c r="O132" s="195">
        <f>[2]Districts_Boroughs!DQ90</f>
        <v>158</v>
      </c>
      <c r="P132" s="178"/>
      <c r="Q132" s="468">
        <v>131</v>
      </c>
      <c r="R132" s="333" t="s">
        <v>52</v>
      </c>
      <c r="S132" s="176">
        <f t="shared" si="141"/>
        <v>103</v>
      </c>
      <c r="T132" s="176">
        <f t="shared" si="142"/>
        <v>223</v>
      </c>
      <c r="U132" s="176">
        <f t="shared" si="142"/>
        <v>325</v>
      </c>
      <c r="V132" s="176">
        <f t="shared" si="142"/>
        <v>503</v>
      </c>
      <c r="W132" s="176">
        <f t="shared" si="142"/>
        <v>629</v>
      </c>
      <c r="X132" s="176">
        <f t="shared" si="142"/>
        <v>755</v>
      </c>
      <c r="Y132" s="176">
        <f t="shared" si="142"/>
        <v>901</v>
      </c>
      <c r="Z132" s="176">
        <f t="shared" si="142"/>
        <v>1036</v>
      </c>
      <c r="AA132" s="176">
        <f t="shared" si="142"/>
        <v>1169</v>
      </c>
      <c r="AB132" s="176">
        <f t="shared" si="142"/>
        <v>1327</v>
      </c>
      <c r="AC132" s="176">
        <f t="shared" si="142"/>
        <v>1458</v>
      </c>
      <c r="AD132" s="461">
        <f t="shared" si="142"/>
        <v>1616</v>
      </c>
      <c r="AE132" s="470">
        <v>131</v>
      </c>
      <c r="AF132" s="163">
        <f t="shared" si="119"/>
        <v>1616</v>
      </c>
    </row>
    <row r="133" spans="1:32" x14ac:dyDescent="0.35">
      <c r="B133" s="420">
        <v>132</v>
      </c>
      <c r="C133" s="331" t="s">
        <v>81</v>
      </c>
      <c r="D133" s="196">
        <f>[2]Districts_Boroughs!DF92</f>
        <v>26</v>
      </c>
      <c r="E133" s="196">
        <f>[2]Districts_Boroughs!DG92</f>
        <v>22</v>
      </c>
      <c r="F133" s="196">
        <f>[2]Districts_Boroughs!DH92</f>
        <v>21</v>
      </c>
      <c r="G133" s="196">
        <f>[2]Districts_Boroughs!DI92</f>
        <v>36</v>
      </c>
      <c r="H133" s="196">
        <f>[2]Districts_Boroughs!DJ92</f>
        <v>11</v>
      </c>
      <c r="I133" s="196">
        <f>[2]Districts_Boroughs!DK92</f>
        <v>23</v>
      </c>
      <c r="J133" s="196">
        <f>[2]Districts_Boroughs!DL92</f>
        <v>35</v>
      </c>
      <c r="K133" s="196">
        <f>[2]Districts_Boroughs!DM92</f>
        <v>31</v>
      </c>
      <c r="L133" s="196">
        <f>[2]Districts_Boroughs!DN92</f>
        <v>16</v>
      </c>
      <c r="M133" s="196">
        <f>[2]Districts_Boroughs!DO92</f>
        <v>27</v>
      </c>
      <c r="N133" s="196">
        <f>[2]Districts_Boroughs!DP92</f>
        <v>28</v>
      </c>
      <c r="O133" s="196">
        <f>[2]Districts_Boroughs!DQ92</f>
        <v>31</v>
      </c>
      <c r="P133" s="185"/>
      <c r="Q133" s="468">
        <v>132</v>
      </c>
      <c r="R133" s="333" t="s">
        <v>81</v>
      </c>
      <c r="S133" s="176">
        <f t="shared" ref="S133:S142" si="143">D133</f>
        <v>26</v>
      </c>
      <c r="T133" s="176">
        <f t="shared" ref="T133:T142" si="144">S133+E133</f>
        <v>48</v>
      </c>
      <c r="U133" s="176">
        <f t="shared" ref="U133:U142" si="145">T133+F133</f>
        <v>69</v>
      </c>
      <c r="V133" s="176">
        <f t="shared" ref="V133:V142" si="146">U133+G133</f>
        <v>105</v>
      </c>
      <c r="W133" s="176">
        <f t="shared" ref="W133:W142" si="147">V133+H133</f>
        <v>116</v>
      </c>
      <c r="X133" s="176">
        <f t="shared" ref="X133:X142" si="148">W133+I133</f>
        <v>139</v>
      </c>
      <c r="Y133" s="176">
        <f t="shared" ref="Y133:Y142" si="149">X133+J133</f>
        <v>174</v>
      </c>
      <c r="Z133" s="176">
        <f t="shared" ref="Z133:Z142" si="150">Y133+K133</f>
        <v>205</v>
      </c>
      <c r="AA133" s="176">
        <f t="shared" ref="AA133:AA142" si="151">Z133+L133</f>
        <v>221</v>
      </c>
      <c r="AB133" s="176">
        <f t="shared" ref="AB133:AB142" si="152">AA133+M133</f>
        <v>248</v>
      </c>
      <c r="AC133" s="176">
        <f t="shared" ref="AC133:AC142" si="153">AB133+N133</f>
        <v>276</v>
      </c>
      <c r="AD133" s="461">
        <f t="shared" ref="AD133:AD142" si="154">AC133+O133</f>
        <v>307</v>
      </c>
      <c r="AE133" s="468">
        <v>132</v>
      </c>
      <c r="AF133" s="163">
        <f t="shared" si="119"/>
        <v>307</v>
      </c>
    </row>
    <row r="134" spans="1:32" x14ac:dyDescent="0.35">
      <c r="A134" s="162" t="s">
        <v>128</v>
      </c>
      <c r="B134" s="421">
        <v>133</v>
      </c>
      <c r="C134" s="331" t="s">
        <v>75</v>
      </c>
      <c r="D134" s="284">
        <f t="shared" ref="D134:O134" si="155">D110+D133+D126+D124</f>
        <v>92</v>
      </c>
      <c r="E134" s="284">
        <f t="shared" si="155"/>
        <v>79</v>
      </c>
      <c r="F134" s="284">
        <f t="shared" si="155"/>
        <v>92</v>
      </c>
      <c r="G134" s="284">
        <f t="shared" si="155"/>
        <v>125</v>
      </c>
      <c r="H134" s="284">
        <f t="shared" si="155"/>
        <v>93</v>
      </c>
      <c r="I134" s="284">
        <f t="shared" si="155"/>
        <v>115</v>
      </c>
      <c r="J134" s="284">
        <f t="shared" si="155"/>
        <v>86</v>
      </c>
      <c r="K134" s="284">
        <f t="shared" si="155"/>
        <v>84</v>
      </c>
      <c r="L134" s="284">
        <f t="shared" si="155"/>
        <v>91</v>
      </c>
      <c r="M134" s="284">
        <f t="shared" si="155"/>
        <v>90</v>
      </c>
      <c r="N134" s="284">
        <f t="shared" si="155"/>
        <v>103</v>
      </c>
      <c r="O134" s="284">
        <f t="shared" si="155"/>
        <v>141</v>
      </c>
      <c r="P134" s="183"/>
      <c r="Q134" s="468">
        <v>133</v>
      </c>
      <c r="R134" s="333" t="s">
        <v>75</v>
      </c>
      <c r="S134" s="176">
        <f t="shared" si="143"/>
        <v>92</v>
      </c>
      <c r="T134" s="176">
        <f t="shared" si="144"/>
        <v>171</v>
      </c>
      <c r="U134" s="176">
        <f t="shared" si="145"/>
        <v>263</v>
      </c>
      <c r="V134" s="176">
        <f t="shared" si="146"/>
        <v>388</v>
      </c>
      <c r="W134" s="176">
        <f t="shared" si="147"/>
        <v>481</v>
      </c>
      <c r="X134" s="176">
        <f t="shared" si="148"/>
        <v>596</v>
      </c>
      <c r="Y134" s="176">
        <f t="shared" si="149"/>
        <v>682</v>
      </c>
      <c r="Z134" s="176">
        <f t="shared" si="150"/>
        <v>766</v>
      </c>
      <c r="AA134" s="176">
        <f t="shared" si="151"/>
        <v>857</v>
      </c>
      <c r="AB134" s="176">
        <f t="shared" si="152"/>
        <v>947</v>
      </c>
      <c r="AC134" s="176">
        <f t="shared" si="153"/>
        <v>1050</v>
      </c>
      <c r="AD134" s="461">
        <f t="shared" si="154"/>
        <v>1191</v>
      </c>
      <c r="AE134" s="468">
        <v>133</v>
      </c>
      <c r="AF134" s="163">
        <f t="shared" si="119"/>
        <v>1191</v>
      </c>
    </row>
    <row r="135" spans="1:32" x14ac:dyDescent="0.35">
      <c r="B135" s="420">
        <v>134</v>
      </c>
      <c r="C135" s="331" t="s">
        <v>76</v>
      </c>
      <c r="D135" s="100">
        <f>[2]ASB!DF21</f>
        <v>260</v>
      </c>
      <c r="E135" s="100">
        <f>[2]ASB!DG21</f>
        <v>221</v>
      </c>
      <c r="F135" s="100">
        <f>[2]ASB!DH21</f>
        <v>215</v>
      </c>
      <c r="G135" s="100">
        <f>[2]ASB!DI21</f>
        <v>224</v>
      </c>
      <c r="H135" s="100">
        <f>[2]ASB!DJ21</f>
        <v>249</v>
      </c>
      <c r="I135" s="100">
        <f>[2]ASB!DK21</f>
        <v>236</v>
      </c>
      <c r="J135" s="100">
        <f>[2]ASB!DL21</f>
        <v>150</v>
      </c>
      <c r="K135" s="100">
        <f>[2]ASB!DM21</f>
        <v>144</v>
      </c>
      <c r="L135" s="100">
        <f>[2]ASB!DN21</f>
        <v>163</v>
      </c>
      <c r="M135" s="100">
        <f>[2]ASB!DO21</f>
        <v>171</v>
      </c>
      <c r="N135" s="100">
        <f>[2]ASB!DP21</f>
        <v>170</v>
      </c>
      <c r="O135" s="100">
        <f>[2]ASB!DQ21</f>
        <v>173</v>
      </c>
      <c r="P135" s="100"/>
      <c r="Q135" s="468">
        <v>134</v>
      </c>
      <c r="R135" s="333" t="s">
        <v>76</v>
      </c>
      <c r="S135" s="176">
        <f t="shared" si="143"/>
        <v>260</v>
      </c>
      <c r="T135" s="176">
        <f t="shared" si="144"/>
        <v>481</v>
      </c>
      <c r="U135" s="176">
        <f t="shared" si="145"/>
        <v>696</v>
      </c>
      <c r="V135" s="176">
        <f t="shared" si="146"/>
        <v>920</v>
      </c>
      <c r="W135" s="176">
        <f t="shared" si="147"/>
        <v>1169</v>
      </c>
      <c r="X135" s="176">
        <f t="shared" si="148"/>
        <v>1405</v>
      </c>
      <c r="Y135" s="176">
        <f t="shared" si="149"/>
        <v>1555</v>
      </c>
      <c r="Z135" s="176">
        <f t="shared" si="150"/>
        <v>1699</v>
      </c>
      <c r="AA135" s="176">
        <f t="shared" si="151"/>
        <v>1862</v>
      </c>
      <c r="AB135" s="176">
        <f t="shared" si="152"/>
        <v>2033</v>
      </c>
      <c r="AC135" s="176">
        <f t="shared" si="153"/>
        <v>2203</v>
      </c>
      <c r="AD135" s="461">
        <f t="shared" si="154"/>
        <v>2376</v>
      </c>
      <c r="AE135" s="470">
        <v>134</v>
      </c>
      <c r="AF135" s="163">
        <f t="shared" si="119"/>
        <v>2376</v>
      </c>
    </row>
    <row r="136" spans="1:32" x14ac:dyDescent="0.35">
      <c r="B136" s="420">
        <v>135</v>
      </c>
      <c r="C136" s="331" t="s">
        <v>86</v>
      </c>
      <c r="D136" s="100">
        <f>[2]ASB!DF22</f>
        <v>30</v>
      </c>
      <c r="E136" s="100">
        <f>[2]ASB!DG22</f>
        <v>35</v>
      </c>
      <c r="F136" s="100">
        <f>[2]ASB!DH22</f>
        <v>36</v>
      </c>
      <c r="G136" s="100">
        <f>[2]ASB!DI22</f>
        <v>38</v>
      </c>
      <c r="H136" s="100">
        <f>[2]ASB!DJ22</f>
        <v>52</v>
      </c>
      <c r="I136" s="100">
        <f>[2]ASB!DK22</f>
        <v>49</v>
      </c>
      <c r="J136" s="100">
        <f>[2]ASB!DL22</f>
        <v>38</v>
      </c>
      <c r="K136" s="100">
        <f>[2]ASB!DM22</f>
        <v>39</v>
      </c>
      <c r="L136" s="100">
        <f>[2]ASB!DN22</f>
        <v>46</v>
      </c>
      <c r="M136" s="100">
        <f>[2]ASB!DO22</f>
        <v>43</v>
      </c>
      <c r="N136" s="100">
        <f>[2]ASB!DP22</f>
        <v>45</v>
      </c>
      <c r="O136" s="100">
        <f>[2]ASB!DQ22</f>
        <v>46</v>
      </c>
      <c r="P136" s="100"/>
      <c r="Q136" s="468">
        <v>135</v>
      </c>
      <c r="R136" s="333" t="s">
        <v>86</v>
      </c>
      <c r="S136" s="176">
        <f t="shared" si="143"/>
        <v>30</v>
      </c>
      <c r="T136" s="176">
        <f t="shared" si="144"/>
        <v>65</v>
      </c>
      <c r="U136" s="176">
        <f t="shared" si="145"/>
        <v>101</v>
      </c>
      <c r="V136" s="176">
        <f t="shared" si="146"/>
        <v>139</v>
      </c>
      <c r="W136" s="176">
        <f t="shared" si="147"/>
        <v>191</v>
      </c>
      <c r="X136" s="176">
        <f t="shared" si="148"/>
        <v>240</v>
      </c>
      <c r="Y136" s="176">
        <f t="shared" si="149"/>
        <v>278</v>
      </c>
      <c r="Z136" s="176">
        <f t="shared" si="150"/>
        <v>317</v>
      </c>
      <c r="AA136" s="176">
        <f t="shared" si="151"/>
        <v>363</v>
      </c>
      <c r="AB136" s="176">
        <f t="shared" si="152"/>
        <v>406</v>
      </c>
      <c r="AC136" s="176">
        <f t="shared" si="153"/>
        <v>451</v>
      </c>
      <c r="AD136" s="461">
        <f t="shared" si="154"/>
        <v>497</v>
      </c>
      <c r="AE136" s="468">
        <v>135</v>
      </c>
      <c r="AF136" s="163">
        <f t="shared" si="119"/>
        <v>497</v>
      </c>
    </row>
    <row r="137" spans="1:32" x14ac:dyDescent="0.35">
      <c r="B137" s="420">
        <v>136</v>
      </c>
      <c r="C137" s="331" t="s">
        <v>88</v>
      </c>
      <c r="D137" s="100">
        <f>[2]ASB!DF23</f>
        <v>182</v>
      </c>
      <c r="E137" s="100">
        <f>[2]ASB!DG23</f>
        <v>161</v>
      </c>
      <c r="F137" s="100">
        <f>[2]ASB!DH23</f>
        <v>153</v>
      </c>
      <c r="G137" s="100">
        <f>[2]ASB!DI23</f>
        <v>167</v>
      </c>
      <c r="H137" s="100">
        <f>[2]ASB!DJ23</f>
        <v>183</v>
      </c>
      <c r="I137" s="100">
        <f>[2]ASB!DK23</f>
        <v>153</v>
      </c>
      <c r="J137" s="100">
        <f>[2]ASB!DL23</f>
        <v>101</v>
      </c>
      <c r="K137" s="100">
        <f>[2]ASB!DM23</f>
        <v>79</v>
      </c>
      <c r="L137" s="100">
        <f>[2]ASB!DN23</f>
        <v>104</v>
      </c>
      <c r="M137" s="100">
        <f>[2]ASB!DO23</f>
        <v>113</v>
      </c>
      <c r="N137" s="100">
        <f>[2]ASB!DP23</f>
        <v>113</v>
      </c>
      <c r="O137" s="100">
        <f>[2]ASB!DQ23</f>
        <v>119</v>
      </c>
      <c r="P137" s="100"/>
      <c r="Q137" s="468">
        <v>136</v>
      </c>
      <c r="R137" s="333" t="s">
        <v>88</v>
      </c>
      <c r="S137" s="176">
        <f t="shared" si="143"/>
        <v>182</v>
      </c>
      <c r="T137" s="176">
        <f t="shared" si="144"/>
        <v>343</v>
      </c>
      <c r="U137" s="176">
        <f t="shared" si="145"/>
        <v>496</v>
      </c>
      <c r="V137" s="176">
        <f t="shared" si="146"/>
        <v>663</v>
      </c>
      <c r="W137" s="176">
        <f t="shared" si="147"/>
        <v>846</v>
      </c>
      <c r="X137" s="176">
        <f t="shared" si="148"/>
        <v>999</v>
      </c>
      <c r="Y137" s="176">
        <f t="shared" si="149"/>
        <v>1100</v>
      </c>
      <c r="Z137" s="176">
        <f t="shared" si="150"/>
        <v>1179</v>
      </c>
      <c r="AA137" s="176">
        <f t="shared" si="151"/>
        <v>1283</v>
      </c>
      <c r="AB137" s="176">
        <f t="shared" si="152"/>
        <v>1396</v>
      </c>
      <c r="AC137" s="176">
        <f t="shared" si="153"/>
        <v>1509</v>
      </c>
      <c r="AD137" s="461">
        <f t="shared" si="154"/>
        <v>1628</v>
      </c>
      <c r="AE137" s="468">
        <v>136</v>
      </c>
      <c r="AF137" s="163">
        <f t="shared" si="119"/>
        <v>1628</v>
      </c>
    </row>
    <row r="138" spans="1:32" x14ac:dyDescent="0.35">
      <c r="B138" s="420">
        <v>137</v>
      </c>
      <c r="C138" s="331" t="s">
        <v>87</v>
      </c>
      <c r="D138" s="100">
        <f>[2]ASB!DF24</f>
        <v>48</v>
      </c>
      <c r="E138" s="100">
        <f>[2]ASB!DG24</f>
        <v>25</v>
      </c>
      <c r="F138" s="100">
        <f>[2]ASB!DH24</f>
        <v>26</v>
      </c>
      <c r="G138" s="100">
        <f>[2]ASB!DI24</f>
        <v>19</v>
      </c>
      <c r="H138" s="100">
        <f>[2]ASB!DJ24</f>
        <v>14</v>
      </c>
      <c r="I138" s="100">
        <f>[2]ASB!DK24</f>
        <v>34</v>
      </c>
      <c r="J138" s="100">
        <f>[2]ASB!DL24</f>
        <v>11</v>
      </c>
      <c r="K138" s="100">
        <f>[2]ASB!DM24</f>
        <v>26</v>
      </c>
      <c r="L138" s="100">
        <f>[2]ASB!DN24</f>
        <v>13</v>
      </c>
      <c r="M138" s="100">
        <f>[2]ASB!DO24</f>
        <v>15</v>
      </c>
      <c r="N138" s="100">
        <f>[2]ASB!DP24</f>
        <v>12</v>
      </c>
      <c r="O138" s="100">
        <f>[2]ASB!DQ24</f>
        <v>8</v>
      </c>
      <c r="P138" s="100"/>
      <c r="Q138" s="468">
        <v>137</v>
      </c>
      <c r="R138" s="333" t="s">
        <v>87</v>
      </c>
      <c r="S138" s="176">
        <f t="shared" si="143"/>
        <v>48</v>
      </c>
      <c r="T138" s="176">
        <f t="shared" si="144"/>
        <v>73</v>
      </c>
      <c r="U138" s="176">
        <f t="shared" si="145"/>
        <v>99</v>
      </c>
      <c r="V138" s="176">
        <f t="shared" si="146"/>
        <v>118</v>
      </c>
      <c r="W138" s="176">
        <f t="shared" si="147"/>
        <v>132</v>
      </c>
      <c r="X138" s="176">
        <f t="shared" si="148"/>
        <v>166</v>
      </c>
      <c r="Y138" s="176">
        <f t="shared" si="149"/>
        <v>177</v>
      </c>
      <c r="Z138" s="176">
        <f t="shared" si="150"/>
        <v>203</v>
      </c>
      <c r="AA138" s="176">
        <f t="shared" si="151"/>
        <v>216</v>
      </c>
      <c r="AB138" s="176">
        <f t="shared" si="152"/>
        <v>231</v>
      </c>
      <c r="AC138" s="176">
        <f t="shared" si="153"/>
        <v>243</v>
      </c>
      <c r="AD138" s="461">
        <f t="shared" si="154"/>
        <v>251</v>
      </c>
      <c r="AE138" s="468">
        <v>137</v>
      </c>
      <c r="AF138" s="163">
        <f t="shared" ref="AF138:AF149" si="156">SUM(D138:O138)</f>
        <v>251</v>
      </c>
    </row>
    <row r="139" spans="1:32" x14ac:dyDescent="0.35">
      <c r="B139" s="421">
        <v>138</v>
      </c>
      <c r="C139" s="331" t="s">
        <v>90</v>
      </c>
      <c r="D139" s="100">
        <f>[2]DSF!EG4</f>
        <v>9</v>
      </c>
      <c r="E139" s="100">
        <f>[2]DSF!EH4</f>
        <v>14</v>
      </c>
      <c r="F139" s="100">
        <f>[2]DSF!EI4</f>
        <v>16</v>
      </c>
      <c r="G139" s="100">
        <f>[2]DSF!EJ4</f>
        <v>12</v>
      </c>
      <c r="H139" s="100">
        <f>[2]DSF!EK4</f>
        <v>5</v>
      </c>
      <c r="I139" s="100">
        <f>[2]DSF!EL4</f>
        <v>5</v>
      </c>
      <c r="J139" s="100">
        <f>[2]DSF!EM4</f>
        <v>14</v>
      </c>
      <c r="K139" s="100">
        <f>[2]DSF!EN4</f>
        <v>5</v>
      </c>
      <c r="L139" s="100">
        <f>[2]DSF!EO4</f>
        <v>1</v>
      </c>
      <c r="M139" s="100">
        <f>[2]DSF!EP4</f>
        <v>6</v>
      </c>
      <c r="N139" s="100">
        <f>[2]DSF!EQ4</f>
        <v>5</v>
      </c>
      <c r="O139" s="100">
        <f>[2]DSF!ER4</f>
        <v>12</v>
      </c>
      <c r="P139" s="100"/>
      <c r="Q139" s="468">
        <v>138</v>
      </c>
      <c r="R139" s="333" t="s">
        <v>90</v>
      </c>
      <c r="S139" s="176">
        <f t="shared" si="143"/>
        <v>9</v>
      </c>
      <c r="T139" s="176">
        <f t="shared" si="144"/>
        <v>23</v>
      </c>
      <c r="U139" s="176">
        <f t="shared" si="145"/>
        <v>39</v>
      </c>
      <c r="V139" s="176">
        <f t="shared" si="146"/>
        <v>51</v>
      </c>
      <c r="W139" s="176">
        <f t="shared" si="147"/>
        <v>56</v>
      </c>
      <c r="X139" s="176">
        <f t="shared" si="148"/>
        <v>61</v>
      </c>
      <c r="Y139" s="176">
        <f t="shared" si="149"/>
        <v>75</v>
      </c>
      <c r="Z139" s="176">
        <f t="shared" si="150"/>
        <v>80</v>
      </c>
      <c r="AA139" s="176">
        <f t="shared" si="151"/>
        <v>81</v>
      </c>
      <c r="AB139" s="176">
        <f t="shared" si="152"/>
        <v>87</v>
      </c>
      <c r="AC139" s="176">
        <f t="shared" si="153"/>
        <v>92</v>
      </c>
      <c r="AD139" s="461">
        <f t="shared" si="154"/>
        <v>104</v>
      </c>
      <c r="AE139" s="468">
        <v>138</v>
      </c>
      <c r="AF139" s="163">
        <f t="shared" si="156"/>
        <v>104</v>
      </c>
    </row>
    <row r="140" spans="1:32" x14ac:dyDescent="0.35">
      <c r="A140" s="162" t="s">
        <v>128</v>
      </c>
      <c r="B140" s="420">
        <v>139</v>
      </c>
      <c r="C140" s="331" t="s">
        <v>89</v>
      </c>
      <c r="D140" s="287">
        <f>SUM(D141:D142)</f>
        <v>2</v>
      </c>
      <c r="E140" s="287">
        <f t="shared" ref="E140:O140" si="157">SUM(E141:E142)</f>
        <v>7</v>
      </c>
      <c r="F140" s="287">
        <f t="shared" si="157"/>
        <v>2</v>
      </c>
      <c r="G140" s="287">
        <f t="shared" si="157"/>
        <v>0</v>
      </c>
      <c r="H140" s="287">
        <f t="shared" si="157"/>
        <v>4</v>
      </c>
      <c r="I140" s="287">
        <f t="shared" si="157"/>
        <v>8</v>
      </c>
      <c r="J140" s="287">
        <f t="shared" si="157"/>
        <v>3</v>
      </c>
      <c r="K140" s="287">
        <f t="shared" si="157"/>
        <v>3</v>
      </c>
      <c r="L140" s="287">
        <f t="shared" si="157"/>
        <v>3</v>
      </c>
      <c r="M140" s="287">
        <f t="shared" si="157"/>
        <v>1</v>
      </c>
      <c r="N140" s="287">
        <f t="shared" si="157"/>
        <v>10</v>
      </c>
      <c r="O140" s="287">
        <f t="shared" si="157"/>
        <v>6</v>
      </c>
      <c r="P140" s="186"/>
      <c r="Q140" s="468">
        <v>139</v>
      </c>
      <c r="R140" s="333" t="s">
        <v>89</v>
      </c>
      <c r="S140" s="176">
        <f t="shared" si="143"/>
        <v>2</v>
      </c>
      <c r="T140" s="176">
        <f t="shared" si="144"/>
        <v>9</v>
      </c>
      <c r="U140" s="176">
        <f t="shared" si="145"/>
        <v>11</v>
      </c>
      <c r="V140" s="176">
        <f t="shared" si="146"/>
        <v>11</v>
      </c>
      <c r="W140" s="176">
        <f t="shared" si="147"/>
        <v>15</v>
      </c>
      <c r="X140" s="176">
        <f t="shared" si="148"/>
        <v>23</v>
      </c>
      <c r="Y140" s="176">
        <f t="shared" si="149"/>
        <v>26</v>
      </c>
      <c r="Z140" s="176">
        <f t="shared" si="150"/>
        <v>29</v>
      </c>
      <c r="AA140" s="176">
        <f t="shared" si="151"/>
        <v>32</v>
      </c>
      <c r="AB140" s="176">
        <f t="shared" si="152"/>
        <v>33</v>
      </c>
      <c r="AC140" s="176">
        <f t="shared" si="153"/>
        <v>43</v>
      </c>
      <c r="AD140" s="461">
        <f t="shared" si="154"/>
        <v>49</v>
      </c>
      <c r="AE140" s="470">
        <v>139</v>
      </c>
      <c r="AF140" s="163">
        <f t="shared" si="156"/>
        <v>49</v>
      </c>
    </row>
    <row r="141" spans="1:32" x14ac:dyDescent="0.35">
      <c r="B141" s="420">
        <v>140</v>
      </c>
      <c r="C141" s="331" t="s">
        <v>66</v>
      </c>
      <c r="D141" s="165">
        <f>[2]KSI!DG2</f>
        <v>0</v>
      </c>
      <c r="E141" s="165">
        <f>[2]KSI!DH2</f>
        <v>0</v>
      </c>
      <c r="F141" s="165">
        <f>[2]KSI!DI2</f>
        <v>0</v>
      </c>
      <c r="G141" s="165">
        <f>[2]KSI!DJ2</f>
        <v>0</v>
      </c>
      <c r="H141" s="165">
        <f>[2]KSI!DK2</f>
        <v>0</v>
      </c>
      <c r="I141" s="165">
        <f>[2]KSI!DL2</f>
        <v>0</v>
      </c>
      <c r="J141" s="165">
        <f>[2]KSI!DM2</f>
        <v>0</v>
      </c>
      <c r="K141" s="165">
        <f>[2]KSI!DN2</f>
        <v>0</v>
      </c>
      <c r="L141" s="165">
        <f>[2]KSI!DO2</f>
        <v>0</v>
      </c>
      <c r="M141" s="165">
        <f>[2]KSI!DP2</f>
        <v>0</v>
      </c>
      <c r="N141" s="165">
        <f>[2]KSI!DQ2</f>
        <v>2</v>
      </c>
      <c r="O141" s="165">
        <f>[2]KSI!DR2</f>
        <v>0</v>
      </c>
      <c r="P141" s="186"/>
      <c r="Q141" s="468">
        <v>140</v>
      </c>
      <c r="R141" s="333" t="s">
        <v>66</v>
      </c>
      <c r="S141" s="176">
        <f t="shared" si="143"/>
        <v>0</v>
      </c>
      <c r="T141" s="176">
        <f t="shared" si="144"/>
        <v>0</v>
      </c>
      <c r="U141" s="176">
        <f t="shared" si="145"/>
        <v>0</v>
      </c>
      <c r="V141" s="176">
        <f t="shared" si="146"/>
        <v>0</v>
      </c>
      <c r="W141" s="176">
        <f t="shared" si="147"/>
        <v>0</v>
      </c>
      <c r="X141" s="176">
        <f t="shared" si="148"/>
        <v>0</v>
      </c>
      <c r="Y141" s="176">
        <f t="shared" si="149"/>
        <v>0</v>
      </c>
      <c r="Z141" s="176">
        <f t="shared" si="150"/>
        <v>0</v>
      </c>
      <c r="AA141" s="176">
        <f t="shared" si="151"/>
        <v>0</v>
      </c>
      <c r="AB141" s="176">
        <f t="shared" si="152"/>
        <v>0</v>
      </c>
      <c r="AC141" s="176">
        <f t="shared" si="153"/>
        <v>2</v>
      </c>
      <c r="AD141" s="461">
        <f t="shared" si="154"/>
        <v>2</v>
      </c>
      <c r="AE141" s="468">
        <v>140</v>
      </c>
      <c r="AF141" s="163">
        <f t="shared" si="156"/>
        <v>2</v>
      </c>
    </row>
    <row r="142" spans="1:32" x14ac:dyDescent="0.35">
      <c r="B142" s="420">
        <v>141</v>
      </c>
      <c r="C142" s="331" t="s">
        <v>67</v>
      </c>
      <c r="D142" s="165">
        <f>[2]KSI!DG3</f>
        <v>2</v>
      </c>
      <c r="E142" s="165">
        <f>[2]KSI!DH3</f>
        <v>7</v>
      </c>
      <c r="F142" s="165">
        <f>[2]KSI!DI3</f>
        <v>2</v>
      </c>
      <c r="G142" s="165">
        <f>[2]KSI!DJ3</f>
        <v>0</v>
      </c>
      <c r="H142" s="165">
        <f>[2]KSI!DK3</f>
        <v>4</v>
      </c>
      <c r="I142" s="165">
        <f>[2]KSI!DL3</f>
        <v>8</v>
      </c>
      <c r="J142" s="165">
        <f>[2]KSI!DM3</f>
        <v>3</v>
      </c>
      <c r="K142" s="165">
        <f>[2]KSI!DN3</f>
        <v>3</v>
      </c>
      <c r="L142" s="165">
        <f>[2]KSI!DO3</f>
        <v>3</v>
      </c>
      <c r="M142" s="165">
        <f>[2]KSI!DP3</f>
        <v>1</v>
      </c>
      <c r="N142" s="165">
        <f>[2]KSI!DQ3</f>
        <v>8</v>
      </c>
      <c r="O142" s="165">
        <f>[2]KSI!DR3</f>
        <v>6</v>
      </c>
      <c r="P142" s="186"/>
      <c r="Q142" s="468">
        <v>141</v>
      </c>
      <c r="R142" s="333" t="s">
        <v>67</v>
      </c>
      <c r="S142" s="176">
        <f t="shared" si="143"/>
        <v>2</v>
      </c>
      <c r="T142" s="176">
        <f t="shared" si="144"/>
        <v>9</v>
      </c>
      <c r="U142" s="176">
        <f t="shared" si="145"/>
        <v>11</v>
      </c>
      <c r="V142" s="176">
        <f t="shared" si="146"/>
        <v>11</v>
      </c>
      <c r="W142" s="176">
        <f t="shared" si="147"/>
        <v>15</v>
      </c>
      <c r="X142" s="176">
        <f t="shared" si="148"/>
        <v>23</v>
      </c>
      <c r="Y142" s="176">
        <f t="shared" si="149"/>
        <v>26</v>
      </c>
      <c r="Z142" s="176">
        <f t="shared" si="150"/>
        <v>29</v>
      </c>
      <c r="AA142" s="176">
        <f t="shared" si="151"/>
        <v>32</v>
      </c>
      <c r="AB142" s="176">
        <f t="shared" si="152"/>
        <v>33</v>
      </c>
      <c r="AC142" s="176">
        <f t="shared" si="153"/>
        <v>41</v>
      </c>
      <c r="AD142" s="461">
        <f t="shared" si="154"/>
        <v>47</v>
      </c>
      <c r="AE142" s="468">
        <v>141</v>
      </c>
      <c r="AF142" s="163">
        <f t="shared" si="156"/>
        <v>47</v>
      </c>
    </row>
    <row r="143" spans="1:32" ht="23" x14ac:dyDescent="0.5">
      <c r="B143" s="420">
        <v>142</v>
      </c>
      <c r="C143" s="335" t="s">
        <v>59</v>
      </c>
      <c r="D143" s="172"/>
      <c r="E143" s="172"/>
      <c r="F143" s="172"/>
      <c r="G143" s="172"/>
      <c r="H143" s="172"/>
      <c r="I143" s="172"/>
      <c r="J143" s="172"/>
      <c r="K143" s="172"/>
      <c r="L143" s="172"/>
      <c r="M143" s="172"/>
      <c r="N143" s="172"/>
      <c r="O143" s="172"/>
      <c r="P143" s="182"/>
      <c r="Q143" s="468">
        <v>142</v>
      </c>
      <c r="R143" s="335" t="s">
        <v>59</v>
      </c>
      <c r="S143" s="176"/>
      <c r="T143" s="176"/>
      <c r="U143" s="176"/>
      <c r="V143" s="176"/>
      <c r="W143" s="176"/>
      <c r="X143" s="176"/>
      <c r="Y143" s="176"/>
      <c r="Z143" s="176"/>
      <c r="AA143" s="176"/>
      <c r="AB143" s="176"/>
      <c r="AC143" s="176"/>
      <c r="AD143" s="461"/>
      <c r="AE143" s="470">
        <v>142</v>
      </c>
      <c r="AF143" s="163">
        <f t="shared" si="156"/>
        <v>0</v>
      </c>
    </row>
    <row r="144" spans="1:32" x14ac:dyDescent="0.35">
      <c r="B144" s="421">
        <v>143</v>
      </c>
      <c r="C144" s="336" t="s">
        <v>56</v>
      </c>
      <c r="D144" s="168">
        <v>45017</v>
      </c>
      <c r="E144" s="168">
        <v>45047</v>
      </c>
      <c r="F144" s="168">
        <v>45078</v>
      </c>
      <c r="G144" s="168">
        <v>45108</v>
      </c>
      <c r="H144" s="168">
        <v>45139</v>
      </c>
      <c r="I144" s="168">
        <v>45170</v>
      </c>
      <c r="J144" s="168">
        <v>45200</v>
      </c>
      <c r="K144" s="168">
        <v>45231</v>
      </c>
      <c r="L144" s="168">
        <v>45261</v>
      </c>
      <c r="M144" s="168">
        <v>45292</v>
      </c>
      <c r="N144" s="168">
        <v>45323</v>
      </c>
      <c r="O144" s="168">
        <v>45352</v>
      </c>
      <c r="P144" s="168"/>
      <c r="Q144" s="468">
        <v>143</v>
      </c>
      <c r="R144" s="339" t="s">
        <v>56</v>
      </c>
      <c r="S144" s="168">
        <v>45017</v>
      </c>
      <c r="T144" s="168">
        <v>45047</v>
      </c>
      <c r="U144" s="168">
        <v>45078</v>
      </c>
      <c r="V144" s="168">
        <v>45108</v>
      </c>
      <c r="W144" s="168">
        <v>45139</v>
      </c>
      <c r="X144" s="168">
        <v>45170</v>
      </c>
      <c r="Y144" s="168">
        <v>45200</v>
      </c>
      <c r="Z144" s="168">
        <v>45231</v>
      </c>
      <c r="AA144" s="168">
        <v>45261</v>
      </c>
      <c r="AB144" s="168">
        <v>45292</v>
      </c>
      <c r="AC144" s="168">
        <v>45323</v>
      </c>
      <c r="AD144" s="168">
        <v>45352</v>
      </c>
      <c r="AE144" s="468">
        <v>143</v>
      </c>
      <c r="AF144" s="163">
        <f t="shared" si="156"/>
        <v>542218</v>
      </c>
    </row>
    <row r="145" spans="1:32" ht="16.5" customHeight="1" x14ac:dyDescent="0.35">
      <c r="B145" s="420">
        <v>144</v>
      </c>
      <c r="C145" s="336" t="s">
        <v>33</v>
      </c>
      <c r="D145" s="194">
        <f>[2]Districts_Boroughs!DF103</f>
        <v>543</v>
      </c>
      <c r="E145" s="194">
        <f>[2]Districts_Boroughs!DG103</f>
        <v>635</v>
      </c>
      <c r="F145" s="194">
        <f>[2]Districts_Boroughs!DH103</f>
        <v>610</v>
      </c>
      <c r="G145" s="194">
        <f>[2]Districts_Boroughs!DI103</f>
        <v>576</v>
      </c>
      <c r="H145" s="194">
        <f>[2]Districts_Boroughs!DJ103</f>
        <v>581</v>
      </c>
      <c r="I145" s="194">
        <f>[2]Districts_Boroughs!DK103</f>
        <v>600</v>
      </c>
      <c r="J145" s="194">
        <f>[2]Districts_Boroughs!DL103</f>
        <v>563</v>
      </c>
      <c r="K145" s="194">
        <f>[2]Districts_Boroughs!DM103</f>
        <v>568</v>
      </c>
      <c r="L145" s="194">
        <f>[2]Districts_Boroughs!DN103</f>
        <v>575</v>
      </c>
      <c r="M145" s="194">
        <f>[2]Districts_Boroughs!DO103</f>
        <v>556</v>
      </c>
      <c r="N145" s="194">
        <f>[2]Districts_Boroughs!DP103</f>
        <v>538</v>
      </c>
      <c r="O145" s="194">
        <f>[2]Districts_Boroughs!DQ103</f>
        <v>632</v>
      </c>
      <c r="P145" s="178"/>
      <c r="Q145" s="468">
        <v>144</v>
      </c>
      <c r="R145" s="339" t="s">
        <v>33</v>
      </c>
      <c r="S145" s="176">
        <f>D145</f>
        <v>543</v>
      </c>
      <c r="T145" s="176">
        <f t="shared" ref="T145:T160" si="158">S145+E145</f>
        <v>1178</v>
      </c>
      <c r="U145" s="176">
        <f t="shared" ref="U145:U160" si="159">T145+F145</f>
        <v>1788</v>
      </c>
      <c r="V145" s="176">
        <f t="shared" ref="V145:V160" si="160">U145+G145</f>
        <v>2364</v>
      </c>
      <c r="W145" s="176">
        <f t="shared" ref="W145:W160" si="161">V145+H145</f>
        <v>2945</v>
      </c>
      <c r="X145" s="176">
        <f t="shared" ref="X145:X160" si="162">W145+I145</f>
        <v>3545</v>
      </c>
      <c r="Y145" s="176">
        <f t="shared" ref="Y145:Y160" si="163">X145+J145</f>
        <v>4108</v>
      </c>
      <c r="Z145" s="176">
        <f t="shared" ref="Z145:Z160" si="164">Y145+K145</f>
        <v>4676</v>
      </c>
      <c r="AA145" s="176">
        <f t="shared" ref="AA145:AA160" si="165">Z145+L145</f>
        <v>5251</v>
      </c>
      <c r="AB145" s="176">
        <f t="shared" ref="AB145:AB160" si="166">AA145+M145</f>
        <v>5807</v>
      </c>
      <c r="AC145" s="176">
        <f t="shared" ref="AC145:AC160" si="167">AB145+N145</f>
        <v>6345</v>
      </c>
      <c r="AD145" s="461">
        <f t="shared" ref="AD145:AD160" si="168">AC145+O145</f>
        <v>6977</v>
      </c>
      <c r="AE145" s="468">
        <v>144</v>
      </c>
      <c r="AF145" s="163">
        <f t="shared" si="156"/>
        <v>6977</v>
      </c>
    </row>
    <row r="146" spans="1:32" x14ac:dyDescent="0.35">
      <c r="B146" s="420">
        <v>145</v>
      </c>
      <c r="C146" s="336" t="s">
        <v>39</v>
      </c>
      <c r="D146" s="194">
        <f>[2]Districts_Boroughs!DF105</f>
        <v>69</v>
      </c>
      <c r="E146" s="194">
        <f>[2]Districts_Boroughs!DG105</f>
        <v>86</v>
      </c>
      <c r="F146" s="194">
        <f>[2]Districts_Boroughs!DH105</f>
        <v>76</v>
      </c>
      <c r="G146" s="194">
        <f>[2]Districts_Boroughs!DI105</f>
        <v>83</v>
      </c>
      <c r="H146" s="194">
        <f>[2]Districts_Boroughs!DJ105</f>
        <v>75</v>
      </c>
      <c r="I146" s="194">
        <f>[2]Districts_Boroughs!DK105</f>
        <v>61</v>
      </c>
      <c r="J146" s="194">
        <f>[2]Districts_Boroughs!DL105</f>
        <v>83</v>
      </c>
      <c r="K146" s="194">
        <f>[2]Districts_Boroughs!DM105</f>
        <v>60</v>
      </c>
      <c r="L146" s="194">
        <f>[2]Districts_Boroughs!DN105</f>
        <v>76</v>
      </c>
      <c r="M146" s="194">
        <f>[2]Districts_Boroughs!DO105</f>
        <v>64</v>
      </c>
      <c r="N146" s="194">
        <f>[2]Districts_Boroughs!DP105</f>
        <v>59</v>
      </c>
      <c r="O146" s="194">
        <f>[2]Districts_Boroughs!DQ105</f>
        <v>64</v>
      </c>
      <c r="P146" s="178"/>
      <c r="Q146" s="468">
        <v>145</v>
      </c>
      <c r="R146" s="339" t="s">
        <v>39</v>
      </c>
      <c r="S146" s="176">
        <f>D146</f>
        <v>69</v>
      </c>
      <c r="T146" s="176">
        <f t="shared" si="158"/>
        <v>155</v>
      </c>
      <c r="U146" s="176">
        <f t="shared" si="159"/>
        <v>231</v>
      </c>
      <c r="V146" s="176">
        <f t="shared" si="160"/>
        <v>314</v>
      </c>
      <c r="W146" s="176">
        <f t="shared" si="161"/>
        <v>389</v>
      </c>
      <c r="X146" s="176">
        <f t="shared" si="162"/>
        <v>450</v>
      </c>
      <c r="Y146" s="176">
        <f t="shared" si="163"/>
        <v>533</v>
      </c>
      <c r="Z146" s="176">
        <f t="shared" si="164"/>
        <v>593</v>
      </c>
      <c r="AA146" s="176">
        <f t="shared" si="165"/>
        <v>669</v>
      </c>
      <c r="AB146" s="176">
        <f t="shared" si="166"/>
        <v>733</v>
      </c>
      <c r="AC146" s="176">
        <f t="shared" si="167"/>
        <v>792</v>
      </c>
      <c r="AD146" s="461">
        <f t="shared" si="168"/>
        <v>856</v>
      </c>
      <c r="AE146" s="468">
        <v>145</v>
      </c>
      <c r="AF146" s="163">
        <f t="shared" si="156"/>
        <v>856</v>
      </c>
    </row>
    <row r="147" spans="1:32" x14ac:dyDescent="0.35">
      <c r="B147" s="420">
        <v>146</v>
      </c>
      <c r="C147" s="336" t="s">
        <v>40</v>
      </c>
      <c r="D147" s="194">
        <f>[2]Districts_Boroughs!DF106</f>
        <v>150</v>
      </c>
      <c r="E147" s="194">
        <f>[2]Districts_Boroughs!DG106</f>
        <v>177</v>
      </c>
      <c r="F147" s="194">
        <f>[2]Districts_Boroughs!DH106</f>
        <v>181</v>
      </c>
      <c r="G147" s="194">
        <f>[2]Districts_Boroughs!DI106</f>
        <v>140</v>
      </c>
      <c r="H147" s="194">
        <f>[2]Districts_Boroughs!DJ106</f>
        <v>149</v>
      </c>
      <c r="I147" s="194">
        <f>[2]Districts_Boroughs!DK106</f>
        <v>156</v>
      </c>
      <c r="J147" s="194">
        <f>[2]Districts_Boroughs!DL106</f>
        <v>144</v>
      </c>
      <c r="K147" s="194">
        <f>[2]Districts_Boroughs!DM106</f>
        <v>176</v>
      </c>
      <c r="L147" s="194">
        <f>[2]Districts_Boroughs!DN106</f>
        <v>170</v>
      </c>
      <c r="M147" s="194">
        <f>[2]Districts_Boroughs!DO106</f>
        <v>139</v>
      </c>
      <c r="N147" s="194">
        <f>[2]Districts_Boroughs!DP106</f>
        <v>139</v>
      </c>
      <c r="O147" s="194">
        <f>[2]Districts_Boroughs!DQ106</f>
        <v>173</v>
      </c>
      <c r="P147" s="178"/>
      <c r="Q147" s="468">
        <v>146</v>
      </c>
      <c r="R147" s="339" t="s">
        <v>40</v>
      </c>
      <c r="S147" s="176">
        <f>D147</f>
        <v>150</v>
      </c>
      <c r="T147" s="176">
        <f t="shared" si="158"/>
        <v>327</v>
      </c>
      <c r="U147" s="176">
        <f t="shared" si="159"/>
        <v>508</v>
      </c>
      <c r="V147" s="176">
        <f t="shared" si="160"/>
        <v>648</v>
      </c>
      <c r="W147" s="176">
        <f t="shared" si="161"/>
        <v>797</v>
      </c>
      <c r="X147" s="176">
        <f t="shared" si="162"/>
        <v>953</v>
      </c>
      <c r="Y147" s="176">
        <f t="shared" si="163"/>
        <v>1097</v>
      </c>
      <c r="Z147" s="176">
        <f t="shared" si="164"/>
        <v>1273</v>
      </c>
      <c r="AA147" s="176">
        <f t="shared" si="165"/>
        <v>1443</v>
      </c>
      <c r="AB147" s="176">
        <f t="shared" si="166"/>
        <v>1582</v>
      </c>
      <c r="AC147" s="176">
        <f t="shared" si="167"/>
        <v>1721</v>
      </c>
      <c r="AD147" s="461">
        <f t="shared" si="168"/>
        <v>1894</v>
      </c>
      <c r="AE147" s="468">
        <v>146</v>
      </c>
      <c r="AF147" s="163">
        <f t="shared" si="156"/>
        <v>1894</v>
      </c>
    </row>
    <row r="148" spans="1:32" x14ac:dyDescent="0.35">
      <c r="B148" s="420">
        <v>147</v>
      </c>
      <c r="C148" s="336" t="s">
        <v>5</v>
      </c>
      <c r="D148" s="194">
        <f>[2]Districts_Boroughs!DF107</f>
        <v>5</v>
      </c>
      <c r="E148" s="194">
        <f>[2]Districts_Boroughs!DG107</f>
        <v>10</v>
      </c>
      <c r="F148" s="194">
        <f>[2]Districts_Boroughs!DH107</f>
        <v>9</v>
      </c>
      <c r="G148" s="194">
        <f>[2]Districts_Boroughs!DI107</f>
        <v>5</v>
      </c>
      <c r="H148" s="194">
        <f>[2]Districts_Boroughs!DJ107</f>
        <v>3</v>
      </c>
      <c r="I148" s="194">
        <f>[2]Districts_Boroughs!DK107</f>
        <v>9</v>
      </c>
      <c r="J148" s="194">
        <f>[2]Districts_Boroughs!DL107</f>
        <v>5</v>
      </c>
      <c r="K148" s="194">
        <f>[2]Districts_Boroughs!DM107</f>
        <v>8</v>
      </c>
      <c r="L148" s="194">
        <f>[2]Districts_Boroughs!DN107</f>
        <v>14</v>
      </c>
      <c r="M148" s="194">
        <f>[2]Districts_Boroughs!DO107</f>
        <v>9</v>
      </c>
      <c r="N148" s="194">
        <f>[2]Districts_Boroughs!DP107</f>
        <v>6</v>
      </c>
      <c r="O148" s="194">
        <f>[2]Districts_Boroughs!DQ107</f>
        <v>8</v>
      </c>
      <c r="P148" s="178"/>
      <c r="Q148" s="468">
        <v>147</v>
      </c>
      <c r="R148" s="339" t="s">
        <v>5</v>
      </c>
      <c r="S148" s="176">
        <f>D148</f>
        <v>5</v>
      </c>
      <c r="T148" s="176">
        <f t="shared" si="158"/>
        <v>15</v>
      </c>
      <c r="U148" s="176">
        <f t="shared" si="159"/>
        <v>24</v>
      </c>
      <c r="V148" s="176">
        <f t="shared" si="160"/>
        <v>29</v>
      </c>
      <c r="W148" s="176">
        <f t="shared" si="161"/>
        <v>32</v>
      </c>
      <c r="X148" s="176">
        <f t="shared" si="162"/>
        <v>41</v>
      </c>
      <c r="Y148" s="176">
        <f t="shared" si="163"/>
        <v>46</v>
      </c>
      <c r="Z148" s="176">
        <f t="shared" si="164"/>
        <v>54</v>
      </c>
      <c r="AA148" s="176">
        <f t="shared" si="165"/>
        <v>68</v>
      </c>
      <c r="AB148" s="176">
        <f t="shared" si="166"/>
        <v>77</v>
      </c>
      <c r="AC148" s="176">
        <f t="shared" si="167"/>
        <v>83</v>
      </c>
      <c r="AD148" s="461">
        <f t="shared" si="168"/>
        <v>91</v>
      </c>
      <c r="AE148" s="470">
        <v>147</v>
      </c>
      <c r="AF148" s="163">
        <f t="shared" si="156"/>
        <v>91</v>
      </c>
    </row>
    <row r="149" spans="1:32" x14ac:dyDescent="0.35">
      <c r="B149" s="421">
        <v>148</v>
      </c>
      <c r="C149" s="336" t="s">
        <v>35</v>
      </c>
      <c r="D149" s="194">
        <f>[2]Districts_Boroughs!DF108</f>
        <v>14</v>
      </c>
      <c r="E149" s="194">
        <f>[2]Districts_Boroughs!DG108</f>
        <v>22</v>
      </c>
      <c r="F149" s="194">
        <f>[2]Districts_Boroughs!DH108</f>
        <v>36</v>
      </c>
      <c r="G149" s="194">
        <f>[2]Districts_Boroughs!DI108</f>
        <v>15</v>
      </c>
      <c r="H149" s="194">
        <f>[2]Districts_Boroughs!DJ108</f>
        <v>23</v>
      </c>
      <c r="I149" s="194">
        <f>[2]Districts_Boroughs!DK108</f>
        <v>14</v>
      </c>
      <c r="J149" s="194">
        <f>[2]Districts_Boroughs!DL108</f>
        <v>29</v>
      </c>
      <c r="K149" s="194">
        <f>[2]Districts_Boroughs!DM108</f>
        <v>19</v>
      </c>
      <c r="L149" s="194">
        <f>[2]Districts_Boroughs!DN108</f>
        <v>20</v>
      </c>
      <c r="M149" s="194">
        <f>[2]Districts_Boroughs!DO108</f>
        <v>21</v>
      </c>
      <c r="N149" s="194">
        <f>[2]Districts_Boroughs!DP108</f>
        <v>9</v>
      </c>
      <c r="O149" s="194">
        <f>[2]Districts_Boroughs!DQ108</f>
        <v>15</v>
      </c>
      <c r="P149" s="178"/>
      <c r="Q149" s="468">
        <v>148</v>
      </c>
      <c r="R149" s="339" t="s">
        <v>35</v>
      </c>
      <c r="S149" s="176">
        <f>D149</f>
        <v>14</v>
      </c>
      <c r="T149" s="176">
        <f t="shared" si="158"/>
        <v>36</v>
      </c>
      <c r="U149" s="176">
        <f t="shared" si="159"/>
        <v>72</v>
      </c>
      <c r="V149" s="176">
        <f t="shared" si="160"/>
        <v>87</v>
      </c>
      <c r="W149" s="176">
        <f t="shared" si="161"/>
        <v>110</v>
      </c>
      <c r="X149" s="176">
        <f t="shared" si="162"/>
        <v>124</v>
      </c>
      <c r="Y149" s="176">
        <f t="shared" si="163"/>
        <v>153</v>
      </c>
      <c r="Z149" s="176">
        <f t="shared" si="164"/>
        <v>172</v>
      </c>
      <c r="AA149" s="176">
        <f t="shared" si="165"/>
        <v>192</v>
      </c>
      <c r="AB149" s="176">
        <f t="shared" si="166"/>
        <v>213</v>
      </c>
      <c r="AC149" s="176">
        <f t="shared" si="167"/>
        <v>222</v>
      </c>
      <c r="AD149" s="461">
        <f t="shared" si="168"/>
        <v>237</v>
      </c>
      <c r="AE149" s="468">
        <v>148</v>
      </c>
      <c r="AF149" s="163">
        <f t="shared" si="156"/>
        <v>237</v>
      </c>
    </row>
    <row r="150" spans="1:32" x14ac:dyDescent="0.35">
      <c r="B150" s="420">
        <v>149</v>
      </c>
      <c r="C150" s="336" t="s">
        <v>36</v>
      </c>
      <c r="D150" s="194">
        <f>[2]Districts_Boroughs!DF109</f>
        <v>2</v>
      </c>
      <c r="E150" s="194">
        <f>[2]Districts_Boroughs!DG109</f>
        <v>1</v>
      </c>
      <c r="F150" s="194">
        <f>[2]Districts_Boroughs!DH109</f>
        <v>1</v>
      </c>
      <c r="G150" s="194">
        <f>[2]Districts_Boroughs!DI109</f>
        <v>0</v>
      </c>
      <c r="H150" s="194">
        <f>[2]Districts_Boroughs!DJ109</f>
        <v>1</v>
      </c>
      <c r="I150" s="194">
        <f>[2]Districts_Boroughs!DK109</f>
        <v>0</v>
      </c>
      <c r="J150" s="194">
        <f>[2]Districts_Boroughs!DL109</f>
        <v>1</v>
      </c>
      <c r="K150" s="194">
        <f>[2]Districts_Boroughs!DM109</f>
        <v>2</v>
      </c>
      <c r="L150" s="194">
        <f>[2]Districts_Boroughs!DN109</f>
        <v>1</v>
      </c>
      <c r="M150" s="194">
        <f>[2]Districts_Boroughs!DO109</f>
        <v>0</v>
      </c>
      <c r="N150" s="194">
        <f>[2]Districts_Boroughs!DP109</f>
        <v>1</v>
      </c>
      <c r="O150" s="194">
        <f>[2]Districts_Boroughs!DQ109</f>
        <v>1</v>
      </c>
      <c r="P150" s="178"/>
      <c r="Q150" s="468">
        <v>149</v>
      </c>
      <c r="R150" s="339" t="s">
        <v>36</v>
      </c>
      <c r="S150" s="176">
        <f t="shared" ref="S150:S151" si="169">D150</f>
        <v>2</v>
      </c>
      <c r="T150" s="176">
        <f t="shared" si="158"/>
        <v>3</v>
      </c>
      <c r="U150" s="176">
        <f t="shared" si="159"/>
        <v>4</v>
      </c>
      <c r="V150" s="176">
        <f t="shared" si="160"/>
        <v>4</v>
      </c>
      <c r="W150" s="176">
        <f t="shared" si="161"/>
        <v>5</v>
      </c>
      <c r="X150" s="176">
        <f t="shared" si="162"/>
        <v>5</v>
      </c>
      <c r="Y150" s="176">
        <f t="shared" si="163"/>
        <v>6</v>
      </c>
      <c r="Z150" s="176">
        <f t="shared" si="164"/>
        <v>8</v>
      </c>
      <c r="AA150" s="176">
        <f t="shared" si="165"/>
        <v>9</v>
      </c>
      <c r="AB150" s="176">
        <f t="shared" si="166"/>
        <v>9</v>
      </c>
      <c r="AC150" s="176">
        <f t="shared" si="167"/>
        <v>10</v>
      </c>
      <c r="AD150" s="461">
        <f t="shared" si="168"/>
        <v>11</v>
      </c>
      <c r="AE150" s="468">
        <v>149</v>
      </c>
      <c r="AF150" s="163"/>
    </row>
    <row r="151" spans="1:32" x14ac:dyDescent="0.35">
      <c r="A151" s="162" t="s">
        <v>178</v>
      </c>
      <c r="B151" s="420">
        <v>150</v>
      </c>
      <c r="C151" s="336" t="s">
        <v>37</v>
      </c>
      <c r="D151" s="194">
        <f>[2]Districts_Boroughs!DF110</f>
        <v>2</v>
      </c>
      <c r="E151" s="194">
        <f>[2]Districts_Boroughs!DG110</f>
        <v>3</v>
      </c>
      <c r="F151" s="194">
        <f>[2]Districts_Boroughs!DH110</f>
        <v>2</v>
      </c>
      <c r="G151" s="194">
        <f>[2]Districts_Boroughs!DI110</f>
        <v>4</v>
      </c>
      <c r="H151" s="194">
        <f>[2]Districts_Boroughs!DJ110</f>
        <v>4</v>
      </c>
      <c r="I151" s="194">
        <f>[2]Districts_Boroughs!DK110</f>
        <v>5</v>
      </c>
      <c r="J151" s="194">
        <f>[2]Districts_Boroughs!DL110</f>
        <v>1</v>
      </c>
      <c r="K151" s="194">
        <f>[2]Districts_Boroughs!DM110</f>
        <v>3</v>
      </c>
      <c r="L151" s="194">
        <f>[2]Districts_Boroughs!DN110</f>
        <v>1</v>
      </c>
      <c r="M151" s="194">
        <f>[2]Districts_Boroughs!DO110</f>
        <v>3</v>
      </c>
      <c r="N151" s="194">
        <f>[2]Districts_Boroughs!DP110</f>
        <v>2</v>
      </c>
      <c r="O151" s="194">
        <f>[2]Districts_Boroughs!DQ110</f>
        <v>3</v>
      </c>
      <c r="P151" s="178"/>
      <c r="Q151" s="468">
        <v>150</v>
      </c>
      <c r="R151" s="339" t="s">
        <v>37</v>
      </c>
      <c r="S151" s="176">
        <f t="shared" si="169"/>
        <v>2</v>
      </c>
      <c r="T151" s="176">
        <f t="shared" si="158"/>
        <v>5</v>
      </c>
      <c r="U151" s="176">
        <f t="shared" si="159"/>
        <v>7</v>
      </c>
      <c r="V151" s="176">
        <f t="shared" si="160"/>
        <v>11</v>
      </c>
      <c r="W151" s="176">
        <f t="shared" si="161"/>
        <v>15</v>
      </c>
      <c r="X151" s="176">
        <f t="shared" si="162"/>
        <v>20</v>
      </c>
      <c r="Y151" s="176">
        <f t="shared" si="163"/>
        <v>21</v>
      </c>
      <c r="Z151" s="176">
        <f t="shared" si="164"/>
        <v>24</v>
      </c>
      <c r="AA151" s="176">
        <f t="shared" si="165"/>
        <v>25</v>
      </c>
      <c r="AB151" s="176">
        <f t="shared" si="166"/>
        <v>28</v>
      </c>
      <c r="AC151" s="176">
        <f t="shared" si="167"/>
        <v>30</v>
      </c>
      <c r="AD151" s="461">
        <f t="shared" si="168"/>
        <v>33</v>
      </c>
      <c r="AE151" s="470">
        <v>150</v>
      </c>
      <c r="AF151" s="163">
        <f t="shared" ref="AF151:AF184" si="170">SUM(D151:O151)</f>
        <v>33</v>
      </c>
    </row>
    <row r="152" spans="1:32" x14ac:dyDescent="0.35">
      <c r="B152" s="420">
        <v>151</v>
      </c>
      <c r="C152" s="337" t="s">
        <v>31</v>
      </c>
      <c r="D152" s="194">
        <f>[2]Districts_Boroughs!DF111</f>
        <v>19</v>
      </c>
      <c r="E152" s="194">
        <f>[2]Districts_Boroughs!DG111</f>
        <v>15</v>
      </c>
      <c r="F152" s="194">
        <f>[2]Districts_Boroughs!DH111</f>
        <v>9</v>
      </c>
      <c r="G152" s="194">
        <f>[2]Districts_Boroughs!DI111</f>
        <v>4</v>
      </c>
      <c r="H152" s="194">
        <f>[2]Districts_Boroughs!DJ111</f>
        <v>16</v>
      </c>
      <c r="I152" s="194">
        <f>[2]Districts_Boroughs!DK111</f>
        <v>17</v>
      </c>
      <c r="J152" s="194">
        <f>[2]Districts_Boroughs!DL111</f>
        <v>14</v>
      </c>
      <c r="K152" s="194">
        <f>[2]Districts_Boroughs!DM111</f>
        <v>9</v>
      </c>
      <c r="L152" s="194">
        <f>[2]Districts_Boroughs!DN111</f>
        <v>8</v>
      </c>
      <c r="M152" s="194">
        <f>[2]Districts_Boroughs!DO111</f>
        <v>18</v>
      </c>
      <c r="N152" s="194">
        <f>[2]Districts_Boroughs!DP111</f>
        <v>22</v>
      </c>
      <c r="O152" s="194">
        <f>[2]Districts_Boroughs!DQ111</f>
        <v>18</v>
      </c>
      <c r="P152" s="178"/>
      <c r="Q152" s="468">
        <v>151</v>
      </c>
      <c r="R152" s="340" t="s">
        <v>31</v>
      </c>
      <c r="S152" s="176">
        <f t="shared" ref="S152:S159" si="171">D152</f>
        <v>19</v>
      </c>
      <c r="T152" s="176">
        <f t="shared" si="158"/>
        <v>34</v>
      </c>
      <c r="U152" s="176">
        <f t="shared" si="159"/>
        <v>43</v>
      </c>
      <c r="V152" s="176">
        <f t="shared" si="160"/>
        <v>47</v>
      </c>
      <c r="W152" s="176">
        <f t="shared" si="161"/>
        <v>63</v>
      </c>
      <c r="X152" s="176">
        <f t="shared" si="162"/>
        <v>80</v>
      </c>
      <c r="Y152" s="176">
        <f t="shared" si="163"/>
        <v>94</v>
      </c>
      <c r="Z152" s="176">
        <f t="shared" si="164"/>
        <v>103</v>
      </c>
      <c r="AA152" s="176">
        <f t="shared" si="165"/>
        <v>111</v>
      </c>
      <c r="AB152" s="176">
        <f t="shared" si="166"/>
        <v>129</v>
      </c>
      <c r="AC152" s="176">
        <f t="shared" si="167"/>
        <v>151</v>
      </c>
      <c r="AD152" s="461">
        <f t="shared" si="168"/>
        <v>169</v>
      </c>
      <c r="AE152" s="468">
        <v>151</v>
      </c>
      <c r="AF152" s="163">
        <f t="shared" si="170"/>
        <v>169</v>
      </c>
    </row>
    <row r="153" spans="1:32" x14ac:dyDescent="0.35">
      <c r="B153" s="420">
        <v>152</v>
      </c>
      <c r="C153" s="337" t="s">
        <v>55</v>
      </c>
      <c r="D153" s="194">
        <f>[2]Districts_Boroughs!DF112</f>
        <v>9</v>
      </c>
      <c r="E153" s="194">
        <f>[2]Districts_Boroughs!DG112</f>
        <v>10</v>
      </c>
      <c r="F153" s="194">
        <f>[2]Districts_Boroughs!DH112</f>
        <v>14</v>
      </c>
      <c r="G153" s="194">
        <f>[2]Districts_Boroughs!DI112</f>
        <v>10</v>
      </c>
      <c r="H153" s="194">
        <f>[2]Districts_Boroughs!DJ112</f>
        <v>12</v>
      </c>
      <c r="I153" s="194">
        <f>[2]Districts_Boroughs!DK112</f>
        <v>13</v>
      </c>
      <c r="J153" s="194">
        <f>[2]Districts_Boroughs!DL112</f>
        <v>20</v>
      </c>
      <c r="K153" s="194">
        <f>[2]Districts_Boroughs!DM112</f>
        <v>20</v>
      </c>
      <c r="L153" s="194">
        <f>[2]Districts_Boroughs!DN112</f>
        <v>16</v>
      </c>
      <c r="M153" s="194">
        <f>[2]Districts_Boroughs!DO112</f>
        <v>21</v>
      </c>
      <c r="N153" s="194">
        <f>[2]Districts_Boroughs!DP112</f>
        <v>10</v>
      </c>
      <c r="O153" s="194">
        <f>[2]Districts_Boroughs!DQ112</f>
        <v>17</v>
      </c>
      <c r="P153" s="178"/>
      <c r="Q153" s="468">
        <v>152</v>
      </c>
      <c r="R153" s="340" t="s">
        <v>55</v>
      </c>
      <c r="S153" s="176">
        <f t="shared" si="171"/>
        <v>9</v>
      </c>
      <c r="T153" s="176">
        <f t="shared" si="158"/>
        <v>19</v>
      </c>
      <c r="U153" s="176">
        <f t="shared" si="159"/>
        <v>33</v>
      </c>
      <c r="V153" s="176">
        <f t="shared" si="160"/>
        <v>43</v>
      </c>
      <c r="W153" s="176">
        <f t="shared" si="161"/>
        <v>55</v>
      </c>
      <c r="X153" s="176">
        <f t="shared" si="162"/>
        <v>68</v>
      </c>
      <c r="Y153" s="176">
        <f t="shared" si="163"/>
        <v>88</v>
      </c>
      <c r="Z153" s="176">
        <f t="shared" si="164"/>
        <v>108</v>
      </c>
      <c r="AA153" s="176">
        <f t="shared" si="165"/>
        <v>124</v>
      </c>
      <c r="AB153" s="176">
        <f t="shared" si="166"/>
        <v>145</v>
      </c>
      <c r="AC153" s="176">
        <f t="shared" si="167"/>
        <v>155</v>
      </c>
      <c r="AD153" s="461">
        <f t="shared" si="168"/>
        <v>172</v>
      </c>
      <c r="AE153" s="468">
        <v>152</v>
      </c>
      <c r="AF153" s="163">
        <f t="shared" si="170"/>
        <v>172</v>
      </c>
    </row>
    <row r="154" spans="1:32" x14ac:dyDescent="0.35">
      <c r="B154" s="421">
        <v>153</v>
      </c>
      <c r="C154" s="336" t="s">
        <v>38</v>
      </c>
      <c r="D154" s="194">
        <f>[2]Districts_Boroughs!DF113</f>
        <v>53</v>
      </c>
      <c r="E154" s="194">
        <f>[2]Districts_Boroughs!DG113</f>
        <v>60</v>
      </c>
      <c r="F154" s="194">
        <f>[2]Districts_Boroughs!DH113</f>
        <v>44</v>
      </c>
      <c r="G154" s="194">
        <f>[2]Districts_Boroughs!DI113</f>
        <v>57</v>
      </c>
      <c r="H154" s="194">
        <f>[2]Districts_Boroughs!DJ113</f>
        <v>55</v>
      </c>
      <c r="I154" s="194">
        <f>[2]Districts_Boroughs!DK113</f>
        <v>53</v>
      </c>
      <c r="J154" s="194">
        <f>[2]Districts_Boroughs!DL113</f>
        <v>43</v>
      </c>
      <c r="K154" s="194">
        <f>[2]Districts_Boroughs!DM113</f>
        <v>54</v>
      </c>
      <c r="L154" s="194">
        <f>[2]Districts_Boroughs!DN113</f>
        <v>45</v>
      </c>
      <c r="M154" s="194">
        <f>[2]Districts_Boroughs!DO113</f>
        <v>50</v>
      </c>
      <c r="N154" s="194">
        <f>[2]Districts_Boroughs!DP113</f>
        <v>44</v>
      </c>
      <c r="O154" s="194">
        <f>[2]Districts_Boroughs!DQ113</f>
        <v>53</v>
      </c>
      <c r="P154" s="178"/>
      <c r="Q154" s="468">
        <v>153</v>
      </c>
      <c r="R154" s="339" t="s">
        <v>38</v>
      </c>
      <c r="S154" s="176">
        <f t="shared" si="171"/>
        <v>53</v>
      </c>
      <c r="T154" s="176">
        <f t="shared" si="158"/>
        <v>113</v>
      </c>
      <c r="U154" s="176">
        <f t="shared" si="159"/>
        <v>157</v>
      </c>
      <c r="V154" s="176">
        <f t="shared" si="160"/>
        <v>214</v>
      </c>
      <c r="W154" s="176">
        <f t="shared" si="161"/>
        <v>269</v>
      </c>
      <c r="X154" s="176">
        <f t="shared" si="162"/>
        <v>322</v>
      </c>
      <c r="Y154" s="176">
        <f t="shared" si="163"/>
        <v>365</v>
      </c>
      <c r="Z154" s="176">
        <f t="shared" si="164"/>
        <v>419</v>
      </c>
      <c r="AA154" s="176">
        <f t="shared" si="165"/>
        <v>464</v>
      </c>
      <c r="AB154" s="176">
        <f t="shared" si="166"/>
        <v>514</v>
      </c>
      <c r="AC154" s="176">
        <f t="shared" si="167"/>
        <v>558</v>
      </c>
      <c r="AD154" s="461">
        <f t="shared" si="168"/>
        <v>611</v>
      </c>
      <c r="AE154" s="468">
        <v>153</v>
      </c>
      <c r="AF154" s="163">
        <f t="shared" si="170"/>
        <v>611</v>
      </c>
    </row>
    <row r="155" spans="1:32" x14ac:dyDescent="0.35">
      <c r="B155" s="420">
        <v>154</v>
      </c>
      <c r="C155" s="336" t="s">
        <v>17</v>
      </c>
      <c r="D155" s="194">
        <f>[2]Districts_Boroughs!DF114</f>
        <v>49</v>
      </c>
      <c r="E155" s="194">
        <f>[2]Districts_Boroughs!DG114</f>
        <v>29</v>
      </c>
      <c r="F155" s="194">
        <f>[2]Districts_Boroughs!DH114</f>
        <v>50</v>
      </c>
      <c r="G155" s="194">
        <f>[2]Districts_Boroughs!DI114</f>
        <v>35</v>
      </c>
      <c r="H155" s="194">
        <f>[2]Districts_Boroughs!DJ114</f>
        <v>45</v>
      </c>
      <c r="I155" s="194">
        <f>[2]Districts_Boroughs!DK114</f>
        <v>61</v>
      </c>
      <c r="J155" s="194">
        <f>[2]Districts_Boroughs!DL114</f>
        <v>50</v>
      </c>
      <c r="K155" s="194">
        <f>[2]Districts_Boroughs!DM114</f>
        <v>72</v>
      </c>
      <c r="L155" s="194">
        <f>[2]Districts_Boroughs!DN114</f>
        <v>45</v>
      </c>
      <c r="M155" s="194">
        <f>[2]Districts_Boroughs!DO114</f>
        <v>52</v>
      </c>
      <c r="N155" s="194">
        <f>[2]Districts_Boroughs!DP114</f>
        <v>59</v>
      </c>
      <c r="O155" s="194">
        <f>[2]Districts_Boroughs!DQ114</f>
        <v>57</v>
      </c>
      <c r="P155" s="178"/>
      <c r="Q155" s="468">
        <v>154</v>
      </c>
      <c r="R155" s="339" t="s">
        <v>17</v>
      </c>
      <c r="S155" s="176">
        <f t="shared" si="171"/>
        <v>49</v>
      </c>
      <c r="T155" s="176">
        <f t="shared" si="158"/>
        <v>78</v>
      </c>
      <c r="U155" s="176">
        <f t="shared" si="159"/>
        <v>128</v>
      </c>
      <c r="V155" s="176">
        <f t="shared" si="160"/>
        <v>163</v>
      </c>
      <c r="W155" s="176">
        <f t="shared" si="161"/>
        <v>208</v>
      </c>
      <c r="X155" s="176">
        <f t="shared" si="162"/>
        <v>269</v>
      </c>
      <c r="Y155" s="176">
        <f t="shared" si="163"/>
        <v>319</v>
      </c>
      <c r="Z155" s="176">
        <f t="shared" si="164"/>
        <v>391</v>
      </c>
      <c r="AA155" s="176">
        <f t="shared" si="165"/>
        <v>436</v>
      </c>
      <c r="AB155" s="176">
        <f t="shared" si="166"/>
        <v>488</v>
      </c>
      <c r="AC155" s="176">
        <f t="shared" si="167"/>
        <v>547</v>
      </c>
      <c r="AD155" s="461">
        <f t="shared" si="168"/>
        <v>604</v>
      </c>
      <c r="AE155" s="468">
        <v>154</v>
      </c>
      <c r="AF155" s="163">
        <f t="shared" si="170"/>
        <v>604</v>
      </c>
    </row>
    <row r="156" spans="1:32" x14ac:dyDescent="0.35">
      <c r="B156" s="420">
        <v>155</v>
      </c>
      <c r="C156" s="336" t="s">
        <v>34</v>
      </c>
      <c r="D156" s="194">
        <f>[2]Districts_Boroughs!DF115</f>
        <v>39</v>
      </c>
      <c r="E156" s="194">
        <f>[2]Districts_Boroughs!DG115</f>
        <v>46</v>
      </c>
      <c r="F156" s="194">
        <f>[2]Districts_Boroughs!DH115</f>
        <v>59</v>
      </c>
      <c r="G156" s="194">
        <f>[2]Districts_Boroughs!DI115</f>
        <v>53</v>
      </c>
      <c r="H156" s="194">
        <f>[2]Districts_Boroughs!DJ115</f>
        <v>41</v>
      </c>
      <c r="I156" s="194">
        <f>[2]Districts_Boroughs!DK115</f>
        <v>47</v>
      </c>
      <c r="J156" s="194">
        <f>[2]Districts_Boroughs!DL115</f>
        <v>34</v>
      </c>
      <c r="K156" s="194">
        <f>[2]Districts_Boroughs!DM115</f>
        <v>28</v>
      </c>
      <c r="L156" s="194">
        <f>[2]Districts_Boroughs!DN115</f>
        <v>48</v>
      </c>
      <c r="M156" s="194">
        <f>[2]Districts_Boroughs!DO115</f>
        <v>32</v>
      </c>
      <c r="N156" s="194">
        <f>[2]Districts_Boroughs!DP115</f>
        <v>28</v>
      </c>
      <c r="O156" s="194">
        <f>[2]Districts_Boroughs!DQ115</f>
        <v>63</v>
      </c>
      <c r="P156" s="178"/>
      <c r="Q156" s="468">
        <v>155</v>
      </c>
      <c r="R156" s="339" t="s">
        <v>34</v>
      </c>
      <c r="S156" s="176">
        <f t="shared" si="171"/>
        <v>39</v>
      </c>
      <c r="T156" s="176">
        <f t="shared" si="158"/>
        <v>85</v>
      </c>
      <c r="U156" s="176">
        <f t="shared" si="159"/>
        <v>144</v>
      </c>
      <c r="V156" s="176">
        <f t="shared" si="160"/>
        <v>197</v>
      </c>
      <c r="W156" s="176">
        <f t="shared" si="161"/>
        <v>238</v>
      </c>
      <c r="X156" s="176">
        <f t="shared" si="162"/>
        <v>285</v>
      </c>
      <c r="Y156" s="176">
        <f t="shared" si="163"/>
        <v>319</v>
      </c>
      <c r="Z156" s="176">
        <f t="shared" si="164"/>
        <v>347</v>
      </c>
      <c r="AA156" s="176">
        <f t="shared" si="165"/>
        <v>395</v>
      </c>
      <c r="AB156" s="176">
        <f t="shared" si="166"/>
        <v>427</v>
      </c>
      <c r="AC156" s="176">
        <f t="shared" si="167"/>
        <v>455</v>
      </c>
      <c r="AD156" s="461">
        <f t="shared" si="168"/>
        <v>518</v>
      </c>
      <c r="AE156" s="470">
        <v>155</v>
      </c>
      <c r="AF156" s="163">
        <f t="shared" si="170"/>
        <v>518</v>
      </c>
    </row>
    <row r="157" spans="1:32" x14ac:dyDescent="0.35">
      <c r="B157" s="420">
        <v>156</v>
      </c>
      <c r="C157" s="336" t="s">
        <v>41</v>
      </c>
      <c r="D157" s="194">
        <f>[2]Districts_Boroughs!DF116</f>
        <v>4</v>
      </c>
      <c r="E157" s="194">
        <f>[2]Districts_Boroughs!DG116</f>
        <v>4</v>
      </c>
      <c r="F157" s="194">
        <f>[2]Districts_Boroughs!DH116</f>
        <v>3</v>
      </c>
      <c r="G157" s="194">
        <f>[2]Districts_Boroughs!DI116</f>
        <v>4</v>
      </c>
      <c r="H157" s="194">
        <f>[2]Districts_Boroughs!DJ116</f>
        <v>5</v>
      </c>
      <c r="I157" s="194">
        <f>[2]Districts_Boroughs!DK116</f>
        <v>5</v>
      </c>
      <c r="J157" s="194">
        <f>[2]Districts_Boroughs!DL116</f>
        <v>2</v>
      </c>
      <c r="K157" s="194">
        <f>[2]Districts_Boroughs!DM116</f>
        <v>5</v>
      </c>
      <c r="L157" s="194">
        <f>[2]Districts_Boroughs!DN116</f>
        <v>2</v>
      </c>
      <c r="M157" s="194">
        <f>[2]Districts_Boroughs!DO116</f>
        <v>3</v>
      </c>
      <c r="N157" s="194">
        <f>[2]Districts_Boroughs!DP116</f>
        <v>3</v>
      </c>
      <c r="O157" s="194">
        <f>[2]Districts_Boroughs!DQ116</f>
        <v>4</v>
      </c>
      <c r="P157" s="178"/>
      <c r="Q157" s="468">
        <v>156</v>
      </c>
      <c r="R157" s="339" t="s">
        <v>41</v>
      </c>
      <c r="S157" s="176">
        <f t="shared" si="171"/>
        <v>4</v>
      </c>
      <c r="T157" s="176">
        <f t="shared" si="158"/>
        <v>8</v>
      </c>
      <c r="U157" s="176">
        <f t="shared" si="159"/>
        <v>11</v>
      </c>
      <c r="V157" s="176">
        <f t="shared" si="160"/>
        <v>15</v>
      </c>
      <c r="W157" s="176">
        <f t="shared" si="161"/>
        <v>20</v>
      </c>
      <c r="X157" s="176">
        <f t="shared" si="162"/>
        <v>25</v>
      </c>
      <c r="Y157" s="176">
        <f t="shared" si="163"/>
        <v>27</v>
      </c>
      <c r="Z157" s="176">
        <f t="shared" si="164"/>
        <v>32</v>
      </c>
      <c r="AA157" s="176">
        <f t="shared" si="165"/>
        <v>34</v>
      </c>
      <c r="AB157" s="176">
        <f t="shared" si="166"/>
        <v>37</v>
      </c>
      <c r="AC157" s="176">
        <f t="shared" si="167"/>
        <v>40</v>
      </c>
      <c r="AD157" s="461">
        <f t="shared" si="168"/>
        <v>44</v>
      </c>
      <c r="AE157" s="468">
        <v>156</v>
      </c>
      <c r="AF157" s="163">
        <f t="shared" si="170"/>
        <v>44</v>
      </c>
    </row>
    <row r="158" spans="1:32" x14ac:dyDescent="0.35">
      <c r="B158" s="420">
        <v>157</v>
      </c>
      <c r="C158" s="336" t="s">
        <v>42</v>
      </c>
      <c r="D158" s="194">
        <f>[2]Districts_Boroughs!DF117</f>
        <v>238</v>
      </c>
      <c r="E158" s="194">
        <f>[2]Districts_Boroughs!DG117</f>
        <v>295</v>
      </c>
      <c r="F158" s="194">
        <f>[2]Districts_Boroughs!DH117</f>
        <v>302</v>
      </c>
      <c r="G158" s="194">
        <f>[2]Districts_Boroughs!DI117</f>
        <v>243</v>
      </c>
      <c r="H158" s="194">
        <f>[2]Districts_Boroughs!DJ117</f>
        <v>250</v>
      </c>
      <c r="I158" s="194">
        <f>[2]Districts_Boroughs!DK117</f>
        <v>240</v>
      </c>
      <c r="J158" s="194">
        <f>[2]Districts_Boroughs!DL117</f>
        <v>261</v>
      </c>
      <c r="K158" s="194">
        <f>[2]Districts_Boroughs!DM117</f>
        <v>263</v>
      </c>
      <c r="L158" s="194">
        <f>[2]Districts_Boroughs!DN117</f>
        <v>280</v>
      </c>
      <c r="M158" s="194">
        <f>[2]Districts_Boroughs!DO117</f>
        <v>233</v>
      </c>
      <c r="N158" s="194">
        <f>[2]Districts_Boroughs!DP117</f>
        <v>213</v>
      </c>
      <c r="O158" s="194">
        <f>[2]Districts_Boroughs!DQ117</f>
        <v>260</v>
      </c>
      <c r="P158" s="178"/>
      <c r="Q158" s="468">
        <v>157</v>
      </c>
      <c r="R158" s="339" t="s">
        <v>42</v>
      </c>
      <c r="S158" s="176">
        <f t="shared" si="171"/>
        <v>238</v>
      </c>
      <c r="T158" s="176">
        <f t="shared" si="158"/>
        <v>533</v>
      </c>
      <c r="U158" s="176">
        <f t="shared" si="159"/>
        <v>835</v>
      </c>
      <c r="V158" s="176">
        <f t="shared" si="160"/>
        <v>1078</v>
      </c>
      <c r="W158" s="176">
        <f t="shared" si="161"/>
        <v>1328</v>
      </c>
      <c r="X158" s="176">
        <f t="shared" si="162"/>
        <v>1568</v>
      </c>
      <c r="Y158" s="176">
        <f t="shared" si="163"/>
        <v>1829</v>
      </c>
      <c r="Z158" s="176">
        <f t="shared" si="164"/>
        <v>2092</v>
      </c>
      <c r="AA158" s="176">
        <f t="shared" si="165"/>
        <v>2372</v>
      </c>
      <c r="AB158" s="176">
        <f t="shared" si="166"/>
        <v>2605</v>
      </c>
      <c r="AC158" s="176">
        <f t="shared" si="167"/>
        <v>2818</v>
      </c>
      <c r="AD158" s="461">
        <f t="shared" si="168"/>
        <v>3078</v>
      </c>
      <c r="AE158" s="468">
        <v>157</v>
      </c>
      <c r="AF158" s="163">
        <f t="shared" si="170"/>
        <v>3078</v>
      </c>
    </row>
    <row r="159" spans="1:32" x14ac:dyDescent="0.35">
      <c r="B159" s="421">
        <v>158</v>
      </c>
      <c r="C159" s="336" t="s">
        <v>43</v>
      </c>
      <c r="D159" s="195">
        <f>[2]Districts_Boroughs!DF119</f>
        <v>4</v>
      </c>
      <c r="E159" s="195">
        <f>[2]Districts_Boroughs!DG119</f>
        <v>15</v>
      </c>
      <c r="F159" s="195">
        <f>[2]Districts_Boroughs!DH119</f>
        <v>7</v>
      </c>
      <c r="G159" s="195">
        <f>[2]Districts_Boroughs!DI119</f>
        <v>14</v>
      </c>
      <c r="H159" s="195">
        <f>[2]Districts_Boroughs!DJ119</f>
        <v>11</v>
      </c>
      <c r="I159" s="195">
        <f>[2]Districts_Boroughs!DK119</f>
        <v>7</v>
      </c>
      <c r="J159" s="195">
        <f>[2]Districts_Boroughs!DL119</f>
        <v>5</v>
      </c>
      <c r="K159" s="195">
        <f>[2]Districts_Boroughs!DM119</f>
        <v>10</v>
      </c>
      <c r="L159" s="195">
        <f>[2]Districts_Boroughs!DN119</f>
        <v>13</v>
      </c>
      <c r="M159" s="195">
        <f>[2]Districts_Boroughs!DO119</f>
        <v>11</v>
      </c>
      <c r="N159" s="195">
        <f>[2]Districts_Boroughs!DP119</f>
        <v>5</v>
      </c>
      <c r="O159" s="195">
        <f>[2]Districts_Boroughs!DQ119</f>
        <v>7</v>
      </c>
      <c r="P159" s="178"/>
      <c r="Q159" s="468">
        <v>158</v>
      </c>
      <c r="R159" s="339" t="s">
        <v>43</v>
      </c>
      <c r="S159" s="176">
        <f t="shared" si="171"/>
        <v>4</v>
      </c>
      <c r="T159" s="176">
        <f t="shared" si="158"/>
        <v>19</v>
      </c>
      <c r="U159" s="176">
        <f t="shared" si="159"/>
        <v>26</v>
      </c>
      <c r="V159" s="176">
        <f t="shared" si="160"/>
        <v>40</v>
      </c>
      <c r="W159" s="176">
        <f t="shared" si="161"/>
        <v>51</v>
      </c>
      <c r="X159" s="176">
        <f t="shared" si="162"/>
        <v>58</v>
      </c>
      <c r="Y159" s="176">
        <f t="shared" si="163"/>
        <v>63</v>
      </c>
      <c r="Z159" s="176">
        <f t="shared" si="164"/>
        <v>73</v>
      </c>
      <c r="AA159" s="176">
        <f t="shared" si="165"/>
        <v>86</v>
      </c>
      <c r="AB159" s="176">
        <f t="shared" si="166"/>
        <v>97</v>
      </c>
      <c r="AC159" s="176">
        <f t="shared" si="167"/>
        <v>102</v>
      </c>
      <c r="AD159" s="461">
        <f t="shared" si="168"/>
        <v>109</v>
      </c>
      <c r="AE159" s="470">
        <v>158</v>
      </c>
      <c r="AF159" s="163">
        <f t="shared" si="170"/>
        <v>109</v>
      </c>
    </row>
    <row r="160" spans="1:32" x14ac:dyDescent="0.35">
      <c r="B160" s="420">
        <v>159</v>
      </c>
      <c r="C160" s="336" t="s">
        <v>198</v>
      </c>
      <c r="D160" s="195">
        <f>[2]Districts_Boroughs!DF120</f>
        <v>4</v>
      </c>
      <c r="E160" s="195">
        <f>[2]Districts_Boroughs!DG120</f>
        <v>7</v>
      </c>
      <c r="F160" s="195">
        <f>[2]Districts_Boroughs!DH120</f>
        <v>16</v>
      </c>
      <c r="G160" s="195">
        <f>[2]Districts_Boroughs!DI120</f>
        <v>6</v>
      </c>
      <c r="H160" s="195">
        <f>[2]Districts_Boroughs!DJ120</f>
        <v>6</v>
      </c>
      <c r="I160" s="195">
        <f>[2]Districts_Boroughs!DK120</f>
        <v>5</v>
      </c>
      <c r="J160" s="195">
        <f>[2]Districts_Boroughs!DL120</f>
        <v>8</v>
      </c>
      <c r="K160" s="195">
        <f>[2]Districts_Boroughs!DM120</f>
        <v>8</v>
      </c>
      <c r="L160" s="195">
        <f>[2]Districts_Boroughs!DN120</f>
        <v>12</v>
      </c>
      <c r="M160" s="195">
        <f>[2]Districts_Boroughs!DO120</f>
        <v>8</v>
      </c>
      <c r="N160" s="195">
        <f>[2]Districts_Boroughs!DP120</f>
        <v>1</v>
      </c>
      <c r="O160" s="195">
        <f>[2]Districts_Boroughs!DQ120</f>
        <v>10</v>
      </c>
      <c r="P160" s="178"/>
      <c r="Q160" s="468">
        <v>159</v>
      </c>
      <c r="R160" s="339" t="s">
        <v>198</v>
      </c>
      <c r="S160" s="176">
        <f t="shared" ref="S160:S166" si="172">D160</f>
        <v>4</v>
      </c>
      <c r="T160" s="176">
        <f t="shared" si="158"/>
        <v>11</v>
      </c>
      <c r="U160" s="176">
        <f t="shared" si="159"/>
        <v>27</v>
      </c>
      <c r="V160" s="176">
        <f t="shared" si="160"/>
        <v>33</v>
      </c>
      <c r="W160" s="176">
        <f t="shared" si="161"/>
        <v>39</v>
      </c>
      <c r="X160" s="176">
        <f t="shared" si="162"/>
        <v>44</v>
      </c>
      <c r="Y160" s="176">
        <f t="shared" si="163"/>
        <v>52</v>
      </c>
      <c r="Z160" s="176">
        <f t="shared" si="164"/>
        <v>60</v>
      </c>
      <c r="AA160" s="176">
        <f t="shared" si="165"/>
        <v>72</v>
      </c>
      <c r="AB160" s="176">
        <f t="shared" si="166"/>
        <v>80</v>
      </c>
      <c r="AC160" s="176">
        <f t="shared" si="167"/>
        <v>81</v>
      </c>
      <c r="AD160" s="461">
        <f t="shared" si="168"/>
        <v>91</v>
      </c>
      <c r="AE160" s="468">
        <v>159</v>
      </c>
      <c r="AF160" s="163">
        <f t="shared" si="170"/>
        <v>91</v>
      </c>
    </row>
    <row r="161" spans="1:32" x14ac:dyDescent="0.35">
      <c r="A161" s="162" t="s">
        <v>128</v>
      </c>
      <c r="B161" s="420">
        <v>160</v>
      </c>
      <c r="C161" s="336" t="s">
        <v>204</v>
      </c>
      <c r="D161" s="288">
        <f>SUM(D159:D160)</f>
        <v>8</v>
      </c>
      <c r="E161" s="288">
        <f t="shared" ref="E161:O161" si="173">SUM(E159:E160)</f>
        <v>22</v>
      </c>
      <c r="F161" s="288">
        <f t="shared" si="173"/>
        <v>23</v>
      </c>
      <c r="G161" s="288">
        <f t="shared" si="173"/>
        <v>20</v>
      </c>
      <c r="H161" s="288">
        <f t="shared" si="173"/>
        <v>17</v>
      </c>
      <c r="I161" s="288">
        <f t="shared" si="173"/>
        <v>12</v>
      </c>
      <c r="J161" s="288">
        <f t="shared" si="173"/>
        <v>13</v>
      </c>
      <c r="K161" s="288">
        <f t="shared" si="173"/>
        <v>18</v>
      </c>
      <c r="L161" s="288">
        <f t="shared" si="173"/>
        <v>25</v>
      </c>
      <c r="M161" s="288">
        <f t="shared" si="173"/>
        <v>19</v>
      </c>
      <c r="N161" s="288">
        <f t="shared" si="173"/>
        <v>6</v>
      </c>
      <c r="O161" s="288">
        <f t="shared" si="173"/>
        <v>17</v>
      </c>
      <c r="P161" s="178"/>
      <c r="Q161" s="468">
        <v>160</v>
      </c>
      <c r="R161" s="336" t="s">
        <v>204</v>
      </c>
      <c r="S161" s="176">
        <f>SUM(S159:S160)</f>
        <v>8</v>
      </c>
      <c r="T161" s="176">
        <f t="shared" ref="T161:AD161" si="174">SUM(T159:T160)</f>
        <v>30</v>
      </c>
      <c r="U161" s="176">
        <f t="shared" si="174"/>
        <v>53</v>
      </c>
      <c r="V161" s="176">
        <f t="shared" si="174"/>
        <v>73</v>
      </c>
      <c r="W161" s="176">
        <f t="shared" si="174"/>
        <v>90</v>
      </c>
      <c r="X161" s="176">
        <f t="shared" si="174"/>
        <v>102</v>
      </c>
      <c r="Y161" s="176">
        <f t="shared" si="174"/>
        <v>115</v>
      </c>
      <c r="Z161" s="176">
        <f t="shared" si="174"/>
        <v>133</v>
      </c>
      <c r="AA161" s="176">
        <f t="shared" si="174"/>
        <v>158</v>
      </c>
      <c r="AB161" s="176">
        <f t="shared" si="174"/>
        <v>177</v>
      </c>
      <c r="AC161" s="176">
        <f t="shared" si="174"/>
        <v>183</v>
      </c>
      <c r="AD161" s="461">
        <f t="shared" si="174"/>
        <v>200</v>
      </c>
      <c r="AE161" s="468">
        <v>160</v>
      </c>
      <c r="AF161" s="163"/>
    </row>
    <row r="162" spans="1:32" x14ac:dyDescent="0.35">
      <c r="B162" s="420">
        <v>161</v>
      </c>
      <c r="C162" s="336" t="s">
        <v>44</v>
      </c>
      <c r="D162" s="195">
        <f>[2]Districts_Boroughs!DF121</f>
        <v>0</v>
      </c>
      <c r="E162" s="195">
        <f>[2]Districts_Boroughs!DG121</f>
        <v>0</v>
      </c>
      <c r="F162" s="195">
        <f>[2]Districts_Boroughs!DH121</f>
        <v>0</v>
      </c>
      <c r="G162" s="195">
        <f>[2]Districts_Boroughs!DI121</f>
        <v>1</v>
      </c>
      <c r="H162" s="195">
        <f>[2]Districts_Boroughs!DJ121</f>
        <v>2</v>
      </c>
      <c r="I162" s="195">
        <f>[2]Districts_Boroughs!DK121</f>
        <v>0</v>
      </c>
      <c r="J162" s="195">
        <f>[2]Districts_Boroughs!DL121</f>
        <v>1</v>
      </c>
      <c r="K162" s="195">
        <f>[2]Districts_Boroughs!DM121</f>
        <v>0</v>
      </c>
      <c r="L162" s="195">
        <f>[2]Districts_Boroughs!DN121</f>
        <v>2</v>
      </c>
      <c r="M162" s="195">
        <f>[2]Districts_Boroughs!DO121</f>
        <v>1</v>
      </c>
      <c r="N162" s="195">
        <f>[2]Districts_Boroughs!DP121</f>
        <v>1</v>
      </c>
      <c r="O162" s="195">
        <f>[2]Districts_Boroughs!DQ121</f>
        <v>1</v>
      </c>
      <c r="P162" s="178"/>
      <c r="Q162" s="468">
        <v>161</v>
      </c>
      <c r="R162" s="339" t="s">
        <v>44</v>
      </c>
      <c r="S162" s="176">
        <f t="shared" si="172"/>
        <v>0</v>
      </c>
      <c r="T162" s="176">
        <f t="shared" ref="T162:AD163" si="175">S162+E162</f>
        <v>0</v>
      </c>
      <c r="U162" s="176">
        <f t="shared" si="175"/>
        <v>0</v>
      </c>
      <c r="V162" s="176">
        <f t="shared" si="175"/>
        <v>1</v>
      </c>
      <c r="W162" s="176">
        <f t="shared" si="175"/>
        <v>3</v>
      </c>
      <c r="X162" s="176">
        <f t="shared" si="175"/>
        <v>3</v>
      </c>
      <c r="Y162" s="176">
        <f t="shared" si="175"/>
        <v>4</v>
      </c>
      <c r="Z162" s="176">
        <f t="shared" si="175"/>
        <v>4</v>
      </c>
      <c r="AA162" s="176">
        <f t="shared" si="175"/>
        <v>6</v>
      </c>
      <c r="AB162" s="176">
        <f t="shared" si="175"/>
        <v>7</v>
      </c>
      <c r="AC162" s="176">
        <f t="shared" si="175"/>
        <v>8</v>
      </c>
      <c r="AD162" s="461">
        <f t="shared" si="175"/>
        <v>9</v>
      </c>
      <c r="AE162" s="468">
        <v>161</v>
      </c>
      <c r="AF162" s="163">
        <f t="shared" si="170"/>
        <v>9</v>
      </c>
    </row>
    <row r="163" spans="1:32" x14ac:dyDescent="0.35">
      <c r="B163" s="420">
        <v>162</v>
      </c>
      <c r="C163" s="336" t="s">
        <v>199</v>
      </c>
      <c r="D163" s="195">
        <f>[2]Districts_Boroughs!DF122</f>
        <v>0</v>
      </c>
      <c r="E163" s="195">
        <f>[2]Districts_Boroughs!DG122</f>
        <v>1</v>
      </c>
      <c r="F163" s="195">
        <f>[2]Districts_Boroughs!DH122</f>
        <v>0</v>
      </c>
      <c r="G163" s="195">
        <f>[2]Districts_Boroughs!DI122</f>
        <v>0</v>
      </c>
      <c r="H163" s="195">
        <f>[2]Districts_Boroughs!DJ122</f>
        <v>0</v>
      </c>
      <c r="I163" s="195">
        <f>[2]Districts_Boroughs!DK122</f>
        <v>1</v>
      </c>
      <c r="J163" s="195">
        <f>[2]Districts_Boroughs!DL122</f>
        <v>0</v>
      </c>
      <c r="K163" s="195">
        <f>[2]Districts_Boroughs!DM122</f>
        <v>0</v>
      </c>
      <c r="L163" s="195">
        <f>[2]Districts_Boroughs!DN122</f>
        <v>0</v>
      </c>
      <c r="M163" s="195">
        <f>[2]Districts_Boroughs!DO122</f>
        <v>0</v>
      </c>
      <c r="N163" s="195">
        <f>[2]Districts_Boroughs!DP122</f>
        <v>0</v>
      </c>
      <c r="O163" s="195">
        <f>[2]Districts_Boroughs!DQ122</f>
        <v>1</v>
      </c>
      <c r="P163" s="178"/>
      <c r="Q163" s="468">
        <v>162</v>
      </c>
      <c r="R163" s="339" t="s">
        <v>199</v>
      </c>
      <c r="S163" s="176">
        <f t="shared" si="172"/>
        <v>0</v>
      </c>
      <c r="T163" s="176">
        <f t="shared" si="175"/>
        <v>1</v>
      </c>
      <c r="U163" s="176">
        <f t="shared" si="175"/>
        <v>1</v>
      </c>
      <c r="V163" s="176">
        <f t="shared" si="175"/>
        <v>1</v>
      </c>
      <c r="W163" s="176">
        <f t="shared" si="175"/>
        <v>1</v>
      </c>
      <c r="X163" s="176">
        <f t="shared" si="175"/>
        <v>2</v>
      </c>
      <c r="Y163" s="176">
        <f t="shared" si="175"/>
        <v>2</v>
      </c>
      <c r="Z163" s="176">
        <f t="shared" si="175"/>
        <v>2</v>
      </c>
      <c r="AA163" s="176">
        <f t="shared" si="175"/>
        <v>2</v>
      </c>
      <c r="AB163" s="176">
        <f t="shared" si="175"/>
        <v>2</v>
      </c>
      <c r="AC163" s="176">
        <f t="shared" si="175"/>
        <v>2</v>
      </c>
      <c r="AD163" s="461">
        <f t="shared" si="175"/>
        <v>3</v>
      </c>
      <c r="AE163" s="468">
        <v>162</v>
      </c>
      <c r="AF163" s="163">
        <f t="shared" si="170"/>
        <v>3</v>
      </c>
    </row>
    <row r="164" spans="1:32" x14ac:dyDescent="0.35">
      <c r="A164" s="162" t="s">
        <v>128</v>
      </c>
      <c r="B164" s="421">
        <v>163</v>
      </c>
      <c r="C164" s="336" t="s">
        <v>205</v>
      </c>
      <c r="D164" s="288">
        <f>SUM(D162:D163)</f>
        <v>0</v>
      </c>
      <c r="E164" s="288">
        <f t="shared" ref="E164:O164" si="176">SUM(E162:E163)</f>
        <v>1</v>
      </c>
      <c r="F164" s="288">
        <f t="shared" si="176"/>
        <v>0</v>
      </c>
      <c r="G164" s="288">
        <f t="shared" si="176"/>
        <v>1</v>
      </c>
      <c r="H164" s="288">
        <f t="shared" si="176"/>
        <v>2</v>
      </c>
      <c r="I164" s="288">
        <f t="shared" si="176"/>
        <v>1</v>
      </c>
      <c r="J164" s="288">
        <f t="shared" si="176"/>
        <v>1</v>
      </c>
      <c r="K164" s="288">
        <f t="shared" si="176"/>
        <v>0</v>
      </c>
      <c r="L164" s="288">
        <f t="shared" si="176"/>
        <v>2</v>
      </c>
      <c r="M164" s="288">
        <f t="shared" si="176"/>
        <v>1</v>
      </c>
      <c r="N164" s="288">
        <f t="shared" si="176"/>
        <v>1</v>
      </c>
      <c r="O164" s="288">
        <f t="shared" si="176"/>
        <v>2</v>
      </c>
      <c r="P164" s="178"/>
      <c r="Q164" s="468">
        <v>163</v>
      </c>
      <c r="R164" s="336" t="s">
        <v>205</v>
      </c>
      <c r="S164" s="176">
        <f>SUM(S162:S163)</f>
        <v>0</v>
      </c>
      <c r="T164" s="176">
        <f t="shared" ref="T164:AD164" si="177">SUM(T162:T163)</f>
        <v>1</v>
      </c>
      <c r="U164" s="176">
        <f t="shared" si="177"/>
        <v>1</v>
      </c>
      <c r="V164" s="176">
        <f t="shared" si="177"/>
        <v>2</v>
      </c>
      <c r="W164" s="176">
        <f t="shared" si="177"/>
        <v>4</v>
      </c>
      <c r="X164" s="176">
        <f t="shared" si="177"/>
        <v>5</v>
      </c>
      <c r="Y164" s="176">
        <f t="shared" si="177"/>
        <v>6</v>
      </c>
      <c r="Z164" s="176">
        <f t="shared" si="177"/>
        <v>6</v>
      </c>
      <c r="AA164" s="176">
        <f t="shared" si="177"/>
        <v>8</v>
      </c>
      <c r="AB164" s="176">
        <f t="shared" si="177"/>
        <v>9</v>
      </c>
      <c r="AC164" s="176">
        <f t="shared" si="177"/>
        <v>10</v>
      </c>
      <c r="AD164" s="461">
        <f t="shared" si="177"/>
        <v>12</v>
      </c>
      <c r="AE164" s="470">
        <v>163</v>
      </c>
      <c r="AF164" s="163"/>
    </row>
    <row r="165" spans="1:32" x14ac:dyDescent="0.35">
      <c r="B165" s="420">
        <v>164</v>
      </c>
      <c r="C165" s="336" t="s">
        <v>45</v>
      </c>
      <c r="D165" s="195">
        <f>[2]Districts_Boroughs!DF123</f>
        <v>25</v>
      </c>
      <c r="E165" s="195">
        <f>[2]Districts_Boroughs!DG123</f>
        <v>38</v>
      </c>
      <c r="F165" s="195">
        <f>[2]Districts_Boroughs!DH123</f>
        <v>21</v>
      </c>
      <c r="G165" s="195">
        <f>[2]Districts_Boroughs!DI123</f>
        <v>33</v>
      </c>
      <c r="H165" s="195">
        <f>[2]Districts_Boroughs!DJ123</f>
        <v>24</v>
      </c>
      <c r="I165" s="195">
        <f>[2]Districts_Boroughs!DK123</f>
        <v>24</v>
      </c>
      <c r="J165" s="195">
        <f>[2]Districts_Boroughs!DL123</f>
        <v>25</v>
      </c>
      <c r="K165" s="195">
        <f>[2]Districts_Boroughs!DM123</f>
        <v>24</v>
      </c>
      <c r="L165" s="195">
        <f>[2]Districts_Boroughs!DN123</f>
        <v>27</v>
      </c>
      <c r="M165" s="195">
        <f>[2]Districts_Boroughs!DO123</f>
        <v>31</v>
      </c>
      <c r="N165" s="195">
        <f>[2]Districts_Boroughs!DP123</f>
        <v>15</v>
      </c>
      <c r="O165" s="195">
        <f>[2]Districts_Boroughs!DQ123</f>
        <v>17</v>
      </c>
      <c r="P165" s="178"/>
      <c r="Q165" s="468">
        <v>164</v>
      </c>
      <c r="R165" s="339" t="s">
        <v>45</v>
      </c>
      <c r="S165" s="176">
        <f t="shared" si="172"/>
        <v>25</v>
      </c>
      <c r="T165" s="176">
        <f t="shared" ref="T165:T177" si="178">S165+E165</f>
        <v>63</v>
      </c>
      <c r="U165" s="176">
        <f t="shared" ref="U165:U177" si="179">T165+F165</f>
        <v>84</v>
      </c>
      <c r="V165" s="176">
        <f t="shared" ref="V165:V177" si="180">U165+G165</f>
        <v>117</v>
      </c>
      <c r="W165" s="176">
        <f t="shared" ref="W165:W177" si="181">V165+H165</f>
        <v>141</v>
      </c>
      <c r="X165" s="176">
        <f t="shared" ref="X165:X177" si="182">W165+I165</f>
        <v>165</v>
      </c>
      <c r="Y165" s="176">
        <f t="shared" ref="Y165:Y177" si="183">X165+J165</f>
        <v>190</v>
      </c>
      <c r="Z165" s="176">
        <f t="shared" ref="Z165:Z177" si="184">Y165+K165</f>
        <v>214</v>
      </c>
      <c r="AA165" s="176">
        <f t="shared" ref="AA165:AA177" si="185">Z165+L165</f>
        <v>241</v>
      </c>
      <c r="AB165" s="176">
        <f t="shared" ref="AB165:AB177" si="186">AA165+M165</f>
        <v>272</v>
      </c>
      <c r="AC165" s="176">
        <f t="shared" ref="AC165:AC177" si="187">AB165+N165</f>
        <v>287</v>
      </c>
      <c r="AD165" s="461">
        <f t="shared" ref="AD165:AD177" si="188">AC165+O165</f>
        <v>304</v>
      </c>
      <c r="AE165" s="468">
        <v>164</v>
      </c>
      <c r="AF165" s="163">
        <f t="shared" si="170"/>
        <v>304</v>
      </c>
    </row>
    <row r="166" spans="1:32" x14ac:dyDescent="0.35">
      <c r="B166" s="420">
        <v>165</v>
      </c>
      <c r="C166" s="336" t="s">
        <v>191</v>
      </c>
      <c r="D166" s="195">
        <f>[2]Districts_Boroughs!DF124</f>
        <v>57</v>
      </c>
      <c r="E166" s="195">
        <f>[2]Districts_Boroughs!DG124</f>
        <v>58</v>
      </c>
      <c r="F166" s="195">
        <f>[2]Districts_Boroughs!DH124</f>
        <v>51</v>
      </c>
      <c r="G166" s="195">
        <f>[2]Districts_Boroughs!DI124</f>
        <v>50</v>
      </c>
      <c r="H166" s="195">
        <f>[2]Districts_Boroughs!DJ124</f>
        <v>53</v>
      </c>
      <c r="I166" s="195">
        <f>[2]Districts_Boroughs!DK124</f>
        <v>59</v>
      </c>
      <c r="J166" s="195">
        <f>[2]Districts_Boroughs!DL124</f>
        <v>51</v>
      </c>
      <c r="K166" s="195">
        <f>[2]Districts_Boroughs!DM124</f>
        <v>60</v>
      </c>
      <c r="L166" s="195">
        <f>[2]Districts_Boroughs!DN124</f>
        <v>56</v>
      </c>
      <c r="M166" s="195">
        <f>[2]Districts_Boroughs!DO124</f>
        <v>57</v>
      </c>
      <c r="N166" s="195">
        <f>[2]Districts_Boroughs!DP124</f>
        <v>55</v>
      </c>
      <c r="O166" s="195">
        <f>[2]Districts_Boroughs!DQ124</f>
        <v>47</v>
      </c>
      <c r="P166" s="178"/>
      <c r="Q166" s="468">
        <v>165</v>
      </c>
      <c r="R166" s="339" t="s">
        <v>191</v>
      </c>
      <c r="S166" s="176">
        <f t="shared" si="172"/>
        <v>57</v>
      </c>
      <c r="T166" s="176">
        <f t="shared" si="178"/>
        <v>115</v>
      </c>
      <c r="U166" s="176">
        <f t="shared" si="179"/>
        <v>166</v>
      </c>
      <c r="V166" s="176">
        <f t="shared" si="180"/>
        <v>216</v>
      </c>
      <c r="W166" s="176">
        <f t="shared" si="181"/>
        <v>269</v>
      </c>
      <c r="X166" s="176">
        <f t="shared" si="182"/>
        <v>328</v>
      </c>
      <c r="Y166" s="176">
        <f t="shared" si="183"/>
        <v>379</v>
      </c>
      <c r="Z166" s="176">
        <f t="shared" si="184"/>
        <v>439</v>
      </c>
      <c r="AA166" s="176">
        <f t="shared" si="185"/>
        <v>495</v>
      </c>
      <c r="AB166" s="176">
        <f t="shared" si="186"/>
        <v>552</v>
      </c>
      <c r="AC166" s="176">
        <f t="shared" si="187"/>
        <v>607</v>
      </c>
      <c r="AD166" s="461">
        <f t="shared" si="188"/>
        <v>654</v>
      </c>
      <c r="AE166" s="468">
        <v>165</v>
      </c>
      <c r="AF166" s="163">
        <f t="shared" si="170"/>
        <v>654</v>
      </c>
    </row>
    <row r="167" spans="1:32" x14ac:dyDescent="0.35">
      <c r="B167" s="420">
        <v>166</v>
      </c>
      <c r="C167" s="336" t="s">
        <v>53</v>
      </c>
      <c r="D167" s="195">
        <f>[2]Districts_Boroughs!DF126</f>
        <v>7</v>
      </c>
      <c r="E167" s="195">
        <f>[2]Districts_Boroughs!DG126</f>
        <v>7</v>
      </c>
      <c r="F167" s="195">
        <f>[2]Districts_Boroughs!DH126</f>
        <v>10</v>
      </c>
      <c r="G167" s="195">
        <f>[2]Districts_Boroughs!DI126</f>
        <v>10</v>
      </c>
      <c r="H167" s="195">
        <f>[2]Districts_Boroughs!DJ126</f>
        <v>7</v>
      </c>
      <c r="I167" s="195">
        <f>[2]Districts_Boroughs!DK126</f>
        <v>6</v>
      </c>
      <c r="J167" s="195">
        <f>[2]Districts_Boroughs!DL126</f>
        <v>3</v>
      </c>
      <c r="K167" s="195">
        <f>[2]Districts_Boroughs!DM126</f>
        <v>2</v>
      </c>
      <c r="L167" s="195">
        <f>[2]Districts_Boroughs!DN126</f>
        <v>8</v>
      </c>
      <c r="M167" s="195">
        <f>[2]Districts_Boroughs!DO126</f>
        <v>4</v>
      </c>
      <c r="N167" s="195">
        <f>[2]Districts_Boroughs!DP126</f>
        <v>6</v>
      </c>
      <c r="O167" s="195">
        <f>[2]Districts_Boroughs!DQ126</f>
        <v>3</v>
      </c>
      <c r="P167" s="178"/>
      <c r="Q167" s="468">
        <v>166</v>
      </c>
      <c r="R167" s="339" t="s">
        <v>53</v>
      </c>
      <c r="S167" s="176">
        <f t="shared" ref="S167:S174" si="189">D167</f>
        <v>7</v>
      </c>
      <c r="T167" s="176">
        <f t="shared" si="178"/>
        <v>14</v>
      </c>
      <c r="U167" s="176">
        <f t="shared" si="179"/>
        <v>24</v>
      </c>
      <c r="V167" s="176">
        <f t="shared" si="180"/>
        <v>34</v>
      </c>
      <c r="W167" s="176">
        <f t="shared" si="181"/>
        <v>41</v>
      </c>
      <c r="X167" s="176">
        <f t="shared" si="182"/>
        <v>47</v>
      </c>
      <c r="Y167" s="176">
        <f t="shared" si="183"/>
        <v>50</v>
      </c>
      <c r="Z167" s="176">
        <f t="shared" si="184"/>
        <v>52</v>
      </c>
      <c r="AA167" s="176">
        <f t="shared" si="185"/>
        <v>60</v>
      </c>
      <c r="AB167" s="176">
        <f t="shared" si="186"/>
        <v>64</v>
      </c>
      <c r="AC167" s="176">
        <f t="shared" si="187"/>
        <v>70</v>
      </c>
      <c r="AD167" s="461">
        <f t="shared" si="188"/>
        <v>73</v>
      </c>
      <c r="AE167" s="470">
        <v>166</v>
      </c>
      <c r="AF167" s="163">
        <f t="shared" si="170"/>
        <v>73</v>
      </c>
    </row>
    <row r="168" spans="1:32" x14ac:dyDescent="0.35">
      <c r="B168" s="420">
        <v>167</v>
      </c>
      <c r="C168" s="336" t="s">
        <v>54</v>
      </c>
      <c r="D168" s="195">
        <f>[2]Districts_Boroughs!DF127</f>
        <v>3</v>
      </c>
      <c r="E168" s="195">
        <f>[2]Districts_Boroughs!DG127</f>
        <v>1</v>
      </c>
      <c r="F168" s="195">
        <f>[2]Districts_Boroughs!DH127</f>
        <v>3</v>
      </c>
      <c r="G168" s="195">
        <f>[2]Districts_Boroughs!DI127</f>
        <v>3</v>
      </c>
      <c r="H168" s="195">
        <f>[2]Districts_Boroughs!DJ127</f>
        <v>1</v>
      </c>
      <c r="I168" s="195">
        <f>[2]Districts_Boroughs!DK127</f>
        <v>1</v>
      </c>
      <c r="J168" s="195">
        <f>[2]Districts_Boroughs!DL127</f>
        <v>6</v>
      </c>
      <c r="K168" s="195">
        <f>[2]Districts_Boroughs!DM127</f>
        <v>3</v>
      </c>
      <c r="L168" s="195">
        <f>[2]Districts_Boroughs!DN127</f>
        <v>2</v>
      </c>
      <c r="M168" s="195">
        <f>[2]Districts_Boroughs!DO127</f>
        <v>2</v>
      </c>
      <c r="N168" s="195">
        <f>[2]Districts_Boroughs!DP127</f>
        <v>4</v>
      </c>
      <c r="O168" s="195">
        <f>[2]Districts_Boroughs!DQ127</f>
        <v>3</v>
      </c>
      <c r="P168" s="178"/>
      <c r="Q168" s="468">
        <v>167</v>
      </c>
      <c r="R168" s="339" t="s">
        <v>54</v>
      </c>
      <c r="S168" s="176">
        <f t="shared" si="189"/>
        <v>3</v>
      </c>
      <c r="T168" s="176">
        <f t="shared" si="178"/>
        <v>4</v>
      </c>
      <c r="U168" s="176">
        <f t="shared" si="179"/>
        <v>7</v>
      </c>
      <c r="V168" s="176">
        <f t="shared" si="180"/>
        <v>10</v>
      </c>
      <c r="W168" s="176">
        <f t="shared" si="181"/>
        <v>11</v>
      </c>
      <c r="X168" s="176">
        <f t="shared" si="182"/>
        <v>12</v>
      </c>
      <c r="Y168" s="176">
        <f t="shared" si="183"/>
        <v>18</v>
      </c>
      <c r="Z168" s="176">
        <f t="shared" si="184"/>
        <v>21</v>
      </c>
      <c r="AA168" s="176">
        <f t="shared" si="185"/>
        <v>23</v>
      </c>
      <c r="AB168" s="176">
        <f t="shared" si="186"/>
        <v>25</v>
      </c>
      <c r="AC168" s="176">
        <f t="shared" si="187"/>
        <v>29</v>
      </c>
      <c r="AD168" s="461">
        <f t="shared" si="188"/>
        <v>32</v>
      </c>
      <c r="AE168" s="468">
        <v>167</v>
      </c>
      <c r="AF168" s="163">
        <f t="shared" si="170"/>
        <v>32</v>
      </c>
    </row>
    <row r="169" spans="1:32" x14ac:dyDescent="0.35">
      <c r="B169" s="421">
        <v>168</v>
      </c>
      <c r="C169" s="336" t="s">
        <v>46</v>
      </c>
      <c r="D169" s="195">
        <f>[2]Districts_Boroughs!DF129</f>
        <v>1</v>
      </c>
      <c r="E169" s="195">
        <f>[2]Districts_Boroughs!DG129</f>
        <v>2</v>
      </c>
      <c r="F169" s="195">
        <f>[2]Districts_Boroughs!DH129</f>
        <v>0</v>
      </c>
      <c r="G169" s="195">
        <f>[2]Districts_Boroughs!DI129</f>
        <v>3</v>
      </c>
      <c r="H169" s="195">
        <f>[2]Districts_Boroughs!DJ129</f>
        <v>1</v>
      </c>
      <c r="I169" s="195">
        <f>[2]Districts_Boroughs!DK129</f>
        <v>3</v>
      </c>
      <c r="J169" s="195">
        <f>[2]Districts_Boroughs!DL129</f>
        <v>2</v>
      </c>
      <c r="K169" s="195">
        <f>[2]Districts_Boroughs!DM129</f>
        <v>0</v>
      </c>
      <c r="L169" s="195">
        <f>[2]Districts_Boroughs!DN129</f>
        <v>0</v>
      </c>
      <c r="M169" s="195">
        <f>[2]Districts_Boroughs!DO129</f>
        <v>0</v>
      </c>
      <c r="N169" s="195">
        <f>[2]Districts_Boroughs!DP129</f>
        <v>2</v>
      </c>
      <c r="O169" s="195">
        <f>[2]Districts_Boroughs!DQ129</f>
        <v>0</v>
      </c>
      <c r="P169" s="178"/>
      <c r="Q169" s="468">
        <v>168</v>
      </c>
      <c r="R169" s="339" t="s">
        <v>46</v>
      </c>
      <c r="S169" s="176">
        <f t="shared" si="189"/>
        <v>1</v>
      </c>
      <c r="T169" s="176">
        <f t="shared" si="178"/>
        <v>3</v>
      </c>
      <c r="U169" s="176">
        <f t="shared" si="179"/>
        <v>3</v>
      </c>
      <c r="V169" s="176">
        <f t="shared" si="180"/>
        <v>6</v>
      </c>
      <c r="W169" s="176">
        <f t="shared" si="181"/>
        <v>7</v>
      </c>
      <c r="X169" s="176">
        <f t="shared" si="182"/>
        <v>10</v>
      </c>
      <c r="Y169" s="176">
        <f t="shared" si="183"/>
        <v>12</v>
      </c>
      <c r="Z169" s="176">
        <f t="shared" si="184"/>
        <v>12</v>
      </c>
      <c r="AA169" s="176">
        <f t="shared" si="185"/>
        <v>12</v>
      </c>
      <c r="AB169" s="176">
        <f t="shared" si="186"/>
        <v>12</v>
      </c>
      <c r="AC169" s="176">
        <f t="shared" si="187"/>
        <v>14</v>
      </c>
      <c r="AD169" s="461">
        <f t="shared" si="188"/>
        <v>14</v>
      </c>
      <c r="AE169" s="468">
        <v>168</v>
      </c>
      <c r="AF169" s="163">
        <f t="shared" si="170"/>
        <v>14</v>
      </c>
    </row>
    <row r="170" spans="1:32" x14ac:dyDescent="0.35">
      <c r="B170" s="420">
        <v>169</v>
      </c>
      <c r="C170" s="336" t="s">
        <v>47</v>
      </c>
      <c r="D170" s="195">
        <f>[2]Districts_Boroughs!DF130</f>
        <v>14</v>
      </c>
      <c r="E170" s="195">
        <f>[2]Districts_Boroughs!DG130</f>
        <v>10</v>
      </c>
      <c r="F170" s="195">
        <f>[2]Districts_Boroughs!DH130</f>
        <v>11</v>
      </c>
      <c r="G170" s="195">
        <f>[2]Districts_Boroughs!DI130</f>
        <v>12</v>
      </c>
      <c r="H170" s="195">
        <f>[2]Districts_Boroughs!DJ130</f>
        <v>8</v>
      </c>
      <c r="I170" s="195">
        <f>[2]Districts_Boroughs!DK130</f>
        <v>7</v>
      </c>
      <c r="J170" s="195">
        <f>[2]Districts_Boroughs!DL130</f>
        <v>9</v>
      </c>
      <c r="K170" s="195">
        <f>[2]Districts_Boroughs!DM130</f>
        <v>15</v>
      </c>
      <c r="L170" s="195">
        <f>[2]Districts_Boroughs!DN130</f>
        <v>6</v>
      </c>
      <c r="M170" s="195">
        <f>[2]Districts_Boroughs!DO130</f>
        <v>21</v>
      </c>
      <c r="N170" s="195">
        <f>[2]Districts_Boroughs!DP130</f>
        <v>16</v>
      </c>
      <c r="O170" s="195">
        <f>[2]Districts_Boroughs!DQ130</f>
        <v>16</v>
      </c>
      <c r="P170" s="178"/>
      <c r="Q170" s="468">
        <v>169</v>
      </c>
      <c r="R170" s="339" t="s">
        <v>47</v>
      </c>
      <c r="S170" s="176">
        <f t="shared" si="189"/>
        <v>14</v>
      </c>
      <c r="T170" s="176">
        <f t="shared" si="178"/>
        <v>24</v>
      </c>
      <c r="U170" s="176">
        <f t="shared" si="179"/>
        <v>35</v>
      </c>
      <c r="V170" s="176">
        <f t="shared" si="180"/>
        <v>47</v>
      </c>
      <c r="W170" s="176">
        <f t="shared" si="181"/>
        <v>55</v>
      </c>
      <c r="X170" s="176">
        <f t="shared" si="182"/>
        <v>62</v>
      </c>
      <c r="Y170" s="176">
        <f t="shared" si="183"/>
        <v>71</v>
      </c>
      <c r="Z170" s="176">
        <f t="shared" si="184"/>
        <v>86</v>
      </c>
      <c r="AA170" s="176">
        <f t="shared" si="185"/>
        <v>92</v>
      </c>
      <c r="AB170" s="176">
        <f t="shared" si="186"/>
        <v>113</v>
      </c>
      <c r="AC170" s="176">
        <f t="shared" si="187"/>
        <v>129</v>
      </c>
      <c r="AD170" s="461">
        <f t="shared" si="188"/>
        <v>145</v>
      </c>
      <c r="AE170" s="468">
        <v>169</v>
      </c>
      <c r="AF170" s="163">
        <f t="shared" si="170"/>
        <v>145</v>
      </c>
    </row>
    <row r="171" spans="1:32" x14ac:dyDescent="0.35">
      <c r="B171" s="420">
        <v>170</v>
      </c>
      <c r="C171" s="336" t="s">
        <v>48</v>
      </c>
      <c r="D171" s="195">
        <f>[2]Districts_Boroughs!DF131</f>
        <v>28</v>
      </c>
      <c r="E171" s="195">
        <f>[2]Districts_Boroughs!DG131</f>
        <v>29</v>
      </c>
      <c r="F171" s="195">
        <f>[2]Districts_Boroughs!DH131</f>
        <v>22</v>
      </c>
      <c r="G171" s="195">
        <f>[2]Districts_Boroughs!DI131</f>
        <v>29</v>
      </c>
      <c r="H171" s="195">
        <f>[2]Districts_Boroughs!DJ131</f>
        <v>23</v>
      </c>
      <c r="I171" s="195">
        <f>[2]Districts_Boroughs!DK131</f>
        <v>23</v>
      </c>
      <c r="J171" s="195">
        <f>[2]Districts_Boroughs!DL131</f>
        <v>27</v>
      </c>
      <c r="K171" s="195">
        <f>[2]Districts_Boroughs!DM131</f>
        <v>22</v>
      </c>
      <c r="L171" s="195">
        <f>[2]Districts_Boroughs!DN131</f>
        <v>28</v>
      </c>
      <c r="M171" s="195">
        <f>[2]Districts_Boroughs!DO131</f>
        <v>22</v>
      </c>
      <c r="N171" s="195">
        <f>[2]Districts_Boroughs!DP131</f>
        <v>13</v>
      </c>
      <c r="O171" s="195">
        <f>[2]Districts_Boroughs!DQ131</f>
        <v>19</v>
      </c>
      <c r="P171" s="178"/>
      <c r="Q171" s="468">
        <v>170</v>
      </c>
      <c r="R171" s="339" t="s">
        <v>48</v>
      </c>
      <c r="S171" s="176">
        <f t="shared" si="189"/>
        <v>28</v>
      </c>
      <c r="T171" s="176">
        <f t="shared" si="178"/>
        <v>57</v>
      </c>
      <c r="U171" s="176">
        <f t="shared" si="179"/>
        <v>79</v>
      </c>
      <c r="V171" s="176">
        <f t="shared" si="180"/>
        <v>108</v>
      </c>
      <c r="W171" s="176">
        <f t="shared" si="181"/>
        <v>131</v>
      </c>
      <c r="X171" s="176">
        <f t="shared" si="182"/>
        <v>154</v>
      </c>
      <c r="Y171" s="176">
        <f t="shared" si="183"/>
        <v>181</v>
      </c>
      <c r="Z171" s="176">
        <f t="shared" si="184"/>
        <v>203</v>
      </c>
      <c r="AA171" s="176">
        <f t="shared" si="185"/>
        <v>231</v>
      </c>
      <c r="AB171" s="176">
        <f t="shared" si="186"/>
        <v>253</v>
      </c>
      <c r="AC171" s="176">
        <f t="shared" si="187"/>
        <v>266</v>
      </c>
      <c r="AD171" s="461">
        <f t="shared" si="188"/>
        <v>285</v>
      </c>
      <c r="AE171" s="468">
        <v>170</v>
      </c>
      <c r="AF171" s="163">
        <f t="shared" si="170"/>
        <v>285</v>
      </c>
    </row>
    <row r="172" spans="1:32" x14ac:dyDescent="0.35">
      <c r="B172" s="420">
        <v>171</v>
      </c>
      <c r="C172" s="336" t="s">
        <v>49</v>
      </c>
      <c r="D172" s="195">
        <f>[2]Districts_Boroughs!DF132</f>
        <v>10</v>
      </c>
      <c r="E172" s="195">
        <f>[2]Districts_Boroughs!DG132</f>
        <v>19</v>
      </c>
      <c r="F172" s="195">
        <f>[2]Districts_Boroughs!DH132</f>
        <v>11</v>
      </c>
      <c r="G172" s="195">
        <f>[2]Districts_Boroughs!DI132</f>
        <v>13</v>
      </c>
      <c r="H172" s="195">
        <f>[2]Districts_Boroughs!DJ132</f>
        <v>23</v>
      </c>
      <c r="I172" s="195">
        <f>[2]Districts_Boroughs!DK132</f>
        <v>20</v>
      </c>
      <c r="J172" s="195">
        <f>[2]Districts_Boroughs!DL132</f>
        <v>5</v>
      </c>
      <c r="K172" s="195">
        <f>[2]Districts_Boroughs!DM132</f>
        <v>17</v>
      </c>
      <c r="L172" s="195">
        <f>[2]Districts_Boroughs!DN132</f>
        <v>11</v>
      </c>
      <c r="M172" s="195">
        <f>[2]Districts_Boroughs!DO132</f>
        <v>7</v>
      </c>
      <c r="N172" s="195">
        <f>[2]Districts_Boroughs!DP132</f>
        <v>13</v>
      </c>
      <c r="O172" s="195">
        <f>[2]Districts_Boroughs!DQ132</f>
        <v>18</v>
      </c>
      <c r="P172" s="178"/>
      <c r="Q172" s="468">
        <v>171</v>
      </c>
      <c r="R172" s="339" t="s">
        <v>49</v>
      </c>
      <c r="S172" s="176">
        <f t="shared" si="189"/>
        <v>10</v>
      </c>
      <c r="T172" s="176">
        <f t="shared" si="178"/>
        <v>29</v>
      </c>
      <c r="U172" s="176">
        <f t="shared" si="179"/>
        <v>40</v>
      </c>
      <c r="V172" s="176">
        <f t="shared" si="180"/>
        <v>53</v>
      </c>
      <c r="W172" s="176">
        <f t="shared" si="181"/>
        <v>76</v>
      </c>
      <c r="X172" s="176">
        <f t="shared" si="182"/>
        <v>96</v>
      </c>
      <c r="Y172" s="176">
        <f t="shared" si="183"/>
        <v>101</v>
      </c>
      <c r="Z172" s="176">
        <f t="shared" si="184"/>
        <v>118</v>
      </c>
      <c r="AA172" s="176">
        <f t="shared" si="185"/>
        <v>129</v>
      </c>
      <c r="AB172" s="176">
        <f t="shared" si="186"/>
        <v>136</v>
      </c>
      <c r="AC172" s="176">
        <f t="shared" si="187"/>
        <v>149</v>
      </c>
      <c r="AD172" s="461">
        <f t="shared" si="188"/>
        <v>167</v>
      </c>
      <c r="AE172" s="470">
        <v>171</v>
      </c>
      <c r="AF172" s="163">
        <f t="shared" si="170"/>
        <v>167</v>
      </c>
    </row>
    <row r="173" spans="1:32" x14ac:dyDescent="0.35">
      <c r="A173" s="162" t="s">
        <v>128</v>
      </c>
      <c r="B173" s="420">
        <v>172</v>
      </c>
      <c r="C173" s="336" t="s">
        <v>50</v>
      </c>
      <c r="D173" s="195">
        <f>[2]Districts_Boroughs!DF133</f>
        <v>53</v>
      </c>
      <c r="E173" s="195">
        <f>[2]Districts_Boroughs!DG133</f>
        <v>60</v>
      </c>
      <c r="F173" s="195">
        <f>[2]Districts_Boroughs!DH133</f>
        <v>44</v>
      </c>
      <c r="G173" s="195">
        <f>[2]Districts_Boroughs!DI133</f>
        <v>57</v>
      </c>
      <c r="H173" s="195">
        <f>[2]Districts_Boroughs!DJ133</f>
        <v>55</v>
      </c>
      <c r="I173" s="195">
        <f>[2]Districts_Boroughs!DK133</f>
        <v>53</v>
      </c>
      <c r="J173" s="195">
        <f>[2]Districts_Boroughs!DL133</f>
        <v>43</v>
      </c>
      <c r="K173" s="195">
        <f>[2]Districts_Boroughs!DM133</f>
        <v>54</v>
      </c>
      <c r="L173" s="195">
        <f>[2]Districts_Boroughs!DN133</f>
        <v>45</v>
      </c>
      <c r="M173" s="195">
        <f>[2]Districts_Boroughs!DO133</f>
        <v>50</v>
      </c>
      <c r="N173" s="195">
        <f>[2]Districts_Boroughs!DP133</f>
        <v>44</v>
      </c>
      <c r="O173" s="195">
        <f>[2]Districts_Boroughs!DQ133</f>
        <v>53</v>
      </c>
      <c r="P173" s="178"/>
      <c r="Q173" s="468">
        <v>172</v>
      </c>
      <c r="R173" s="339" t="s">
        <v>50</v>
      </c>
      <c r="S173" s="176">
        <f t="shared" si="189"/>
        <v>53</v>
      </c>
      <c r="T173" s="176">
        <f t="shared" si="178"/>
        <v>113</v>
      </c>
      <c r="U173" s="176">
        <f t="shared" si="179"/>
        <v>157</v>
      </c>
      <c r="V173" s="176">
        <f t="shared" si="180"/>
        <v>214</v>
      </c>
      <c r="W173" s="176">
        <f t="shared" si="181"/>
        <v>269</v>
      </c>
      <c r="X173" s="176">
        <f t="shared" si="182"/>
        <v>322</v>
      </c>
      <c r="Y173" s="176">
        <f t="shared" si="183"/>
        <v>365</v>
      </c>
      <c r="Z173" s="176">
        <f t="shared" si="184"/>
        <v>419</v>
      </c>
      <c r="AA173" s="176">
        <f t="shared" si="185"/>
        <v>464</v>
      </c>
      <c r="AB173" s="176">
        <f t="shared" si="186"/>
        <v>514</v>
      </c>
      <c r="AC173" s="176">
        <f t="shared" si="187"/>
        <v>558</v>
      </c>
      <c r="AD173" s="461">
        <f t="shared" si="188"/>
        <v>611</v>
      </c>
      <c r="AE173" s="468">
        <v>172</v>
      </c>
      <c r="AF173" s="163">
        <f t="shared" si="170"/>
        <v>611</v>
      </c>
    </row>
    <row r="174" spans="1:32" x14ac:dyDescent="0.35">
      <c r="B174" s="421">
        <v>173</v>
      </c>
      <c r="C174" s="336" t="s">
        <v>51</v>
      </c>
      <c r="D174" s="195">
        <f>[2]Districts_Boroughs!DF135</f>
        <v>18</v>
      </c>
      <c r="E174" s="195">
        <f>[2]Districts_Boroughs!DG135</f>
        <v>19</v>
      </c>
      <c r="F174" s="195">
        <f>[2]Districts_Boroughs!DH135</f>
        <v>11</v>
      </c>
      <c r="G174" s="195">
        <f>[2]Districts_Boroughs!DI135</f>
        <v>20</v>
      </c>
      <c r="H174" s="195">
        <f>[2]Districts_Boroughs!DJ135</f>
        <v>11</v>
      </c>
      <c r="I174" s="195">
        <f>[2]Districts_Boroughs!DK135</f>
        <v>20</v>
      </c>
      <c r="J174" s="195">
        <f>[2]Districts_Boroughs!DL135</f>
        <v>24</v>
      </c>
      <c r="K174" s="195">
        <f>[2]Districts_Boroughs!DM135</f>
        <v>22</v>
      </c>
      <c r="L174" s="195">
        <f>[2]Districts_Boroughs!DN135</f>
        <v>10</v>
      </c>
      <c r="M174" s="195">
        <f>[2]Districts_Boroughs!DO135</f>
        <v>7</v>
      </c>
      <c r="N174" s="195">
        <f>[2]Districts_Boroughs!DP135</f>
        <v>14</v>
      </c>
      <c r="O174" s="195">
        <f>[2]Districts_Boroughs!DQ135</f>
        <v>21</v>
      </c>
      <c r="P174" s="178"/>
      <c r="Q174" s="468">
        <v>173</v>
      </c>
      <c r="R174" s="339" t="s">
        <v>51</v>
      </c>
      <c r="S174" s="176">
        <f t="shared" si="189"/>
        <v>18</v>
      </c>
      <c r="T174" s="176">
        <f t="shared" si="178"/>
        <v>37</v>
      </c>
      <c r="U174" s="176">
        <f t="shared" si="179"/>
        <v>48</v>
      </c>
      <c r="V174" s="176">
        <f t="shared" si="180"/>
        <v>68</v>
      </c>
      <c r="W174" s="176">
        <f t="shared" si="181"/>
        <v>79</v>
      </c>
      <c r="X174" s="176">
        <f t="shared" si="182"/>
        <v>99</v>
      </c>
      <c r="Y174" s="176">
        <f t="shared" si="183"/>
        <v>123</v>
      </c>
      <c r="Z174" s="176">
        <f t="shared" si="184"/>
        <v>145</v>
      </c>
      <c r="AA174" s="176">
        <f t="shared" si="185"/>
        <v>155</v>
      </c>
      <c r="AB174" s="176">
        <f t="shared" si="186"/>
        <v>162</v>
      </c>
      <c r="AC174" s="176">
        <f t="shared" si="187"/>
        <v>176</v>
      </c>
      <c r="AD174" s="461">
        <f t="shared" si="188"/>
        <v>197</v>
      </c>
      <c r="AE174" s="468">
        <v>173</v>
      </c>
      <c r="AF174" s="163">
        <f t="shared" si="170"/>
        <v>197</v>
      </c>
    </row>
    <row r="175" spans="1:32" x14ac:dyDescent="0.35">
      <c r="B175" s="420">
        <v>174</v>
      </c>
      <c r="C175" s="337" t="s">
        <v>200</v>
      </c>
      <c r="D175" s="195">
        <f>[2]Districts_Boroughs!DF136</f>
        <v>146</v>
      </c>
      <c r="E175" s="195">
        <f>[2]Districts_Boroughs!DG136</f>
        <v>177</v>
      </c>
      <c r="F175" s="195">
        <f>[2]Districts_Boroughs!DH136</f>
        <v>155</v>
      </c>
      <c r="G175" s="195">
        <f>[2]Districts_Boroughs!DI136</f>
        <v>154</v>
      </c>
      <c r="H175" s="195">
        <f>[2]Districts_Boroughs!DJ136</f>
        <v>140</v>
      </c>
      <c r="I175" s="195">
        <f>[2]Districts_Boroughs!DK136</f>
        <v>150</v>
      </c>
      <c r="J175" s="195">
        <f>[2]Districts_Boroughs!DL136</f>
        <v>127</v>
      </c>
      <c r="K175" s="195">
        <f>[2]Districts_Boroughs!DM136</f>
        <v>147</v>
      </c>
      <c r="L175" s="195">
        <f>[2]Districts_Boroughs!DN136</f>
        <v>163</v>
      </c>
      <c r="M175" s="195">
        <f>[2]Districts_Boroughs!DO136</f>
        <v>151</v>
      </c>
      <c r="N175" s="195">
        <f>[2]Districts_Boroughs!DP136</f>
        <v>140</v>
      </c>
      <c r="O175" s="195">
        <f>[2]Districts_Boroughs!DQ136</f>
        <v>143</v>
      </c>
      <c r="P175" s="178"/>
      <c r="Q175" s="468">
        <v>174</v>
      </c>
      <c r="R175" s="340" t="s">
        <v>200</v>
      </c>
      <c r="S175" s="176">
        <f t="shared" ref="S175:S177" si="190">D175</f>
        <v>146</v>
      </c>
      <c r="T175" s="176">
        <f t="shared" si="178"/>
        <v>323</v>
      </c>
      <c r="U175" s="176">
        <f t="shared" si="179"/>
        <v>478</v>
      </c>
      <c r="V175" s="176">
        <f t="shared" si="180"/>
        <v>632</v>
      </c>
      <c r="W175" s="176">
        <f t="shared" si="181"/>
        <v>772</v>
      </c>
      <c r="X175" s="176">
        <f t="shared" si="182"/>
        <v>922</v>
      </c>
      <c r="Y175" s="176">
        <f t="shared" si="183"/>
        <v>1049</v>
      </c>
      <c r="Z175" s="176">
        <f t="shared" si="184"/>
        <v>1196</v>
      </c>
      <c r="AA175" s="176">
        <f t="shared" si="185"/>
        <v>1359</v>
      </c>
      <c r="AB175" s="176">
        <f t="shared" si="186"/>
        <v>1510</v>
      </c>
      <c r="AC175" s="176">
        <f t="shared" si="187"/>
        <v>1650</v>
      </c>
      <c r="AD175" s="461">
        <f t="shared" si="188"/>
        <v>1793</v>
      </c>
      <c r="AE175" s="470">
        <v>174</v>
      </c>
      <c r="AF175" s="163">
        <f t="shared" si="170"/>
        <v>1793</v>
      </c>
    </row>
    <row r="176" spans="1:32" x14ac:dyDescent="0.35">
      <c r="B176" s="420">
        <v>175</v>
      </c>
      <c r="C176" s="337" t="s">
        <v>243</v>
      </c>
      <c r="D176" s="195">
        <f>[2]Districts_Boroughs!DF137</f>
        <v>94</v>
      </c>
      <c r="E176" s="195">
        <f>[2]Districts_Boroughs!DG137</f>
        <v>121</v>
      </c>
      <c r="F176" s="195">
        <f>[2]Districts_Boroughs!DH137</f>
        <v>99</v>
      </c>
      <c r="G176" s="195">
        <f>[2]Districts_Boroughs!DI137</f>
        <v>119</v>
      </c>
      <c r="H176" s="195">
        <f>[2]Districts_Boroughs!DJ137</f>
        <v>88</v>
      </c>
      <c r="I176" s="195">
        <f>[2]Districts_Boroughs!DK137</f>
        <v>107</v>
      </c>
      <c r="J176" s="195">
        <f>[2]Districts_Boroughs!DL137</f>
        <v>89</v>
      </c>
      <c r="K176" s="195">
        <f>[2]Districts_Boroughs!DM137</f>
        <v>87</v>
      </c>
      <c r="L176" s="195">
        <f>[2]Districts_Boroughs!DN137</f>
        <v>94</v>
      </c>
      <c r="M176" s="195">
        <f>[2]Districts_Boroughs!DO137</f>
        <v>102</v>
      </c>
      <c r="N176" s="195">
        <f>[2]Districts_Boroughs!DP137</f>
        <v>91</v>
      </c>
      <c r="O176" s="195">
        <f>[2]Districts_Boroughs!DQ137</f>
        <v>85</v>
      </c>
      <c r="P176" s="178"/>
      <c r="Q176" s="468">
        <v>175</v>
      </c>
      <c r="R176" s="340" t="s">
        <v>201</v>
      </c>
      <c r="S176" s="176">
        <f t="shared" si="190"/>
        <v>94</v>
      </c>
      <c r="T176" s="176">
        <f t="shared" si="178"/>
        <v>215</v>
      </c>
      <c r="U176" s="176">
        <f t="shared" si="179"/>
        <v>314</v>
      </c>
      <c r="V176" s="176">
        <f t="shared" si="180"/>
        <v>433</v>
      </c>
      <c r="W176" s="176">
        <f t="shared" si="181"/>
        <v>521</v>
      </c>
      <c r="X176" s="176">
        <f t="shared" si="182"/>
        <v>628</v>
      </c>
      <c r="Y176" s="176">
        <f t="shared" si="183"/>
        <v>717</v>
      </c>
      <c r="Z176" s="176">
        <f t="shared" si="184"/>
        <v>804</v>
      </c>
      <c r="AA176" s="176">
        <f t="shared" si="185"/>
        <v>898</v>
      </c>
      <c r="AB176" s="176">
        <f t="shared" si="186"/>
        <v>1000</v>
      </c>
      <c r="AC176" s="176">
        <f t="shared" si="187"/>
        <v>1091</v>
      </c>
      <c r="AD176" s="461">
        <f t="shared" si="188"/>
        <v>1176</v>
      </c>
      <c r="AE176" s="468">
        <v>175</v>
      </c>
      <c r="AF176" s="163">
        <f t="shared" si="170"/>
        <v>1176</v>
      </c>
    </row>
    <row r="177" spans="1:32" x14ac:dyDescent="0.35">
      <c r="B177" s="420">
        <v>176</v>
      </c>
      <c r="C177" s="337" t="s">
        <v>202</v>
      </c>
      <c r="D177" s="195">
        <f>[2]Districts_Boroughs!DF138</f>
        <v>3</v>
      </c>
      <c r="E177" s="195">
        <f>[2]Districts_Boroughs!DG138</f>
        <v>3</v>
      </c>
      <c r="F177" s="195">
        <f>[2]Districts_Boroughs!DH138</f>
        <v>3</v>
      </c>
      <c r="G177" s="195">
        <f>[2]Districts_Boroughs!DI138</f>
        <v>0</v>
      </c>
      <c r="H177" s="195">
        <f>[2]Districts_Boroughs!DJ138</f>
        <v>2</v>
      </c>
      <c r="I177" s="195">
        <f>[2]Districts_Boroughs!DK138</f>
        <v>3</v>
      </c>
      <c r="J177" s="195">
        <f>[2]Districts_Boroughs!DL138</f>
        <v>5</v>
      </c>
      <c r="K177" s="195">
        <f>[2]Districts_Boroughs!DM138</f>
        <v>0</v>
      </c>
      <c r="L177" s="195">
        <f>[2]Districts_Boroughs!DN138</f>
        <v>4</v>
      </c>
      <c r="M177" s="195">
        <f>[2]Districts_Boroughs!DO138</f>
        <v>4</v>
      </c>
      <c r="N177" s="195">
        <f>[2]Districts_Boroughs!DP138</f>
        <v>0</v>
      </c>
      <c r="O177" s="195">
        <f>[2]Districts_Boroughs!DQ138</f>
        <v>0</v>
      </c>
      <c r="P177" s="178"/>
      <c r="Q177" s="468">
        <v>176</v>
      </c>
      <c r="R177" s="340" t="s">
        <v>202</v>
      </c>
      <c r="S177" s="176">
        <f t="shared" si="190"/>
        <v>3</v>
      </c>
      <c r="T177" s="176">
        <f t="shared" si="178"/>
        <v>6</v>
      </c>
      <c r="U177" s="176">
        <f t="shared" si="179"/>
        <v>9</v>
      </c>
      <c r="V177" s="176">
        <f t="shared" si="180"/>
        <v>9</v>
      </c>
      <c r="W177" s="176">
        <f t="shared" si="181"/>
        <v>11</v>
      </c>
      <c r="X177" s="176">
        <f t="shared" si="182"/>
        <v>14</v>
      </c>
      <c r="Y177" s="176">
        <f t="shared" si="183"/>
        <v>19</v>
      </c>
      <c r="Z177" s="176">
        <f t="shared" si="184"/>
        <v>19</v>
      </c>
      <c r="AA177" s="176">
        <f t="shared" si="185"/>
        <v>23</v>
      </c>
      <c r="AB177" s="176">
        <f t="shared" si="186"/>
        <v>27</v>
      </c>
      <c r="AC177" s="176">
        <f t="shared" si="187"/>
        <v>27</v>
      </c>
      <c r="AD177" s="461">
        <f t="shared" si="188"/>
        <v>27</v>
      </c>
      <c r="AE177" s="468">
        <v>176</v>
      </c>
      <c r="AF177" s="163">
        <f t="shared" si="170"/>
        <v>27</v>
      </c>
    </row>
    <row r="178" spans="1:32" x14ac:dyDescent="0.35">
      <c r="B178" s="420">
        <v>177</v>
      </c>
      <c r="C178" s="336" t="s">
        <v>52</v>
      </c>
      <c r="D178" s="195">
        <f>[2]Districts_Boroughs!DF140</f>
        <v>93</v>
      </c>
      <c r="E178" s="195">
        <f>[2]Districts_Boroughs!DG140</f>
        <v>83</v>
      </c>
      <c r="F178" s="195">
        <f>[2]Districts_Boroughs!DH140</f>
        <v>103</v>
      </c>
      <c r="G178" s="195">
        <f>[2]Districts_Boroughs!DI140</f>
        <v>78</v>
      </c>
      <c r="H178" s="195">
        <f>[2]Districts_Boroughs!DJ140</f>
        <v>92</v>
      </c>
      <c r="I178" s="195">
        <f>[2]Districts_Boroughs!DK140</f>
        <v>119</v>
      </c>
      <c r="J178" s="195">
        <f>[2]Districts_Boroughs!DL140</f>
        <v>111</v>
      </c>
      <c r="K178" s="195">
        <f>[2]Districts_Boroughs!DM140</f>
        <v>140</v>
      </c>
      <c r="L178" s="195">
        <f>[2]Districts_Boroughs!DN140</f>
        <v>104</v>
      </c>
      <c r="M178" s="195">
        <f>[2]Districts_Boroughs!DO140</f>
        <v>125</v>
      </c>
      <c r="N178" s="195">
        <f>[2]Districts_Boroughs!DP140</f>
        <v>108</v>
      </c>
      <c r="O178" s="195">
        <f>[2]Districts_Boroughs!DQ140</f>
        <v>111</v>
      </c>
      <c r="P178" s="178"/>
      <c r="Q178" s="468">
        <v>177</v>
      </c>
      <c r="R178" s="339" t="s">
        <v>52</v>
      </c>
      <c r="S178" s="176">
        <f>D178</f>
        <v>93</v>
      </c>
      <c r="T178" s="176">
        <f t="shared" ref="T178:AD178" si="191">S178+E178</f>
        <v>176</v>
      </c>
      <c r="U178" s="176">
        <f t="shared" si="191"/>
        <v>279</v>
      </c>
      <c r="V178" s="176">
        <f t="shared" si="191"/>
        <v>357</v>
      </c>
      <c r="W178" s="176">
        <f t="shared" si="191"/>
        <v>449</v>
      </c>
      <c r="X178" s="176">
        <f t="shared" si="191"/>
        <v>568</v>
      </c>
      <c r="Y178" s="176">
        <f t="shared" si="191"/>
        <v>679</v>
      </c>
      <c r="Z178" s="176">
        <f t="shared" si="191"/>
        <v>819</v>
      </c>
      <c r="AA178" s="176">
        <f t="shared" si="191"/>
        <v>923</v>
      </c>
      <c r="AB178" s="176">
        <f t="shared" si="191"/>
        <v>1048</v>
      </c>
      <c r="AC178" s="176">
        <f t="shared" si="191"/>
        <v>1156</v>
      </c>
      <c r="AD178" s="461">
        <f t="shared" si="191"/>
        <v>1267</v>
      </c>
      <c r="AE178" s="468">
        <v>177</v>
      </c>
      <c r="AF178" s="163">
        <f>SUM(D178:O178)</f>
        <v>1267</v>
      </c>
    </row>
    <row r="179" spans="1:32" x14ac:dyDescent="0.35">
      <c r="B179" s="421">
        <v>178</v>
      </c>
      <c r="C179" s="336" t="s">
        <v>81</v>
      </c>
      <c r="D179" s="195">
        <f>[2]Districts_Boroughs!DF142</f>
        <v>18</v>
      </c>
      <c r="E179" s="195">
        <f>[2]Districts_Boroughs!DG142</f>
        <v>12</v>
      </c>
      <c r="F179" s="195">
        <f>[2]Districts_Boroughs!DH142</f>
        <v>6</v>
      </c>
      <c r="G179" s="195">
        <f>[2]Districts_Boroughs!DI142</f>
        <v>3</v>
      </c>
      <c r="H179" s="195">
        <f>[2]Districts_Boroughs!DJ142</f>
        <v>11</v>
      </c>
      <c r="I179" s="195">
        <f>[2]Districts_Boroughs!DK142</f>
        <v>12</v>
      </c>
      <c r="J179" s="195">
        <f>[2]Districts_Boroughs!DL142</f>
        <v>12</v>
      </c>
      <c r="K179" s="195">
        <f>[2]Districts_Boroughs!DM142</f>
        <v>6</v>
      </c>
      <c r="L179" s="195">
        <f>[2]Districts_Boroughs!DN142</f>
        <v>8</v>
      </c>
      <c r="M179" s="195">
        <f>[2]Districts_Boroughs!DO142</f>
        <v>17</v>
      </c>
      <c r="N179" s="195">
        <f>[2]Districts_Boroughs!DP142</f>
        <v>19</v>
      </c>
      <c r="O179" s="195">
        <f>[2]Districts_Boroughs!DQ142</f>
        <v>14</v>
      </c>
      <c r="P179" s="178"/>
      <c r="Q179" s="468">
        <v>178</v>
      </c>
      <c r="R179" s="339" t="s">
        <v>81</v>
      </c>
      <c r="S179" s="176">
        <f t="shared" ref="S179:S187" si="192">D179</f>
        <v>18</v>
      </c>
      <c r="T179" s="176">
        <f t="shared" ref="T179:T187" si="193">S179+E179</f>
        <v>30</v>
      </c>
      <c r="U179" s="176">
        <f t="shared" ref="U179:U187" si="194">T179+F179</f>
        <v>36</v>
      </c>
      <c r="V179" s="176">
        <f t="shared" ref="V179:V187" si="195">U179+G179</f>
        <v>39</v>
      </c>
      <c r="W179" s="176">
        <f t="shared" ref="W179:W187" si="196">V179+H179</f>
        <v>50</v>
      </c>
      <c r="X179" s="176">
        <f t="shared" ref="X179:X187" si="197">W179+I179</f>
        <v>62</v>
      </c>
      <c r="Y179" s="176">
        <f t="shared" ref="Y179:Y187" si="198">X179+J179</f>
        <v>74</v>
      </c>
      <c r="Z179" s="176">
        <f t="shared" ref="Z179:Z187" si="199">Y179+K179</f>
        <v>80</v>
      </c>
      <c r="AA179" s="176">
        <f t="shared" ref="AA179:AA187" si="200">Z179+L179</f>
        <v>88</v>
      </c>
      <c r="AB179" s="176">
        <f t="shared" ref="AB179:AB187" si="201">AA179+M179</f>
        <v>105</v>
      </c>
      <c r="AC179" s="176">
        <f t="shared" ref="AC179:AC187" si="202">AB179+N179</f>
        <v>124</v>
      </c>
      <c r="AD179" s="461">
        <f t="shared" ref="AD179:AD187" si="203">AC179+O179</f>
        <v>138</v>
      </c>
      <c r="AE179" s="468">
        <v>178</v>
      </c>
      <c r="AF179" s="163">
        <f t="shared" si="170"/>
        <v>138</v>
      </c>
    </row>
    <row r="180" spans="1:32" x14ac:dyDescent="0.35">
      <c r="B180" s="420">
        <v>179</v>
      </c>
      <c r="C180" s="338" t="s">
        <v>76</v>
      </c>
      <c r="D180" s="171">
        <f>[2]ASB!DF29</f>
        <v>122</v>
      </c>
      <c r="E180" s="171">
        <f>[2]ASB!DG29</f>
        <v>132</v>
      </c>
      <c r="F180" s="171">
        <f>[2]ASB!DH29</f>
        <v>106</v>
      </c>
      <c r="G180" s="171">
        <f>[2]ASB!DI29</f>
        <v>95</v>
      </c>
      <c r="H180" s="171">
        <f>[2]ASB!DJ29</f>
        <v>103</v>
      </c>
      <c r="I180" s="171">
        <f>[2]ASB!DK29</f>
        <v>76</v>
      </c>
      <c r="J180" s="171">
        <f>[2]ASB!DL29</f>
        <v>62</v>
      </c>
      <c r="K180" s="171">
        <f>[2]ASB!DM29</f>
        <v>68</v>
      </c>
      <c r="L180" s="171">
        <f>[2]ASB!DN29</f>
        <v>61</v>
      </c>
      <c r="M180" s="171">
        <f>[2]ASB!DO29</f>
        <v>68</v>
      </c>
      <c r="N180" s="171">
        <f>[2]ASB!DP29</f>
        <v>79</v>
      </c>
      <c r="O180" s="171">
        <f>[2]ASB!DQ29</f>
        <v>103</v>
      </c>
      <c r="P180" s="187"/>
      <c r="Q180" s="468">
        <v>179</v>
      </c>
      <c r="R180" s="339" t="s">
        <v>76</v>
      </c>
      <c r="S180" s="176">
        <f t="shared" si="192"/>
        <v>122</v>
      </c>
      <c r="T180" s="176">
        <f t="shared" si="193"/>
        <v>254</v>
      </c>
      <c r="U180" s="176">
        <f t="shared" si="194"/>
        <v>360</v>
      </c>
      <c r="V180" s="176">
        <f t="shared" si="195"/>
        <v>455</v>
      </c>
      <c r="W180" s="176">
        <f t="shared" si="196"/>
        <v>558</v>
      </c>
      <c r="X180" s="176">
        <f t="shared" si="197"/>
        <v>634</v>
      </c>
      <c r="Y180" s="176">
        <f t="shared" si="198"/>
        <v>696</v>
      </c>
      <c r="Z180" s="176">
        <f t="shared" si="199"/>
        <v>764</v>
      </c>
      <c r="AA180" s="176">
        <f t="shared" si="200"/>
        <v>825</v>
      </c>
      <c r="AB180" s="176">
        <f t="shared" si="201"/>
        <v>893</v>
      </c>
      <c r="AC180" s="176">
        <f t="shared" si="202"/>
        <v>972</v>
      </c>
      <c r="AD180" s="461">
        <f t="shared" si="203"/>
        <v>1075</v>
      </c>
      <c r="AE180" s="470">
        <v>179</v>
      </c>
      <c r="AF180" s="163">
        <f t="shared" si="170"/>
        <v>1075</v>
      </c>
    </row>
    <row r="181" spans="1:32" x14ac:dyDescent="0.35">
      <c r="B181" s="420">
        <v>180</v>
      </c>
      <c r="C181" s="338" t="s">
        <v>86</v>
      </c>
      <c r="D181" s="171">
        <f>[2]ASB!DF30</f>
        <v>17</v>
      </c>
      <c r="E181" s="171">
        <f>[2]ASB!DG30</f>
        <v>19</v>
      </c>
      <c r="F181" s="171">
        <f>[2]ASB!DH30</f>
        <v>22</v>
      </c>
      <c r="G181" s="171">
        <f>[2]ASB!DI30</f>
        <v>18</v>
      </c>
      <c r="H181" s="171">
        <f>[2]ASB!DJ30</f>
        <v>27</v>
      </c>
      <c r="I181" s="171">
        <f>[2]ASB!DK30</f>
        <v>27</v>
      </c>
      <c r="J181" s="171">
        <f>[2]ASB!DL30</f>
        <v>18</v>
      </c>
      <c r="K181" s="171">
        <f>[2]ASB!DM30</f>
        <v>25</v>
      </c>
      <c r="L181" s="171">
        <f>[2]ASB!DN30</f>
        <v>23</v>
      </c>
      <c r="M181" s="171">
        <f>[2]ASB!DO30</f>
        <v>22</v>
      </c>
      <c r="N181" s="171">
        <f>[2]ASB!DP30</f>
        <v>23</v>
      </c>
      <c r="O181" s="171">
        <f>[2]ASB!DQ30</f>
        <v>42</v>
      </c>
      <c r="P181" s="187"/>
      <c r="Q181" s="468">
        <v>180</v>
      </c>
      <c r="R181" s="339" t="s">
        <v>86</v>
      </c>
      <c r="S181" s="176">
        <f t="shared" si="192"/>
        <v>17</v>
      </c>
      <c r="T181" s="176">
        <f t="shared" si="193"/>
        <v>36</v>
      </c>
      <c r="U181" s="176">
        <f t="shared" si="194"/>
        <v>58</v>
      </c>
      <c r="V181" s="176">
        <f t="shared" si="195"/>
        <v>76</v>
      </c>
      <c r="W181" s="176">
        <f t="shared" si="196"/>
        <v>103</v>
      </c>
      <c r="X181" s="176">
        <f t="shared" si="197"/>
        <v>130</v>
      </c>
      <c r="Y181" s="176">
        <f t="shared" si="198"/>
        <v>148</v>
      </c>
      <c r="Z181" s="176">
        <f t="shared" si="199"/>
        <v>173</v>
      </c>
      <c r="AA181" s="176">
        <f t="shared" si="200"/>
        <v>196</v>
      </c>
      <c r="AB181" s="176">
        <f t="shared" si="201"/>
        <v>218</v>
      </c>
      <c r="AC181" s="176">
        <f t="shared" si="202"/>
        <v>241</v>
      </c>
      <c r="AD181" s="461">
        <f t="shared" si="203"/>
        <v>283</v>
      </c>
      <c r="AE181" s="468">
        <v>180</v>
      </c>
      <c r="AF181" s="163">
        <f t="shared" si="170"/>
        <v>283</v>
      </c>
    </row>
    <row r="182" spans="1:32" x14ac:dyDescent="0.35">
      <c r="B182" s="420">
        <v>181</v>
      </c>
      <c r="C182" s="338" t="s">
        <v>88</v>
      </c>
      <c r="D182" s="171">
        <f>[2]ASB!DF31</f>
        <v>92</v>
      </c>
      <c r="E182" s="171">
        <f>[2]ASB!DG31</f>
        <v>100</v>
      </c>
      <c r="F182" s="171">
        <f>[2]ASB!DH31</f>
        <v>79</v>
      </c>
      <c r="G182" s="171">
        <f>[2]ASB!DI31</f>
        <v>67</v>
      </c>
      <c r="H182" s="171">
        <f>[2]ASB!DJ31</f>
        <v>67</v>
      </c>
      <c r="I182" s="171">
        <f>[2]ASB!DK31</f>
        <v>45</v>
      </c>
      <c r="J182" s="171">
        <f>[2]ASB!DL31</f>
        <v>39</v>
      </c>
      <c r="K182" s="171">
        <f>[2]ASB!DM31</f>
        <v>37</v>
      </c>
      <c r="L182" s="171">
        <f>[2]ASB!DN31</f>
        <v>33</v>
      </c>
      <c r="M182" s="171">
        <f>[2]ASB!DO31</f>
        <v>37</v>
      </c>
      <c r="N182" s="171">
        <f>[2]ASB!DP31</f>
        <v>50</v>
      </c>
      <c r="O182" s="171">
        <f>[2]ASB!DQ31</f>
        <v>48</v>
      </c>
      <c r="P182" s="187"/>
      <c r="Q182" s="468">
        <v>181</v>
      </c>
      <c r="R182" s="339" t="s">
        <v>88</v>
      </c>
      <c r="S182" s="176">
        <f t="shared" si="192"/>
        <v>92</v>
      </c>
      <c r="T182" s="176">
        <f t="shared" si="193"/>
        <v>192</v>
      </c>
      <c r="U182" s="176">
        <f t="shared" si="194"/>
        <v>271</v>
      </c>
      <c r="V182" s="176">
        <f t="shared" si="195"/>
        <v>338</v>
      </c>
      <c r="W182" s="176">
        <f t="shared" si="196"/>
        <v>405</v>
      </c>
      <c r="X182" s="176">
        <f t="shared" si="197"/>
        <v>450</v>
      </c>
      <c r="Y182" s="176">
        <f t="shared" si="198"/>
        <v>489</v>
      </c>
      <c r="Z182" s="176">
        <f t="shared" si="199"/>
        <v>526</v>
      </c>
      <c r="AA182" s="176">
        <f t="shared" si="200"/>
        <v>559</v>
      </c>
      <c r="AB182" s="176">
        <f t="shared" si="201"/>
        <v>596</v>
      </c>
      <c r="AC182" s="176">
        <f t="shared" si="202"/>
        <v>646</v>
      </c>
      <c r="AD182" s="461">
        <f t="shared" si="203"/>
        <v>694</v>
      </c>
      <c r="AE182" s="468">
        <v>181</v>
      </c>
      <c r="AF182" s="163">
        <f t="shared" si="170"/>
        <v>694</v>
      </c>
    </row>
    <row r="183" spans="1:32" x14ac:dyDescent="0.35">
      <c r="B183" s="420">
        <v>182</v>
      </c>
      <c r="C183" s="338" t="s">
        <v>87</v>
      </c>
      <c r="D183" s="171">
        <f>[2]ASB!DF32</f>
        <v>13</v>
      </c>
      <c r="E183" s="171">
        <f>[2]ASB!DG32</f>
        <v>13</v>
      </c>
      <c r="F183" s="171">
        <f>[2]ASB!DH32</f>
        <v>5</v>
      </c>
      <c r="G183" s="171">
        <f>[2]ASB!DI32</f>
        <v>10</v>
      </c>
      <c r="H183" s="171">
        <f>[2]ASB!DJ32</f>
        <v>9</v>
      </c>
      <c r="I183" s="171">
        <f>[2]ASB!DK32</f>
        <v>4</v>
      </c>
      <c r="J183" s="171">
        <f>[2]ASB!DL32</f>
        <v>5</v>
      </c>
      <c r="K183" s="171">
        <f>[2]ASB!DM32</f>
        <v>6</v>
      </c>
      <c r="L183" s="171">
        <f>[2]ASB!DN32</f>
        <v>5</v>
      </c>
      <c r="M183" s="171">
        <f>[2]ASB!DO32</f>
        <v>9</v>
      </c>
      <c r="N183" s="171">
        <f>[2]ASB!DP32</f>
        <v>6</v>
      </c>
      <c r="O183" s="171">
        <f>[2]ASB!DQ32</f>
        <v>13</v>
      </c>
      <c r="P183" s="187"/>
      <c r="Q183" s="468">
        <v>182</v>
      </c>
      <c r="R183" s="339" t="s">
        <v>87</v>
      </c>
      <c r="S183" s="176">
        <f t="shared" si="192"/>
        <v>13</v>
      </c>
      <c r="T183" s="176">
        <f t="shared" si="193"/>
        <v>26</v>
      </c>
      <c r="U183" s="176">
        <f t="shared" si="194"/>
        <v>31</v>
      </c>
      <c r="V183" s="176">
        <f t="shared" si="195"/>
        <v>41</v>
      </c>
      <c r="W183" s="176">
        <f t="shared" si="196"/>
        <v>50</v>
      </c>
      <c r="X183" s="176">
        <f t="shared" si="197"/>
        <v>54</v>
      </c>
      <c r="Y183" s="176">
        <f t="shared" si="198"/>
        <v>59</v>
      </c>
      <c r="Z183" s="176">
        <f t="shared" si="199"/>
        <v>65</v>
      </c>
      <c r="AA183" s="176">
        <f t="shared" si="200"/>
        <v>70</v>
      </c>
      <c r="AB183" s="176">
        <f t="shared" si="201"/>
        <v>79</v>
      </c>
      <c r="AC183" s="176">
        <f t="shared" si="202"/>
        <v>85</v>
      </c>
      <c r="AD183" s="461">
        <f t="shared" si="203"/>
        <v>98</v>
      </c>
      <c r="AE183" s="470">
        <v>182</v>
      </c>
      <c r="AF183" s="163">
        <f t="shared" si="170"/>
        <v>98</v>
      </c>
    </row>
    <row r="184" spans="1:32" x14ac:dyDescent="0.35">
      <c r="B184" s="421">
        <v>183</v>
      </c>
      <c r="C184" s="336" t="s">
        <v>90</v>
      </c>
      <c r="D184" s="754">
        <f>[2]DSF!EG6</f>
        <v>5</v>
      </c>
      <c r="E184" s="754">
        <f>[2]DSF!EH6</f>
        <v>8</v>
      </c>
      <c r="F184" s="754">
        <f>[2]DSF!EI6</f>
        <v>2</v>
      </c>
      <c r="G184" s="754">
        <f>[2]DSF!EJ6</f>
        <v>2</v>
      </c>
      <c r="H184" s="754">
        <f>[2]DSF!EK6</f>
        <v>3</v>
      </c>
      <c r="I184" s="754">
        <f>[2]DSF!EL6</f>
        <v>1</v>
      </c>
      <c r="J184" s="754">
        <f>[2]DSF!EM6</f>
        <v>0</v>
      </c>
      <c r="K184" s="754">
        <f>[2]DSF!EN6</f>
        <v>1</v>
      </c>
      <c r="L184" s="754">
        <f>[2]DSF!EO6</f>
        <v>5</v>
      </c>
      <c r="M184" s="754">
        <f>[2]DSF!EP6</f>
        <v>3</v>
      </c>
      <c r="N184" s="754">
        <f>[2]DSF!EQ6</f>
        <v>1</v>
      </c>
      <c r="O184" s="754">
        <f>[2]DSF!ER6</f>
        <v>3</v>
      </c>
      <c r="P184" s="187"/>
      <c r="Q184" s="468">
        <v>183</v>
      </c>
      <c r="R184" s="339" t="s">
        <v>90</v>
      </c>
      <c r="S184" s="176">
        <f t="shared" si="192"/>
        <v>5</v>
      </c>
      <c r="T184" s="176">
        <f t="shared" si="193"/>
        <v>13</v>
      </c>
      <c r="U184" s="176">
        <f t="shared" si="194"/>
        <v>15</v>
      </c>
      <c r="V184" s="176">
        <f t="shared" si="195"/>
        <v>17</v>
      </c>
      <c r="W184" s="176">
        <f t="shared" si="196"/>
        <v>20</v>
      </c>
      <c r="X184" s="176">
        <f t="shared" si="197"/>
        <v>21</v>
      </c>
      <c r="Y184" s="176">
        <f t="shared" si="198"/>
        <v>21</v>
      </c>
      <c r="Z184" s="176">
        <f t="shared" si="199"/>
        <v>22</v>
      </c>
      <c r="AA184" s="176">
        <f t="shared" si="200"/>
        <v>27</v>
      </c>
      <c r="AB184" s="176">
        <f t="shared" si="201"/>
        <v>30</v>
      </c>
      <c r="AC184" s="176">
        <f t="shared" si="202"/>
        <v>31</v>
      </c>
      <c r="AD184" s="461">
        <f t="shared" si="203"/>
        <v>34</v>
      </c>
      <c r="AE184" s="468">
        <v>183</v>
      </c>
      <c r="AF184" s="163">
        <f t="shared" si="170"/>
        <v>34</v>
      </c>
    </row>
    <row r="185" spans="1:32" x14ac:dyDescent="0.35">
      <c r="A185" s="162" t="s">
        <v>128</v>
      </c>
      <c r="B185" s="420">
        <v>184</v>
      </c>
      <c r="C185" s="336" t="s">
        <v>89</v>
      </c>
      <c r="D185" s="286">
        <f>SUM(D186:D187)</f>
        <v>2</v>
      </c>
      <c r="E185" s="286">
        <f t="shared" ref="E185:O185" si="204">SUM(E186:E187)</f>
        <v>2</v>
      </c>
      <c r="F185" s="286">
        <f t="shared" si="204"/>
        <v>7</v>
      </c>
      <c r="G185" s="286">
        <f t="shared" si="204"/>
        <v>7</v>
      </c>
      <c r="H185" s="286">
        <f t="shared" si="204"/>
        <v>5</v>
      </c>
      <c r="I185" s="286">
        <f t="shared" si="204"/>
        <v>6</v>
      </c>
      <c r="J185" s="286">
        <f t="shared" si="204"/>
        <v>6</v>
      </c>
      <c r="K185" s="286">
        <f t="shared" si="204"/>
        <v>6</v>
      </c>
      <c r="L185" s="286">
        <f t="shared" si="204"/>
        <v>4</v>
      </c>
      <c r="M185" s="286">
        <f t="shared" si="204"/>
        <v>6</v>
      </c>
      <c r="N185" s="286">
        <f t="shared" si="204"/>
        <v>6</v>
      </c>
      <c r="O185" s="286">
        <f t="shared" si="204"/>
        <v>4</v>
      </c>
      <c r="P185" s="181"/>
      <c r="Q185" s="468">
        <v>184</v>
      </c>
      <c r="R185" s="339" t="s">
        <v>89</v>
      </c>
      <c r="S185" s="176">
        <f t="shared" si="192"/>
        <v>2</v>
      </c>
      <c r="T185" s="176">
        <f t="shared" si="193"/>
        <v>4</v>
      </c>
      <c r="U185" s="176">
        <f t="shared" si="194"/>
        <v>11</v>
      </c>
      <c r="V185" s="176">
        <f t="shared" si="195"/>
        <v>18</v>
      </c>
      <c r="W185" s="176">
        <f t="shared" si="196"/>
        <v>23</v>
      </c>
      <c r="X185" s="176">
        <f t="shared" si="197"/>
        <v>29</v>
      </c>
      <c r="Y185" s="176">
        <f t="shared" si="198"/>
        <v>35</v>
      </c>
      <c r="Z185" s="176">
        <f t="shared" si="199"/>
        <v>41</v>
      </c>
      <c r="AA185" s="176">
        <f t="shared" si="200"/>
        <v>45</v>
      </c>
      <c r="AB185" s="176">
        <f t="shared" si="201"/>
        <v>51</v>
      </c>
      <c r="AC185" s="176">
        <f t="shared" si="202"/>
        <v>57</v>
      </c>
      <c r="AD185" s="461">
        <f t="shared" si="203"/>
        <v>61</v>
      </c>
      <c r="AE185" s="468">
        <v>184</v>
      </c>
      <c r="AF185" s="163">
        <f t="shared" ref="AF185:AF218" si="205">SUM(D185:O185)</f>
        <v>61</v>
      </c>
    </row>
    <row r="186" spans="1:32" x14ac:dyDescent="0.35">
      <c r="B186" s="420">
        <v>185</v>
      </c>
      <c r="C186" s="336" t="s">
        <v>66</v>
      </c>
      <c r="D186" s="440">
        <f>[2]KSI!DG8</f>
        <v>0</v>
      </c>
      <c r="E186" s="440">
        <f>[2]KSI!DH8</f>
        <v>0</v>
      </c>
      <c r="F186" s="440">
        <f>[2]KSI!DI8</f>
        <v>0</v>
      </c>
      <c r="G186" s="440">
        <f>[2]KSI!DJ8</f>
        <v>1</v>
      </c>
      <c r="H186" s="440">
        <f>[2]KSI!DK8</f>
        <v>2</v>
      </c>
      <c r="I186" s="440">
        <f>[2]KSI!DL8</f>
        <v>0</v>
      </c>
      <c r="J186" s="440">
        <f>[2]KSI!DM8</f>
        <v>0</v>
      </c>
      <c r="K186" s="440">
        <f>[2]KSI!DN8</f>
        <v>1</v>
      </c>
      <c r="L186" s="440">
        <f>[2]KSI!DO8</f>
        <v>0</v>
      </c>
      <c r="M186" s="440">
        <f>[2]KSI!DP8</f>
        <v>0</v>
      </c>
      <c r="N186" s="440">
        <f>[2]KSI!DQ8</f>
        <v>0</v>
      </c>
      <c r="O186" s="440">
        <f>[2]KSI!DR8</f>
        <v>0</v>
      </c>
      <c r="P186" s="181"/>
      <c r="Q186" s="468">
        <v>185</v>
      </c>
      <c r="R186" s="339" t="s">
        <v>66</v>
      </c>
      <c r="S186" s="176">
        <f t="shared" si="192"/>
        <v>0</v>
      </c>
      <c r="T186" s="176">
        <f t="shared" si="193"/>
        <v>0</v>
      </c>
      <c r="U186" s="176">
        <f t="shared" si="194"/>
        <v>0</v>
      </c>
      <c r="V186" s="176">
        <f t="shared" si="195"/>
        <v>1</v>
      </c>
      <c r="W186" s="176">
        <f t="shared" si="196"/>
        <v>3</v>
      </c>
      <c r="X186" s="176">
        <f t="shared" si="197"/>
        <v>3</v>
      </c>
      <c r="Y186" s="176">
        <f t="shared" si="198"/>
        <v>3</v>
      </c>
      <c r="Z186" s="176">
        <f t="shared" si="199"/>
        <v>4</v>
      </c>
      <c r="AA186" s="176">
        <f t="shared" si="200"/>
        <v>4</v>
      </c>
      <c r="AB186" s="176">
        <f t="shared" si="201"/>
        <v>4</v>
      </c>
      <c r="AC186" s="176">
        <f t="shared" si="202"/>
        <v>4</v>
      </c>
      <c r="AD186" s="461">
        <f t="shared" si="203"/>
        <v>4</v>
      </c>
      <c r="AE186" s="468">
        <v>185</v>
      </c>
      <c r="AF186" s="163">
        <f t="shared" si="205"/>
        <v>4</v>
      </c>
    </row>
    <row r="187" spans="1:32" x14ac:dyDescent="0.35">
      <c r="B187" s="420">
        <v>186</v>
      </c>
      <c r="C187" s="336" t="s">
        <v>67</v>
      </c>
      <c r="D187" s="440">
        <f>[2]KSI!DG9</f>
        <v>2</v>
      </c>
      <c r="E187" s="440">
        <f>[2]KSI!DH9</f>
        <v>2</v>
      </c>
      <c r="F187" s="440">
        <f>[2]KSI!DI9</f>
        <v>7</v>
      </c>
      <c r="G187" s="440">
        <f>[2]KSI!DJ9</f>
        <v>6</v>
      </c>
      <c r="H187" s="440">
        <f>[2]KSI!DK9</f>
        <v>3</v>
      </c>
      <c r="I187" s="440">
        <f>[2]KSI!DL9</f>
        <v>6</v>
      </c>
      <c r="J187" s="440">
        <f>[2]KSI!DM9</f>
        <v>6</v>
      </c>
      <c r="K187" s="440">
        <f>[2]KSI!DN9</f>
        <v>5</v>
      </c>
      <c r="L187" s="440">
        <f>[2]KSI!DO9</f>
        <v>4</v>
      </c>
      <c r="M187" s="440">
        <f>[2]KSI!DP9</f>
        <v>6</v>
      </c>
      <c r="N187" s="440">
        <f>[2]KSI!DQ9</f>
        <v>6</v>
      </c>
      <c r="O187" s="440">
        <f>[2]KSI!DR9</f>
        <v>4</v>
      </c>
      <c r="P187" s="181"/>
      <c r="Q187" s="468">
        <v>186</v>
      </c>
      <c r="R187" s="339" t="s">
        <v>67</v>
      </c>
      <c r="S187" s="176">
        <f t="shared" si="192"/>
        <v>2</v>
      </c>
      <c r="T187" s="176">
        <f t="shared" si="193"/>
        <v>4</v>
      </c>
      <c r="U187" s="176">
        <f t="shared" si="194"/>
        <v>11</v>
      </c>
      <c r="V187" s="176">
        <f t="shared" si="195"/>
        <v>17</v>
      </c>
      <c r="W187" s="176">
        <f t="shared" si="196"/>
        <v>20</v>
      </c>
      <c r="X187" s="176">
        <f t="shared" si="197"/>
        <v>26</v>
      </c>
      <c r="Y187" s="176">
        <f t="shared" si="198"/>
        <v>32</v>
      </c>
      <c r="Z187" s="176">
        <f t="shared" si="199"/>
        <v>37</v>
      </c>
      <c r="AA187" s="176">
        <f t="shared" si="200"/>
        <v>41</v>
      </c>
      <c r="AB187" s="176">
        <f t="shared" si="201"/>
        <v>47</v>
      </c>
      <c r="AC187" s="176">
        <f t="shared" si="202"/>
        <v>53</v>
      </c>
      <c r="AD187" s="461">
        <f t="shared" si="203"/>
        <v>57</v>
      </c>
      <c r="AE187" s="468">
        <v>186</v>
      </c>
      <c r="AF187" s="163">
        <f t="shared" si="205"/>
        <v>57</v>
      </c>
    </row>
    <row r="188" spans="1:32" ht="23" x14ac:dyDescent="0.5">
      <c r="B188" s="420">
        <v>187</v>
      </c>
      <c r="C188" s="341" t="s">
        <v>60</v>
      </c>
      <c r="D188" s="172"/>
      <c r="E188" s="172"/>
      <c r="F188" s="172"/>
      <c r="G188" s="172"/>
      <c r="H188" s="172"/>
      <c r="I188" s="172"/>
      <c r="J188" s="172"/>
      <c r="K188" s="172"/>
      <c r="L188" s="172"/>
      <c r="M188" s="172"/>
      <c r="N188" s="172"/>
      <c r="O188" s="172"/>
      <c r="P188" s="182"/>
      <c r="Q188" s="468">
        <v>187</v>
      </c>
      <c r="R188" s="341" t="s">
        <v>60</v>
      </c>
      <c r="S188" s="176"/>
      <c r="T188" s="176"/>
      <c r="U188" s="176"/>
      <c r="V188" s="176"/>
      <c r="W188" s="176"/>
      <c r="X188" s="176"/>
      <c r="Y188" s="176"/>
      <c r="Z188" s="176"/>
      <c r="AA188" s="176"/>
      <c r="AB188" s="176"/>
      <c r="AC188" s="176"/>
      <c r="AD188" s="461"/>
      <c r="AE188" s="470">
        <v>187</v>
      </c>
      <c r="AF188" s="163">
        <f t="shared" si="205"/>
        <v>0</v>
      </c>
    </row>
    <row r="189" spans="1:32" x14ac:dyDescent="0.35">
      <c r="B189" s="421">
        <v>188</v>
      </c>
      <c r="C189" s="342" t="s">
        <v>56</v>
      </c>
      <c r="D189" s="168">
        <v>45017</v>
      </c>
      <c r="E189" s="168">
        <v>45047</v>
      </c>
      <c r="F189" s="168">
        <v>45078</v>
      </c>
      <c r="G189" s="168">
        <v>45108</v>
      </c>
      <c r="H189" s="168">
        <v>45139</v>
      </c>
      <c r="I189" s="168">
        <v>45170</v>
      </c>
      <c r="J189" s="168">
        <v>45200</v>
      </c>
      <c r="K189" s="168">
        <v>45231</v>
      </c>
      <c r="L189" s="168">
        <v>45261</v>
      </c>
      <c r="M189" s="168">
        <v>45292</v>
      </c>
      <c r="N189" s="168">
        <v>45323</v>
      </c>
      <c r="O189" s="168">
        <v>45352</v>
      </c>
      <c r="P189" s="168"/>
      <c r="Q189" s="468">
        <v>188</v>
      </c>
      <c r="R189" s="344" t="s">
        <v>56</v>
      </c>
      <c r="S189" s="168">
        <v>45017</v>
      </c>
      <c r="T189" s="168">
        <v>45047</v>
      </c>
      <c r="U189" s="168">
        <v>45078</v>
      </c>
      <c r="V189" s="168">
        <v>45108</v>
      </c>
      <c r="W189" s="168">
        <v>45139</v>
      </c>
      <c r="X189" s="168">
        <v>45170</v>
      </c>
      <c r="Y189" s="168">
        <v>45200</v>
      </c>
      <c r="Z189" s="168">
        <v>45231</v>
      </c>
      <c r="AA189" s="168">
        <v>45261</v>
      </c>
      <c r="AB189" s="168">
        <v>45292</v>
      </c>
      <c r="AC189" s="168">
        <v>45323</v>
      </c>
      <c r="AD189" s="168">
        <v>45352</v>
      </c>
      <c r="AE189" s="468">
        <v>188</v>
      </c>
      <c r="AF189" s="163">
        <f t="shared" si="205"/>
        <v>542218</v>
      </c>
    </row>
    <row r="190" spans="1:32" x14ac:dyDescent="0.35">
      <c r="B190" s="420">
        <v>189</v>
      </c>
      <c r="C190" s="342" t="s">
        <v>33</v>
      </c>
      <c r="D190" s="194">
        <f>[2]Districts_Boroughs!DF152</f>
        <v>692</v>
      </c>
      <c r="E190" s="194">
        <f>[2]Districts_Boroughs!DG152</f>
        <v>658</v>
      </c>
      <c r="F190" s="194">
        <f>[2]Districts_Boroughs!DH152</f>
        <v>726</v>
      </c>
      <c r="G190" s="194">
        <f>[2]Districts_Boroughs!DI152</f>
        <v>681</v>
      </c>
      <c r="H190" s="194">
        <f>[2]Districts_Boroughs!DJ152</f>
        <v>644</v>
      </c>
      <c r="I190" s="194">
        <f>[2]Districts_Boroughs!DK152</f>
        <v>646</v>
      </c>
      <c r="J190" s="194">
        <f>[2]Districts_Boroughs!DL152</f>
        <v>667</v>
      </c>
      <c r="K190" s="194">
        <f>[2]Districts_Boroughs!DM152</f>
        <v>655</v>
      </c>
      <c r="L190" s="194">
        <f>[2]Districts_Boroughs!DN152</f>
        <v>613</v>
      </c>
      <c r="M190" s="194">
        <f>[2]Districts_Boroughs!DO152</f>
        <v>623</v>
      </c>
      <c r="N190" s="194">
        <f>[2]Districts_Boroughs!DP152</f>
        <v>595</v>
      </c>
      <c r="O190" s="194">
        <f>[2]Districts_Boroughs!DQ152</f>
        <v>599</v>
      </c>
      <c r="P190" s="178"/>
      <c r="Q190" s="468">
        <v>189</v>
      </c>
      <c r="R190" s="344" t="s">
        <v>33</v>
      </c>
      <c r="S190" s="176">
        <f t="shared" ref="S190:S204" si="206">D190</f>
        <v>692</v>
      </c>
      <c r="T190" s="176">
        <f t="shared" ref="T190:T204" si="207">S190+E190</f>
        <v>1350</v>
      </c>
      <c r="U190" s="176">
        <f t="shared" ref="U190:U204" si="208">T190+F190</f>
        <v>2076</v>
      </c>
      <c r="V190" s="176">
        <f t="shared" ref="V190:V204" si="209">U190+G190</f>
        <v>2757</v>
      </c>
      <c r="W190" s="176">
        <f t="shared" ref="W190:W204" si="210">V190+H190</f>
        <v>3401</v>
      </c>
      <c r="X190" s="176">
        <f t="shared" ref="X190:X204" si="211">W190+I190</f>
        <v>4047</v>
      </c>
      <c r="Y190" s="176">
        <f t="shared" ref="Y190:Y204" si="212">X190+J190</f>
        <v>4714</v>
      </c>
      <c r="Z190" s="176">
        <f t="shared" ref="Z190:Z204" si="213">Y190+K190</f>
        <v>5369</v>
      </c>
      <c r="AA190" s="176">
        <f t="shared" ref="AA190:AA204" si="214">Z190+L190</f>
        <v>5982</v>
      </c>
      <c r="AB190" s="176">
        <f t="shared" ref="AB190:AB204" si="215">AA190+M190</f>
        <v>6605</v>
      </c>
      <c r="AC190" s="176">
        <f t="shared" ref="AC190:AC204" si="216">AB190+N190</f>
        <v>7200</v>
      </c>
      <c r="AD190" s="461">
        <f t="shared" ref="AD190:AD204" si="217">AC190+O190</f>
        <v>7799</v>
      </c>
      <c r="AE190" s="468">
        <v>189</v>
      </c>
      <c r="AF190" s="163">
        <f t="shared" si="205"/>
        <v>7799</v>
      </c>
    </row>
    <row r="191" spans="1:32" x14ac:dyDescent="0.35">
      <c r="B191" s="420">
        <v>190</v>
      </c>
      <c r="C191" s="342" t="s">
        <v>39</v>
      </c>
      <c r="D191" s="194">
        <f>[2]Districts_Boroughs!DF154</f>
        <v>77</v>
      </c>
      <c r="E191" s="194">
        <f>[2]Districts_Boroughs!DG154</f>
        <v>74</v>
      </c>
      <c r="F191" s="194">
        <f>[2]Districts_Boroughs!DH154</f>
        <v>97</v>
      </c>
      <c r="G191" s="194">
        <f>[2]Districts_Boroughs!DI154</f>
        <v>81</v>
      </c>
      <c r="H191" s="194">
        <f>[2]Districts_Boroughs!DJ154</f>
        <v>79</v>
      </c>
      <c r="I191" s="194">
        <f>[2]Districts_Boroughs!DK154</f>
        <v>70</v>
      </c>
      <c r="J191" s="194">
        <f>[2]Districts_Boroughs!DL154</f>
        <v>72</v>
      </c>
      <c r="K191" s="194">
        <f>[2]Districts_Boroughs!DM154</f>
        <v>70</v>
      </c>
      <c r="L191" s="194">
        <f>[2]Districts_Boroughs!DN154</f>
        <v>69</v>
      </c>
      <c r="M191" s="194">
        <f>[2]Districts_Boroughs!DO154</f>
        <v>58</v>
      </c>
      <c r="N191" s="194">
        <f>[2]Districts_Boroughs!DP154</f>
        <v>83</v>
      </c>
      <c r="O191" s="194">
        <f>[2]Districts_Boroughs!DQ154</f>
        <v>69</v>
      </c>
      <c r="P191" s="178"/>
      <c r="Q191" s="468">
        <v>190</v>
      </c>
      <c r="R191" s="344" t="s">
        <v>39</v>
      </c>
      <c r="S191" s="176">
        <f t="shared" si="206"/>
        <v>77</v>
      </c>
      <c r="T191" s="176">
        <f t="shared" si="207"/>
        <v>151</v>
      </c>
      <c r="U191" s="176">
        <f t="shared" si="208"/>
        <v>248</v>
      </c>
      <c r="V191" s="176">
        <f t="shared" si="209"/>
        <v>329</v>
      </c>
      <c r="W191" s="176">
        <f t="shared" si="210"/>
        <v>408</v>
      </c>
      <c r="X191" s="176">
        <f t="shared" si="211"/>
        <v>478</v>
      </c>
      <c r="Y191" s="176">
        <f t="shared" si="212"/>
        <v>550</v>
      </c>
      <c r="Z191" s="176">
        <f t="shared" si="213"/>
        <v>620</v>
      </c>
      <c r="AA191" s="176">
        <f t="shared" si="214"/>
        <v>689</v>
      </c>
      <c r="AB191" s="176">
        <f t="shared" si="215"/>
        <v>747</v>
      </c>
      <c r="AC191" s="176">
        <f t="shared" si="216"/>
        <v>830</v>
      </c>
      <c r="AD191" s="461">
        <f t="shared" si="217"/>
        <v>899</v>
      </c>
      <c r="AE191" s="470">
        <v>190</v>
      </c>
      <c r="AF191" s="163">
        <f t="shared" si="205"/>
        <v>899</v>
      </c>
    </row>
    <row r="192" spans="1:32" x14ac:dyDescent="0.35">
      <c r="B192" s="420">
        <v>191</v>
      </c>
      <c r="C192" s="342" t="s">
        <v>40</v>
      </c>
      <c r="D192" s="194">
        <f>[2]Districts_Boroughs!DF155</f>
        <v>148</v>
      </c>
      <c r="E192" s="194">
        <f>[2]Districts_Boroughs!DG155</f>
        <v>125</v>
      </c>
      <c r="F192" s="194">
        <f>[2]Districts_Boroughs!DH155</f>
        <v>173</v>
      </c>
      <c r="G192" s="194">
        <f>[2]Districts_Boroughs!DI155</f>
        <v>145</v>
      </c>
      <c r="H192" s="194">
        <f>[2]Districts_Boroughs!DJ155</f>
        <v>148</v>
      </c>
      <c r="I192" s="194">
        <f>[2]Districts_Boroughs!DK155</f>
        <v>175</v>
      </c>
      <c r="J192" s="194">
        <f>[2]Districts_Boroughs!DL155</f>
        <v>172</v>
      </c>
      <c r="K192" s="194">
        <f>[2]Districts_Boroughs!DM155</f>
        <v>159</v>
      </c>
      <c r="L192" s="194">
        <f>[2]Districts_Boroughs!DN155</f>
        <v>162</v>
      </c>
      <c r="M192" s="194">
        <f>[2]Districts_Boroughs!DO155</f>
        <v>157</v>
      </c>
      <c r="N192" s="194">
        <f>[2]Districts_Boroughs!DP155</f>
        <v>157</v>
      </c>
      <c r="O192" s="194">
        <f>[2]Districts_Boroughs!DQ155</f>
        <v>143</v>
      </c>
      <c r="P192" s="178"/>
      <c r="Q192" s="468">
        <v>191</v>
      </c>
      <c r="R192" s="344" t="s">
        <v>40</v>
      </c>
      <c r="S192" s="176">
        <f t="shared" si="206"/>
        <v>148</v>
      </c>
      <c r="T192" s="176">
        <f t="shared" si="207"/>
        <v>273</v>
      </c>
      <c r="U192" s="176">
        <f t="shared" si="208"/>
        <v>446</v>
      </c>
      <c r="V192" s="176">
        <f t="shared" si="209"/>
        <v>591</v>
      </c>
      <c r="W192" s="176">
        <f t="shared" si="210"/>
        <v>739</v>
      </c>
      <c r="X192" s="176">
        <f t="shared" si="211"/>
        <v>914</v>
      </c>
      <c r="Y192" s="176">
        <f t="shared" si="212"/>
        <v>1086</v>
      </c>
      <c r="Z192" s="176">
        <f t="shared" si="213"/>
        <v>1245</v>
      </c>
      <c r="AA192" s="176">
        <f t="shared" si="214"/>
        <v>1407</v>
      </c>
      <c r="AB192" s="176">
        <f t="shared" si="215"/>
        <v>1564</v>
      </c>
      <c r="AC192" s="176">
        <f t="shared" si="216"/>
        <v>1721</v>
      </c>
      <c r="AD192" s="461">
        <f t="shared" si="217"/>
        <v>1864</v>
      </c>
      <c r="AE192" s="468">
        <v>191</v>
      </c>
      <c r="AF192" s="163">
        <f t="shared" si="205"/>
        <v>1864</v>
      </c>
    </row>
    <row r="193" spans="2:32" x14ac:dyDescent="0.35">
      <c r="B193" s="420">
        <v>192</v>
      </c>
      <c r="C193" s="342" t="s">
        <v>5</v>
      </c>
      <c r="D193" s="194">
        <f>[2]Districts_Boroughs!DF156</f>
        <v>4</v>
      </c>
      <c r="E193" s="194">
        <f>[2]Districts_Boroughs!DG156</f>
        <v>4</v>
      </c>
      <c r="F193" s="194">
        <f>[2]Districts_Boroughs!DH156</f>
        <v>8</v>
      </c>
      <c r="G193" s="194">
        <f>[2]Districts_Boroughs!DI156</f>
        <v>6</v>
      </c>
      <c r="H193" s="194">
        <f>[2]Districts_Boroughs!DJ156</f>
        <v>12</v>
      </c>
      <c r="I193" s="194">
        <f>[2]Districts_Boroughs!DK156</f>
        <v>13</v>
      </c>
      <c r="J193" s="194">
        <f>[2]Districts_Boroughs!DL156</f>
        <v>8</v>
      </c>
      <c r="K193" s="194">
        <f>[2]Districts_Boroughs!DM156</f>
        <v>12</v>
      </c>
      <c r="L193" s="194">
        <f>[2]Districts_Boroughs!DN156</f>
        <v>7</v>
      </c>
      <c r="M193" s="194">
        <f>[2]Districts_Boroughs!DO156</f>
        <v>8</v>
      </c>
      <c r="N193" s="194">
        <f>[2]Districts_Boroughs!DP156</f>
        <v>8</v>
      </c>
      <c r="O193" s="194">
        <f>[2]Districts_Boroughs!DQ156</f>
        <v>8</v>
      </c>
      <c r="P193" s="178"/>
      <c r="Q193" s="468">
        <v>192</v>
      </c>
      <c r="R193" s="344" t="s">
        <v>5</v>
      </c>
      <c r="S193" s="176">
        <f t="shared" si="206"/>
        <v>4</v>
      </c>
      <c r="T193" s="176">
        <f t="shared" si="207"/>
        <v>8</v>
      </c>
      <c r="U193" s="176">
        <f t="shared" si="208"/>
        <v>16</v>
      </c>
      <c r="V193" s="176">
        <f t="shared" si="209"/>
        <v>22</v>
      </c>
      <c r="W193" s="176">
        <f t="shared" si="210"/>
        <v>34</v>
      </c>
      <c r="X193" s="176">
        <f t="shared" si="211"/>
        <v>47</v>
      </c>
      <c r="Y193" s="176">
        <f t="shared" si="212"/>
        <v>55</v>
      </c>
      <c r="Z193" s="176">
        <f t="shared" si="213"/>
        <v>67</v>
      </c>
      <c r="AA193" s="176">
        <f t="shared" si="214"/>
        <v>74</v>
      </c>
      <c r="AB193" s="176">
        <f t="shared" si="215"/>
        <v>82</v>
      </c>
      <c r="AC193" s="176">
        <f t="shared" si="216"/>
        <v>90</v>
      </c>
      <c r="AD193" s="461">
        <f t="shared" si="217"/>
        <v>98</v>
      </c>
      <c r="AE193" s="468">
        <v>192</v>
      </c>
      <c r="AF193" s="163">
        <f t="shared" si="205"/>
        <v>98</v>
      </c>
    </row>
    <row r="194" spans="2:32" x14ac:dyDescent="0.35">
      <c r="B194" s="421">
        <v>193</v>
      </c>
      <c r="C194" s="342" t="s">
        <v>35</v>
      </c>
      <c r="D194" s="194">
        <f>[2]Districts_Boroughs!DF157</f>
        <v>14</v>
      </c>
      <c r="E194" s="194">
        <f>[2]Districts_Boroughs!DG157</f>
        <v>17</v>
      </c>
      <c r="F194" s="194">
        <f>[2]Districts_Boroughs!DH157</f>
        <v>15</v>
      </c>
      <c r="G194" s="194">
        <f>[2]Districts_Boroughs!DI157</f>
        <v>14</v>
      </c>
      <c r="H194" s="194">
        <f>[2]Districts_Boroughs!DJ157</f>
        <v>18</v>
      </c>
      <c r="I194" s="194">
        <f>[2]Districts_Boroughs!DK157</f>
        <v>20</v>
      </c>
      <c r="J194" s="194">
        <f>[2]Districts_Boroughs!DL157</f>
        <v>23</v>
      </c>
      <c r="K194" s="194">
        <f>[2]Districts_Boroughs!DM157</f>
        <v>19</v>
      </c>
      <c r="L194" s="194">
        <f>[2]Districts_Boroughs!DN157</f>
        <v>18</v>
      </c>
      <c r="M194" s="194">
        <f>[2]Districts_Boroughs!DO157</f>
        <v>15</v>
      </c>
      <c r="N194" s="194">
        <f>[2]Districts_Boroughs!DP157</f>
        <v>16</v>
      </c>
      <c r="O194" s="194">
        <f>[2]Districts_Boroughs!DQ157</f>
        <v>19</v>
      </c>
      <c r="P194" s="178"/>
      <c r="Q194" s="468">
        <v>193</v>
      </c>
      <c r="R194" s="344" t="s">
        <v>35</v>
      </c>
      <c r="S194" s="176">
        <f t="shared" si="206"/>
        <v>14</v>
      </c>
      <c r="T194" s="176">
        <f t="shared" si="207"/>
        <v>31</v>
      </c>
      <c r="U194" s="176">
        <f t="shared" si="208"/>
        <v>46</v>
      </c>
      <c r="V194" s="176">
        <f t="shared" si="209"/>
        <v>60</v>
      </c>
      <c r="W194" s="176">
        <f t="shared" si="210"/>
        <v>78</v>
      </c>
      <c r="X194" s="176">
        <f t="shared" si="211"/>
        <v>98</v>
      </c>
      <c r="Y194" s="176">
        <f t="shared" si="212"/>
        <v>121</v>
      </c>
      <c r="Z194" s="176">
        <f t="shared" si="213"/>
        <v>140</v>
      </c>
      <c r="AA194" s="176">
        <f t="shared" si="214"/>
        <v>158</v>
      </c>
      <c r="AB194" s="176">
        <f t="shared" si="215"/>
        <v>173</v>
      </c>
      <c r="AC194" s="176">
        <f t="shared" si="216"/>
        <v>189</v>
      </c>
      <c r="AD194" s="461">
        <f t="shared" si="217"/>
        <v>208</v>
      </c>
      <c r="AE194" s="468">
        <v>193</v>
      </c>
      <c r="AF194" s="163">
        <f t="shared" si="205"/>
        <v>208</v>
      </c>
    </row>
    <row r="195" spans="2:32" x14ac:dyDescent="0.35">
      <c r="B195" s="420">
        <v>194</v>
      </c>
      <c r="C195" s="342" t="s">
        <v>36</v>
      </c>
      <c r="D195" s="194">
        <f>[2]Districts_Boroughs!DF158</f>
        <v>1</v>
      </c>
      <c r="E195" s="194">
        <f>[2]Districts_Boroughs!DG158</f>
        <v>0</v>
      </c>
      <c r="F195" s="194">
        <f>[2]Districts_Boroughs!DH158</f>
        <v>1</v>
      </c>
      <c r="G195" s="194">
        <f>[2]Districts_Boroughs!DI158</f>
        <v>0</v>
      </c>
      <c r="H195" s="194">
        <f>[2]Districts_Boroughs!DJ158</f>
        <v>0</v>
      </c>
      <c r="I195" s="194">
        <f>[2]Districts_Boroughs!DK158</f>
        <v>0</v>
      </c>
      <c r="J195" s="194">
        <f>[2]Districts_Boroughs!DL158</f>
        <v>0</v>
      </c>
      <c r="K195" s="194">
        <f>[2]Districts_Boroughs!DM158</f>
        <v>1</v>
      </c>
      <c r="L195" s="194">
        <f>[2]Districts_Boroughs!DN158</f>
        <v>0</v>
      </c>
      <c r="M195" s="194">
        <f>[2]Districts_Boroughs!DO158</f>
        <v>0</v>
      </c>
      <c r="N195" s="194">
        <f>[2]Districts_Boroughs!DP158</f>
        <v>0</v>
      </c>
      <c r="O195" s="194">
        <f>[2]Districts_Boroughs!DQ158</f>
        <v>0</v>
      </c>
      <c r="P195" s="178"/>
      <c r="Q195" s="468">
        <v>194</v>
      </c>
      <c r="R195" s="344" t="s">
        <v>36</v>
      </c>
      <c r="S195" s="176">
        <f t="shared" si="206"/>
        <v>1</v>
      </c>
      <c r="T195" s="176">
        <f t="shared" si="207"/>
        <v>1</v>
      </c>
      <c r="U195" s="176">
        <f t="shared" si="208"/>
        <v>2</v>
      </c>
      <c r="V195" s="176">
        <f t="shared" si="209"/>
        <v>2</v>
      </c>
      <c r="W195" s="176">
        <f t="shared" si="210"/>
        <v>2</v>
      </c>
      <c r="X195" s="176">
        <f t="shared" si="211"/>
        <v>2</v>
      </c>
      <c r="Y195" s="176">
        <f t="shared" si="212"/>
        <v>2</v>
      </c>
      <c r="Z195" s="176">
        <f t="shared" si="213"/>
        <v>3</v>
      </c>
      <c r="AA195" s="176">
        <f t="shared" si="214"/>
        <v>3</v>
      </c>
      <c r="AB195" s="176">
        <f t="shared" si="215"/>
        <v>3</v>
      </c>
      <c r="AC195" s="176">
        <f t="shared" si="216"/>
        <v>3</v>
      </c>
      <c r="AD195" s="461">
        <f t="shared" si="217"/>
        <v>3</v>
      </c>
      <c r="AE195" s="468">
        <v>194</v>
      </c>
      <c r="AF195" s="163">
        <f t="shared" si="205"/>
        <v>3</v>
      </c>
    </row>
    <row r="196" spans="2:32" x14ac:dyDescent="0.35">
      <c r="B196" s="420">
        <v>195</v>
      </c>
      <c r="C196" s="342" t="s">
        <v>37</v>
      </c>
      <c r="D196" s="194">
        <f>[2]Districts_Boroughs!DF159</f>
        <v>4</v>
      </c>
      <c r="E196" s="194">
        <f>[2]Districts_Boroughs!DG159</f>
        <v>7</v>
      </c>
      <c r="F196" s="194">
        <f>[2]Districts_Boroughs!DH159</f>
        <v>4</v>
      </c>
      <c r="G196" s="194">
        <f>[2]Districts_Boroughs!DI159</f>
        <v>5</v>
      </c>
      <c r="H196" s="194">
        <f>[2]Districts_Boroughs!DJ159</f>
        <v>4</v>
      </c>
      <c r="I196" s="194">
        <f>[2]Districts_Boroughs!DK159</f>
        <v>5</v>
      </c>
      <c r="J196" s="194">
        <f>[2]Districts_Boroughs!DL159</f>
        <v>3</v>
      </c>
      <c r="K196" s="194">
        <f>[2]Districts_Boroughs!DM159</f>
        <v>1</v>
      </c>
      <c r="L196" s="194">
        <f>[2]Districts_Boroughs!DN159</f>
        <v>3</v>
      </c>
      <c r="M196" s="194">
        <f>[2]Districts_Boroughs!DO159</f>
        <v>3</v>
      </c>
      <c r="N196" s="194">
        <f>[2]Districts_Boroughs!DP159</f>
        <v>3</v>
      </c>
      <c r="O196" s="194">
        <f>[2]Districts_Boroughs!DQ159</f>
        <v>5</v>
      </c>
      <c r="P196" s="178"/>
      <c r="Q196" s="468">
        <v>195</v>
      </c>
      <c r="R196" s="344" t="s">
        <v>37</v>
      </c>
      <c r="S196" s="176">
        <f t="shared" si="206"/>
        <v>4</v>
      </c>
      <c r="T196" s="176">
        <f t="shared" si="207"/>
        <v>11</v>
      </c>
      <c r="U196" s="176">
        <f t="shared" si="208"/>
        <v>15</v>
      </c>
      <c r="V196" s="176">
        <f t="shared" si="209"/>
        <v>20</v>
      </c>
      <c r="W196" s="176">
        <f t="shared" si="210"/>
        <v>24</v>
      </c>
      <c r="X196" s="176">
        <f t="shared" si="211"/>
        <v>29</v>
      </c>
      <c r="Y196" s="176">
        <f t="shared" si="212"/>
        <v>32</v>
      </c>
      <c r="Z196" s="176">
        <f t="shared" si="213"/>
        <v>33</v>
      </c>
      <c r="AA196" s="176">
        <f t="shared" si="214"/>
        <v>36</v>
      </c>
      <c r="AB196" s="176">
        <f t="shared" si="215"/>
        <v>39</v>
      </c>
      <c r="AC196" s="176">
        <f t="shared" si="216"/>
        <v>42</v>
      </c>
      <c r="AD196" s="461">
        <f t="shared" si="217"/>
        <v>47</v>
      </c>
      <c r="AE196" s="470">
        <v>195</v>
      </c>
      <c r="AF196" s="163">
        <f t="shared" si="205"/>
        <v>47</v>
      </c>
    </row>
    <row r="197" spans="2:32" x14ac:dyDescent="0.35">
      <c r="B197" s="420">
        <v>196</v>
      </c>
      <c r="C197" s="343" t="s">
        <v>31</v>
      </c>
      <c r="D197" s="194">
        <f>[2]Districts_Boroughs!DF160</f>
        <v>44</v>
      </c>
      <c r="E197" s="194">
        <f>[2]Districts_Boroughs!DG160</f>
        <v>23</v>
      </c>
      <c r="F197" s="194">
        <f>[2]Districts_Boroughs!DH160</f>
        <v>38</v>
      </c>
      <c r="G197" s="194">
        <f>[2]Districts_Boroughs!DI160</f>
        <v>35</v>
      </c>
      <c r="H197" s="194">
        <f>[2]Districts_Boroughs!DJ160</f>
        <v>20</v>
      </c>
      <c r="I197" s="194">
        <f>[2]Districts_Boroughs!DK160</f>
        <v>26</v>
      </c>
      <c r="J197" s="194">
        <f>[2]Districts_Boroughs!DL160</f>
        <v>38</v>
      </c>
      <c r="K197" s="194">
        <f>[2]Districts_Boroughs!DM160</f>
        <v>41</v>
      </c>
      <c r="L197" s="194">
        <f>[2]Districts_Boroughs!DN160</f>
        <v>43</v>
      </c>
      <c r="M197" s="194">
        <f>[2]Districts_Boroughs!DO160</f>
        <v>34</v>
      </c>
      <c r="N197" s="194">
        <f>[2]Districts_Boroughs!DP160</f>
        <v>29</v>
      </c>
      <c r="O197" s="194">
        <f>[2]Districts_Boroughs!DQ160</f>
        <v>21</v>
      </c>
      <c r="P197" s="178"/>
      <c r="Q197" s="468">
        <v>196</v>
      </c>
      <c r="R197" s="345" t="s">
        <v>31</v>
      </c>
      <c r="S197" s="176">
        <f t="shared" si="206"/>
        <v>44</v>
      </c>
      <c r="T197" s="176">
        <f t="shared" si="207"/>
        <v>67</v>
      </c>
      <c r="U197" s="176">
        <f t="shared" si="208"/>
        <v>105</v>
      </c>
      <c r="V197" s="176">
        <f t="shared" si="209"/>
        <v>140</v>
      </c>
      <c r="W197" s="176">
        <f t="shared" si="210"/>
        <v>160</v>
      </c>
      <c r="X197" s="176">
        <f t="shared" si="211"/>
        <v>186</v>
      </c>
      <c r="Y197" s="176">
        <f t="shared" si="212"/>
        <v>224</v>
      </c>
      <c r="Z197" s="176">
        <f t="shared" si="213"/>
        <v>265</v>
      </c>
      <c r="AA197" s="176">
        <f t="shared" si="214"/>
        <v>308</v>
      </c>
      <c r="AB197" s="176">
        <f t="shared" si="215"/>
        <v>342</v>
      </c>
      <c r="AC197" s="176">
        <f t="shared" si="216"/>
        <v>371</v>
      </c>
      <c r="AD197" s="461">
        <f t="shared" si="217"/>
        <v>392</v>
      </c>
      <c r="AE197" s="468">
        <v>196</v>
      </c>
      <c r="AF197" s="163">
        <f t="shared" si="205"/>
        <v>392</v>
      </c>
    </row>
    <row r="198" spans="2:32" x14ac:dyDescent="0.35">
      <c r="B198" s="420">
        <v>197</v>
      </c>
      <c r="C198" s="343" t="s">
        <v>55</v>
      </c>
      <c r="D198" s="194">
        <f>[2]Districts_Boroughs!DF161</f>
        <v>19</v>
      </c>
      <c r="E198" s="194">
        <f>[2]Districts_Boroughs!DG161</f>
        <v>17</v>
      </c>
      <c r="F198" s="194">
        <f>[2]Districts_Boroughs!DH161</f>
        <v>13</v>
      </c>
      <c r="G198" s="194">
        <f>[2]Districts_Boroughs!DI161</f>
        <v>13</v>
      </c>
      <c r="H198" s="194">
        <f>[2]Districts_Boroughs!DJ161</f>
        <v>17</v>
      </c>
      <c r="I198" s="194">
        <f>[2]Districts_Boroughs!DK161</f>
        <v>26</v>
      </c>
      <c r="J198" s="194">
        <f>[2]Districts_Boroughs!DL161</f>
        <v>20</v>
      </c>
      <c r="K198" s="194">
        <f>[2]Districts_Boroughs!DM161</f>
        <v>16</v>
      </c>
      <c r="L198" s="194">
        <f>[2]Districts_Boroughs!DN161</f>
        <v>9</v>
      </c>
      <c r="M198" s="194">
        <f>[2]Districts_Boroughs!DO161</f>
        <v>15</v>
      </c>
      <c r="N198" s="194">
        <f>[2]Districts_Boroughs!DP161</f>
        <v>7</v>
      </c>
      <c r="O198" s="194">
        <f>[2]Districts_Boroughs!DQ161</f>
        <v>10</v>
      </c>
      <c r="P198" s="178"/>
      <c r="Q198" s="468">
        <v>197</v>
      </c>
      <c r="R198" s="345" t="s">
        <v>55</v>
      </c>
      <c r="S198" s="176">
        <f t="shared" si="206"/>
        <v>19</v>
      </c>
      <c r="T198" s="176">
        <f t="shared" si="207"/>
        <v>36</v>
      </c>
      <c r="U198" s="176">
        <f t="shared" si="208"/>
        <v>49</v>
      </c>
      <c r="V198" s="176">
        <f t="shared" si="209"/>
        <v>62</v>
      </c>
      <c r="W198" s="176">
        <f t="shared" si="210"/>
        <v>79</v>
      </c>
      <c r="X198" s="176">
        <f t="shared" si="211"/>
        <v>105</v>
      </c>
      <c r="Y198" s="176">
        <f t="shared" si="212"/>
        <v>125</v>
      </c>
      <c r="Z198" s="176">
        <f t="shared" si="213"/>
        <v>141</v>
      </c>
      <c r="AA198" s="176">
        <f t="shared" si="214"/>
        <v>150</v>
      </c>
      <c r="AB198" s="176">
        <f t="shared" si="215"/>
        <v>165</v>
      </c>
      <c r="AC198" s="176">
        <f t="shared" si="216"/>
        <v>172</v>
      </c>
      <c r="AD198" s="461">
        <f t="shared" si="217"/>
        <v>182</v>
      </c>
      <c r="AE198" s="468">
        <v>197</v>
      </c>
      <c r="AF198" s="163">
        <f t="shared" si="205"/>
        <v>182</v>
      </c>
    </row>
    <row r="199" spans="2:32" x14ac:dyDescent="0.35">
      <c r="B199" s="421">
        <v>198</v>
      </c>
      <c r="C199" s="342" t="s">
        <v>38</v>
      </c>
      <c r="D199" s="194">
        <f>[2]Districts_Boroughs!DF162</f>
        <v>104</v>
      </c>
      <c r="E199" s="194">
        <f>[2]Districts_Boroughs!DG162</f>
        <v>108</v>
      </c>
      <c r="F199" s="194">
        <f>[2]Districts_Boroughs!DH162</f>
        <v>79</v>
      </c>
      <c r="G199" s="194">
        <f>[2]Districts_Boroughs!DI162</f>
        <v>83</v>
      </c>
      <c r="H199" s="194">
        <f>[2]Districts_Boroughs!DJ162</f>
        <v>66</v>
      </c>
      <c r="I199" s="194">
        <f>[2]Districts_Boroughs!DK162</f>
        <v>61</v>
      </c>
      <c r="J199" s="194">
        <f>[2]Districts_Boroughs!DL162</f>
        <v>84</v>
      </c>
      <c r="K199" s="194">
        <f>[2]Districts_Boroughs!DM162</f>
        <v>78</v>
      </c>
      <c r="L199" s="194">
        <f>[2]Districts_Boroughs!DN162</f>
        <v>56</v>
      </c>
      <c r="M199" s="194">
        <f>[2]Districts_Boroughs!DO162</f>
        <v>72</v>
      </c>
      <c r="N199" s="194">
        <f>[2]Districts_Boroughs!DP162</f>
        <v>51</v>
      </c>
      <c r="O199" s="194">
        <f>[2]Districts_Boroughs!DQ162</f>
        <v>60</v>
      </c>
      <c r="P199" s="178"/>
      <c r="Q199" s="468">
        <v>198</v>
      </c>
      <c r="R199" s="344" t="s">
        <v>38</v>
      </c>
      <c r="S199" s="176">
        <f t="shared" si="206"/>
        <v>104</v>
      </c>
      <c r="T199" s="176">
        <f t="shared" si="207"/>
        <v>212</v>
      </c>
      <c r="U199" s="176">
        <f t="shared" si="208"/>
        <v>291</v>
      </c>
      <c r="V199" s="176">
        <f t="shared" si="209"/>
        <v>374</v>
      </c>
      <c r="W199" s="176">
        <f t="shared" si="210"/>
        <v>440</v>
      </c>
      <c r="X199" s="176">
        <f t="shared" si="211"/>
        <v>501</v>
      </c>
      <c r="Y199" s="176">
        <f t="shared" si="212"/>
        <v>585</v>
      </c>
      <c r="Z199" s="176">
        <f t="shared" si="213"/>
        <v>663</v>
      </c>
      <c r="AA199" s="176">
        <f t="shared" si="214"/>
        <v>719</v>
      </c>
      <c r="AB199" s="176">
        <f t="shared" si="215"/>
        <v>791</v>
      </c>
      <c r="AC199" s="176">
        <f t="shared" si="216"/>
        <v>842</v>
      </c>
      <c r="AD199" s="461">
        <f t="shared" si="217"/>
        <v>902</v>
      </c>
      <c r="AE199" s="470">
        <v>198</v>
      </c>
      <c r="AF199" s="163">
        <f t="shared" si="205"/>
        <v>902</v>
      </c>
    </row>
    <row r="200" spans="2:32" x14ac:dyDescent="0.35">
      <c r="B200" s="420">
        <v>199</v>
      </c>
      <c r="C200" s="342" t="s">
        <v>17</v>
      </c>
      <c r="D200" s="194">
        <f>[2]Districts_Boroughs!DF163</f>
        <v>43</v>
      </c>
      <c r="E200" s="194">
        <f>[2]Districts_Boroughs!DG163</f>
        <v>46</v>
      </c>
      <c r="F200" s="194">
        <f>[2]Districts_Boroughs!DH163</f>
        <v>38</v>
      </c>
      <c r="G200" s="194">
        <f>[2]Districts_Boroughs!DI163</f>
        <v>45</v>
      </c>
      <c r="H200" s="194">
        <f>[2]Districts_Boroughs!DJ163</f>
        <v>30</v>
      </c>
      <c r="I200" s="194">
        <f>[2]Districts_Boroughs!DK163</f>
        <v>37</v>
      </c>
      <c r="J200" s="194">
        <f>[2]Districts_Boroughs!DL163</f>
        <v>46</v>
      </c>
      <c r="K200" s="194">
        <f>[2]Districts_Boroughs!DM163</f>
        <v>45</v>
      </c>
      <c r="L200" s="194">
        <f>[2]Districts_Boroughs!DN163</f>
        <v>53</v>
      </c>
      <c r="M200" s="194">
        <f>[2]Districts_Boroughs!DO163</f>
        <v>52</v>
      </c>
      <c r="N200" s="194">
        <f>[2]Districts_Boroughs!DP163</f>
        <v>43</v>
      </c>
      <c r="O200" s="194">
        <f>[2]Districts_Boroughs!DQ163</f>
        <v>59</v>
      </c>
      <c r="P200" s="178"/>
      <c r="Q200" s="468">
        <v>199</v>
      </c>
      <c r="R200" s="344" t="s">
        <v>17</v>
      </c>
      <c r="S200" s="176">
        <f t="shared" si="206"/>
        <v>43</v>
      </c>
      <c r="T200" s="176">
        <f t="shared" si="207"/>
        <v>89</v>
      </c>
      <c r="U200" s="176">
        <f t="shared" si="208"/>
        <v>127</v>
      </c>
      <c r="V200" s="176">
        <f t="shared" si="209"/>
        <v>172</v>
      </c>
      <c r="W200" s="176">
        <f t="shared" si="210"/>
        <v>202</v>
      </c>
      <c r="X200" s="176">
        <f t="shared" si="211"/>
        <v>239</v>
      </c>
      <c r="Y200" s="176">
        <f t="shared" si="212"/>
        <v>285</v>
      </c>
      <c r="Z200" s="176">
        <f t="shared" si="213"/>
        <v>330</v>
      </c>
      <c r="AA200" s="176">
        <f t="shared" si="214"/>
        <v>383</v>
      </c>
      <c r="AB200" s="176">
        <f t="shared" si="215"/>
        <v>435</v>
      </c>
      <c r="AC200" s="176">
        <f t="shared" si="216"/>
        <v>478</v>
      </c>
      <c r="AD200" s="461">
        <f t="shared" si="217"/>
        <v>537</v>
      </c>
      <c r="AE200" s="468">
        <v>199</v>
      </c>
      <c r="AF200" s="163">
        <f t="shared" si="205"/>
        <v>537</v>
      </c>
    </row>
    <row r="201" spans="2:32" x14ac:dyDescent="0.35">
      <c r="B201" s="420">
        <v>200</v>
      </c>
      <c r="C201" s="342" t="s">
        <v>34</v>
      </c>
      <c r="D201" s="194">
        <f>[2]Districts_Boroughs!DF164</f>
        <v>58</v>
      </c>
      <c r="E201" s="194">
        <f>[2]Districts_Boroughs!DG164</f>
        <v>44</v>
      </c>
      <c r="F201" s="194">
        <f>[2]Districts_Boroughs!DH164</f>
        <v>62</v>
      </c>
      <c r="G201" s="194">
        <f>[2]Districts_Boroughs!DI164</f>
        <v>70</v>
      </c>
      <c r="H201" s="194">
        <f>[2]Districts_Boroughs!DJ164</f>
        <v>61</v>
      </c>
      <c r="I201" s="194">
        <f>[2]Districts_Boroughs!DK164</f>
        <v>58</v>
      </c>
      <c r="J201" s="194">
        <f>[2]Districts_Boroughs!DL164</f>
        <v>50</v>
      </c>
      <c r="K201" s="194">
        <f>[2]Districts_Boroughs!DM164</f>
        <v>44</v>
      </c>
      <c r="L201" s="194">
        <f>[2]Districts_Boroughs!DN164</f>
        <v>50</v>
      </c>
      <c r="M201" s="194">
        <f>[2]Districts_Boroughs!DO164</f>
        <v>47</v>
      </c>
      <c r="N201" s="194">
        <f>[2]Districts_Boroughs!DP164</f>
        <v>39</v>
      </c>
      <c r="O201" s="194">
        <f>[2]Districts_Boroughs!DQ164</f>
        <v>46</v>
      </c>
      <c r="P201" s="178"/>
      <c r="Q201" s="468">
        <v>200</v>
      </c>
      <c r="R201" s="344" t="s">
        <v>34</v>
      </c>
      <c r="S201" s="176">
        <f t="shared" si="206"/>
        <v>58</v>
      </c>
      <c r="T201" s="176">
        <f t="shared" si="207"/>
        <v>102</v>
      </c>
      <c r="U201" s="176">
        <f t="shared" si="208"/>
        <v>164</v>
      </c>
      <c r="V201" s="176">
        <f t="shared" si="209"/>
        <v>234</v>
      </c>
      <c r="W201" s="176">
        <f t="shared" si="210"/>
        <v>295</v>
      </c>
      <c r="X201" s="176">
        <f t="shared" si="211"/>
        <v>353</v>
      </c>
      <c r="Y201" s="176">
        <f t="shared" si="212"/>
        <v>403</v>
      </c>
      <c r="Z201" s="176">
        <f t="shared" si="213"/>
        <v>447</v>
      </c>
      <c r="AA201" s="176">
        <f t="shared" si="214"/>
        <v>497</v>
      </c>
      <c r="AB201" s="176">
        <f t="shared" si="215"/>
        <v>544</v>
      </c>
      <c r="AC201" s="176">
        <f t="shared" si="216"/>
        <v>583</v>
      </c>
      <c r="AD201" s="461">
        <f t="shared" si="217"/>
        <v>629</v>
      </c>
      <c r="AE201" s="468">
        <v>200</v>
      </c>
      <c r="AF201" s="163">
        <f t="shared" si="205"/>
        <v>629</v>
      </c>
    </row>
    <row r="202" spans="2:32" x14ac:dyDescent="0.35">
      <c r="B202" s="420">
        <v>201</v>
      </c>
      <c r="C202" s="342" t="s">
        <v>41</v>
      </c>
      <c r="D202" s="194">
        <f>[2]Districts_Boroughs!DF165</f>
        <v>5</v>
      </c>
      <c r="E202" s="194">
        <f>[2]Districts_Boroughs!DG165</f>
        <v>7</v>
      </c>
      <c r="F202" s="194">
        <f>[2]Districts_Boroughs!DH165</f>
        <v>5</v>
      </c>
      <c r="G202" s="194">
        <f>[2]Districts_Boroughs!DI165</f>
        <v>5</v>
      </c>
      <c r="H202" s="194">
        <f>[2]Districts_Boroughs!DJ165</f>
        <v>4</v>
      </c>
      <c r="I202" s="194">
        <f>[2]Districts_Boroughs!DK165</f>
        <v>5</v>
      </c>
      <c r="J202" s="194">
        <f>[2]Districts_Boroughs!DL165</f>
        <v>3</v>
      </c>
      <c r="K202" s="194">
        <f>[2]Districts_Boroughs!DM165</f>
        <v>2</v>
      </c>
      <c r="L202" s="194">
        <f>[2]Districts_Boroughs!DN165</f>
        <v>3</v>
      </c>
      <c r="M202" s="194">
        <f>[2]Districts_Boroughs!DO165</f>
        <v>3</v>
      </c>
      <c r="N202" s="194">
        <f>[2]Districts_Boroughs!DP165</f>
        <v>3</v>
      </c>
      <c r="O202" s="194">
        <f>[2]Districts_Boroughs!DQ165</f>
        <v>5</v>
      </c>
      <c r="P202" s="178"/>
      <c r="Q202" s="468">
        <v>201</v>
      </c>
      <c r="R202" s="344" t="s">
        <v>41</v>
      </c>
      <c r="S202" s="176">
        <f t="shared" si="206"/>
        <v>5</v>
      </c>
      <c r="T202" s="176">
        <f t="shared" si="207"/>
        <v>12</v>
      </c>
      <c r="U202" s="176">
        <f t="shared" si="208"/>
        <v>17</v>
      </c>
      <c r="V202" s="176">
        <f t="shared" si="209"/>
        <v>22</v>
      </c>
      <c r="W202" s="176">
        <f t="shared" si="210"/>
        <v>26</v>
      </c>
      <c r="X202" s="176">
        <f t="shared" si="211"/>
        <v>31</v>
      </c>
      <c r="Y202" s="176">
        <f t="shared" si="212"/>
        <v>34</v>
      </c>
      <c r="Z202" s="176">
        <f t="shared" si="213"/>
        <v>36</v>
      </c>
      <c r="AA202" s="176">
        <f t="shared" si="214"/>
        <v>39</v>
      </c>
      <c r="AB202" s="176">
        <f t="shared" si="215"/>
        <v>42</v>
      </c>
      <c r="AC202" s="176">
        <f t="shared" si="216"/>
        <v>45</v>
      </c>
      <c r="AD202" s="461">
        <f t="shared" si="217"/>
        <v>50</v>
      </c>
      <c r="AE202" s="468">
        <v>201</v>
      </c>
      <c r="AF202" s="163">
        <f t="shared" si="205"/>
        <v>50</v>
      </c>
    </row>
    <row r="203" spans="2:32" x14ac:dyDescent="0.35">
      <c r="B203" s="420">
        <v>202</v>
      </c>
      <c r="C203" s="342" t="s">
        <v>42</v>
      </c>
      <c r="D203" s="194">
        <f>[2]Districts_Boroughs!DF166</f>
        <v>243</v>
      </c>
      <c r="E203" s="194">
        <f>[2]Districts_Boroughs!DG166</f>
        <v>220</v>
      </c>
      <c r="F203" s="194">
        <f>[2]Districts_Boroughs!DH166</f>
        <v>293</v>
      </c>
      <c r="G203" s="194">
        <f>[2]Districts_Boroughs!DI166</f>
        <v>246</v>
      </c>
      <c r="H203" s="194">
        <f>[2]Districts_Boroughs!DJ166</f>
        <v>257</v>
      </c>
      <c r="I203" s="194">
        <f>[2]Districts_Boroughs!DK166</f>
        <v>278</v>
      </c>
      <c r="J203" s="194">
        <f>[2]Districts_Boroughs!DL166</f>
        <v>275</v>
      </c>
      <c r="K203" s="194">
        <f>[2]Districts_Boroughs!DM166</f>
        <v>260</v>
      </c>
      <c r="L203" s="194">
        <f>[2]Districts_Boroughs!DN166</f>
        <v>256</v>
      </c>
      <c r="M203" s="194">
        <f>[2]Districts_Boroughs!DO166</f>
        <v>238</v>
      </c>
      <c r="N203" s="194">
        <f>[2]Districts_Boroughs!DP166</f>
        <v>264</v>
      </c>
      <c r="O203" s="194">
        <f>[2]Districts_Boroughs!DQ166</f>
        <v>239</v>
      </c>
      <c r="P203" s="178"/>
      <c r="Q203" s="468">
        <v>202</v>
      </c>
      <c r="R203" s="344" t="s">
        <v>42</v>
      </c>
      <c r="S203" s="176">
        <f t="shared" si="206"/>
        <v>243</v>
      </c>
      <c r="T203" s="176">
        <f t="shared" si="207"/>
        <v>463</v>
      </c>
      <c r="U203" s="176">
        <f t="shared" si="208"/>
        <v>756</v>
      </c>
      <c r="V203" s="176">
        <f t="shared" si="209"/>
        <v>1002</v>
      </c>
      <c r="W203" s="176">
        <f t="shared" si="210"/>
        <v>1259</v>
      </c>
      <c r="X203" s="176">
        <f t="shared" si="211"/>
        <v>1537</v>
      </c>
      <c r="Y203" s="176">
        <f t="shared" si="212"/>
        <v>1812</v>
      </c>
      <c r="Z203" s="176">
        <f t="shared" si="213"/>
        <v>2072</v>
      </c>
      <c r="AA203" s="176">
        <f t="shared" si="214"/>
        <v>2328</v>
      </c>
      <c r="AB203" s="176">
        <f t="shared" si="215"/>
        <v>2566</v>
      </c>
      <c r="AC203" s="176">
        <f t="shared" si="216"/>
        <v>2830</v>
      </c>
      <c r="AD203" s="461">
        <f t="shared" si="217"/>
        <v>3069</v>
      </c>
      <c r="AE203" s="468">
        <v>202</v>
      </c>
      <c r="AF203" s="163">
        <f t="shared" si="205"/>
        <v>3069</v>
      </c>
    </row>
    <row r="204" spans="2:32" x14ac:dyDescent="0.35">
      <c r="B204" s="421">
        <v>203</v>
      </c>
      <c r="C204" s="342" t="s">
        <v>43</v>
      </c>
      <c r="D204" s="194">
        <f>[2]Districts_Boroughs!DF168</f>
        <v>4</v>
      </c>
      <c r="E204" s="194">
        <f>[2]Districts_Boroughs!DG168</f>
        <v>10</v>
      </c>
      <c r="F204" s="194">
        <f>[2]Districts_Boroughs!DH168</f>
        <v>7</v>
      </c>
      <c r="G204" s="194">
        <f>[2]Districts_Boroughs!DI168</f>
        <v>5</v>
      </c>
      <c r="H204" s="194">
        <f>[2]Districts_Boroughs!DJ168</f>
        <v>6</v>
      </c>
      <c r="I204" s="194">
        <f>[2]Districts_Boroughs!DK168</f>
        <v>6</v>
      </c>
      <c r="J204" s="194">
        <f>[2]Districts_Boroughs!DL168</f>
        <v>2</v>
      </c>
      <c r="K204" s="194">
        <f>[2]Districts_Boroughs!DM168</f>
        <v>10</v>
      </c>
      <c r="L204" s="194">
        <f>[2]Districts_Boroughs!DN168</f>
        <v>7</v>
      </c>
      <c r="M204" s="194">
        <f>[2]Districts_Boroughs!DO168</f>
        <v>2</v>
      </c>
      <c r="N204" s="194">
        <f>[2]Districts_Boroughs!DP168</f>
        <v>10</v>
      </c>
      <c r="O204" s="194">
        <f>[2]Districts_Boroughs!DQ168</f>
        <v>10</v>
      </c>
      <c r="P204" s="178"/>
      <c r="Q204" s="468">
        <v>203</v>
      </c>
      <c r="R204" s="344" t="s">
        <v>43</v>
      </c>
      <c r="S204" s="176">
        <f t="shared" si="206"/>
        <v>4</v>
      </c>
      <c r="T204" s="176">
        <f t="shared" si="207"/>
        <v>14</v>
      </c>
      <c r="U204" s="176">
        <f t="shared" si="208"/>
        <v>21</v>
      </c>
      <c r="V204" s="176">
        <f t="shared" si="209"/>
        <v>26</v>
      </c>
      <c r="W204" s="176">
        <f t="shared" si="210"/>
        <v>32</v>
      </c>
      <c r="X204" s="176">
        <f t="shared" si="211"/>
        <v>38</v>
      </c>
      <c r="Y204" s="176">
        <f t="shared" si="212"/>
        <v>40</v>
      </c>
      <c r="Z204" s="176">
        <f t="shared" si="213"/>
        <v>50</v>
      </c>
      <c r="AA204" s="176">
        <f t="shared" si="214"/>
        <v>57</v>
      </c>
      <c r="AB204" s="176">
        <f t="shared" si="215"/>
        <v>59</v>
      </c>
      <c r="AC204" s="176">
        <f t="shared" si="216"/>
        <v>69</v>
      </c>
      <c r="AD204" s="461">
        <f t="shared" si="217"/>
        <v>79</v>
      </c>
      <c r="AE204" s="470">
        <v>203</v>
      </c>
      <c r="AF204" s="163">
        <f t="shared" si="205"/>
        <v>79</v>
      </c>
    </row>
    <row r="205" spans="2:32" x14ac:dyDescent="0.35">
      <c r="B205" s="420">
        <v>204</v>
      </c>
      <c r="C205" s="342" t="s">
        <v>198</v>
      </c>
      <c r="D205" s="194">
        <f>[2]Districts_Boroughs!DF169</f>
        <v>7</v>
      </c>
      <c r="E205" s="194">
        <f>[2]Districts_Boroughs!DG169</f>
        <v>8</v>
      </c>
      <c r="F205" s="194">
        <f>[2]Districts_Boroughs!DH169</f>
        <v>7</v>
      </c>
      <c r="G205" s="194">
        <f>[2]Districts_Boroughs!DI169</f>
        <v>6</v>
      </c>
      <c r="H205" s="194">
        <f>[2]Districts_Boroughs!DJ169</f>
        <v>16</v>
      </c>
      <c r="I205" s="194">
        <f>[2]Districts_Boroughs!DK169</f>
        <v>19</v>
      </c>
      <c r="J205" s="194">
        <f>[2]Districts_Boroughs!DL169</f>
        <v>10</v>
      </c>
      <c r="K205" s="194">
        <f>[2]Districts_Boroughs!DM169</f>
        <v>8</v>
      </c>
      <c r="L205" s="194">
        <f>[2]Districts_Boroughs!DN169</f>
        <v>8</v>
      </c>
      <c r="M205" s="194">
        <f>[2]Districts_Boroughs!DO169</f>
        <v>13</v>
      </c>
      <c r="N205" s="194">
        <f>[2]Districts_Boroughs!DP169</f>
        <v>4</v>
      </c>
      <c r="O205" s="194">
        <f>[2]Districts_Boroughs!DQ169</f>
        <v>7</v>
      </c>
      <c r="P205" s="178"/>
      <c r="Q205" s="468">
        <v>204</v>
      </c>
      <c r="R205" s="344" t="s">
        <v>198</v>
      </c>
      <c r="S205" s="176">
        <f t="shared" ref="S205:S212" si="218">D205</f>
        <v>7</v>
      </c>
      <c r="T205" s="176">
        <f t="shared" ref="T205:AD205" si="219">S205+E205</f>
        <v>15</v>
      </c>
      <c r="U205" s="176">
        <f t="shared" si="219"/>
        <v>22</v>
      </c>
      <c r="V205" s="176">
        <f t="shared" si="219"/>
        <v>28</v>
      </c>
      <c r="W205" s="176">
        <f t="shared" si="219"/>
        <v>44</v>
      </c>
      <c r="X205" s="176">
        <f t="shared" si="219"/>
        <v>63</v>
      </c>
      <c r="Y205" s="176">
        <f t="shared" si="219"/>
        <v>73</v>
      </c>
      <c r="Z205" s="176">
        <f t="shared" si="219"/>
        <v>81</v>
      </c>
      <c r="AA205" s="176">
        <f t="shared" si="219"/>
        <v>89</v>
      </c>
      <c r="AB205" s="176">
        <f t="shared" si="219"/>
        <v>102</v>
      </c>
      <c r="AC205" s="176">
        <f t="shared" si="219"/>
        <v>106</v>
      </c>
      <c r="AD205" s="461">
        <f t="shared" si="219"/>
        <v>113</v>
      </c>
      <c r="AE205" s="468">
        <v>204</v>
      </c>
      <c r="AF205" s="163">
        <f t="shared" si="205"/>
        <v>113</v>
      </c>
    </row>
    <row r="206" spans="2:32" x14ac:dyDescent="0.35">
      <c r="B206" s="420">
        <v>205</v>
      </c>
      <c r="C206" s="342" t="s">
        <v>204</v>
      </c>
      <c r="D206" s="288">
        <f>SUM(D204:D205)</f>
        <v>11</v>
      </c>
      <c r="E206" s="288">
        <f t="shared" ref="E206:O206" si="220">SUM(E204:E205)</f>
        <v>18</v>
      </c>
      <c r="F206" s="288">
        <f t="shared" si="220"/>
        <v>14</v>
      </c>
      <c r="G206" s="288">
        <f t="shared" si="220"/>
        <v>11</v>
      </c>
      <c r="H206" s="288">
        <f t="shared" si="220"/>
        <v>22</v>
      </c>
      <c r="I206" s="288">
        <f t="shared" si="220"/>
        <v>25</v>
      </c>
      <c r="J206" s="288">
        <f t="shared" si="220"/>
        <v>12</v>
      </c>
      <c r="K206" s="288">
        <f t="shared" si="220"/>
        <v>18</v>
      </c>
      <c r="L206" s="288">
        <f t="shared" si="220"/>
        <v>15</v>
      </c>
      <c r="M206" s="288">
        <f t="shared" si="220"/>
        <v>15</v>
      </c>
      <c r="N206" s="288">
        <f t="shared" si="220"/>
        <v>14</v>
      </c>
      <c r="O206" s="288">
        <f t="shared" si="220"/>
        <v>17</v>
      </c>
      <c r="P206" s="178"/>
      <c r="Q206" s="468">
        <v>205</v>
      </c>
      <c r="R206" s="342" t="s">
        <v>205</v>
      </c>
      <c r="S206" s="176">
        <f>SUM(S204:S205)</f>
        <v>11</v>
      </c>
      <c r="T206" s="176">
        <f t="shared" ref="T206:AD206" si="221">SUM(T204:T205)</f>
        <v>29</v>
      </c>
      <c r="U206" s="176">
        <f t="shared" si="221"/>
        <v>43</v>
      </c>
      <c r="V206" s="176">
        <f t="shared" si="221"/>
        <v>54</v>
      </c>
      <c r="W206" s="176">
        <f t="shared" si="221"/>
        <v>76</v>
      </c>
      <c r="X206" s="176">
        <f t="shared" si="221"/>
        <v>101</v>
      </c>
      <c r="Y206" s="176">
        <f t="shared" si="221"/>
        <v>113</v>
      </c>
      <c r="Z206" s="176">
        <f t="shared" si="221"/>
        <v>131</v>
      </c>
      <c r="AA206" s="176">
        <f t="shared" si="221"/>
        <v>146</v>
      </c>
      <c r="AB206" s="176">
        <f t="shared" si="221"/>
        <v>161</v>
      </c>
      <c r="AC206" s="176">
        <f t="shared" si="221"/>
        <v>175</v>
      </c>
      <c r="AD206" s="461">
        <f t="shared" si="221"/>
        <v>192</v>
      </c>
      <c r="AE206" s="468">
        <v>205</v>
      </c>
      <c r="AF206" s="163"/>
    </row>
    <row r="207" spans="2:32" x14ac:dyDescent="0.35">
      <c r="B207" s="420">
        <v>206</v>
      </c>
      <c r="C207" s="342" t="s">
        <v>44</v>
      </c>
      <c r="D207" s="195">
        <f>[2]Districts_Boroughs!DF170</f>
        <v>1</v>
      </c>
      <c r="E207" s="195">
        <f>[2]Districts_Boroughs!DG170</f>
        <v>0</v>
      </c>
      <c r="F207" s="195">
        <f>[2]Districts_Boroughs!DH170</f>
        <v>0</v>
      </c>
      <c r="G207" s="195">
        <f>[2]Districts_Boroughs!DI170</f>
        <v>1</v>
      </c>
      <c r="H207" s="195">
        <f>[2]Districts_Boroughs!DJ170</f>
        <v>0</v>
      </c>
      <c r="I207" s="195">
        <f>[2]Districts_Boroughs!DK170</f>
        <v>0</v>
      </c>
      <c r="J207" s="195">
        <f>[2]Districts_Boroughs!DL170</f>
        <v>0</v>
      </c>
      <c r="K207" s="195">
        <f>[2]Districts_Boroughs!DM170</f>
        <v>0</v>
      </c>
      <c r="L207" s="195">
        <f>[2]Districts_Boroughs!DN170</f>
        <v>0</v>
      </c>
      <c r="M207" s="195">
        <f>[2]Districts_Boroughs!DO170</f>
        <v>0</v>
      </c>
      <c r="N207" s="195">
        <f>[2]Districts_Boroughs!DP170</f>
        <v>0</v>
      </c>
      <c r="O207" s="195">
        <f>[2]Districts_Boroughs!DQ170</f>
        <v>0</v>
      </c>
      <c r="P207" s="178"/>
      <c r="Q207" s="468">
        <v>206</v>
      </c>
      <c r="R207" s="344" t="s">
        <v>44</v>
      </c>
      <c r="S207" s="176">
        <f t="shared" si="218"/>
        <v>1</v>
      </c>
      <c r="T207" s="176">
        <f t="shared" ref="T207:AD208" si="222">S207+E207</f>
        <v>1</v>
      </c>
      <c r="U207" s="176">
        <f t="shared" si="222"/>
        <v>1</v>
      </c>
      <c r="V207" s="176">
        <f t="shared" si="222"/>
        <v>2</v>
      </c>
      <c r="W207" s="176">
        <f t="shared" si="222"/>
        <v>2</v>
      </c>
      <c r="X207" s="176">
        <f t="shared" si="222"/>
        <v>2</v>
      </c>
      <c r="Y207" s="176">
        <f t="shared" si="222"/>
        <v>2</v>
      </c>
      <c r="Z207" s="176">
        <f t="shared" si="222"/>
        <v>2</v>
      </c>
      <c r="AA207" s="176">
        <f t="shared" si="222"/>
        <v>2</v>
      </c>
      <c r="AB207" s="176">
        <f t="shared" si="222"/>
        <v>2</v>
      </c>
      <c r="AC207" s="176">
        <f t="shared" si="222"/>
        <v>2</v>
      </c>
      <c r="AD207" s="461">
        <f t="shared" si="222"/>
        <v>2</v>
      </c>
      <c r="AE207" s="470">
        <v>206</v>
      </c>
      <c r="AF207" s="163">
        <f t="shared" si="205"/>
        <v>2</v>
      </c>
    </row>
    <row r="208" spans="2:32" x14ac:dyDescent="0.35">
      <c r="B208" s="420">
        <v>207</v>
      </c>
      <c r="C208" s="342" t="s">
        <v>199</v>
      </c>
      <c r="D208" s="195">
        <f>[2]Districts_Boroughs!DF171</f>
        <v>0</v>
      </c>
      <c r="E208" s="195">
        <f>[2]Districts_Boroughs!DG171</f>
        <v>0</v>
      </c>
      <c r="F208" s="195">
        <f>[2]Districts_Boroughs!DH171</f>
        <v>1</v>
      </c>
      <c r="G208" s="195">
        <f>[2]Districts_Boroughs!DI171</f>
        <v>3</v>
      </c>
      <c r="H208" s="195">
        <f>[2]Districts_Boroughs!DJ171</f>
        <v>1</v>
      </c>
      <c r="I208" s="195">
        <f>[2]Districts_Boroughs!DK171</f>
        <v>5</v>
      </c>
      <c r="J208" s="195">
        <f>[2]Districts_Boroughs!DL171</f>
        <v>0</v>
      </c>
      <c r="K208" s="195">
        <f>[2]Districts_Boroughs!DM171</f>
        <v>0</v>
      </c>
      <c r="L208" s="195">
        <f>[2]Districts_Boroughs!DN171</f>
        <v>0</v>
      </c>
      <c r="M208" s="195">
        <f>[2]Districts_Boroughs!DO171</f>
        <v>1</v>
      </c>
      <c r="N208" s="195">
        <f>[2]Districts_Boroughs!DP171</f>
        <v>0</v>
      </c>
      <c r="O208" s="195">
        <f>[2]Districts_Boroughs!DQ171</f>
        <v>0</v>
      </c>
      <c r="P208" s="178"/>
      <c r="Q208" s="468">
        <v>207</v>
      </c>
      <c r="R208" s="344" t="s">
        <v>199</v>
      </c>
      <c r="S208" s="176">
        <f t="shared" si="218"/>
        <v>0</v>
      </c>
      <c r="T208" s="176">
        <f t="shared" si="222"/>
        <v>0</v>
      </c>
      <c r="U208" s="176">
        <f t="shared" si="222"/>
        <v>1</v>
      </c>
      <c r="V208" s="176">
        <f t="shared" si="222"/>
        <v>4</v>
      </c>
      <c r="W208" s="176">
        <f>V208+H208</f>
        <v>5</v>
      </c>
      <c r="X208" s="176">
        <f t="shared" si="222"/>
        <v>10</v>
      </c>
      <c r="Y208" s="176">
        <f t="shared" si="222"/>
        <v>10</v>
      </c>
      <c r="Z208" s="176">
        <f t="shared" si="222"/>
        <v>10</v>
      </c>
      <c r="AA208" s="176">
        <f t="shared" si="222"/>
        <v>10</v>
      </c>
      <c r="AB208" s="176">
        <f t="shared" si="222"/>
        <v>11</v>
      </c>
      <c r="AC208" s="176">
        <f t="shared" si="222"/>
        <v>11</v>
      </c>
      <c r="AD208" s="461">
        <f t="shared" si="222"/>
        <v>11</v>
      </c>
      <c r="AE208" s="468">
        <v>207</v>
      </c>
      <c r="AF208" s="163">
        <f t="shared" si="205"/>
        <v>11</v>
      </c>
    </row>
    <row r="209" spans="1:32" x14ac:dyDescent="0.35">
      <c r="A209" s="162" t="s">
        <v>128</v>
      </c>
      <c r="B209" s="421">
        <v>208</v>
      </c>
      <c r="C209" s="342" t="s">
        <v>205</v>
      </c>
      <c r="D209" s="281">
        <f t="shared" ref="D209:O209" si="223">SUM(D207:D208)</f>
        <v>1</v>
      </c>
      <c r="E209" s="281">
        <f t="shared" si="223"/>
        <v>0</v>
      </c>
      <c r="F209" s="281">
        <f t="shared" si="223"/>
        <v>1</v>
      </c>
      <c r="G209" s="281">
        <f t="shared" si="223"/>
        <v>4</v>
      </c>
      <c r="H209" s="281">
        <f t="shared" si="223"/>
        <v>1</v>
      </c>
      <c r="I209" s="281">
        <f t="shared" si="223"/>
        <v>5</v>
      </c>
      <c r="J209" s="281">
        <f t="shared" si="223"/>
        <v>0</v>
      </c>
      <c r="K209" s="281">
        <f t="shared" si="223"/>
        <v>0</v>
      </c>
      <c r="L209" s="281">
        <f t="shared" si="223"/>
        <v>0</v>
      </c>
      <c r="M209" s="281">
        <f t="shared" si="223"/>
        <v>1</v>
      </c>
      <c r="N209" s="281">
        <f t="shared" si="223"/>
        <v>0</v>
      </c>
      <c r="O209" s="281">
        <f t="shared" si="223"/>
        <v>0</v>
      </c>
      <c r="P209" s="178"/>
      <c r="Q209" s="468">
        <v>208</v>
      </c>
      <c r="R209" s="342" t="s">
        <v>205</v>
      </c>
      <c r="S209" s="176">
        <f>SUM(S207:S208)</f>
        <v>1</v>
      </c>
      <c r="T209" s="176">
        <f t="shared" ref="T209:AD209" si="224">SUM(T207:T208)</f>
        <v>1</v>
      </c>
      <c r="U209" s="176">
        <f t="shared" si="224"/>
        <v>2</v>
      </c>
      <c r="V209" s="176">
        <f t="shared" si="224"/>
        <v>6</v>
      </c>
      <c r="W209" s="176">
        <f t="shared" si="224"/>
        <v>7</v>
      </c>
      <c r="X209" s="176">
        <f t="shared" si="224"/>
        <v>12</v>
      </c>
      <c r="Y209" s="176">
        <f t="shared" si="224"/>
        <v>12</v>
      </c>
      <c r="Z209" s="176">
        <f t="shared" si="224"/>
        <v>12</v>
      </c>
      <c r="AA209" s="176">
        <f t="shared" si="224"/>
        <v>12</v>
      </c>
      <c r="AB209" s="176">
        <f t="shared" si="224"/>
        <v>13</v>
      </c>
      <c r="AC209" s="176">
        <f t="shared" si="224"/>
        <v>13</v>
      </c>
      <c r="AD209" s="461">
        <f t="shared" si="224"/>
        <v>13</v>
      </c>
      <c r="AE209" s="468">
        <v>208</v>
      </c>
      <c r="AF209" s="163"/>
    </row>
    <row r="210" spans="1:32" x14ac:dyDescent="0.35">
      <c r="A210" s="162" t="s">
        <v>128</v>
      </c>
      <c r="B210" s="420">
        <v>209</v>
      </c>
      <c r="C210" s="342" t="s">
        <v>84</v>
      </c>
      <c r="D210" s="284">
        <f>D206+D209</f>
        <v>12</v>
      </c>
      <c r="E210" s="284">
        <f t="shared" ref="E210:O210" si="225">E206+E209</f>
        <v>18</v>
      </c>
      <c r="F210" s="284">
        <f t="shared" si="225"/>
        <v>15</v>
      </c>
      <c r="G210" s="284">
        <f t="shared" si="225"/>
        <v>15</v>
      </c>
      <c r="H210" s="284">
        <f t="shared" si="225"/>
        <v>23</v>
      </c>
      <c r="I210" s="284">
        <f t="shared" si="225"/>
        <v>30</v>
      </c>
      <c r="J210" s="284">
        <f t="shared" si="225"/>
        <v>12</v>
      </c>
      <c r="K210" s="284">
        <f t="shared" si="225"/>
        <v>18</v>
      </c>
      <c r="L210" s="284">
        <f t="shared" si="225"/>
        <v>15</v>
      </c>
      <c r="M210" s="284">
        <f t="shared" si="225"/>
        <v>16</v>
      </c>
      <c r="N210" s="284">
        <f t="shared" si="225"/>
        <v>14</v>
      </c>
      <c r="O210" s="284">
        <f t="shared" si="225"/>
        <v>17</v>
      </c>
      <c r="P210" s="183"/>
      <c r="Q210" s="468">
        <v>209</v>
      </c>
      <c r="R210" s="344" t="s">
        <v>84</v>
      </c>
      <c r="S210" s="176">
        <f t="shared" si="218"/>
        <v>12</v>
      </c>
      <c r="T210" s="176">
        <f t="shared" ref="T210:AD212" si="226">S210+E210</f>
        <v>30</v>
      </c>
      <c r="U210" s="176">
        <f t="shared" si="226"/>
        <v>45</v>
      </c>
      <c r="V210" s="176">
        <f t="shared" si="226"/>
        <v>60</v>
      </c>
      <c r="W210" s="176">
        <f t="shared" si="226"/>
        <v>83</v>
      </c>
      <c r="X210" s="176">
        <f t="shared" si="226"/>
        <v>113</v>
      </c>
      <c r="Y210" s="176">
        <f t="shared" si="226"/>
        <v>125</v>
      </c>
      <c r="Z210" s="176">
        <f t="shared" si="226"/>
        <v>143</v>
      </c>
      <c r="AA210" s="176">
        <f t="shared" si="226"/>
        <v>158</v>
      </c>
      <c r="AB210" s="176">
        <f t="shared" si="226"/>
        <v>174</v>
      </c>
      <c r="AC210" s="176">
        <f t="shared" si="226"/>
        <v>188</v>
      </c>
      <c r="AD210" s="461">
        <f t="shared" si="226"/>
        <v>205</v>
      </c>
      <c r="AE210" s="468">
        <v>209</v>
      </c>
      <c r="AF210" s="163">
        <f t="shared" si="205"/>
        <v>205</v>
      </c>
    </row>
    <row r="211" spans="1:32" x14ac:dyDescent="0.35">
      <c r="B211" s="420">
        <v>210</v>
      </c>
      <c r="C211" s="342" t="s">
        <v>45</v>
      </c>
      <c r="D211" s="195">
        <f>[2]Districts_Boroughs!DF172</f>
        <v>30</v>
      </c>
      <c r="E211" s="195">
        <f>[2]Districts_Boroughs!DG172</f>
        <v>16</v>
      </c>
      <c r="F211" s="195">
        <f>[2]Districts_Boroughs!DH172</f>
        <v>38</v>
      </c>
      <c r="G211" s="195">
        <f>[2]Districts_Boroughs!DI172</f>
        <v>25</v>
      </c>
      <c r="H211" s="195">
        <f>[2]Districts_Boroughs!DJ172</f>
        <v>32</v>
      </c>
      <c r="I211" s="195">
        <f>[2]Districts_Boroughs!DK172</f>
        <v>23</v>
      </c>
      <c r="J211" s="195">
        <f>[2]Districts_Boroughs!DL172</f>
        <v>13</v>
      </c>
      <c r="K211" s="195">
        <f>[2]Districts_Boroughs!DM172</f>
        <v>20</v>
      </c>
      <c r="L211" s="195">
        <f>[2]Districts_Boroughs!DN172</f>
        <v>21</v>
      </c>
      <c r="M211" s="195">
        <f>[2]Districts_Boroughs!DO172</f>
        <v>26</v>
      </c>
      <c r="N211" s="195">
        <f>[2]Districts_Boroughs!DP172</f>
        <v>26</v>
      </c>
      <c r="O211" s="195">
        <f>[2]Districts_Boroughs!DQ172</f>
        <v>17</v>
      </c>
      <c r="P211" s="178"/>
      <c r="Q211" s="468">
        <v>210</v>
      </c>
      <c r="R211" s="344" t="s">
        <v>45</v>
      </c>
      <c r="S211" s="176">
        <f t="shared" si="218"/>
        <v>30</v>
      </c>
      <c r="T211" s="176">
        <f t="shared" si="226"/>
        <v>46</v>
      </c>
      <c r="U211" s="176">
        <f t="shared" si="226"/>
        <v>84</v>
      </c>
      <c r="V211" s="176">
        <f t="shared" si="226"/>
        <v>109</v>
      </c>
      <c r="W211" s="176">
        <f t="shared" si="226"/>
        <v>141</v>
      </c>
      <c r="X211" s="176">
        <f t="shared" si="226"/>
        <v>164</v>
      </c>
      <c r="Y211" s="176">
        <f t="shared" si="226"/>
        <v>177</v>
      </c>
      <c r="Z211" s="176">
        <f t="shared" si="226"/>
        <v>197</v>
      </c>
      <c r="AA211" s="176">
        <f t="shared" si="226"/>
        <v>218</v>
      </c>
      <c r="AB211" s="176">
        <f t="shared" si="226"/>
        <v>244</v>
      </c>
      <c r="AC211" s="176">
        <f t="shared" si="226"/>
        <v>270</v>
      </c>
      <c r="AD211" s="461">
        <f t="shared" si="226"/>
        <v>287</v>
      </c>
      <c r="AE211" s="468">
        <v>210</v>
      </c>
      <c r="AF211" s="163">
        <f t="shared" si="205"/>
        <v>287</v>
      </c>
    </row>
    <row r="212" spans="1:32" x14ac:dyDescent="0.35">
      <c r="B212" s="420">
        <v>211</v>
      </c>
      <c r="C212" s="342" t="s">
        <v>191</v>
      </c>
      <c r="D212" s="195">
        <f>[2]Districts_Boroughs!DF173</f>
        <v>70</v>
      </c>
      <c r="E212" s="195">
        <f>[2]Districts_Boroughs!DG173</f>
        <v>51</v>
      </c>
      <c r="F212" s="195">
        <f>[2]Districts_Boroughs!DH173</f>
        <v>53</v>
      </c>
      <c r="G212" s="195">
        <f>[2]Districts_Boroughs!DI173</f>
        <v>60</v>
      </c>
      <c r="H212" s="195">
        <f>[2]Districts_Boroughs!DJ173</f>
        <v>57</v>
      </c>
      <c r="I212" s="195">
        <f>[2]Districts_Boroughs!DK173</f>
        <v>51</v>
      </c>
      <c r="J212" s="195">
        <f>[2]Districts_Boroughs!DL173</f>
        <v>55</v>
      </c>
      <c r="K212" s="195">
        <f>[2]Districts_Boroughs!DM173</f>
        <v>56</v>
      </c>
      <c r="L212" s="195">
        <f>[2]Districts_Boroughs!DN173</f>
        <v>61</v>
      </c>
      <c r="M212" s="195">
        <f>[2]Districts_Boroughs!DO173</f>
        <v>55</v>
      </c>
      <c r="N212" s="195">
        <f>[2]Districts_Boroughs!DP173</f>
        <v>47</v>
      </c>
      <c r="O212" s="195">
        <f>[2]Districts_Boroughs!DQ173</f>
        <v>65</v>
      </c>
      <c r="P212" s="178"/>
      <c r="Q212" s="468">
        <v>211</v>
      </c>
      <c r="R212" s="344" t="s">
        <v>191</v>
      </c>
      <c r="S212" s="176">
        <f t="shared" si="218"/>
        <v>70</v>
      </c>
      <c r="T212" s="176">
        <f t="shared" si="226"/>
        <v>121</v>
      </c>
      <c r="U212" s="176">
        <f t="shared" si="226"/>
        <v>174</v>
      </c>
      <c r="V212" s="176">
        <f t="shared" si="226"/>
        <v>234</v>
      </c>
      <c r="W212" s="176">
        <f t="shared" si="226"/>
        <v>291</v>
      </c>
      <c r="X212" s="176">
        <f t="shared" si="226"/>
        <v>342</v>
      </c>
      <c r="Y212" s="176">
        <f t="shared" si="226"/>
        <v>397</v>
      </c>
      <c r="Z212" s="176">
        <f t="shared" si="226"/>
        <v>453</v>
      </c>
      <c r="AA212" s="176">
        <f t="shared" si="226"/>
        <v>514</v>
      </c>
      <c r="AB212" s="176">
        <f t="shared" si="226"/>
        <v>569</v>
      </c>
      <c r="AC212" s="176">
        <f t="shared" si="226"/>
        <v>616</v>
      </c>
      <c r="AD212" s="461">
        <f t="shared" si="226"/>
        <v>681</v>
      </c>
      <c r="AE212" s="470">
        <v>211</v>
      </c>
      <c r="AF212" s="163">
        <f t="shared" si="205"/>
        <v>681</v>
      </c>
    </row>
    <row r="213" spans="1:32" x14ac:dyDescent="0.35">
      <c r="B213" s="420">
        <v>212</v>
      </c>
      <c r="C213" s="342" t="s">
        <v>53</v>
      </c>
      <c r="D213" s="195">
        <f>[2]Districts_Boroughs!DF175</f>
        <v>5</v>
      </c>
      <c r="E213" s="195">
        <f>[2]Districts_Boroughs!DG175</f>
        <v>5</v>
      </c>
      <c r="F213" s="195">
        <f>[2]Districts_Boroughs!DH175</f>
        <v>4</v>
      </c>
      <c r="G213" s="195">
        <f>[2]Districts_Boroughs!DI175</f>
        <v>3</v>
      </c>
      <c r="H213" s="195">
        <f>[2]Districts_Boroughs!DJ175</f>
        <v>9</v>
      </c>
      <c r="I213" s="195">
        <f>[2]Districts_Boroughs!DK175</f>
        <v>5</v>
      </c>
      <c r="J213" s="195">
        <f>[2]Districts_Boroughs!DL175</f>
        <v>1</v>
      </c>
      <c r="K213" s="195">
        <f>[2]Districts_Boroughs!DM175</f>
        <v>0</v>
      </c>
      <c r="L213" s="195">
        <f>[2]Districts_Boroughs!DN175</f>
        <v>2</v>
      </c>
      <c r="M213" s="195">
        <f>[2]Districts_Boroughs!DO175</f>
        <v>5</v>
      </c>
      <c r="N213" s="195">
        <f>[2]Districts_Boroughs!DP175</f>
        <v>7</v>
      </c>
      <c r="O213" s="195">
        <f>[2]Districts_Boroughs!DQ175</f>
        <v>8</v>
      </c>
      <c r="P213" s="178"/>
      <c r="Q213" s="468">
        <v>212</v>
      </c>
      <c r="R213" s="344" t="s">
        <v>53</v>
      </c>
      <c r="S213" s="176">
        <f t="shared" ref="S213:S221" si="227">D213</f>
        <v>5</v>
      </c>
      <c r="T213" s="176">
        <f t="shared" ref="T213:T221" si="228">S213+E213</f>
        <v>10</v>
      </c>
      <c r="U213" s="176">
        <f t="shared" ref="U213:U221" si="229">T213+F213</f>
        <v>14</v>
      </c>
      <c r="V213" s="176">
        <f t="shared" ref="V213:V221" si="230">U213+G213</f>
        <v>17</v>
      </c>
      <c r="W213" s="176">
        <f t="shared" ref="W213:W221" si="231">V213+H213</f>
        <v>26</v>
      </c>
      <c r="X213" s="176">
        <f t="shared" ref="X213:X221" si="232">W213+I213</f>
        <v>31</v>
      </c>
      <c r="Y213" s="176">
        <f t="shared" ref="Y213:Y221" si="233">X213+J213</f>
        <v>32</v>
      </c>
      <c r="Z213" s="176">
        <f t="shared" ref="Z213:Z221" si="234">Y213+K213</f>
        <v>32</v>
      </c>
      <c r="AA213" s="176">
        <f t="shared" ref="AA213:AA221" si="235">Z213+L213</f>
        <v>34</v>
      </c>
      <c r="AB213" s="176">
        <f t="shared" ref="AB213:AB221" si="236">AA213+M213</f>
        <v>39</v>
      </c>
      <c r="AC213" s="176">
        <f t="shared" ref="AC213:AC221" si="237">AB213+N213</f>
        <v>46</v>
      </c>
      <c r="AD213" s="461">
        <f t="shared" ref="AD213:AD221" si="238">AC213+O213</f>
        <v>54</v>
      </c>
      <c r="AE213" s="468">
        <v>212</v>
      </c>
      <c r="AF213" s="163">
        <f t="shared" si="205"/>
        <v>54</v>
      </c>
    </row>
    <row r="214" spans="1:32" x14ac:dyDescent="0.35">
      <c r="B214" s="421">
        <v>213</v>
      </c>
      <c r="C214" s="342" t="s">
        <v>54</v>
      </c>
      <c r="D214" s="195">
        <f>[2]Districts_Boroughs!DF176</f>
        <v>2</v>
      </c>
      <c r="E214" s="195">
        <f>[2]Districts_Boroughs!DG176</f>
        <v>2</v>
      </c>
      <c r="F214" s="195">
        <f>[2]Districts_Boroughs!DH176</f>
        <v>2</v>
      </c>
      <c r="G214" s="195">
        <f>[2]Districts_Boroughs!DI176</f>
        <v>0</v>
      </c>
      <c r="H214" s="195">
        <f>[2]Districts_Boroughs!DJ176</f>
        <v>6</v>
      </c>
      <c r="I214" s="195">
        <f>[2]Districts_Boroughs!DK176</f>
        <v>0</v>
      </c>
      <c r="J214" s="195">
        <f>[2]Districts_Boroughs!DL176</f>
        <v>2</v>
      </c>
      <c r="K214" s="195">
        <f>[2]Districts_Boroughs!DM176</f>
        <v>3</v>
      </c>
      <c r="L214" s="195">
        <f>[2]Districts_Boroughs!DN176</f>
        <v>2</v>
      </c>
      <c r="M214" s="195">
        <f>[2]Districts_Boroughs!DO176</f>
        <v>2</v>
      </c>
      <c r="N214" s="195">
        <f>[2]Districts_Boroughs!DP176</f>
        <v>1</v>
      </c>
      <c r="O214" s="195">
        <f>[2]Districts_Boroughs!DQ176</f>
        <v>2</v>
      </c>
      <c r="P214" s="178"/>
      <c r="Q214" s="468">
        <v>213</v>
      </c>
      <c r="R214" s="344" t="s">
        <v>54</v>
      </c>
      <c r="S214" s="176">
        <f t="shared" si="227"/>
        <v>2</v>
      </c>
      <c r="T214" s="176">
        <f t="shared" si="228"/>
        <v>4</v>
      </c>
      <c r="U214" s="176">
        <f t="shared" si="229"/>
        <v>6</v>
      </c>
      <c r="V214" s="176">
        <f t="shared" si="230"/>
        <v>6</v>
      </c>
      <c r="W214" s="176">
        <f t="shared" si="231"/>
        <v>12</v>
      </c>
      <c r="X214" s="176">
        <f t="shared" si="232"/>
        <v>12</v>
      </c>
      <c r="Y214" s="176">
        <f t="shared" si="233"/>
        <v>14</v>
      </c>
      <c r="Z214" s="176">
        <f t="shared" si="234"/>
        <v>17</v>
      </c>
      <c r="AA214" s="176">
        <f t="shared" si="235"/>
        <v>19</v>
      </c>
      <c r="AB214" s="176">
        <f t="shared" si="236"/>
        <v>21</v>
      </c>
      <c r="AC214" s="176">
        <f t="shared" si="237"/>
        <v>22</v>
      </c>
      <c r="AD214" s="461">
        <f t="shared" si="238"/>
        <v>24</v>
      </c>
      <c r="AE214" s="468">
        <v>213</v>
      </c>
      <c r="AF214" s="163">
        <f t="shared" si="205"/>
        <v>24</v>
      </c>
    </row>
    <row r="215" spans="1:32" x14ac:dyDescent="0.35">
      <c r="B215" s="420">
        <v>214</v>
      </c>
      <c r="C215" s="342" t="s">
        <v>46</v>
      </c>
      <c r="D215" s="195">
        <f>[2]Districts_Boroughs!DF178</f>
        <v>1</v>
      </c>
      <c r="E215" s="195">
        <f>[2]Districts_Boroughs!DG178</f>
        <v>2</v>
      </c>
      <c r="F215" s="195">
        <f>[2]Districts_Boroughs!DH178</f>
        <v>1</v>
      </c>
      <c r="G215" s="195">
        <f>[2]Districts_Boroughs!DI178</f>
        <v>1</v>
      </c>
      <c r="H215" s="195">
        <f>[2]Districts_Boroughs!DJ178</f>
        <v>0</v>
      </c>
      <c r="I215" s="195">
        <f>[2]Districts_Boroughs!DK178</f>
        <v>0</v>
      </c>
      <c r="J215" s="195">
        <f>[2]Districts_Boroughs!DL178</f>
        <v>1</v>
      </c>
      <c r="K215" s="195">
        <f>[2]Districts_Boroughs!DM178</f>
        <v>1</v>
      </c>
      <c r="L215" s="195">
        <f>[2]Districts_Boroughs!DN178</f>
        <v>1</v>
      </c>
      <c r="M215" s="195">
        <f>[2]Districts_Boroughs!DO178</f>
        <v>1</v>
      </c>
      <c r="N215" s="195">
        <f>[2]Districts_Boroughs!DP178</f>
        <v>1</v>
      </c>
      <c r="O215" s="195">
        <f>[2]Districts_Boroughs!DQ178</f>
        <v>0</v>
      </c>
      <c r="P215" s="178"/>
      <c r="Q215" s="468">
        <v>214</v>
      </c>
      <c r="R215" s="344" t="s">
        <v>46</v>
      </c>
      <c r="S215" s="176">
        <f t="shared" si="227"/>
        <v>1</v>
      </c>
      <c r="T215" s="176">
        <f t="shared" si="228"/>
        <v>3</v>
      </c>
      <c r="U215" s="176">
        <f t="shared" si="229"/>
        <v>4</v>
      </c>
      <c r="V215" s="176">
        <f t="shared" si="230"/>
        <v>5</v>
      </c>
      <c r="W215" s="176">
        <f t="shared" si="231"/>
        <v>5</v>
      </c>
      <c r="X215" s="176">
        <f t="shared" si="232"/>
        <v>5</v>
      </c>
      <c r="Y215" s="176">
        <f t="shared" si="233"/>
        <v>6</v>
      </c>
      <c r="Z215" s="176">
        <f t="shared" si="234"/>
        <v>7</v>
      </c>
      <c r="AA215" s="176">
        <f t="shared" si="235"/>
        <v>8</v>
      </c>
      <c r="AB215" s="176">
        <f t="shared" si="236"/>
        <v>9</v>
      </c>
      <c r="AC215" s="176">
        <f t="shared" si="237"/>
        <v>10</v>
      </c>
      <c r="AD215" s="461">
        <f t="shared" si="238"/>
        <v>10</v>
      </c>
      <c r="AE215" s="470">
        <v>214</v>
      </c>
      <c r="AF215" s="163">
        <f t="shared" si="205"/>
        <v>10</v>
      </c>
    </row>
    <row r="216" spans="1:32" x14ac:dyDescent="0.35">
      <c r="B216" s="420">
        <v>215</v>
      </c>
      <c r="C216" s="342" t="s">
        <v>47</v>
      </c>
      <c r="D216" s="195">
        <f>[2]Districts_Boroughs!DF179</f>
        <v>17</v>
      </c>
      <c r="E216" s="195">
        <f>[2]Districts_Boroughs!DG179</f>
        <v>21</v>
      </c>
      <c r="F216" s="195">
        <f>[2]Districts_Boroughs!DH179</f>
        <v>8</v>
      </c>
      <c r="G216" s="195">
        <f>[2]Districts_Boroughs!DI179</f>
        <v>11</v>
      </c>
      <c r="H216" s="195">
        <f>[2]Districts_Boroughs!DJ179</f>
        <v>9</v>
      </c>
      <c r="I216" s="195">
        <f>[2]Districts_Boroughs!DK179</f>
        <v>14</v>
      </c>
      <c r="J216" s="195">
        <f>[2]Districts_Boroughs!DL179</f>
        <v>15</v>
      </c>
      <c r="K216" s="195">
        <f>[2]Districts_Boroughs!DM179</f>
        <v>19</v>
      </c>
      <c r="L216" s="195">
        <f>[2]Districts_Boroughs!DN179</f>
        <v>13</v>
      </c>
      <c r="M216" s="195">
        <f>[2]Districts_Boroughs!DO179</f>
        <v>23</v>
      </c>
      <c r="N216" s="195">
        <f>[2]Districts_Boroughs!DP179</f>
        <v>19</v>
      </c>
      <c r="O216" s="195">
        <f>[2]Districts_Boroughs!DQ179</f>
        <v>15</v>
      </c>
      <c r="P216" s="178"/>
      <c r="Q216" s="468">
        <v>215</v>
      </c>
      <c r="R216" s="344" t="s">
        <v>47</v>
      </c>
      <c r="S216" s="176">
        <f t="shared" si="227"/>
        <v>17</v>
      </c>
      <c r="T216" s="176">
        <f t="shared" si="228"/>
        <v>38</v>
      </c>
      <c r="U216" s="176">
        <f t="shared" si="229"/>
        <v>46</v>
      </c>
      <c r="V216" s="176">
        <f t="shared" si="230"/>
        <v>57</v>
      </c>
      <c r="W216" s="176">
        <f t="shared" si="231"/>
        <v>66</v>
      </c>
      <c r="X216" s="176">
        <f t="shared" si="232"/>
        <v>80</v>
      </c>
      <c r="Y216" s="176">
        <f t="shared" si="233"/>
        <v>95</v>
      </c>
      <c r="Z216" s="176">
        <f t="shared" si="234"/>
        <v>114</v>
      </c>
      <c r="AA216" s="176">
        <f t="shared" si="235"/>
        <v>127</v>
      </c>
      <c r="AB216" s="176">
        <f t="shared" si="236"/>
        <v>150</v>
      </c>
      <c r="AC216" s="176">
        <f t="shared" si="237"/>
        <v>169</v>
      </c>
      <c r="AD216" s="461">
        <f t="shared" si="238"/>
        <v>184</v>
      </c>
      <c r="AE216" s="468">
        <v>215</v>
      </c>
      <c r="AF216" s="163">
        <f t="shared" si="205"/>
        <v>184</v>
      </c>
    </row>
    <row r="217" spans="1:32" x14ac:dyDescent="0.35">
      <c r="B217" s="420">
        <v>216</v>
      </c>
      <c r="C217" s="342" t="s">
        <v>48</v>
      </c>
      <c r="D217" s="195">
        <f>[2]Districts_Boroughs!DF180</f>
        <v>65</v>
      </c>
      <c r="E217" s="195">
        <f>[2]Districts_Boroughs!DG180</f>
        <v>63</v>
      </c>
      <c r="F217" s="195">
        <f>[2]Districts_Boroughs!DH180</f>
        <v>53</v>
      </c>
      <c r="G217" s="195">
        <f>[2]Districts_Boroughs!DI180</f>
        <v>59</v>
      </c>
      <c r="H217" s="195">
        <f>[2]Districts_Boroughs!DJ180</f>
        <v>45</v>
      </c>
      <c r="I217" s="195">
        <f>[2]Districts_Boroughs!DK180</f>
        <v>35</v>
      </c>
      <c r="J217" s="195">
        <f>[2]Districts_Boroughs!DL180</f>
        <v>55</v>
      </c>
      <c r="K217" s="195">
        <f>[2]Districts_Boroughs!DM180</f>
        <v>46</v>
      </c>
      <c r="L217" s="195">
        <f>[2]Districts_Boroughs!DN180</f>
        <v>36</v>
      </c>
      <c r="M217" s="195">
        <f>[2]Districts_Boroughs!DO180</f>
        <v>29</v>
      </c>
      <c r="N217" s="195">
        <f>[2]Districts_Boroughs!DP180</f>
        <v>19</v>
      </c>
      <c r="O217" s="195">
        <f>[2]Districts_Boroughs!DQ180</f>
        <v>25</v>
      </c>
      <c r="P217" s="178"/>
      <c r="Q217" s="468">
        <v>216</v>
      </c>
      <c r="R217" s="344" t="s">
        <v>48</v>
      </c>
      <c r="S217" s="176">
        <f t="shared" si="227"/>
        <v>65</v>
      </c>
      <c r="T217" s="176">
        <f t="shared" si="228"/>
        <v>128</v>
      </c>
      <c r="U217" s="176">
        <f t="shared" si="229"/>
        <v>181</v>
      </c>
      <c r="V217" s="176">
        <f t="shared" si="230"/>
        <v>240</v>
      </c>
      <c r="W217" s="176">
        <f t="shared" si="231"/>
        <v>285</v>
      </c>
      <c r="X217" s="176">
        <f t="shared" si="232"/>
        <v>320</v>
      </c>
      <c r="Y217" s="176">
        <f t="shared" si="233"/>
        <v>375</v>
      </c>
      <c r="Z217" s="176">
        <f t="shared" si="234"/>
        <v>421</v>
      </c>
      <c r="AA217" s="176">
        <f t="shared" si="235"/>
        <v>457</v>
      </c>
      <c r="AB217" s="176">
        <f t="shared" si="236"/>
        <v>486</v>
      </c>
      <c r="AC217" s="176">
        <f t="shared" si="237"/>
        <v>505</v>
      </c>
      <c r="AD217" s="461">
        <f t="shared" si="238"/>
        <v>530</v>
      </c>
      <c r="AE217" s="468">
        <v>216</v>
      </c>
      <c r="AF217" s="163">
        <f t="shared" si="205"/>
        <v>530</v>
      </c>
    </row>
    <row r="218" spans="1:32" x14ac:dyDescent="0.35">
      <c r="B218" s="420">
        <v>217</v>
      </c>
      <c r="C218" s="342" t="s">
        <v>49</v>
      </c>
      <c r="D218" s="195">
        <f>[2]Districts_Boroughs!DF181</f>
        <v>21</v>
      </c>
      <c r="E218" s="195">
        <f>[2]Districts_Boroughs!DG181</f>
        <v>22</v>
      </c>
      <c r="F218" s="195">
        <f>[2]Districts_Boroughs!DH181</f>
        <v>17</v>
      </c>
      <c r="G218" s="195">
        <f>[2]Districts_Boroughs!DI181</f>
        <v>12</v>
      </c>
      <c r="H218" s="195">
        <f>[2]Districts_Boroughs!DJ181</f>
        <v>12</v>
      </c>
      <c r="I218" s="195">
        <f>[2]Districts_Boroughs!DK181</f>
        <v>12</v>
      </c>
      <c r="J218" s="195">
        <f>[2]Districts_Boroughs!DL181</f>
        <v>13</v>
      </c>
      <c r="K218" s="195">
        <f>[2]Districts_Boroughs!DM181</f>
        <v>12</v>
      </c>
      <c r="L218" s="195">
        <f>[2]Districts_Boroughs!DN181</f>
        <v>6</v>
      </c>
      <c r="M218" s="195">
        <f>[2]Districts_Boroughs!DO181</f>
        <v>19</v>
      </c>
      <c r="N218" s="195">
        <f>[2]Districts_Boroughs!DP181</f>
        <v>12</v>
      </c>
      <c r="O218" s="195">
        <f>[2]Districts_Boroughs!DQ181</f>
        <v>20</v>
      </c>
      <c r="P218" s="178"/>
      <c r="Q218" s="468">
        <v>217</v>
      </c>
      <c r="R218" s="344" t="s">
        <v>49</v>
      </c>
      <c r="S218" s="176">
        <f t="shared" si="227"/>
        <v>21</v>
      </c>
      <c r="T218" s="176">
        <f t="shared" si="228"/>
        <v>43</v>
      </c>
      <c r="U218" s="176">
        <f t="shared" si="229"/>
        <v>60</v>
      </c>
      <c r="V218" s="176">
        <f t="shared" si="230"/>
        <v>72</v>
      </c>
      <c r="W218" s="176">
        <f t="shared" si="231"/>
        <v>84</v>
      </c>
      <c r="X218" s="176">
        <f t="shared" si="232"/>
        <v>96</v>
      </c>
      <c r="Y218" s="176">
        <f t="shared" si="233"/>
        <v>109</v>
      </c>
      <c r="Z218" s="176">
        <f t="shared" si="234"/>
        <v>121</v>
      </c>
      <c r="AA218" s="176">
        <f t="shared" si="235"/>
        <v>127</v>
      </c>
      <c r="AB218" s="176">
        <f t="shared" si="236"/>
        <v>146</v>
      </c>
      <c r="AC218" s="176">
        <f t="shared" si="237"/>
        <v>158</v>
      </c>
      <c r="AD218" s="461">
        <f t="shared" si="238"/>
        <v>178</v>
      </c>
      <c r="AE218" s="468">
        <v>217</v>
      </c>
      <c r="AF218" s="163">
        <f t="shared" si="205"/>
        <v>178</v>
      </c>
    </row>
    <row r="219" spans="1:32" x14ac:dyDescent="0.35">
      <c r="A219" s="162" t="s">
        <v>128</v>
      </c>
      <c r="B219" s="421">
        <v>218</v>
      </c>
      <c r="C219" s="342" t="s">
        <v>85</v>
      </c>
      <c r="D219" s="284">
        <f>D215+D218</f>
        <v>22</v>
      </c>
      <c r="E219" s="284">
        <f t="shared" ref="E219:O219" si="239">E215+E218</f>
        <v>24</v>
      </c>
      <c r="F219" s="284">
        <f t="shared" si="239"/>
        <v>18</v>
      </c>
      <c r="G219" s="284">
        <f t="shared" si="239"/>
        <v>13</v>
      </c>
      <c r="H219" s="284">
        <f t="shared" si="239"/>
        <v>12</v>
      </c>
      <c r="I219" s="284">
        <f t="shared" si="239"/>
        <v>12</v>
      </c>
      <c r="J219" s="284">
        <f t="shared" si="239"/>
        <v>14</v>
      </c>
      <c r="K219" s="284">
        <f t="shared" si="239"/>
        <v>13</v>
      </c>
      <c r="L219" s="284">
        <f t="shared" si="239"/>
        <v>7</v>
      </c>
      <c r="M219" s="284">
        <f t="shared" si="239"/>
        <v>20</v>
      </c>
      <c r="N219" s="284">
        <f t="shared" si="239"/>
        <v>13</v>
      </c>
      <c r="O219" s="284">
        <f t="shared" si="239"/>
        <v>20</v>
      </c>
      <c r="P219" s="183"/>
      <c r="Q219" s="468">
        <v>218</v>
      </c>
      <c r="R219" s="344" t="s">
        <v>85</v>
      </c>
      <c r="S219" s="176">
        <f t="shared" si="227"/>
        <v>22</v>
      </c>
      <c r="T219" s="176">
        <f t="shared" si="228"/>
        <v>46</v>
      </c>
      <c r="U219" s="176">
        <f t="shared" si="229"/>
        <v>64</v>
      </c>
      <c r="V219" s="176">
        <f t="shared" si="230"/>
        <v>77</v>
      </c>
      <c r="W219" s="176">
        <f t="shared" si="231"/>
        <v>89</v>
      </c>
      <c r="X219" s="176">
        <f t="shared" si="232"/>
        <v>101</v>
      </c>
      <c r="Y219" s="176">
        <f t="shared" si="233"/>
        <v>115</v>
      </c>
      <c r="Z219" s="176">
        <f t="shared" si="234"/>
        <v>128</v>
      </c>
      <c r="AA219" s="176">
        <f t="shared" si="235"/>
        <v>135</v>
      </c>
      <c r="AB219" s="176">
        <f t="shared" si="236"/>
        <v>155</v>
      </c>
      <c r="AC219" s="176">
        <f t="shared" si="237"/>
        <v>168</v>
      </c>
      <c r="AD219" s="461">
        <f t="shared" si="238"/>
        <v>188</v>
      </c>
      <c r="AE219" s="468">
        <v>218</v>
      </c>
      <c r="AF219" s="163">
        <f t="shared" ref="AF219:AF250" si="240">SUM(D219:O219)</f>
        <v>188</v>
      </c>
    </row>
    <row r="220" spans="1:32" x14ac:dyDescent="0.35">
      <c r="B220" s="420">
        <v>219</v>
      </c>
      <c r="C220" s="342" t="s">
        <v>50</v>
      </c>
      <c r="D220" s="197">
        <f>[2]Districts_Boroughs!DF182</f>
        <v>104</v>
      </c>
      <c r="E220" s="197">
        <f>[2]Districts_Boroughs!DG182</f>
        <v>108</v>
      </c>
      <c r="F220" s="197">
        <f>[2]Districts_Boroughs!DH182</f>
        <v>79</v>
      </c>
      <c r="G220" s="197">
        <f>[2]Districts_Boroughs!DI182</f>
        <v>83</v>
      </c>
      <c r="H220" s="197">
        <f>[2]Districts_Boroughs!DJ182</f>
        <v>66</v>
      </c>
      <c r="I220" s="197">
        <f>[2]Districts_Boroughs!DK182</f>
        <v>61</v>
      </c>
      <c r="J220" s="197">
        <f>[2]Districts_Boroughs!DL182</f>
        <v>84</v>
      </c>
      <c r="K220" s="197">
        <f>[2]Districts_Boroughs!DM182</f>
        <v>78</v>
      </c>
      <c r="L220" s="197">
        <f>[2]Districts_Boroughs!DN182</f>
        <v>56</v>
      </c>
      <c r="M220" s="197">
        <f>[2]Districts_Boroughs!DO182</f>
        <v>72</v>
      </c>
      <c r="N220" s="197">
        <f>[2]Districts_Boroughs!DP182</f>
        <v>51</v>
      </c>
      <c r="O220" s="197">
        <f>[2]Districts_Boroughs!DQ182</f>
        <v>60</v>
      </c>
      <c r="P220" s="178"/>
      <c r="Q220" s="468">
        <v>219</v>
      </c>
      <c r="R220" s="344" t="s">
        <v>50</v>
      </c>
      <c r="S220" s="176">
        <f t="shared" si="227"/>
        <v>104</v>
      </c>
      <c r="T220" s="176">
        <f t="shared" si="228"/>
        <v>212</v>
      </c>
      <c r="U220" s="176">
        <f t="shared" si="229"/>
        <v>291</v>
      </c>
      <c r="V220" s="176">
        <f t="shared" si="230"/>
        <v>374</v>
      </c>
      <c r="W220" s="176">
        <f t="shared" si="231"/>
        <v>440</v>
      </c>
      <c r="X220" s="176">
        <f t="shared" si="232"/>
        <v>501</v>
      </c>
      <c r="Y220" s="176">
        <f t="shared" si="233"/>
        <v>585</v>
      </c>
      <c r="Z220" s="176">
        <f t="shared" si="234"/>
        <v>663</v>
      </c>
      <c r="AA220" s="176">
        <f t="shared" si="235"/>
        <v>719</v>
      </c>
      <c r="AB220" s="176">
        <f t="shared" si="236"/>
        <v>791</v>
      </c>
      <c r="AC220" s="176">
        <f t="shared" si="237"/>
        <v>842</v>
      </c>
      <c r="AD220" s="461">
        <f t="shared" si="238"/>
        <v>902</v>
      </c>
      <c r="AE220" s="470">
        <v>219</v>
      </c>
      <c r="AF220" s="163">
        <f t="shared" si="240"/>
        <v>902</v>
      </c>
    </row>
    <row r="221" spans="1:32" x14ac:dyDescent="0.35">
      <c r="B221" s="420">
        <v>220</v>
      </c>
      <c r="C221" s="405" t="s">
        <v>51</v>
      </c>
      <c r="D221" s="197">
        <f>[2]Districts_Boroughs!DF184</f>
        <v>13</v>
      </c>
      <c r="E221" s="197">
        <f>[2]Districts_Boroughs!DG184</f>
        <v>11</v>
      </c>
      <c r="F221" s="197">
        <f>[2]Districts_Boroughs!DH184</f>
        <v>10</v>
      </c>
      <c r="G221" s="197">
        <f>[2]Districts_Boroughs!DI184</f>
        <v>12</v>
      </c>
      <c r="H221" s="197">
        <f>[2]Districts_Boroughs!DJ184</f>
        <v>20</v>
      </c>
      <c r="I221" s="197">
        <f>[2]Districts_Boroughs!DK184</f>
        <v>12</v>
      </c>
      <c r="J221" s="197">
        <f>[2]Districts_Boroughs!DL184</f>
        <v>15</v>
      </c>
      <c r="K221" s="197">
        <f>[2]Districts_Boroughs!DM184</f>
        <v>13</v>
      </c>
      <c r="L221" s="197">
        <f>[2]Districts_Boroughs!DN184</f>
        <v>18</v>
      </c>
      <c r="M221" s="197">
        <f>[2]Districts_Boroughs!DO184</f>
        <v>14</v>
      </c>
      <c r="N221" s="197">
        <f>[2]Districts_Boroughs!DP184</f>
        <v>21</v>
      </c>
      <c r="O221" s="197">
        <f>[2]Districts_Boroughs!DQ184</f>
        <v>17</v>
      </c>
      <c r="P221" s="178"/>
      <c r="Q221" s="468">
        <v>220</v>
      </c>
      <c r="R221" s="344" t="s">
        <v>51</v>
      </c>
      <c r="S221" s="176">
        <f t="shared" si="227"/>
        <v>13</v>
      </c>
      <c r="T221" s="176">
        <f t="shared" si="228"/>
        <v>24</v>
      </c>
      <c r="U221" s="176">
        <f t="shared" si="229"/>
        <v>34</v>
      </c>
      <c r="V221" s="176">
        <f t="shared" si="230"/>
        <v>46</v>
      </c>
      <c r="W221" s="176">
        <f t="shared" si="231"/>
        <v>66</v>
      </c>
      <c r="X221" s="176">
        <f t="shared" si="232"/>
        <v>78</v>
      </c>
      <c r="Y221" s="176">
        <f t="shared" si="233"/>
        <v>93</v>
      </c>
      <c r="Z221" s="176">
        <f t="shared" si="234"/>
        <v>106</v>
      </c>
      <c r="AA221" s="176">
        <f t="shared" si="235"/>
        <v>124</v>
      </c>
      <c r="AB221" s="176">
        <f t="shared" si="236"/>
        <v>138</v>
      </c>
      <c r="AC221" s="176">
        <f t="shared" si="237"/>
        <v>159</v>
      </c>
      <c r="AD221" s="461">
        <f t="shared" si="238"/>
        <v>176</v>
      </c>
      <c r="AE221" s="468">
        <v>220</v>
      </c>
      <c r="AF221" s="163">
        <f t="shared" si="240"/>
        <v>176</v>
      </c>
    </row>
    <row r="222" spans="1:32" x14ac:dyDescent="0.35">
      <c r="B222" s="420">
        <v>221</v>
      </c>
      <c r="C222" s="407" t="s">
        <v>200</v>
      </c>
      <c r="D222" s="197">
        <f>[2]Districts_Boroughs!DF185</f>
        <v>199</v>
      </c>
      <c r="E222" s="197">
        <f>[2]Districts_Boroughs!DG185</f>
        <v>148</v>
      </c>
      <c r="F222" s="197">
        <f>[2]Districts_Boroughs!DH185</f>
        <v>189</v>
      </c>
      <c r="G222" s="197">
        <f>[2]Districts_Boroughs!DI185</f>
        <v>163</v>
      </c>
      <c r="H222" s="197">
        <f>[2]Districts_Boroughs!DJ185</f>
        <v>166</v>
      </c>
      <c r="I222" s="197">
        <f>[2]Districts_Boroughs!DK185</f>
        <v>153</v>
      </c>
      <c r="J222" s="197">
        <f>[2]Districts_Boroughs!DL185</f>
        <v>150</v>
      </c>
      <c r="K222" s="197">
        <f>[2]Districts_Boroughs!DM185</f>
        <v>154</v>
      </c>
      <c r="L222" s="197">
        <f>[2]Districts_Boroughs!DN185</f>
        <v>172</v>
      </c>
      <c r="M222" s="197">
        <f>[2]Districts_Boroughs!DO185</f>
        <v>153</v>
      </c>
      <c r="N222" s="197">
        <f>[2]Districts_Boroughs!DP185</f>
        <v>159</v>
      </c>
      <c r="O222" s="197">
        <f>[2]Districts_Boroughs!DQ185</f>
        <v>175</v>
      </c>
      <c r="P222" s="178"/>
      <c r="Q222" s="468">
        <v>221</v>
      </c>
      <c r="R222" s="345" t="s">
        <v>200</v>
      </c>
      <c r="S222" s="176">
        <f t="shared" ref="S222:S225" si="241">D222</f>
        <v>199</v>
      </c>
      <c r="T222" s="176">
        <f t="shared" ref="T222:AD225" si="242">S222+E222</f>
        <v>347</v>
      </c>
      <c r="U222" s="176">
        <f t="shared" si="242"/>
        <v>536</v>
      </c>
      <c r="V222" s="176">
        <f t="shared" si="242"/>
        <v>699</v>
      </c>
      <c r="W222" s="176">
        <f t="shared" si="242"/>
        <v>865</v>
      </c>
      <c r="X222" s="176">
        <f t="shared" si="242"/>
        <v>1018</v>
      </c>
      <c r="Y222" s="176">
        <f t="shared" si="242"/>
        <v>1168</v>
      </c>
      <c r="Z222" s="176">
        <f t="shared" si="242"/>
        <v>1322</v>
      </c>
      <c r="AA222" s="176">
        <f t="shared" si="242"/>
        <v>1494</v>
      </c>
      <c r="AB222" s="176">
        <f t="shared" si="242"/>
        <v>1647</v>
      </c>
      <c r="AC222" s="176">
        <f t="shared" si="242"/>
        <v>1806</v>
      </c>
      <c r="AD222" s="461">
        <f t="shared" si="242"/>
        <v>1981</v>
      </c>
      <c r="AE222" s="468">
        <v>221</v>
      </c>
      <c r="AF222" s="163">
        <f t="shared" si="240"/>
        <v>1981</v>
      </c>
    </row>
    <row r="223" spans="1:32" x14ac:dyDescent="0.35">
      <c r="B223" s="420">
        <v>222</v>
      </c>
      <c r="C223" s="407" t="s">
        <v>243</v>
      </c>
      <c r="D223" s="197">
        <f>[2]Districts_Boroughs!DF186</f>
        <v>113</v>
      </c>
      <c r="E223" s="197">
        <f>[2]Districts_Boroughs!DG186</f>
        <v>130</v>
      </c>
      <c r="F223" s="197">
        <f>[2]Districts_Boroughs!DH186</f>
        <v>111</v>
      </c>
      <c r="G223" s="197">
        <f>[2]Districts_Boroughs!DI186</f>
        <v>115</v>
      </c>
      <c r="H223" s="197">
        <f>[2]Districts_Boroughs!DJ186</f>
        <v>115</v>
      </c>
      <c r="I223" s="197">
        <f>[2]Districts_Boroughs!DK186</f>
        <v>108</v>
      </c>
      <c r="J223" s="197">
        <f>[2]Districts_Boroughs!DL186</f>
        <v>111</v>
      </c>
      <c r="K223" s="197">
        <f>[2]Districts_Boroughs!DM186</f>
        <v>110</v>
      </c>
      <c r="L223" s="197">
        <f>[2]Districts_Boroughs!DN186</f>
        <v>97</v>
      </c>
      <c r="M223" s="197">
        <f>[2]Districts_Boroughs!DO186</f>
        <v>98</v>
      </c>
      <c r="N223" s="197">
        <f>[2]Districts_Boroughs!DP186</f>
        <v>106</v>
      </c>
      <c r="O223" s="197">
        <f>[2]Districts_Boroughs!DQ186</f>
        <v>104</v>
      </c>
      <c r="P223" s="178"/>
      <c r="Q223" s="468">
        <v>222</v>
      </c>
      <c r="R223" s="345" t="s">
        <v>201</v>
      </c>
      <c r="S223" s="176">
        <f t="shared" si="241"/>
        <v>113</v>
      </c>
      <c r="T223" s="176">
        <f t="shared" si="242"/>
        <v>243</v>
      </c>
      <c r="U223" s="176">
        <f t="shared" si="242"/>
        <v>354</v>
      </c>
      <c r="V223" s="176">
        <f t="shared" si="242"/>
        <v>469</v>
      </c>
      <c r="W223" s="176">
        <f t="shared" si="242"/>
        <v>584</v>
      </c>
      <c r="X223" s="176">
        <f t="shared" si="242"/>
        <v>692</v>
      </c>
      <c r="Y223" s="176">
        <f t="shared" si="242"/>
        <v>803</v>
      </c>
      <c r="Z223" s="176">
        <f t="shared" si="242"/>
        <v>913</v>
      </c>
      <c r="AA223" s="176">
        <f t="shared" si="242"/>
        <v>1010</v>
      </c>
      <c r="AB223" s="176">
        <f t="shared" si="242"/>
        <v>1108</v>
      </c>
      <c r="AC223" s="176">
        <f t="shared" si="242"/>
        <v>1214</v>
      </c>
      <c r="AD223" s="461">
        <f t="shared" si="242"/>
        <v>1318</v>
      </c>
      <c r="AE223" s="470">
        <v>222</v>
      </c>
      <c r="AF223" s="163">
        <f t="shared" si="240"/>
        <v>1318</v>
      </c>
    </row>
    <row r="224" spans="1:32" x14ac:dyDescent="0.35">
      <c r="B224" s="422">
        <v>223</v>
      </c>
      <c r="C224" s="407" t="s">
        <v>202</v>
      </c>
      <c r="D224" s="197">
        <f>[2]Districts_Boroughs!DF187</f>
        <v>0</v>
      </c>
      <c r="E224" s="197">
        <f>[2]Districts_Boroughs!DG187</f>
        <v>3</v>
      </c>
      <c r="F224" s="197">
        <f>[2]Districts_Boroughs!DH187</f>
        <v>0</v>
      </c>
      <c r="G224" s="197">
        <f>[2]Districts_Boroughs!DI187</f>
        <v>0</v>
      </c>
      <c r="H224" s="197">
        <f>[2]Districts_Boroughs!DJ187</f>
        <v>0</v>
      </c>
      <c r="I224" s="197">
        <f>[2]Districts_Boroughs!DK187</f>
        <v>1</v>
      </c>
      <c r="J224" s="197">
        <f>[2]Districts_Boroughs!DL187</f>
        <v>0</v>
      </c>
      <c r="K224" s="197">
        <f>[2]Districts_Boroughs!DM187</f>
        <v>2</v>
      </c>
      <c r="L224" s="197">
        <f>[2]Districts_Boroughs!DN187</f>
        <v>4</v>
      </c>
      <c r="M224" s="197">
        <f>[2]Districts_Boroughs!DO187</f>
        <v>6</v>
      </c>
      <c r="N224" s="197">
        <f>[2]Districts_Boroughs!DP187</f>
        <v>1</v>
      </c>
      <c r="O224" s="197">
        <f>[2]Districts_Boroughs!DQ187</f>
        <v>4</v>
      </c>
      <c r="P224" s="178"/>
      <c r="Q224" s="468">
        <v>223</v>
      </c>
      <c r="R224" s="345" t="s">
        <v>202</v>
      </c>
      <c r="S224" s="176">
        <f t="shared" si="241"/>
        <v>0</v>
      </c>
      <c r="T224" s="176">
        <f t="shared" si="242"/>
        <v>3</v>
      </c>
      <c r="U224" s="176">
        <f t="shared" si="242"/>
        <v>3</v>
      </c>
      <c r="V224" s="176">
        <f t="shared" si="242"/>
        <v>3</v>
      </c>
      <c r="W224" s="176">
        <f t="shared" si="242"/>
        <v>3</v>
      </c>
      <c r="X224" s="176">
        <f t="shared" si="242"/>
        <v>4</v>
      </c>
      <c r="Y224" s="176">
        <f t="shared" si="242"/>
        <v>4</v>
      </c>
      <c r="Z224" s="176">
        <f t="shared" si="242"/>
        <v>6</v>
      </c>
      <c r="AA224" s="176">
        <f t="shared" si="242"/>
        <v>10</v>
      </c>
      <c r="AB224" s="176">
        <f t="shared" si="242"/>
        <v>16</v>
      </c>
      <c r="AC224" s="176">
        <f t="shared" si="242"/>
        <v>17</v>
      </c>
      <c r="AD224" s="461">
        <f t="shared" si="242"/>
        <v>21</v>
      </c>
      <c r="AE224" s="468">
        <v>223</v>
      </c>
      <c r="AF224" s="163">
        <f t="shared" si="240"/>
        <v>21</v>
      </c>
    </row>
    <row r="225" spans="1:32" x14ac:dyDescent="0.35">
      <c r="B225" s="420">
        <v>224</v>
      </c>
      <c r="C225" s="406" t="s">
        <v>52</v>
      </c>
      <c r="D225" s="197">
        <f>[2]Districts_Boroughs!DF189</f>
        <v>105</v>
      </c>
      <c r="E225" s="197">
        <f>[2]Districts_Boroughs!DG189</f>
        <v>123</v>
      </c>
      <c r="F225" s="197">
        <f>[2]Districts_Boroughs!DH189</f>
        <v>92</v>
      </c>
      <c r="G225" s="197">
        <f>[2]Districts_Boroughs!DI189</f>
        <v>116</v>
      </c>
      <c r="H225" s="197">
        <f>[2]Districts_Boroughs!DJ189</f>
        <v>86</v>
      </c>
      <c r="I225" s="197">
        <f>[2]Districts_Boroughs!DK189</f>
        <v>90</v>
      </c>
      <c r="J225" s="197">
        <f>[2]Districts_Boroughs!DL189</f>
        <v>111</v>
      </c>
      <c r="K225" s="197">
        <f>[2]Districts_Boroughs!DM189</f>
        <v>121</v>
      </c>
      <c r="L225" s="197">
        <f>[2]Districts_Boroughs!DN189</f>
        <v>100</v>
      </c>
      <c r="M225" s="197">
        <f>[2]Districts_Boroughs!DO189</f>
        <v>136</v>
      </c>
      <c r="N225" s="197">
        <f>[2]Districts_Boroughs!DP189</f>
        <v>98</v>
      </c>
      <c r="O225" s="197">
        <f>[2]Districts_Boroughs!DQ189</f>
        <v>116</v>
      </c>
      <c r="P225" s="178"/>
      <c r="Q225" s="468">
        <v>224</v>
      </c>
      <c r="R225" s="344" t="s">
        <v>52</v>
      </c>
      <c r="S225" s="176">
        <f t="shared" si="241"/>
        <v>105</v>
      </c>
      <c r="T225" s="176">
        <f t="shared" si="242"/>
        <v>228</v>
      </c>
      <c r="U225" s="176">
        <f t="shared" si="242"/>
        <v>320</v>
      </c>
      <c r="V225" s="176">
        <f t="shared" si="242"/>
        <v>436</v>
      </c>
      <c r="W225" s="176">
        <f t="shared" si="242"/>
        <v>522</v>
      </c>
      <c r="X225" s="176">
        <f t="shared" si="242"/>
        <v>612</v>
      </c>
      <c r="Y225" s="176">
        <f t="shared" si="242"/>
        <v>723</v>
      </c>
      <c r="Z225" s="176">
        <f t="shared" si="242"/>
        <v>844</v>
      </c>
      <c r="AA225" s="176">
        <f t="shared" si="242"/>
        <v>944</v>
      </c>
      <c r="AB225" s="176">
        <f t="shared" si="242"/>
        <v>1080</v>
      </c>
      <c r="AC225" s="176">
        <f t="shared" si="242"/>
        <v>1178</v>
      </c>
      <c r="AD225" s="461">
        <f t="shared" si="242"/>
        <v>1294</v>
      </c>
      <c r="AE225" s="468">
        <v>224</v>
      </c>
      <c r="AF225" s="163">
        <f t="shared" si="240"/>
        <v>1294</v>
      </c>
    </row>
    <row r="226" spans="1:32" x14ac:dyDescent="0.35">
      <c r="B226" s="420">
        <v>225</v>
      </c>
      <c r="C226" s="342" t="s">
        <v>81</v>
      </c>
      <c r="D226" s="197">
        <f>[2]Districts_Boroughs!DF191</f>
        <v>34</v>
      </c>
      <c r="E226" s="197">
        <f>[2]Districts_Boroughs!DG191</f>
        <v>17</v>
      </c>
      <c r="F226" s="197">
        <f>[2]Districts_Boroughs!DH191</f>
        <v>25</v>
      </c>
      <c r="G226" s="197">
        <f>[2]Districts_Boroughs!DI191</f>
        <v>21</v>
      </c>
      <c r="H226" s="197">
        <f>[2]Districts_Boroughs!DJ191</f>
        <v>14</v>
      </c>
      <c r="I226" s="197">
        <f>[2]Districts_Boroughs!DK191</f>
        <v>17</v>
      </c>
      <c r="J226" s="197">
        <f>[2]Districts_Boroughs!DL191</f>
        <v>11</v>
      </c>
      <c r="K226" s="197">
        <f>[2]Districts_Boroughs!DM191</f>
        <v>20</v>
      </c>
      <c r="L226" s="197">
        <f>[2]Districts_Boroughs!DN191</f>
        <v>36</v>
      </c>
      <c r="M226" s="197">
        <f>[2]Districts_Boroughs!DO191</f>
        <v>26</v>
      </c>
      <c r="N226" s="197">
        <f>[2]Districts_Boroughs!DP191</f>
        <v>21</v>
      </c>
      <c r="O226" s="197">
        <f>[2]Districts_Boroughs!DQ191</f>
        <v>15</v>
      </c>
      <c r="P226" s="178"/>
      <c r="Q226" s="468">
        <v>225</v>
      </c>
      <c r="R226" s="344" t="s">
        <v>81</v>
      </c>
      <c r="S226" s="176">
        <f t="shared" ref="S226:S235" si="243">D226</f>
        <v>34</v>
      </c>
      <c r="T226" s="176">
        <f t="shared" ref="T226:T235" si="244">S226+E226</f>
        <v>51</v>
      </c>
      <c r="U226" s="176">
        <f t="shared" ref="U226:U235" si="245">T226+F226</f>
        <v>76</v>
      </c>
      <c r="V226" s="176">
        <f t="shared" ref="V226:V235" si="246">U226+G226</f>
        <v>97</v>
      </c>
      <c r="W226" s="176">
        <f t="shared" ref="W226:W235" si="247">V226+H226</f>
        <v>111</v>
      </c>
      <c r="X226" s="176">
        <f t="shared" ref="X226:X235" si="248">W226+I226</f>
        <v>128</v>
      </c>
      <c r="Y226" s="176">
        <f t="shared" ref="Y226:Y235" si="249">X226+J226</f>
        <v>139</v>
      </c>
      <c r="Z226" s="176">
        <f t="shared" ref="Z226:Z235" si="250">Y226+K226</f>
        <v>159</v>
      </c>
      <c r="AA226" s="176">
        <f t="shared" ref="AA226:AA235" si="251">Z226+L226</f>
        <v>195</v>
      </c>
      <c r="AB226" s="176">
        <f t="shared" ref="AB226:AB235" si="252">AA226+M226</f>
        <v>221</v>
      </c>
      <c r="AC226" s="176">
        <f t="shared" ref="AC226:AC235" si="253">AB226+N226</f>
        <v>242</v>
      </c>
      <c r="AD226" s="461">
        <f t="shared" ref="AD226:AD235" si="254">AC226+O226</f>
        <v>257</v>
      </c>
      <c r="AE226" s="468">
        <v>225</v>
      </c>
      <c r="AF226" s="163">
        <f t="shared" si="240"/>
        <v>257</v>
      </c>
    </row>
    <row r="227" spans="1:32" x14ac:dyDescent="0.35">
      <c r="A227" s="162" t="s">
        <v>128</v>
      </c>
      <c r="B227" s="420">
        <v>226</v>
      </c>
      <c r="C227" s="342" t="s">
        <v>75</v>
      </c>
      <c r="D227" s="289">
        <f>D202+D197+D217+D219</f>
        <v>136</v>
      </c>
      <c r="E227" s="289">
        <f t="shared" ref="E227:O227" si="255">E202+E197+E217+E219</f>
        <v>117</v>
      </c>
      <c r="F227" s="289">
        <f t="shared" si="255"/>
        <v>114</v>
      </c>
      <c r="G227" s="289">
        <f t="shared" si="255"/>
        <v>112</v>
      </c>
      <c r="H227" s="289">
        <f t="shared" si="255"/>
        <v>81</v>
      </c>
      <c r="I227" s="289">
        <f t="shared" si="255"/>
        <v>78</v>
      </c>
      <c r="J227" s="289">
        <f t="shared" si="255"/>
        <v>110</v>
      </c>
      <c r="K227" s="289">
        <f t="shared" si="255"/>
        <v>102</v>
      </c>
      <c r="L227" s="289">
        <f t="shared" si="255"/>
        <v>89</v>
      </c>
      <c r="M227" s="289">
        <f t="shared" si="255"/>
        <v>86</v>
      </c>
      <c r="N227" s="289">
        <f t="shared" si="255"/>
        <v>64</v>
      </c>
      <c r="O227" s="289">
        <f t="shared" si="255"/>
        <v>71</v>
      </c>
      <c r="P227" s="189"/>
      <c r="Q227" s="468">
        <v>226</v>
      </c>
      <c r="R227" s="344" t="s">
        <v>75</v>
      </c>
      <c r="S227" s="176">
        <f t="shared" si="243"/>
        <v>136</v>
      </c>
      <c r="T227" s="176">
        <f t="shared" si="244"/>
        <v>253</v>
      </c>
      <c r="U227" s="176">
        <f t="shared" si="245"/>
        <v>367</v>
      </c>
      <c r="V227" s="176">
        <f t="shared" si="246"/>
        <v>479</v>
      </c>
      <c r="W227" s="176">
        <f t="shared" si="247"/>
        <v>560</v>
      </c>
      <c r="X227" s="176">
        <f t="shared" si="248"/>
        <v>638</v>
      </c>
      <c r="Y227" s="176">
        <f t="shared" si="249"/>
        <v>748</v>
      </c>
      <c r="Z227" s="176">
        <f t="shared" si="250"/>
        <v>850</v>
      </c>
      <c r="AA227" s="176">
        <f t="shared" si="251"/>
        <v>939</v>
      </c>
      <c r="AB227" s="176">
        <f t="shared" si="252"/>
        <v>1025</v>
      </c>
      <c r="AC227" s="176">
        <f t="shared" si="253"/>
        <v>1089</v>
      </c>
      <c r="AD227" s="461">
        <f t="shared" si="254"/>
        <v>1160</v>
      </c>
      <c r="AE227" s="468">
        <v>226</v>
      </c>
      <c r="AF227" s="163">
        <f t="shared" si="240"/>
        <v>1160</v>
      </c>
    </row>
    <row r="228" spans="1:32" x14ac:dyDescent="0.35">
      <c r="B228" s="420">
        <v>227</v>
      </c>
      <c r="C228" s="342" t="s">
        <v>76</v>
      </c>
      <c r="D228" s="100">
        <f>[2]ASB!DF37</f>
        <v>128</v>
      </c>
      <c r="E228" s="100">
        <f>[2]ASB!DG37</f>
        <v>167</v>
      </c>
      <c r="F228" s="100">
        <f>[2]ASB!DH37</f>
        <v>167</v>
      </c>
      <c r="G228" s="100">
        <f>[2]ASB!DI37</f>
        <v>117</v>
      </c>
      <c r="H228" s="100">
        <f>[2]ASB!DJ37</f>
        <v>145</v>
      </c>
      <c r="I228" s="100">
        <f>[2]ASB!DK37</f>
        <v>158</v>
      </c>
      <c r="J228" s="100">
        <f>[2]ASB!DL37</f>
        <v>118</v>
      </c>
      <c r="K228" s="100">
        <f>[2]ASB!DM37</f>
        <v>115</v>
      </c>
      <c r="L228" s="100">
        <f>[2]ASB!DN37</f>
        <v>88</v>
      </c>
      <c r="M228" s="100">
        <f>[2]ASB!DO37</f>
        <v>105</v>
      </c>
      <c r="N228" s="100">
        <f>[2]ASB!DP37</f>
        <v>121</v>
      </c>
      <c r="O228" s="100">
        <f>[2]ASB!DQ37</f>
        <v>131</v>
      </c>
      <c r="P228" s="100"/>
      <c r="Q228" s="468">
        <v>227</v>
      </c>
      <c r="R228" s="344" t="s">
        <v>76</v>
      </c>
      <c r="S228" s="176">
        <f t="shared" si="243"/>
        <v>128</v>
      </c>
      <c r="T228" s="176">
        <f t="shared" si="244"/>
        <v>295</v>
      </c>
      <c r="U228" s="176">
        <f t="shared" si="245"/>
        <v>462</v>
      </c>
      <c r="V228" s="176">
        <f t="shared" si="246"/>
        <v>579</v>
      </c>
      <c r="W228" s="176">
        <f t="shared" si="247"/>
        <v>724</v>
      </c>
      <c r="X228" s="176">
        <f t="shared" si="248"/>
        <v>882</v>
      </c>
      <c r="Y228" s="176">
        <f t="shared" si="249"/>
        <v>1000</v>
      </c>
      <c r="Z228" s="176">
        <f t="shared" si="250"/>
        <v>1115</v>
      </c>
      <c r="AA228" s="176">
        <f t="shared" si="251"/>
        <v>1203</v>
      </c>
      <c r="AB228" s="176">
        <f t="shared" si="252"/>
        <v>1308</v>
      </c>
      <c r="AC228" s="176">
        <f t="shared" si="253"/>
        <v>1429</v>
      </c>
      <c r="AD228" s="461">
        <f t="shared" si="254"/>
        <v>1560</v>
      </c>
      <c r="AE228" s="470">
        <v>227</v>
      </c>
      <c r="AF228" s="163">
        <f t="shared" si="240"/>
        <v>1560</v>
      </c>
    </row>
    <row r="229" spans="1:32" x14ac:dyDescent="0.35">
      <c r="B229" s="421">
        <v>228</v>
      </c>
      <c r="C229" s="342" t="s">
        <v>86</v>
      </c>
      <c r="D229" s="100">
        <f>[2]ASB!DF38</f>
        <v>19</v>
      </c>
      <c r="E229" s="100">
        <f>[2]ASB!DG38</f>
        <v>31</v>
      </c>
      <c r="F229" s="100">
        <f>[2]ASB!DH38</f>
        <v>28</v>
      </c>
      <c r="G229" s="100">
        <f>[2]ASB!DI38</f>
        <v>23</v>
      </c>
      <c r="H229" s="100">
        <f>[2]ASB!DJ38</f>
        <v>31</v>
      </c>
      <c r="I229" s="100">
        <f>[2]ASB!DK38</f>
        <v>37</v>
      </c>
      <c r="J229" s="100">
        <f>[2]ASB!DL38</f>
        <v>28</v>
      </c>
      <c r="K229" s="100">
        <f>[2]ASB!DM38</f>
        <v>35</v>
      </c>
      <c r="L229" s="100">
        <f>[2]ASB!DN38</f>
        <v>20</v>
      </c>
      <c r="M229" s="100">
        <f>[2]ASB!DO38</f>
        <v>34</v>
      </c>
      <c r="N229" s="100">
        <f>[2]ASB!DP38</f>
        <v>33</v>
      </c>
      <c r="O229" s="100">
        <f>[2]ASB!DQ38</f>
        <v>48</v>
      </c>
      <c r="P229" s="100"/>
      <c r="Q229" s="468">
        <v>228</v>
      </c>
      <c r="R229" s="344" t="s">
        <v>86</v>
      </c>
      <c r="S229" s="176">
        <f t="shared" si="243"/>
        <v>19</v>
      </c>
      <c r="T229" s="176">
        <f t="shared" si="244"/>
        <v>50</v>
      </c>
      <c r="U229" s="176">
        <f t="shared" si="245"/>
        <v>78</v>
      </c>
      <c r="V229" s="176">
        <f t="shared" si="246"/>
        <v>101</v>
      </c>
      <c r="W229" s="176">
        <f t="shared" si="247"/>
        <v>132</v>
      </c>
      <c r="X229" s="176">
        <f t="shared" si="248"/>
        <v>169</v>
      </c>
      <c r="Y229" s="176">
        <f t="shared" si="249"/>
        <v>197</v>
      </c>
      <c r="Z229" s="176">
        <f t="shared" si="250"/>
        <v>232</v>
      </c>
      <c r="AA229" s="176">
        <f t="shared" si="251"/>
        <v>252</v>
      </c>
      <c r="AB229" s="176">
        <f t="shared" si="252"/>
        <v>286</v>
      </c>
      <c r="AC229" s="176">
        <f t="shared" si="253"/>
        <v>319</v>
      </c>
      <c r="AD229" s="461">
        <f t="shared" si="254"/>
        <v>367</v>
      </c>
      <c r="AE229" s="468">
        <v>228</v>
      </c>
      <c r="AF229" s="163">
        <f t="shared" si="240"/>
        <v>367</v>
      </c>
    </row>
    <row r="230" spans="1:32" x14ac:dyDescent="0.35">
      <c r="B230" s="420">
        <v>229</v>
      </c>
      <c r="C230" s="342" t="s">
        <v>88</v>
      </c>
      <c r="D230" s="100">
        <f>[2]ASB!DF39</f>
        <v>102</v>
      </c>
      <c r="E230" s="100">
        <f>[2]ASB!DG39</f>
        <v>117</v>
      </c>
      <c r="F230" s="100">
        <f>[2]ASB!DH39</f>
        <v>121</v>
      </c>
      <c r="G230" s="100">
        <f>[2]ASB!DI39</f>
        <v>84</v>
      </c>
      <c r="H230" s="100">
        <f>[2]ASB!DJ39</f>
        <v>105</v>
      </c>
      <c r="I230" s="100">
        <f>[2]ASB!DK39</f>
        <v>108</v>
      </c>
      <c r="J230" s="100">
        <f>[2]ASB!DL39</f>
        <v>76</v>
      </c>
      <c r="K230" s="100">
        <f>[2]ASB!DM39</f>
        <v>55</v>
      </c>
      <c r="L230" s="100">
        <f>[2]ASB!DN39</f>
        <v>57</v>
      </c>
      <c r="M230" s="100">
        <f>[2]ASB!DO39</f>
        <v>55</v>
      </c>
      <c r="N230" s="100">
        <f>[2]ASB!DP39</f>
        <v>68</v>
      </c>
      <c r="O230" s="100">
        <f>[2]ASB!DQ39</f>
        <v>67</v>
      </c>
      <c r="P230" s="100"/>
      <c r="Q230" s="468">
        <v>229</v>
      </c>
      <c r="R230" s="344" t="s">
        <v>88</v>
      </c>
      <c r="S230" s="176">
        <f t="shared" si="243"/>
        <v>102</v>
      </c>
      <c r="T230" s="176">
        <f t="shared" si="244"/>
        <v>219</v>
      </c>
      <c r="U230" s="176">
        <f t="shared" si="245"/>
        <v>340</v>
      </c>
      <c r="V230" s="176">
        <f t="shared" si="246"/>
        <v>424</v>
      </c>
      <c r="W230" s="176">
        <f t="shared" si="247"/>
        <v>529</v>
      </c>
      <c r="X230" s="176">
        <f t="shared" si="248"/>
        <v>637</v>
      </c>
      <c r="Y230" s="176">
        <f t="shared" si="249"/>
        <v>713</v>
      </c>
      <c r="Z230" s="176">
        <f t="shared" si="250"/>
        <v>768</v>
      </c>
      <c r="AA230" s="176">
        <f t="shared" si="251"/>
        <v>825</v>
      </c>
      <c r="AB230" s="176">
        <f t="shared" si="252"/>
        <v>880</v>
      </c>
      <c r="AC230" s="176">
        <f t="shared" si="253"/>
        <v>948</v>
      </c>
      <c r="AD230" s="461">
        <f t="shared" si="254"/>
        <v>1015</v>
      </c>
      <c r="AE230" s="468">
        <v>229</v>
      </c>
      <c r="AF230" s="163">
        <f t="shared" si="240"/>
        <v>1015</v>
      </c>
    </row>
    <row r="231" spans="1:32" x14ac:dyDescent="0.35">
      <c r="B231" s="420">
        <v>230</v>
      </c>
      <c r="C231" s="342" t="s">
        <v>87</v>
      </c>
      <c r="D231" s="100">
        <f>[2]ASB!DF40</f>
        <v>7</v>
      </c>
      <c r="E231" s="100">
        <f>[2]ASB!DG40</f>
        <v>19</v>
      </c>
      <c r="F231" s="100">
        <f>[2]ASB!DH40</f>
        <v>18</v>
      </c>
      <c r="G231" s="100">
        <f>[2]ASB!DI40</f>
        <v>10</v>
      </c>
      <c r="H231" s="100">
        <f>[2]ASB!DJ40</f>
        <v>9</v>
      </c>
      <c r="I231" s="100">
        <f>[2]ASB!DK40</f>
        <v>13</v>
      </c>
      <c r="J231" s="100">
        <f>[2]ASB!DL40</f>
        <v>14</v>
      </c>
      <c r="K231" s="100">
        <f>[2]ASB!DM40</f>
        <v>25</v>
      </c>
      <c r="L231" s="100">
        <f>[2]ASB!DN40</f>
        <v>11</v>
      </c>
      <c r="M231" s="100">
        <f>[2]ASB!DO40</f>
        <v>16</v>
      </c>
      <c r="N231" s="100">
        <f>[2]ASB!DP40</f>
        <v>20</v>
      </c>
      <c r="O231" s="100">
        <f>[2]ASB!DQ40</f>
        <v>16</v>
      </c>
      <c r="P231" s="100"/>
      <c r="Q231" s="468">
        <v>230</v>
      </c>
      <c r="R231" s="344" t="s">
        <v>87</v>
      </c>
      <c r="S231" s="176">
        <f t="shared" si="243"/>
        <v>7</v>
      </c>
      <c r="T231" s="176">
        <f t="shared" si="244"/>
        <v>26</v>
      </c>
      <c r="U231" s="176">
        <f t="shared" si="245"/>
        <v>44</v>
      </c>
      <c r="V231" s="176">
        <f t="shared" si="246"/>
        <v>54</v>
      </c>
      <c r="W231" s="176">
        <f t="shared" si="247"/>
        <v>63</v>
      </c>
      <c r="X231" s="176">
        <f t="shared" si="248"/>
        <v>76</v>
      </c>
      <c r="Y231" s="176">
        <f t="shared" si="249"/>
        <v>90</v>
      </c>
      <c r="Z231" s="176">
        <f t="shared" si="250"/>
        <v>115</v>
      </c>
      <c r="AA231" s="176">
        <f t="shared" si="251"/>
        <v>126</v>
      </c>
      <c r="AB231" s="176">
        <f t="shared" si="252"/>
        <v>142</v>
      </c>
      <c r="AC231" s="176">
        <f t="shared" si="253"/>
        <v>162</v>
      </c>
      <c r="AD231" s="461">
        <f t="shared" si="254"/>
        <v>178</v>
      </c>
      <c r="AE231" s="470">
        <v>230</v>
      </c>
      <c r="AF231" s="163">
        <f t="shared" si="240"/>
        <v>178</v>
      </c>
    </row>
    <row r="232" spans="1:32" x14ac:dyDescent="0.35">
      <c r="B232" s="420">
        <v>231</v>
      </c>
      <c r="C232" s="342" t="s">
        <v>90</v>
      </c>
      <c r="D232" s="100">
        <f>[2]DSF!EG12</f>
        <v>3</v>
      </c>
      <c r="E232" s="100">
        <f>[2]DSF!EH12</f>
        <v>1</v>
      </c>
      <c r="F232" s="100">
        <f>[2]DSF!EI12</f>
        <v>1</v>
      </c>
      <c r="G232" s="100">
        <f>[2]DSF!EJ12</f>
        <v>0</v>
      </c>
      <c r="H232" s="100">
        <f>[2]DSF!EK12</f>
        <v>2</v>
      </c>
      <c r="I232" s="100">
        <f>[2]DSF!EL12</f>
        <v>1</v>
      </c>
      <c r="J232" s="100">
        <f>[2]DSF!EM12</f>
        <v>0</v>
      </c>
      <c r="K232" s="100">
        <f>[2]DSF!EN12</f>
        <v>2</v>
      </c>
      <c r="L232" s="100">
        <f>[2]DSF!EO12</f>
        <v>1</v>
      </c>
      <c r="M232" s="100">
        <f>[2]DSF!EP12</f>
        <v>1</v>
      </c>
      <c r="N232" s="100">
        <f>[2]DSF!EQ12</f>
        <v>0</v>
      </c>
      <c r="O232" s="100">
        <f>[2]DSF!ER12</f>
        <v>1</v>
      </c>
      <c r="P232" s="100"/>
      <c r="Q232" s="468">
        <v>231</v>
      </c>
      <c r="R232" s="344" t="s">
        <v>90</v>
      </c>
      <c r="S232" s="176">
        <f t="shared" si="243"/>
        <v>3</v>
      </c>
      <c r="T232" s="176">
        <f t="shared" si="244"/>
        <v>4</v>
      </c>
      <c r="U232" s="176">
        <f t="shared" si="245"/>
        <v>5</v>
      </c>
      <c r="V232" s="176">
        <f t="shared" si="246"/>
        <v>5</v>
      </c>
      <c r="W232" s="176">
        <f t="shared" si="247"/>
        <v>7</v>
      </c>
      <c r="X232" s="176">
        <f t="shared" si="248"/>
        <v>8</v>
      </c>
      <c r="Y232" s="176">
        <f t="shared" si="249"/>
        <v>8</v>
      </c>
      <c r="Z232" s="176">
        <f t="shared" si="250"/>
        <v>10</v>
      </c>
      <c r="AA232" s="176">
        <f t="shared" si="251"/>
        <v>11</v>
      </c>
      <c r="AB232" s="176">
        <f t="shared" si="252"/>
        <v>12</v>
      </c>
      <c r="AC232" s="176">
        <f t="shared" si="253"/>
        <v>12</v>
      </c>
      <c r="AD232" s="461">
        <f t="shared" si="254"/>
        <v>13</v>
      </c>
      <c r="AE232" s="468">
        <v>231</v>
      </c>
      <c r="AF232" s="163">
        <f t="shared" si="240"/>
        <v>13</v>
      </c>
    </row>
    <row r="233" spans="1:32" x14ac:dyDescent="0.35">
      <c r="A233" s="162" t="s">
        <v>128</v>
      </c>
      <c r="B233" s="420">
        <v>232</v>
      </c>
      <c r="C233" s="342" t="s">
        <v>89</v>
      </c>
      <c r="D233" s="286">
        <f>SUM(D234:D235)</f>
        <v>10</v>
      </c>
      <c r="E233" s="286">
        <f t="shared" ref="E233:O233" si="256">SUM(E234:E235)</f>
        <v>8</v>
      </c>
      <c r="F233" s="286">
        <f t="shared" si="256"/>
        <v>7</v>
      </c>
      <c r="G233" s="286">
        <f t="shared" si="256"/>
        <v>7</v>
      </c>
      <c r="H233" s="286">
        <f t="shared" si="256"/>
        <v>5</v>
      </c>
      <c r="I233" s="286">
        <f t="shared" si="256"/>
        <v>4</v>
      </c>
      <c r="J233" s="286">
        <f t="shared" si="256"/>
        <v>9</v>
      </c>
      <c r="K233" s="286">
        <f t="shared" si="256"/>
        <v>5</v>
      </c>
      <c r="L233" s="286">
        <f t="shared" si="256"/>
        <v>10</v>
      </c>
      <c r="M233" s="286">
        <f t="shared" si="256"/>
        <v>6</v>
      </c>
      <c r="N233" s="286">
        <f t="shared" si="256"/>
        <v>3</v>
      </c>
      <c r="O233" s="286">
        <f t="shared" si="256"/>
        <v>4</v>
      </c>
      <c r="P233" s="181"/>
      <c r="Q233" s="468">
        <v>232</v>
      </c>
      <c r="R233" s="344" t="s">
        <v>89</v>
      </c>
      <c r="S233" s="176">
        <f t="shared" si="243"/>
        <v>10</v>
      </c>
      <c r="T233" s="176">
        <f t="shared" si="244"/>
        <v>18</v>
      </c>
      <c r="U233" s="176">
        <f t="shared" si="245"/>
        <v>25</v>
      </c>
      <c r="V233" s="176">
        <f t="shared" si="246"/>
        <v>32</v>
      </c>
      <c r="W233" s="176">
        <f t="shared" si="247"/>
        <v>37</v>
      </c>
      <c r="X233" s="176">
        <f t="shared" si="248"/>
        <v>41</v>
      </c>
      <c r="Y233" s="176">
        <f t="shared" si="249"/>
        <v>50</v>
      </c>
      <c r="Z233" s="176">
        <f t="shared" si="250"/>
        <v>55</v>
      </c>
      <c r="AA233" s="176">
        <f t="shared" si="251"/>
        <v>65</v>
      </c>
      <c r="AB233" s="176">
        <f t="shared" si="252"/>
        <v>71</v>
      </c>
      <c r="AC233" s="176">
        <f t="shared" si="253"/>
        <v>74</v>
      </c>
      <c r="AD233" s="461">
        <f t="shared" si="254"/>
        <v>78</v>
      </c>
      <c r="AE233" s="468">
        <v>232</v>
      </c>
      <c r="AF233" s="163">
        <f t="shared" si="240"/>
        <v>78</v>
      </c>
    </row>
    <row r="234" spans="1:32" x14ac:dyDescent="0.35">
      <c r="B234" s="421">
        <v>233</v>
      </c>
      <c r="C234" s="342" t="s">
        <v>66</v>
      </c>
      <c r="D234" s="176">
        <f>[2]KSI!DG6</f>
        <v>4</v>
      </c>
      <c r="E234" s="176">
        <f>[2]KSI!DH6</f>
        <v>1</v>
      </c>
      <c r="F234" s="176">
        <f>[2]KSI!DI6</f>
        <v>1</v>
      </c>
      <c r="G234" s="176">
        <f>[2]KSI!DJ6</f>
        <v>0</v>
      </c>
      <c r="H234" s="176">
        <f>[2]KSI!DK6</f>
        <v>0</v>
      </c>
      <c r="I234" s="176">
        <f>[2]KSI!DL6</f>
        <v>0</v>
      </c>
      <c r="J234" s="176">
        <f>[2]KSI!DM6</f>
        <v>4</v>
      </c>
      <c r="K234" s="176">
        <f>[2]KSI!DN6</f>
        <v>1</v>
      </c>
      <c r="L234" s="176">
        <f>[2]KSI!DO6</f>
        <v>1</v>
      </c>
      <c r="M234" s="176">
        <f>[2]KSI!DP6</f>
        <v>1</v>
      </c>
      <c r="N234" s="176">
        <f>[2]KSI!DQ6</f>
        <v>0</v>
      </c>
      <c r="O234" s="176">
        <f>[2]KSI!DR6</f>
        <v>1</v>
      </c>
      <c r="P234" s="181"/>
      <c r="Q234" s="468">
        <v>233</v>
      </c>
      <c r="R234" s="344" t="s">
        <v>66</v>
      </c>
      <c r="S234" s="176">
        <f t="shared" si="243"/>
        <v>4</v>
      </c>
      <c r="T234" s="176">
        <f t="shared" si="244"/>
        <v>5</v>
      </c>
      <c r="U234" s="176">
        <f t="shared" si="245"/>
        <v>6</v>
      </c>
      <c r="V234" s="176">
        <f t="shared" si="246"/>
        <v>6</v>
      </c>
      <c r="W234" s="176">
        <f t="shared" si="247"/>
        <v>6</v>
      </c>
      <c r="X234" s="176">
        <f t="shared" si="248"/>
        <v>6</v>
      </c>
      <c r="Y234" s="176">
        <f t="shared" si="249"/>
        <v>10</v>
      </c>
      <c r="Z234" s="176">
        <f t="shared" si="250"/>
        <v>11</v>
      </c>
      <c r="AA234" s="176">
        <f t="shared" si="251"/>
        <v>12</v>
      </c>
      <c r="AB234" s="176">
        <f t="shared" si="252"/>
        <v>13</v>
      </c>
      <c r="AC234" s="176">
        <f t="shared" si="253"/>
        <v>13</v>
      </c>
      <c r="AD234" s="461">
        <f t="shared" si="254"/>
        <v>14</v>
      </c>
      <c r="AE234" s="468">
        <v>233</v>
      </c>
      <c r="AF234" s="163">
        <f t="shared" si="240"/>
        <v>14</v>
      </c>
    </row>
    <row r="235" spans="1:32" x14ac:dyDescent="0.35">
      <c r="B235" s="420">
        <v>234</v>
      </c>
      <c r="C235" s="342" t="s">
        <v>67</v>
      </c>
      <c r="D235" s="176">
        <f>[2]KSI!DG7</f>
        <v>6</v>
      </c>
      <c r="E235" s="176">
        <f>[2]KSI!DH7</f>
        <v>7</v>
      </c>
      <c r="F235" s="176">
        <f>[2]KSI!DI7</f>
        <v>6</v>
      </c>
      <c r="G235" s="176">
        <f>[2]KSI!DJ7</f>
        <v>7</v>
      </c>
      <c r="H235" s="176">
        <f>[2]KSI!DK7</f>
        <v>5</v>
      </c>
      <c r="I235" s="176">
        <f>[2]KSI!DL7</f>
        <v>4</v>
      </c>
      <c r="J235" s="176">
        <f>[2]KSI!DM7</f>
        <v>5</v>
      </c>
      <c r="K235" s="176">
        <f>[2]KSI!DN7</f>
        <v>4</v>
      </c>
      <c r="L235" s="176">
        <f>[2]KSI!DO7</f>
        <v>9</v>
      </c>
      <c r="M235" s="176">
        <f>[2]KSI!DP7</f>
        <v>5</v>
      </c>
      <c r="N235" s="176">
        <f>[2]KSI!DQ7</f>
        <v>3</v>
      </c>
      <c r="O235" s="176">
        <f>[2]KSI!DR7</f>
        <v>3</v>
      </c>
      <c r="P235" s="181"/>
      <c r="Q235" s="468">
        <v>234</v>
      </c>
      <c r="R235" s="344" t="s">
        <v>67</v>
      </c>
      <c r="S235" s="176">
        <f t="shared" si="243"/>
        <v>6</v>
      </c>
      <c r="T235" s="176">
        <f t="shared" si="244"/>
        <v>13</v>
      </c>
      <c r="U235" s="176">
        <f t="shared" si="245"/>
        <v>19</v>
      </c>
      <c r="V235" s="176">
        <f t="shared" si="246"/>
        <v>26</v>
      </c>
      <c r="W235" s="176">
        <f t="shared" si="247"/>
        <v>31</v>
      </c>
      <c r="X235" s="176">
        <f t="shared" si="248"/>
        <v>35</v>
      </c>
      <c r="Y235" s="176">
        <f t="shared" si="249"/>
        <v>40</v>
      </c>
      <c r="Z235" s="176">
        <f t="shared" si="250"/>
        <v>44</v>
      </c>
      <c r="AA235" s="176">
        <f t="shared" si="251"/>
        <v>53</v>
      </c>
      <c r="AB235" s="176">
        <f t="shared" si="252"/>
        <v>58</v>
      </c>
      <c r="AC235" s="176">
        <f t="shared" si="253"/>
        <v>61</v>
      </c>
      <c r="AD235" s="461">
        <f t="shared" si="254"/>
        <v>64</v>
      </c>
      <c r="AE235" s="468">
        <v>234</v>
      </c>
      <c r="AF235" s="163">
        <f t="shared" si="240"/>
        <v>64</v>
      </c>
    </row>
    <row r="236" spans="1:32" ht="23" x14ac:dyDescent="0.5">
      <c r="B236" s="420">
        <v>235</v>
      </c>
      <c r="C236" s="388" t="s">
        <v>61</v>
      </c>
      <c r="D236" s="172"/>
      <c r="E236" s="172"/>
      <c r="F236" s="172"/>
      <c r="G236" s="172"/>
      <c r="H236" s="172"/>
      <c r="I236" s="172"/>
      <c r="J236" s="172"/>
      <c r="K236" s="172"/>
      <c r="L236" s="172"/>
      <c r="M236" s="172"/>
      <c r="N236" s="172"/>
      <c r="O236" s="172"/>
      <c r="P236" s="182"/>
      <c r="Q236" s="468">
        <v>235</v>
      </c>
      <c r="R236" s="388" t="s">
        <v>61</v>
      </c>
      <c r="S236" s="176"/>
      <c r="T236" s="176"/>
      <c r="U236" s="176"/>
      <c r="V236" s="176"/>
      <c r="W236" s="176"/>
      <c r="X236" s="176"/>
      <c r="Y236" s="176"/>
      <c r="Z236" s="176"/>
      <c r="AA236" s="176"/>
      <c r="AB236" s="176"/>
      <c r="AC236" s="176"/>
      <c r="AD236" s="461"/>
      <c r="AE236" s="470">
        <v>235</v>
      </c>
      <c r="AF236" s="163">
        <f t="shared" si="240"/>
        <v>0</v>
      </c>
    </row>
    <row r="237" spans="1:32" x14ac:dyDescent="0.35">
      <c r="B237" s="420">
        <v>236</v>
      </c>
      <c r="C237" s="389" t="s">
        <v>56</v>
      </c>
      <c r="D237" s="168">
        <v>45017</v>
      </c>
      <c r="E237" s="168">
        <v>45047</v>
      </c>
      <c r="F237" s="168">
        <v>45078</v>
      </c>
      <c r="G237" s="168">
        <v>45108</v>
      </c>
      <c r="H237" s="168">
        <v>45139</v>
      </c>
      <c r="I237" s="168">
        <v>45170</v>
      </c>
      <c r="J237" s="168">
        <v>45200</v>
      </c>
      <c r="K237" s="168">
        <v>45231</v>
      </c>
      <c r="L237" s="168">
        <v>45261</v>
      </c>
      <c r="M237" s="168">
        <v>45292</v>
      </c>
      <c r="N237" s="168">
        <v>45323</v>
      </c>
      <c r="O237" s="168">
        <v>45352</v>
      </c>
      <c r="P237" s="168"/>
      <c r="Q237" s="468">
        <v>236</v>
      </c>
      <c r="R237" s="391" t="s">
        <v>56</v>
      </c>
      <c r="S237" s="168">
        <v>45017</v>
      </c>
      <c r="T237" s="168">
        <v>45047</v>
      </c>
      <c r="U237" s="168">
        <v>45078</v>
      </c>
      <c r="V237" s="168">
        <v>45108</v>
      </c>
      <c r="W237" s="168">
        <v>45139</v>
      </c>
      <c r="X237" s="168">
        <v>45170</v>
      </c>
      <c r="Y237" s="168">
        <v>45200</v>
      </c>
      <c r="Z237" s="168">
        <v>45231</v>
      </c>
      <c r="AA237" s="168">
        <v>45261</v>
      </c>
      <c r="AB237" s="168">
        <v>45292</v>
      </c>
      <c r="AC237" s="168">
        <v>45323</v>
      </c>
      <c r="AD237" s="168">
        <v>45352</v>
      </c>
      <c r="AE237" s="468">
        <v>236</v>
      </c>
      <c r="AF237" s="163">
        <f t="shared" si="240"/>
        <v>542218</v>
      </c>
    </row>
    <row r="238" spans="1:32" x14ac:dyDescent="0.35">
      <c r="B238" s="420">
        <v>237</v>
      </c>
      <c r="C238" s="389" t="s">
        <v>33</v>
      </c>
      <c r="D238" s="194">
        <f>[2]Districts_Boroughs!DF202</f>
        <v>741</v>
      </c>
      <c r="E238" s="194">
        <f>[2]Districts_Boroughs!DG202</f>
        <v>802</v>
      </c>
      <c r="F238" s="194">
        <f>[2]Districts_Boroughs!DH202</f>
        <v>872</v>
      </c>
      <c r="G238" s="194">
        <f>[2]Districts_Boroughs!DI202</f>
        <v>792</v>
      </c>
      <c r="H238" s="194">
        <f>[2]Districts_Boroughs!DJ202</f>
        <v>731</v>
      </c>
      <c r="I238" s="194">
        <f>[2]Districts_Boroughs!DK202</f>
        <v>776</v>
      </c>
      <c r="J238" s="194">
        <f>[2]Districts_Boroughs!DL202</f>
        <v>755</v>
      </c>
      <c r="K238" s="194">
        <f>[2]Districts_Boroughs!DM202</f>
        <v>690</v>
      </c>
      <c r="L238" s="194">
        <f>[2]Districts_Boroughs!DN202</f>
        <v>736</v>
      </c>
      <c r="M238" s="194">
        <f>[2]Districts_Boroughs!DO202</f>
        <v>796</v>
      </c>
      <c r="N238" s="194">
        <f>[2]Districts_Boroughs!DP202</f>
        <v>754</v>
      </c>
      <c r="O238" s="194">
        <f>[2]Districts_Boroughs!DQ202</f>
        <v>740</v>
      </c>
      <c r="P238" s="178"/>
      <c r="Q238" s="468">
        <v>237</v>
      </c>
      <c r="R238" s="391" t="s">
        <v>33</v>
      </c>
      <c r="S238" s="176">
        <f t="shared" ref="S238:S252" si="257">D238</f>
        <v>741</v>
      </c>
      <c r="T238" s="176">
        <f t="shared" ref="T238:T252" si="258">S238+E238</f>
        <v>1543</v>
      </c>
      <c r="U238" s="176">
        <f t="shared" ref="U238:U252" si="259">T238+F238</f>
        <v>2415</v>
      </c>
      <c r="V238" s="176">
        <f t="shared" ref="V238:V252" si="260">U238+G238</f>
        <v>3207</v>
      </c>
      <c r="W238" s="176">
        <f t="shared" ref="W238:W252" si="261">V238+H238</f>
        <v>3938</v>
      </c>
      <c r="X238" s="176">
        <f t="shared" ref="X238:X252" si="262">W238+I238</f>
        <v>4714</v>
      </c>
      <c r="Y238" s="176">
        <f t="shared" ref="Y238:Y252" si="263">X238+J238</f>
        <v>5469</v>
      </c>
      <c r="Z238" s="176">
        <f t="shared" ref="Z238:Z252" si="264">Y238+K238</f>
        <v>6159</v>
      </c>
      <c r="AA238" s="176">
        <f t="shared" ref="AA238:AA252" si="265">Z238+L238</f>
        <v>6895</v>
      </c>
      <c r="AB238" s="176">
        <f t="shared" ref="AB238:AB252" si="266">AA238+M238</f>
        <v>7691</v>
      </c>
      <c r="AC238" s="176">
        <f t="shared" ref="AC238:AC252" si="267">AB238+N238</f>
        <v>8445</v>
      </c>
      <c r="AD238" s="461">
        <f t="shared" ref="AD238:AD252" si="268">AC238+O238</f>
        <v>9185</v>
      </c>
      <c r="AE238" s="468">
        <v>237</v>
      </c>
      <c r="AF238" s="163">
        <f t="shared" si="240"/>
        <v>9185</v>
      </c>
    </row>
    <row r="239" spans="1:32" x14ac:dyDescent="0.35">
      <c r="B239" s="421">
        <v>238</v>
      </c>
      <c r="C239" s="389" t="s">
        <v>39</v>
      </c>
      <c r="D239" s="194">
        <f>[2]Districts_Boroughs!DF204</f>
        <v>87</v>
      </c>
      <c r="E239" s="194">
        <f>[2]Districts_Boroughs!DG204</f>
        <v>100</v>
      </c>
      <c r="F239" s="194">
        <f>[2]Districts_Boroughs!DH204</f>
        <v>99</v>
      </c>
      <c r="G239" s="194">
        <f>[2]Districts_Boroughs!DI204</f>
        <v>85</v>
      </c>
      <c r="H239" s="194">
        <f>[2]Districts_Boroughs!DJ204</f>
        <v>66</v>
      </c>
      <c r="I239" s="194">
        <f>[2]Districts_Boroughs!DK204</f>
        <v>88</v>
      </c>
      <c r="J239" s="194">
        <f>[2]Districts_Boroughs!DL204</f>
        <v>85</v>
      </c>
      <c r="K239" s="194">
        <f>[2]Districts_Boroughs!DM204</f>
        <v>71</v>
      </c>
      <c r="L239" s="194">
        <f>[2]Districts_Boroughs!DN204</f>
        <v>87</v>
      </c>
      <c r="M239" s="194">
        <f>[2]Districts_Boroughs!DO204</f>
        <v>82</v>
      </c>
      <c r="N239" s="194">
        <f>[2]Districts_Boroughs!DP204</f>
        <v>68</v>
      </c>
      <c r="O239" s="194">
        <f>[2]Districts_Boroughs!DQ204</f>
        <v>69</v>
      </c>
      <c r="P239" s="178"/>
      <c r="Q239" s="468">
        <v>238</v>
      </c>
      <c r="R239" s="391" t="s">
        <v>39</v>
      </c>
      <c r="S239" s="176">
        <f t="shared" si="257"/>
        <v>87</v>
      </c>
      <c r="T239" s="176">
        <f t="shared" si="258"/>
        <v>187</v>
      </c>
      <c r="U239" s="176">
        <f t="shared" si="259"/>
        <v>286</v>
      </c>
      <c r="V239" s="176">
        <f t="shared" si="260"/>
        <v>371</v>
      </c>
      <c r="W239" s="176">
        <f t="shared" si="261"/>
        <v>437</v>
      </c>
      <c r="X239" s="176">
        <f t="shared" si="262"/>
        <v>525</v>
      </c>
      <c r="Y239" s="176">
        <f t="shared" si="263"/>
        <v>610</v>
      </c>
      <c r="Z239" s="176">
        <f t="shared" si="264"/>
        <v>681</v>
      </c>
      <c r="AA239" s="176">
        <f t="shared" si="265"/>
        <v>768</v>
      </c>
      <c r="AB239" s="176">
        <f t="shared" si="266"/>
        <v>850</v>
      </c>
      <c r="AC239" s="176">
        <f t="shared" si="267"/>
        <v>918</v>
      </c>
      <c r="AD239" s="461">
        <f t="shared" si="268"/>
        <v>987</v>
      </c>
      <c r="AE239" s="470">
        <v>238</v>
      </c>
      <c r="AF239" s="163">
        <f t="shared" si="240"/>
        <v>987</v>
      </c>
    </row>
    <row r="240" spans="1:32" x14ac:dyDescent="0.35">
      <c r="B240" s="420">
        <v>239</v>
      </c>
      <c r="C240" s="389" t="s">
        <v>40</v>
      </c>
      <c r="D240" s="194">
        <f>[2]Districts_Boroughs!DF205</f>
        <v>178</v>
      </c>
      <c r="E240" s="194">
        <f>[2]Districts_Boroughs!DG205</f>
        <v>177</v>
      </c>
      <c r="F240" s="194">
        <f>[2]Districts_Boroughs!DH205</f>
        <v>194</v>
      </c>
      <c r="G240" s="194">
        <f>[2]Districts_Boroughs!DI205</f>
        <v>200</v>
      </c>
      <c r="H240" s="194">
        <f>[2]Districts_Boroughs!DJ205</f>
        <v>185</v>
      </c>
      <c r="I240" s="194">
        <f>[2]Districts_Boroughs!DK205</f>
        <v>182</v>
      </c>
      <c r="J240" s="194">
        <f>[2]Districts_Boroughs!DL205</f>
        <v>182</v>
      </c>
      <c r="K240" s="194">
        <f>[2]Districts_Boroughs!DM205</f>
        <v>175</v>
      </c>
      <c r="L240" s="194">
        <f>[2]Districts_Boroughs!DN205</f>
        <v>164</v>
      </c>
      <c r="M240" s="194">
        <f>[2]Districts_Boroughs!DO205</f>
        <v>204</v>
      </c>
      <c r="N240" s="194">
        <f>[2]Districts_Boroughs!DP205</f>
        <v>179</v>
      </c>
      <c r="O240" s="194">
        <f>[2]Districts_Boroughs!DQ205</f>
        <v>180</v>
      </c>
      <c r="P240" s="178"/>
      <c r="Q240" s="468">
        <v>239</v>
      </c>
      <c r="R240" s="391" t="s">
        <v>40</v>
      </c>
      <c r="S240" s="176">
        <f t="shared" si="257"/>
        <v>178</v>
      </c>
      <c r="T240" s="176">
        <f t="shared" si="258"/>
        <v>355</v>
      </c>
      <c r="U240" s="176">
        <f t="shared" si="259"/>
        <v>549</v>
      </c>
      <c r="V240" s="176">
        <f t="shared" si="260"/>
        <v>749</v>
      </c>
      <c r="W240" s="176">
        <f t="shared" si="261"/>
        <v>934</v>
      </c>
      <c r="X240" s="176">
        <f t="shared" si="262"/>
        <v>1116</v>
      </c>
      <c r="Y240" s="176">
        <f t="shared" si="263"/>
        <v>1298</v>
      </c>
      <c r="Z240" s="176">
        <f t="shared" si="264"/>
        <v>1473</v>
      </c>
      <c r="AA240" s="176">
        <f t="shared" si="265"/>
        <v>1637</v>
      </c>
      <c r="AB240" s="176">
        <f t="shared" si="266"/>
        <v>1841</v>
      </c>
      <c r="AC240" s="176">
        <f t="shared" si="267"/>
        <v>2020</v>
      </c>
      <c r="AD240" s="461">
        <f t="shared" si="268"/>
        <v>2200</v>
      </c>
      <c r="AE240" s="468">
        <v>239</v>
      </c>
      <c r="AF240" s="163">
        <f t="shared" si="240"/>
        <v>2200</v>
      </c>
    </row>
    <row r="241" spans="1:32" x14ac:dyDescent="0.35">
      <c r="B241" s="420">
        <v>240</v>
      </c>
      <c r="C241" s="389" t="s">
        <v>5</v>
      </c>
      <c r="D241" s="194">
        <f>[2]Districts_Boroughs!DF206</f>
        <v>7</v>
      </c>
      <c r="E241" s="194">
        <f>[2]Districts_Boroughs!DG206</f>
        <v>12</v>
      </c>
      <c r="F241" s="194">
        <f>[2]Districts_Boroughs!DH206</f>
        <v>8</v>
      </c>
      <c r="G241" s="194">
        <f>[2]Districts_Boroughs!DI206</f>
        <v>12</v>
      </c>
      <c r="H241" s="194">
        <f>[2]Districts_Boroughs!DJ206</f>
        <v>17</v>
      </c>
      <c r="I241" s="194">
        <f>[2]Districts_Boroughs!DK206</f>
        <v>13</v>
      </c>
      <c r="J241" s="194">
        <f>[2]Districts_Boroughs!DL206</f>
        <v>15</v>
      </c>
      <c r="K241" s="194">
        <f>[2]Districts_Boroughs!DM206</f>
        <v>11</v>
      </c>
      <c r="L241" s="194">
        <f>[2]Districts_Boroughs!DN206</f>
        <v>8</v>
      </c>
      <c r="M241" s="194">
        <f>[2]Districts_Boroughs!DO206</f>
        <v>13</v>
      </c>
      <c r="N241" s="194">
        <f>[2]Districts_Boroughs!DP206</f>
        <v>9</v>
      </c>
      <c r="O241" s="194">
        <f>[2]Districts_Boroughs!DQ206</f>
        <v>14</v>
      </c>
      <c r="P241" s="178"/>
      <c r="Q241" s="468">
        <v>240</v>
      </c>
      <c r="R241" s="391" t="s">
        <v>5</v>
      </c>
      <c r="S241" s="176">
        <f t="shared" si="257"/>
        <v>7</v>
      </c>
      <c r="T241" s="176">
        <f t="shared" si="258"/>
        <v>19</v>
      </c>
      <c r="U241" s="176">
        <f t="shared" si="259"/>
        <v>27</v>
      </c>
      <c r="V241" s="176">
        <f t="shared" si="260"/>
        <v>39</v>
      </c>
      <c r="W241" s="176">
        <f t="shared" si="261"/>
        <v>56</v>
      </c>
      <c r="X241" s="176">
        <f t="shared" si="262"/>
        <v>69</v>
      </c>
      <c r="Y241" s="176">
        <f t="shared" si="263"/>
        <v>84</v>
      </c>
      <c r="Z241" s="176">
        <f t="shared" si="264"/>
        <v>95</v>
      </c>
      <c r="AA241" s="176">
        <f t="shared" si="265"/>
        <v>103</v>
      </c>
      <c r="AB241" s="176">
        <f t="shared" si="266"/>
        <v>116</v>
      </c>
      <c r="AC241" s="176">
        <f t="shared" si="267"/>
        <v>125</v>
      </c>
      <c r="AD241" s="461">
        <f t="shared" si="268"/>
        <v>139</v>
      </c>
      <c r="AE241" s="468">
        <v>240</v>
      </c>
      <c r="AF241" s="163">
        <f t="shared" si="240"/>
        <v>139</v>
      </c>
    </row>
    <row r="242" spans="1:32" x14ac:dyDescent="0.35">
      <c r="B242" s="420">
        <v>241</v>
      </c>
      <c r="C242" s="389" t="s">
        <v>35</v>
      </c>
      <c r="D242" s="194">
        <f>[2]Districts_Boroughs!DF207</f>
        <v>9</v>
      </c>
      <c r="E242" s="194">
        <f>[2]Districts_Boroughs!DG207</f>
        <v>10</v>
      </c>
      <c r="F242" s="194">
        <f>[2]Districts_Boroughs!DH207</f>
        <v>28</v>
      </c>
      <c r="G242" s="194">
        <f>[2]Districts_Boroughs!DI207</f>
        <v>23</v>
      </c>
      <c r="H242" s="194">
        <f>[2]Districts_Boroughs!DJ207</f>
        <v>15</v>
      </c>
      <c r="I242" s="194">
        <f>[2]Districts_Boroughs!DK207</f>
        <v>19</v>
      </c>
      <c r="J242" s="194">
        <f>[2]Districts_Boroughs!DL207</f>
        <v>26</v>
      </c>
      <c r="K242" s="194">
        <f>[2]Districts_Boroughs!DM207</f>
        <v>15</v>
      </c>
      <c r="L242" s="194">
        <f>[2]Districts_Boroughs!DN207</f>
        <v>36</v>
      </c>
      <c r="M242" s="194">
        <f>[2]Districts_Boroughs!DO207</f>
        <v>16</v>
      </c>
      <c r="N242" s="194">
        <f>[2]Districts_Boroughs!DP207</f>
        <v>39</v>
      </c>
      <c r="O242" s="194">
        <f>[2]Districts_Boroughs!DQ207</f>
        <v>22</v>
      </c>
      <c r="P242" s="178"/>
      <c r="Q242" s="468">
        <v>241</v>
      </c>
      <c r="R242" s="391" t="s">
        <v>35</v>
      </c>
      <c r="S242" s="176">
        <f t="shared" si="257"/>
        <v>9</v>
      </c>
      <c r="T242" s="176">
        <f t="shared" si="258"/>
        <v>19</v>
      </c>
      <c r="U242" s="176">
        <f t="shared" si="259"/>
        <v>47</v>
      </c>
      <c r="V242" s="176">
        <f t="shared" si="260"/>
        <v>70</v>
      </c>
      <c r="W242" s="176">
        <f t="shared" si="261"/>
        <v>85</v>
      </c>
      <c r="X242" s="176">
        <f t="shared" si="262"/>
        <v>104</v>
      </c>
      <c r="Y242" s="176">
        <f t="shared" si="263"/>
        <v>130</v>
      </c>
      <c r="Z242" s="176">
        <f t="shared" si="264"/>
        <v>145</v>
      </c>
      <c r="AA242" s="176">
        <f t="shared" si="265"/>
        <v>181</v>
      </c>
      <c r="AB242" s="176">
        <f t="shared" si="266"/>
        <v>197</v>
      </c>
      <c r="AC242" s="176">
        <f t="shared" si="267"/>
        <v>236</v>
      </c>
      <c r="AD242" s="461">
        <f t="shared" si="268"/>
        <v>258</v>
      </c>
      <c r="AE242" s="468">
        <v>241</v>
      </c>
      <c r="AF242" s="163">
        <f t="shared" si="240"/>
        <v>258</v>
      </c>
    </row>
    <row r="243" spans="1:32" x14ac:dyDescent="0.35">
      <c r="B243" s="420">
        <v>242</v>
      </c>
      <c r="C243" s="389" t="s">
        <v>36</v>
      </c>
      <c r="D243" s="194">
        <f>[2]Districts_Boroughs!DF208</f>
        <v>0</v>
      </c>
      <c r="E243" s="194">
        <f>[2]Districts_Boroughs!DG208</f>
        <v>1</v>
      </c>
      <c r="F243" s="194">
        <f>[2]Districts_Boroughs!DH208</f>
        <v>1</v>
      </c>
      <c r="G243" s="194">
        <f>[2]Districts_Boroughs!DI208</f>
        <v>1</v>
      </c>
      <c r="H243" s="194">
        <f>[2]Districts_Boroughs!DJ208</f>
        <v>2</v>
      </c>
      <c r="I243" s="194">
        <f>[2]Districts_Boroughs!DK208</f>
        <v>2</v>
      </c>
      <c r="J243" s="194">
        <f>[2]Districts_Boroughs!DL208</f>
        <v>2</v>
      </c>
      <c r="K243" s="194">
        <f>[2]Districts_Boroughs!DM208</f>
        <v>0</v>
      </c>
      <c r="L243" s="194">
        <f>[2]Districts_Boroughs!DN208</f>
        <v>0</v>
      </c>
      <c r="M243" s="194">
        <f>[2]Districts_Boroughs!DO208</f>
        <v>2</v>
      </c>
      <c r="N243" s="194">
        <f>[2]Districts_Boroughs!DP208</f>
        <v>0</v>
      </c>
      <c r="O243" s="194">
        <f>[2]Districts_Boroughs!DQ208</f>
        <v>1</v>
      </c>
      <c r="P243" s="178"/>
      <c r="Q243" s="468">
        <v>242</v>
      </c>
      <c r="R243" s="391" t="s">
        <v>36</v>
      </c>
      <c r="S243" s="176">
        <f t="shared" si="257"/>
        <v>0</v>
      </c>
      <c r="T243" s="176">
        <f t="shared" si="258"/>
        <v>1</v>
      </c>
      <c r="U243" s="176">
        <f t="shared" si="259"/>
        <v>2</v>
      </c>
      <c r="V243" s="176">
        <f t="shared" si="260"/>
        <v>3</v>
      </c>
      <c r="W243" s="176">
        <f t="shared" si="261"/>
        <v>5</v>
      </c>
      <c r="X243" s="176">
        <f t="shared" si="262"/>
        <v>7</v>
      </c>
      <c r="Y243" s="176">
        <f t="shared" si="263"/>
        <v>9</v>
      </c>
      <c r="Z243" s="176">
        <f t="shared" si="264"/>
        <v>9</v>
      </c>
      <c r="AA243" s="176">
        <f t="shared" si="265"/>
        <v>9</v>
      </c>
      <c r="AB243" s="176">
        <f t="shared" si="266"/>
        <v>11</v>
      </c>
      <c r="AC243" s="176">
        <f t="shared" si="267"/>
        <v>11</v>
      </c>
      <c r="AD243" s="461">
        <f t="shared" si="268"/>
        <v>12</v>
      </c>
      <c r="AE243" s="468">
        <v>242</v>
      </c>
      <c r="AF243" s="163">
        <f t="shared" si="240"/>
        <v>12</v>
      </c>
    </row>
    <row r="244" spans="1:32" x14ac:dyDescent="0.35">
      <c r="B244" s="421">
        <v>243</v>
      </c>
      <c r="C244" s="389" t="s">
        <v>37</v>
      </c>
      <c r="D244" s="194">
        <f>[2]Districts_Boroughs!DF209</f>
        <v>7</v>
      </c>
      <c r="E244" s="194">
        <f>[2]Districts_Boroughs!DG209</f>
        <v>10</v>
      </c>
      <c r="F244" s="194">
        <f>[2]Districts_Boroughs!DH209</f>
        <v>8</v>
      </c>
      <c r="G244" s="194">
        <f>[2]Districts_Boroughs!DI209</f>
        <v>12</v>
      </c>
      <c r="H244" s="194">
        <f>[2]Districts_Boroughs!DJ209</f>
        <v>10</v>
      </c>
      <c r="I244" s="194">
        <f>[2]Districts_Boroughs!DK209</f>
        <v>3</v>
      </c>
      <c r="J244" s="194">
        <f>[2]Districts_Boroughs!DL209</f>
        <v>6</v>
      </c>
      <c r="K244" s="194">
        <f>[2]Districts_Boroughs!DM209</f>
        <v>3</v>
      </c>
      <c r="L244" s="194">
        <f>[2]Districts_Boroughs!DN209</f>
        <v>6</v>
      </c>
      <c r="M244" s="194">
        <f>[2]Districts_Boroughs!DO209</f>
        <v>9</v>
      </c>
      <c r="N244" s="194">
        <f>[2]Districts_Boroughs!DP209</f>
        <v>7</v>
      </c>
      <c r="O244" s="194">
        <f>[2]Districts_Boroughs!DQ209</f>
        <v>7</v>
      </c>
      <c r="P244" s="178"/>
      <c r="Q244" s="468">
        <v>243</v>
      </c>
      <c r="R244" s="391" t="s">
        <v>37</v>
      </c>
      <c r="S244" s="176">
        <f t="shared" si="257"/>
        <v>7</v>
      </c>
      <c r="T244" s="176">
        <f t="shared" si="258"/>
        <v>17</v>
      </c>
      <c r="U244" s="176">
        <f t="shared" si="259"/>
        <v>25</v>
      </c>
      <c r="V244" s="176">
        <f t="shared" si="260"/>
        <v>37</v>
      </c>
      <c r="W244" s="176">
        <f t="shared" si="261"/>
        <v>47</v>
      </c>
      <c r="X244" s="176">
        <f t="shared" si="262"/>
        <v>50</v>
      </c>
      <c r="Y244" s="176">
        <f t="shared" si="263"/>
        <v>56</v>
      </c>
      <c r="Z244" s="176">
        <f t="shared" si="264"/>
        <v>59</v>
      </c>
      <c r="AA244" s="176">
        <f t="shared" si="265"/>
        <v>65</v>
      </c>
      <c r="AB244" s="176">
        <f t="shared" si="266"/>
        <v>74</v>
      </c>
      <c r="AC244" s="176">
        <f t="shared" si="267"/>
        <v>81</v>
      </c>
      <c r="AD244" s="461">
        <f t="shared" si="268"/>
        <v>88</v>
      </c>
      <c r="AE244" s="470">
        <v>243</v>
      </c>
      <c r="AF244" s="163">
        <f t="shared" si="240"/>
        <v>88</v>
      </c>
    </row>
    <row r="245" spans="1:32" x14ac:dyDescent="0.35">
      <c r="B245" s="420">
        <v>244</v>
      </c>
      <c r="C245" s="390" t="s">
        <v>31</v>
      </c>
      <c r="D245" s="194">
        <f>[2]Districts_Boroughs!DF210</f>
        <v>31</v>
      </c>
      <c r="E245" s="194">
        <f>[2]Districts_Boroughs!DG210</f>
        <v>25</v>
      </c>
      <c r="F245" s="194">
        <f>[2]Districts_Boroughs!DH210</f>
        <v>26</v>
      </c>
      <c r="G245" s="194">
        <f>[2]Districts_Boroughs!DI210</f>
        <v>21</v>
      </c>
      <c r="H245" s="194">
        <f>[2]Districts_Boroughs!DJ210</f>
        <v>17</v>
      </c>
      <c r="I245" s="194">
        <f>[2]Districts_Boroughs!DK210</f>
        <v>29</v>
      </c>
      <c r="J245" s="194">
        <f>[2]Districts_Boroughs!DL210</f>
        <v>28</v>
      </c>
      <c r="K245" s="194">
        <f>[2]Districts_Boroughs!DM210</f>
        <v>24</v>
      </c>
      <c r="L245" s="194">
        <f>[2]Districts_Boroughs!DN210</f>
        <v>23</v>
      </c>
      <c r="M245" s="194">
        <f>[2]Districts_Boroughs!DO210</f>
        <v>29</v>
      </c>
      <c r="N245" s="194">
        <f>[2]Districts_Boroughs!DP210</f>
        <v>26</v>
      </c>
      <c r="O245" s="194">
        <f>[2]Districts_Boroughs!DQ210</f>
        <v>27</v>
      </c>
      <c r="P245" s="178"/>
      <c r="Q245" s="468">
        <v>244</v>
      </c>
      <c r="R245" s="387" t="s">
        <v>31</v>
      </c>
      <c r="S245" s="176">
        <f t="shared" si="257"/>
        <v>31</v>
      </c>
      <c r="T245" s="176">
        <f t="shared" si="258"/>
        <v>56</v>
      </c>
      <c r="U245" s="176">
        <f t="shared" si="259"/>
        <v>82</v>
      </c>
      <c r="V245" s="176">
        <f t="shared" si="260"/>
        <v>103</v>
      </c>
      <c r="W245" s="176">
        <f t="shared" si="261"/>
        <v>120</v>
      </c>
      <c r="X245" s="176">
        <f t="shared" si="262"/>
        <v>149</v>
      </c>
      <c r="Y245" s="176">
        <f t="shared" si="263"/>
        <v>177</v>
      </c>
      <c r="Z245" s="176">
        <f t="shared" si="264"/>
        <v>201</v>
      </c>
      <c r="AA245" s="176">
        <f t="shared" si="265"/>
        <v>224</v>
      </c>
      <c r="AB245" s="176">
        <f t="shared" si="266"/>
        <v>253</v>
      </c>
      <c r="AC245" s="176">
        <f t="shared" si="267"/>
        <v>279</v>
      </c>
      <c r="AD245" s="461">
        <f t="shared" si="268"/>
        <v>306</v>
      </c>
      <c r="AE245" s="468">
        <v>244</v>
      </c>
      <c r="AF245" s="163">
        <f t="shared" si="240"/>
        <v>306</v>
      </c>
    </row>
    <row r="246" spans="1:32" x14ac:dyDescent="0.35">
      <c r="B246" s="420">
        <v>245</v>
      </c>
      <c r="C246" s="390" t="s">
        <v>55</v>
      </c>
      <c r="D246" s="194">
        <f>[2]Districts_Boroughs!DF211</f>
        <v>12</v>
      </c>
      <c r="E246" s="194">
        <f>[2]Districts_Boroughs!DG211</f>
        <v>11</v>
      </c>
      <c r="F246" s="194">
        <f>[2]Districts_Boroughs!DH211</f>
        <v>9</v>
      </c>
      <c r="G246" s="194">
        <f>[2]Districts_Boroughs!DI211</f>
        <v>12</v>
      </c>
      <c r="H246" s="194">
        <f>[2]Districts_Boroughs!DJ211</f>
        <v>22</v>
      </c>
      <c r="I246" s="194">
        <f>[2]Districts_Boroughs!DK211</f>
        <v>11</v>
      </c>
      <c r="J246" s="194">
        <f>[2]Districts_Boroughs!DL211</f>
        <v>11</v>
      </c>
      <c r="K246" s="194">
        <f>[2]Districts_Boroughs!DM211</f>
        <v>7</v>
      </c>
      <c r="L246" s="194">
        <f>[2]Districts_Boroughs!DN211</f>
        <v>7</v>
      </c>
      <c r="M246" s="194">
        <f>[2]Districts_Boroughs!DO211</f>
        <v>15</v>
      </c>
      <c r="N246" s="194">
        <f>[2]Districts_Boroughs!DP211</f>
        <v>16</v>
      </c>
      <c r="O246" s="194">
        <f>[2]Districts_Boroughs!DQ211</f>
        <v>17</v>
      </c>
      <c r="P246" s="178"/>
      <c r="Q246" s="468">
        <v>245</v>
      </c>
      <c r="R246" s="387" t="s">
        <v>55</v>
      </c>
      <c r="S246" s="176">
        <f t="shared" si="257"/>
        <v>12</v>
      </c>
      <c r="T246" s="176">
        <f t="shared" si="258"/>
        <v>23</v>
      </c>
      <c r="U246" s="176">
        <f t="shared" si="259"/>
        <v>32</v>
      </c>
      <c r="V246" s="176">
        <f t="shared" si="260"/>
        <v>44</v>
      </c>
      <c r="W246" s="176">
        <f t="shared" si="261"/>
        <v>66</v>
      </c>
      <c r="X246" s="176">
        <f t="shared" si="262"/>
        <v>77</v>
      </c>
      <c r="Y246" s="176">
        <f t="shared" si="263"/>
        <v>88</v>
      </c>
      <c r="Z246" s="176">
        <f t="shared" si="264"/>
        <v>95</v>
      </c>
      <c r="AA246" s="176">
        <f t="shared" si="265"/>
        <v>102</v>
      </c>
      <c r="AB246" s="176">
        <f t="shared" si="266"/>
        <v>117</v>
      </c>
      <c r="AC246" s="176">
        <f t="shared" si="267"/>
        <v>133</v>
      </c>
      <c r="AD246" s="461">
        <f t="shared" si="268"/>
        <v>150</v>
      </c>
      <c r="AE246" s="468">
        <v>245</v>
      </c>
      <c r="AF246" s="163">
        <f t="shared" si="240"/>
        <v>150</v>
      </c>
    </row>
    <row r="247" spans="1:32" x14ac:dyDescent="0.35">
      <c r="B247" s="420">
        <v>246</v>
      </c>
      <c r="C247" s="389" t="s">
        <v>38</v>
      </c>
      <c r="D247" s="194">
        <f>[2]Districts_Boroughs!DF212</f>
        <v>91</v>
      </c>
      <c r="E247" s="194">
        <f>[2]Districts_Boroughs!DG212</f>
        <v>62</v>
      </c>
      <c r="F247" s="194">
        <f>[2]Districts_Boroughs!DH212</f>
        <v>76</v>
      </c>
      <c r="G247" s="194">
        <f>[2]Districts_Boroughs!DI212</f>
        <v>106</v>
      </c>
      <c r="H247" s="194">
        <f>[2]Districts_Boroughs!DJ212</f>
        <v>74</v>
      </c>
      <c r="I247" s="194">
        <f>[2]Districts_Boroughs!DK212</f>
        <v>60</v>
      </c>
      <c r="J247" s="194">
        <f>[2]Districts_Boroughs!DL212</f>
        <v>90</v>
      </c>
      <c r="K247" s="194">
        <f>[2]Districts_Boroughs!DM212</f>
        <v>85</v>
      </c>
      <c r="L247" s="194">
        <f>[2]Districts_Boroughs!DN212</f>
        <v>101</v>
      </c>
      <c r="M247" s="194">
        <f>[2]Districts_Boroughs!DO212</f>
        <v>73</v>
      </c>
      <c r="N247" s="194">
        <f>[2]Districts_Boroughs!DP212</f>
        <v>52</v>
      </c>
      <c r="O247" s="194">
        <f>[2]Districts_Boroughs!DQ212</f>
        <v>58</v>
      </c>
      <c r="P247" s="178"/>
      <c r="Q247" s="468">
        <v>246</v>
      </c>
      <c r="R247" s="391" t="s">
        <v>38</v>
      </c>
      <c r="S247" s="176">
        <f t="shared" si="257"/>
        <v>91</v>
      </c>
      <c r="T247" s="176">
        <f t="shared" si="258"/>
        <v>153</v>
      </c>
      <c r="U247" s="176">
        <f t="shared" si="259"/>
        <v>229</v>
      </c>
      <c r="V247" s="176">
        <f t="shared" si="260"/>
        <v>335</v>
      </c>
      <c r="W247" s="176">
        <f t="shared" si="261"/>
        <v>409</v>
      </c>
      <c r="X247" s="176">
        <f t="shared" si="262"/>
        <v>469</v>
      </c>
      <c r="Y247" s="176">
        <f t="shared" si="263"/>
        <v>559</v>
      </c>
      <c r="Z247" s="176">
        <f t="shared" si="264"/>
        <v>644</v>
      </c>
      <c r="AA247" s="176">
        <f t="shared" si="265"/>
        <v>745</v>
      </c>
      <c r="AB247" s="176">
        <f t="shared" si="266"/>
        <v>818</v>
      </c>
      <c r="AC247" s="176">
        <f t="shared" si="267"/>
        <v>870</v>
      </c>
      <c r="AD247" s="461">
        <f t="shared" si="268"/>
        <v>928</v>
      </c>
      <c r="AE247" s="470">
        <v>246</v>
      </c>
      <c r="AF247" s="163">
        <f t="shared" si="240"/>
        <v>928</v>
      </c>
    </row>
    <row r="248" spans="1:32" x14ac:dyDescent="0.35">
      <c r="B248" s="420">
        <v>247</v>
      </c>
      <c r="C248" s="389" t="s">
        <v>17</v>
      </c>
      <c r="D248" s="194">
        <f>[2]Districts_Boroughs!DF213</f>
        <v>56</v>
      </c>
      <c r="E248" s="194">
        <f>[2]Districts_Boroughs!DG213</f>
        <v>71</v>
      </c>
      <c r="F248" s="194">
        <f>[2]Districts_Boroughs!DH213</f>
        <v>58</v>
      </c>
      <c r="G248" s="194">
        <f>[2]Districts_Boroughs!DI213</f>
        <v>49</v>
      </c>
      <c r="H248" s="194">
        <f>[2]Districts_Boroughs!DJ213</f>
        <v>49</v>
      </c>
      <c r="I248" s="194">
        <f>[2]Districts_Boroughs!DK213</f>
        <v>65</v>
      </c>
      <c r="J248" s="194">
        <f>[2]Districts_Boroughs!DL213</f>
        <v>47</v>
      </c>
      <c r="K248" s="194">
        <f>[2]Districts_Boroughs!DM213</f>
        <v>64</v>
      </c>
      <c r="L248" s="194">
        <f>[2]Districts_Boroughs!DN213</f>
        <v>48</v>
      </c>
      <c r="M248" s="194">
        <f>[2]Districts_Boroughs!DO213</f>
        <v>95</v>
      </c>
      <c r="N248" s="194">
        <f>[2]Districts_Boroughs!DP213</f>
        <v>102</v>
      </c>
      <c r="O248" s="194">
        <f>[2]Districts_Boroughs!DQ213</f>
        <v>110</v>
      </c>
      <c r="P248" s="178"/>
      <c r="Q248" s="468">
        <v>247</v>
      </c>
      <c r="R248" s="391" t="s">
        <v>17</v>
      </c>
      <c r="S248" s="176">
        <f t="shared" si="257"/>
        <v>56</v>
      </c>
      <c r="T248" s="176">
        <f t="shared" si="258"/>
        <v>127</v>
      </c>
      <c r="U248" s="176">
        <f t="shared" si="259"/>
        <v>185</v>
      </c>
      <c r="V248" s="176">
        <f t="shared" si="260"/>
        <v>234</v>
      </c>
      <c r="W248" s="176">
        <f t="shared" si="261"/>
        <v>283</v>
      </c>
      <c r="X248" s="176">
        <f t="shared" si="262"/>
        <v>348</v>
      </c>
      <c r="Y248" s="176">
        <f t="shared" si="263"/>
        <v>395</v>
      </c>
      <c r="Z248" s="176">
        <f t="shared" si="264"/>
        <v>459</v>
      </c>
      <c r="AA248" s="176">
        <f t="shared" si="265"/>
        <v>507</v>
      </c>
      <c r="AB248" s="176">
        <f t="shared" si="266"/>
        <v>602</v>
      </c>
      <c r="AC248" s="176">
        <f t="shared" si="267"/>
        <v>704</v>
      </c>
      <c r="AD248" s="461">
        <f t="shared" si="268"/>
        <v>814</v>
      </c>
      <c r="AE248" s="468">
        <v>247</v>
      </c>
      <c r="AF248" s="163">
        <f t="shared" si="240"/>
        <v>814</v>
      </c>
    </row>
    <row r="249" spans="1:32" x14ac:dyDescent="0.35">
      <c r="B249" s="421">
        <v>248</v>
      </c>
      <c r="C249" s="389" t="s">
        <v>34</v>
      </c>
      <c r="D249" s="194">
        <f>[2]Districts_Boroughs!DF214</f>
        <v>65</v>
      </c>
      <c r="E249" s="194">
        <f>[2]Districts_Boroughs!DG214</f>
        <v>86</v>
      </c>
      <c r="F249" s="194">
        <f>[2]Districts_Boroughs!DH214</f>
        <v>99</v>
      </c>
      <c r="G249" s="194">
        <f>[2]Districts_Boroughs!DI214</f>
        <v>65</v>
      </c>
      <c r="H249" s="194">
        <f>[2]Districts_Boroughs!DJ214</f>
        <v>68</v>
      </c>
      <c r="I249" s="194">
        <f>[2]Districts_Boroughs!DK214</f>
        <v>72</v>
      </c>
      <c r="J249" s="194">
        <f>[2]Districts_Boroughs!DL214</f>
        <v>51</v>
      </c>
      <c r="K249" s="194">
        <f>[2]Districts_Boroughs!DM214</f>
        <v>43</v>
      </c>
      <c r="L249" s="194">
        <f>[2]Districts_Boroughs!DN214</f>
        <v>50</v>
      </c>
      <c r="M249" s="194">
        <f>[2]Districts_Boroughs!DO214</f>
        <v>64</v>
      </c>
      <c r="N249" s="194">
        <f>[2]Districts_Boroughs!DP214</f>
        <v>60</v>
      </c>
      <c r="O249" s="194">
        <f>[2]Districts_Boroughs!DQ214</f>
        <v>41</v>
      </c>
      <c r="P249" s="178"/>
      <c r="Q249" s="468">
        <v>248</v>
      </c>
      <c r="R249" s="391" t="s">
        <v>34</v>
      </c>
      <c r="S249" s="176">
        <f t="shared" si="257"/>
        <v>65</v>
      </c>
      <c r="T249" s="176">
        <f t="shared" si="258"/>
        <v>151</v>
      </c>
      <c r="U249" s="176">
        <f t="shared" si="259"/>
        <v>250</v>
      </c>
      <c r="V249" s="176">
        <f t="shared" si="260"/>
        <v>315</v>
      </c>
      <c r="W249" s="176">
        <f t="shared" si="261"/>
        <v>383</v>
      </c>
      <c r="X249" s="176">
        <f t="shared" si="262"/>
        <v>455</v>
      </c>
      <c r="Y249" s="176">
        <f t="shared" si="263"/>
        <v>506</v>
      </c>
      <c r="Z249" s="176">
        <f t="shared" si="264"/>
        <v>549</v>
      </c>
      <c r="AA249" s="176">
        <f t="shared" si="265"/>
        <v>599</v>
      </c>
      <c r="AB249" s="176">
        <f t="shared" si="266"/>
        <v>663</v>
      </c>
      <c r="AC249" s="176">
        <f t="shared" si="267"/>
        <v>723</v>
      </c>
      <c r="AD249" s="461">
        <f t="shared" si="268"/>
        <v>764</v>
      </c>
      <c r="AE249" s="468">
        <v>248</v>
      </c>
      <c r="AF249" s="163">
        <f t="shared" si="240"/>
        <v>764</v>
      </c>
    </row>
    <row r="250" spans="1:32" x14ac:dyDescent="0.35">
      <c r="B250" s="420">
        <v>249</v>
      </c>
      <c r="C250" s="389" t="s">
        <v>41</v>
      </c>
      <c r="D250" s="194">
        <f>[2]Districts_Boroughs!DF215</f>
        <v>7</v>
      </c>
      <c r="E250" s="194">
        <f>[2]Districts_Boroughs!DG215</f>
        <v>11</v>
      </c>
      <c r="F250" s="194">
        <f>[2]Districts_Boroughs!DH215</f>
        <v>9</v>
      </c>
      <c r="G250" s="194">
        <f>[2]Districts_Boroughs!DI215</f>
        <v>13</v>
      </c>
      <c r="H250" s="194">
        <f>[2]Districts_Boroughs!DJ215</f>
        <v>12</v>
      </c>
      <c r="I250" s="194">
        <f>[2]Districts_Boroughs!DK215</f>
        <v>5</v>
      </c>
      <c r="J250" s="194">
        <f>[2]Districts_Boroughs!DL215</f>
        <v>8</v>
      </c>
      <c r="K250" s="194">
        <f>[2]Districts_Boroughs!DM215</f>
        <v>3</v>
      </c>
      <c r="L250" s="194">
        <f>[2]Districts_Boroughs!DN215</f>
        <v>6</v>
      </c>
      <c r="M250" s="194">
        <f>[2]Districts_Boroughs!DO215</f>
        <v>11</v>
      </c>
      <c r="N250" s="194">
        <f>[2]Districts_Boroughs!DP215</f>
        <v>7</v>
      </c>
      <c r="O250" s="194">
        <f>[2]Districts_Boroughs!DQ215</f>
        <v>8</v>
      </c>
      <c r="P250" s="178"/>
      <c r="Q250" s="468">
        <v>249</v>
      </c>
      <c r="R250" s="391" t="s">
        <v>41</v>
      </c>
      <c r="S250" s="176">
        <f t="shared" si="257"/>
        <v>7</v>
      </c>
      <c r="T250" s="176">
        <f t="shared" si="258"/>
        <v>18</v>
      </c>
      <c r="U250" s="176">
        <f t="shared" si="259"/>
        <v>27</v>
      </c>
      <c r="V250" s="176">
        <f t="shared" si="260"/>
        <v>40</v>
      </c>
      <c r="W250" s="176">
        <f t="shared" si="261"/>
        <v>52</v>
      </c>
      <c r="X250" s="176">
        <f t="shared" si="262"/>
        <v>57</v>
      </c>
      <c r="Y250" s="176">
        <f t="shared" si="263"/>
        <v>65</v>
      </c>
      <c r="Z250" s="176">
        <f t="shared" si="264"/>
        <v>68</v>
      </c>
      <c r="AA250" s="176">
        <f t="shared" si="265"/>
        <v>74</v>
      </c>
      <c r="AB250" s="176">
        <f t="shared" si="266"/>
        <v>85</v>
      </c>
      <c r="AC250" s="176">
        <f t="shared" si="267"/>
        <v>92</v>
      </c>
      <c r="AD250" s="461">
        <f t="shared" si="268"/>
        <v>100</v>
      </c>
      <c r="AE250" s="468">
        <v>249</v>
      </c>
      <c r="AF250" s="163">
        <f t="shared" si="240"/>
        <v>100</v>
      </c>
    </row>
    <row r="251" spans="1:32" x14ac:dyDescent="0.35">
      <c r="B251" s="420">
        <v>250</v>
      </c>
      <c r="C251" s="389" t="s">
        <v>42</v>
      </c>
      <c r="D251" s="194">
        <f>[2]Districts_Boroughs!DF216</f>
        <v>281</v>
      </c>
      <c r="E251" s="194">
        <f>[2]Districts_Boroughs!DG216</f>
        <v>299</v>
      </c>
      <c r="F251" s="194">
        <f>[2]Districts_Boroughs!DH216</f>
        <v>329</v>
      </c>
      <c r="G251" s="194">
        <f>[2]Districts_Boroughs!DI216</f>
        <v>320</v>
      </c>
      <c r="H251" s="194">
        <f>[2]Districts_Boroughs!DJ216</f>
        <v>283</v>
      </c>
      <c r="I251" s="194">
        <f>[2]Districts_Boroughs!DK216</f>
        <v>302</v>
      </c>
      <c r="J251" s="194">
        <f>[2]Districts_Boroughs!DL216</f>
        <v>308</v>
      </c>
      <c r="K251" s="194">
        <f>[2]Districts_Boroughs!DM216</f>
        <v>272</v>
      </c>
      <c r="L251" s="194">
        <f>[2]Districts_Boroughs!DN216</f>
        <v>295</v>
      </c>
      <c r="M251" s="194">
        <f>[2]Districts_Boroughs!DO216</f>
        <v>315</v>
      </c>
      <c r="N251" s="194">
        <f>[2]Districts_Boroughs!DP216</f>
        <v>295</v>
      </c>
      <c r="O251" s="194">
        <f>[2]Districts_Boroughs!DQ216</f>
        <v>285</v>
      </c>
      <c r="P251" s="178"/>
      <c r="Q251" s="468">
        <v>250</v>
      </c>
      <c r="R251" s="391" t="s">
        <v>42</v>
      </c>
      <c r="S251" s="176">
        <f t="shared" si="257"/>
        <v>281</v>
      </c>
      <c r="T251" s="176">
        <f t="shared" si="258"/>
        <v>580</v>
      </c>
      <c r="U251" s="176">
        <f t="shared" si="259"/>
        <v>909</v>
      </c>
      <c r="V251" s="176">
        <f t="shared" si="260"/>
        <v>1229</v>
      </c>
      <c r="W251" s="176">
        <f t="shared" si="261"/>
        <v>1512</v>
      </c>
      <c r="X251" s="176">
        <f t="shared" si="262"/>
        <v>1814</v>
      </c>
      <c r="Y251" s="176">
        <f t="shared" si="263"/>
        <v>2122</v>
      </c>
      <c r="Z251" s="176">
        <f t="shared" si="264"/>
        <v>2394</v>
      </c>
      <c r="AA251" s="176">
        <f t="shared" si="265"/>
        <v>2689</v>
      </c>
      <c r="AB251" s="176">
        <f t="shared" si="266"/>
        <v>3004</v>
      </c>
      <c r="AC251" s="176">
        <f t="shared" si="267"/>
        <v>3299</v>
      </c>
      <c r="AD251" s="461">
        <f t="shared" si="268"/>
        <v>3584</v>
      </c>
      <c r="AE251" s="468">
        <v>250</v>
      </c>
      <c r="AF251" s="163">
        <f t="shared" ref="AF251:AF284" si="269">SUM(D251:O251)</f>
        <v>3584</v>
      </c>
    </row>
    <row r="252" spans="1:32" x14ac:dyDescent="0.35">
      <c r="B252" s="420">
        <v>251</v>
      </c>
      <c r="C252" s="389" t="s">
        <v>43</v>
      </c>
      <c r="D252" s="194">
        <f>[2]Districts_Boroughs!DF218</f>
        <v>10</v>
      </c>
      <c r="E252" s="194">
        <f>[2]Districts_Boroughs!DG218</f>
        <v>13</v>
      </c>
      <c r="F252" s="194">
        <f>[2]Districts_Boroughs!DH218</f>
        <v>15</v>
      </c>
      <c r="G252" s="194">
        <f>[2]Districts_Boroughs!DI218</f>
        <v>8</v>
      </c>
      <c r="H252" s="194">
        <f>[2]Districts_Boroughs!DJ218</f>
        <v>4</v>
      </c>
      <c r="I252" s="194">
        <f>[2]Districts_Boroughs!DK218</f>
        <v>6</v>
      </c>
      <c r="J252" s="194">
        <f>[2]Districts_Boroughs!DL218</f>
        <v>9</v>
      </c>
      <c r="K252" s="194">
        <f>[2]Districts_Boroughs!DM218</f>
        <v>10</v>
      </c>
      <c r="L252" s="194">
        <f>[2]Districts_Boroughs!DN218</f>
        <v>18</v>
      </c>
      <c r="M252" s="194">
        <f>[2]Districts_Boroughs!DO218</f>
        <v>8</v>
      </c>
      <c r="N252" s="194">
        <f>[2]Districts_Boroughs!DP218</f>
        <v>3</v>
      </c>
      <c r="O252" s="194">
        <f>[2]Districts_Boroughs!DQ218</f>
        <v>9</v>
      </c>
      <c r="P252" s="178"/>
      <c r="Q252" s="468">
        <v>251</v>
      </c>
      <c r="R252" s="391" t="s">
        <v>43</v>
      </c>
      <c r="S252" s="176">
        <f t="shared" si="257"/>
        <v>10</v>
      </c>
      <c r="T252" s="176">
        <f t="shared" si="258"/>
        <v>23</v>
      </c>
      <c r="U252" s="176">
        <f t="shared" si="259"/>
        <v>38</v>
      </c>
      <c r="V252" s="176">
        <f t="shared" si="260"/>
        <v>46</v>
      </c>
      <c r="W252" s="176">
        <f t="shared" si="261"/>
        <v>50</v>
      </c>
      <c r="X252" s="176">
        <f t="shared" si="262"/>
        <v>56</v>
      </c>
      <c r="Y252" s="176">
        <f t="shared" si="263"/>
        <v>65</v>
      </c>
      <c r="Z252" s="176">
        <f t="shared" si="264"/>
        <v>75</v>
      </c>
      <c r="AA252" s="176">
        <f t="shared" si="265"/>
        <v>93</v>
      </c>
      <c r="AB252" s="176">
        <f t="shared" si="266"/>
        <v>101</v>
      </c>
      <c r="AC252" s="176">
        <f t="shared" si="267"/>
        <v>104</v>
      </c>
      <c r="AD252" s="461">
        <f t="shared" si="268"/>
        <v>113</v>
      </c>
      <c r="AE252" s="470">
        <v>251</v>
      </c>
      <c r="AF252" s="163">
        <f t="shared" si="269"/>
        <v>113</v>
      </c>
    </row>
    <row r="253" spans="1:32" x14ac:dyDescent="0.35">
      <c r="B253" s="420">
        <v>252</v>
      </c>
      <c r="C253" s="389" t="s">
        <v>198</v>
      </c>
      <c r="D253" s="194">
        <f>[2]Districts_Boroughs!DF219</f>
        <v>19</v>
      </c>
      <c r="E253" s="194">
        <f>[2]Districts_Boroughs!DG219</f>
        <v>16</v>
      </c>
      <c r="F253" s="194">
        <f>[2]Districts_Boroughs!DH219</f>
        <v>13</v>
      </c>
      <c r="G253" s="194">
        <f>[2]Districts_Boroughs!DI219</f>
        <v>8</v>
      </c>
      <c r="H253" s="194">
        <f>[2]Districts_Boroughs!DJ219</f>
        <v>5</v>
      </c>
      <c r="I253" s="194">
        <f>[2]Districts_Boroughs!DK219</f>
        <v>7</v>
      </c>
      <c r="J253" s="194">
        <f>[2]Districts_Boroughs!DL219</f>
        <v>9</v>
      </c>
      <c r="K253" s="194">
        <f>[2]Districts_Boroughs!DM219</f>
        <v>14</v>
      </c>
      <c r="L253" s="194">
        <f>[2]Districts_Boroughs!DN219</f>
        <v>14</v>
      </c>
      <c r="M253" s="194">
        <f>[2]Districts_Boroughs!DO219</f>
        <v>8</v>
      </c>
      <c r="N253" s="194">
        <f>[2]Districts_Boroughs!DP219</f>
        <v>8</v>
      </c>
      <c r="O253" s="194">
        <f>[2]Districts_Boroughs!DQ219</f>
        <v>12</v>
      </c>
      <c r="P253" s="178"/>
      <c r="Q253" s="468">
        <v>252</v>
      </c>
      <c r="R253" s="391" t="s">
        <v>198</v>
      </c>
      <c r="S253" s="176">
        <f t="shared" ref="S253:S256" si="270">D253</f>
        <v>19</v>
      </c>
      <c r="T253" s="176">
        <f t="shared" ref="T253:AD253" si="271">S253+E253</f>
        <v>35</v>
      </c>
      <c r="U253" s="176">
        <f t="shared" si="271"/>
        <v>48</v>
      </c>
      <c r="V253" s="176">
        <f t="shared" si="271"/>
        <v>56</v>
      </c>
      <c r="W253" s="176">
        <f t="shared" si="271"/>
        <v>61</v>
      </c>
      <c r="X253" s="176">
        <f t="shared" si="271"/>
        <v>68</v>
      </c>
      <c r="Y253" s="176">
        <f t="shared" si="271"/>
        <v>77</v>
      </c>
      <c r="Z253" s="176">
        <f t="shared" si="271"/>
        <v>91</v>
      </c>
      <c r="AA253" s="176">
        <f t="shared" si="271"/>
        <v>105</v>
      </c>
      <c r="AB253" s="176">
        <f t="shared" si="271"/>
        <v>113</v>
      </c>
      <c r="AC253" s="176">
        <f t="shared" si="271"/>
        <v>121</v>
      </c>
      <c r="AD253" s="461">
        <f t="shared" si="271"/>
        <v>133</v>
      </c>
      <c r="AE253" s="468">
        <v>252</v>
      </c>
      <c r="AF253" s="163">
        <f t="shared" si="269"/>
        <v>133</v>
      </c>
    </row>
    <row r="254" spans="1:32" x14ac:dyDescent="0.35">
      <c r="A254" s="162" t="s">
        <v>128</v>
      </c>
      <c r="B254" s="421">
        <v>253</v>
      </c>
      <c r="C254" s="389" t="s">
        <v>204</v>
      </c>
      <c r="D254" s="288">
        <f>SUM(D252:D253)</f>
        <v>29</v>
      </c>
      <c r="E254" s="288">
        <f t="shared" ref="E254:O254" si="272">SUM(E252:E253)</f>
        <v>29</v>
      </c>
      <c r="F254" s="288">
        <f t="shared" si="272"/>
        <v>28</v>
      </c>
      <c r="G254" s="288">
        <f t="shared" si="272"/>
        <v>16</v>
      </c>
      <c r="H254" s="288">
        <f t="shared" si="272"/>
        <v>9</v>
      </c>
      <c r="I254" s="288">
        <f t="shared" si="272"/>
        <v>13</v>
      </c>
      <c r="J254" s="288">
        <f t="shared" si="272"/>
        <v>18</v>
      </c>
      <c r="K254" s="288">
        <f t="shared" si="272"/>
        <v>24</v>
      </c>
      <c r="L254" s="288">
        <f t="shared" si="272"/>
        <v>32</v>
      </c>
      <c r="M254" s="288">
        <f t="shared" si="272"/>
        <v>16</v>
      </c>
      <c r="N254" s="288">
        <f t="shared" si="272"/>
        <v>11</v>
      </c>
      <c r="O254" s="288">
        <f t="shared" si="272"/>
        <v>21</v>
      </c>
      <c r="P254" s="178"/>
      <c r="Q254" s="468">
        <v>253</v>
      </c>
      <c r="R254" s="389" t="s">
        <v>204</v>
      </c>
      <c r="S254" s="176">
        <f>SUM(S252:S253)</f>
        <v>29</v>
      </c>
      <c r="T254" s="176">
        <f t="shared" ref="T254:AD254" si="273">SUM(T252:T253)</f>
        <v>58</v>
      </c>
      <c r="U254" s="176">
        <f t="shared" si="273"/>
        <v>86</v>
      </c>
      <c r="V254" s="176">
        <f t="shared" si="273"/>
        <v>102</v>
      </c>
      <c r="W254" s="176">
        <f t="shared" si="273"/>
        <v>111</v>
      </c>
      <c r="X254" s="176">
        <f t="shared" si="273"/>
        <v>124</v>
      </c>
      <c r="Y254" s="176">
        <f t="shared" si="273"/>
        <v>142</v>
      </c>
      <c r="Z254" s="176">
        <f t="shared" si="273"/>
        <v>166</v>
      </c>
      <c r="AA254" s="176">
        <f t="shared" si="273"/>
        <v>198</v>
      </c>
      <c r="AB254" s="176">
        <f t="shared" si="273"/>
        <v>214</v>
      </c>
      <c r="AC254" s="176">
        <f t="shared" si="273"/>
        <v>225</v>
      </c>
      <c r="AD254" s="461">
        <f t="shared" si="273"/>
        <v>246</v>
      </c>
      <c r="AE254" s="468">
        <v>253</v>
      </c>
      <c r="AF254" s="163"/>
    </row>
    <row r="255" spans="1:32" x14ac:dyDescent="0.35">
      <c r="B255" s="420">
        <v>254</v>
      </c>
      <c r="C255" s="389" t="s">
        <v>44</v>
      </c>
      <c r="D255" s="195">
        <f>[2]Districts_Boroughs!DF220</f>
        <v>0</v>
      </c>
      <c r="E255" s="195">
        <f>[2]Districts_Boroughs!DG220</f>
        <v>3</v>
      </c>
      <c r="F255" s="195">
        <f>[2]Districts_Boroughs!DH220</f>
        <v>1</v>
      </c>
      <c r="G255" s="195">
        <f>[2]Districts_Boroughs!DI220</f>
        <v>1</v>
      </c>
      <c r="H255" s="195">
        <f>[2]Districts_Boroughs!DJ220</f>
        <v>0</v>
      </c>
      <c r="I255" s="195">
        <f>[2]Districts_Boroughs!DK220</f>
        <v>0</v>
      </c>
      <c r="J255" s="195">
        <f>[2]Districts_Boroughs!DL220</f>
        <v>0</v>
      </c>
      <c r="K255" s="195">
        <f>[2]Districts_Boroughs!DM220</f>
        <v>0</v>
      </c>
      <c r="L255" s="195">
        <f>[2]Districts_Boroughs!DN220</f>
        <v>1</v>
      </c>
      <c r="M255" s="195">
        <f>[2]Districts_Boroughs!DO220</f>
        <v>0</v>
      </c>
      <c r="N255" s="195">
        <f>[2]Districts_Boroughs!DP220</f>
        <v>0</v>
      </c>
      <c r="O255" s="195">
        <f>[2]Districts_Boroughs!DQ220</f>
        <v>1</v>
      </c>
      <c r="P255" s="178"/>
      <c r="Q255" s="468">
        <v>254</v>
      </c>
      <c r="R255" s="391" t="s">
        <v>44</v>
      </c>
      <c r="S255" s="176">
        <f t="shared" si="270"/>
        <v>0</v>
      </c>
      <c r="T255" s="176">
        <f t="shared" ref="T255:AD256" si="274">S255+E255</f>
        <v>3</v>
      </c>
      <c r="U255" s="176">
        <f t="shared" si="274"/>
        <v>4</v>
      </c>
      <c r="V255" s="176">
        <f t="shared" si="274"/>
        <v>5</v>
      </c>
      <c r="W255" s="176">
        <f t="shared" si="274"/>
        <v>5</v>
      </c>
      <c r="X255" s="176">
        <f t="shared" si="274"/>
        <v>5</v>
      </c>
      <c r="Y255" s="176">
        <f t="shared" si="274"/>
        <v>5</v>
      </c>
      <c r="Z255" s="176">
        <f t="shared" si="274"/>
        <v>5</v>
      </c>
      <c r="AA255" s="176">
        <f t="shared" si="274"/>
        <v>6</v>
      </c>
      <c r="AB255" s="176">
        <f t="shared" si="274"/>
        <v>6</v>
      </c>
      <c r="AC255" s="176">
        <f t="shared" si="274"/>
        <v>6</v>
      </c>
      <c r="AD255" s="461">
        <f t="shared" si="274"/>
        <v>7</v>
      </c>
      <c r="AE255" s="470">
        <v>254</v>
      </c>
      <c r="AF255" s="163">
        <f t="shared" si="269"/>
        <v>7</v>
      </c>
    </row>
    <row r="256" spans="1:32" x14ac:dyDescent="0.35">
      <c r="B256" s="420">
        <v>255</v>
      </c>
      <c r="C256" s="389" t="s">
        <v>199</v>
      </c>
      <c r="D256" s="195">
        <f>[2]Districts_Boroughs!DF221</f>
        <v>0</v>
      </c>
      <c r="E256" s="195">
        <f>[2]Districts_Boroughs!DG221</f>
        <v>0</v>
      </c>
      <c r="F256" s="195">
        <f>[2]Districts_Boroughs!DH221</f>
        <v>1</v>
      </c>
      <c r="G256" s="195">
        <f>[2]Districts_Boroughs!DI221</f>
        <v>0</v>
      </c>
      <c r="H256" s="195">
        <f>[2]Districts_Boroughs!DJ221</f>
        <v>1</v>
      </c>
      <c r="I256" s="195">
        <f>[2]Districts_Boroughs!DK221</f>
        <v>0</v>
      </c>
      <c r="J256" s="195">
        <f>[2]Districts_Boroughs!DL221</f>
        <v>3</v>
      </c>
      <c r="K256" s="195">
        <f>[2]Districts_Boroughs!DM221</f>
        <v>1</v>
      </c>
      <c r="L256" s="195">
        <f>[2]Districts_Boroughs!DN221</f>
        <v>2</v>
      </c>
      <c r="M256" s="195">
        <f>[2]Districts_Boroughs!DO221</f>
        <v>1</v>
      </c>
      <c r="N256" s="195">
        <f>[2]Districts_Boroughs!DP221</f>
        <v>0</v>
      </c>
      <c r="O256" s="195">
        <f>[2]Districts_Boroughs!DQ221</f>
        <v>0</v>
      </c>
      <c r="P256" s="178"/>
      <c r="Q256" s="468">
        <v>255</v>
      </c>
      <c r="R256" s="391" t="s">
        <v>199</v>
      </c>
      <c r="S256" s="176">
        <f t="shared" si="270"/>
        <v>0</v>
      </c>
      <c r="T256" s="176">
        <f t="shared" si="274"/>
        <v>0</v>
      </c>
      <c r="U256" s="176">
        <f t="shared" si="274"/>
        <v>1</v>
      </c>
      <c r="V256" s="176">
        <f t="shared" si="274"/>
        <v>1</v>
      </c>
      <c r="W256" s="176">
        <f t="shared" si="274"/>
        <v>2</v>
      </c>
      <c r="X256" s="176">
        <f t="shared" si="274"/>
        <v>2</v>
      </c>
      <c r="Y256" s="176">
        <f t="shared" si="274"/>
        <v>5</v>
      </c>
      <c r="Z256" s="176">
        <f t="shared" si="274"/>
        <v>6</v>
      </c>
      <c r="AA256" s="176">
        <f t="shared" si="274"/>
        <v>8</v>
      </c>
      <c r="AB256" s="176">
        <f t="shared" si="274"/>
        <v>9</v>
      </c>
      <c r="AC256" s="176">
        <f t="shared" si="274"/>
        <v>9</v>
      </c>
      <c r="AD256" s="461">
        <f t="shared" si="274"/>
        <v>9</v>
      </c>
      <c r="AE256" s="468">
        <v>255</v>
      </c>
      <c r="AF256" s="163">
        <f t="shared" si="269"/>
        <v>9</v>
      </c>
    </row>
    <row r="257" spans="1:32" x14ac:dyDescent="0.35">
      <c r="B257" s="420">
        <v>256</v>
      </c>
      <c r="C257" s="389" t="s">
        <v>205</v>
      </c>
      <c r="D257" s="281">
        <f>SUM(D255:D256)</f>
        <v>0</v>
      </c>
      <c r="E257" s="281">
        <f t="shared" ref="E257:O257" si="275">SUM(E255:E256)</f>
        <v>3</v>
      </c>
      <c r="F257" s="281">
        <f t="shared" si="275"/>
        <v>2</v>
      </c>
      <c r="G257" s="281">
        <f t="shared" si="275"/>
        <v>1</v>
      </c>
      <c r="H257" s="281">
        <f t="shared" si="275"/>
        <v>1</v>
      </c>
      <c r="I257" s="281">
        <f t="shared" si="275"/>
        <v>0</v>
      </c>
      <c r="J257" s="281">
        <f t="shared" si="275"/>
        <v>3</v>
      </c>
      <c r="K257" s="281">
        <f t="shared" si="275"/>
        <v>1</v>
      </c>
      <c r="L257" s="281">
        <f t="shared" si="275"/>
        <v>3</v>
      </c>
      <c r="M257" s="281">
        <f t="shared" si="275"/>
        <v>1</v>
      </c>
      <c r="N257" s="281">
        <f t="shared" si="275"/>
        <v>0</v>
      </c>
      <c r="O257" s="281">
        <f t="shared" si="275"/>
        <v>1</v>
      </c>
      <c r="P257" s="178"/>
      <c r="Q257" s="468">
        <v>256</v>
      </c>
      <c r="R257" s="389" t="s">
        <v>205</v>
      </c>
      <c r="S257" s="176">
        <f>SUM(S255:S256)</f>
        <v>0</v>
      </c>
      <c r="T257" s="176">
        <f t="shared" ref="T257:AD257" si="276">SUM(T255:T256)</f>
        <v>3</v>
      </c>
      <c r="U257" s="176">
        <f t="shared" si="276"/>
        <v>5</v>
      </c>
      <c r="V257" s="176">
        <f t="shared" si="276"/>
        <v>6</v>
      </c>
      <c r="W257" s="176">
        <f t="shared" si="276"/>
        <v>7</v>
      </c>
      <c r="X257" s="176">
        <f t="shared" si="276"/>
        <v>7</v>
      </c>
      <c r="Y257" s="176">
        <f t="shared" si="276"/>
        <v>10</v>
      </c>
      <c r="Z257" s="176">
        <f t="shared" si="276"/>
        <v>11</v>
      </c>
      <c r="AA257" s="176">
        <f t="shared" si="276"/>
        <v>14</v>
      </c>
      <c r="AB257" s="176">
        <f t="shared" si="276"/>
        <v>15</v>
      </c>
      <c r="AC257" s="176">
        <f t="shared" si="276"/>
        <v>15</v>
      </c>
      <c r="AD257" s="461">
        <f t="shared" si="276"/>
        <v>16</v>
      </c>
      <c r="AE257" s="468">
        <v>256</v>
      </c>
      <c r="AF257" s="163"/>
    </row>
    <row r="258" spans="1:32" x14ac:dyDescent="0.35">
      <c r="A258" s="162" t="s">
        <v>128</v>
      </c>
      <c r="B258" s="420">
        <v>257</v>
      </c>
      <c r="C258" s="389" t="s">
        <v>84</v>
      </c>
      <c r="D258" s="284">
        <f>D257+D254</f>
        <v>29</v>
      </c>
      <c r="E258" s="284">
        <f t="shared" ref="E258:O258" si="277">E257+E254</f>
        <v>32</v>
      </c>
      <c r="F258" s="284">
        <f t="shared" si="277"/>
        <v>30</v>
      </c>
      <c r="G258" s="284">
        <f t="shared" si="277"/>
        <v>17</v>
      </c>
      <c r="H258" s="284">
        <f t="shared" si="277"/>
        <v>10</v>
      </c>
      <c r="I258" s="284">
        <f t="shared" si="277"/>
        <v>13</v>
      </c>
      <c r="J258" s="284">
        <f t="shared" si="277"/>
        <v>21</v>
      </c>
      <c r="K258" s="284">
        <f t="shared" si="277"/>
        <v>25</v>
      </c>
      <c r="L258" s="284">
        <f t="shared" si="277"/>
        <v>35</v>
      </c>
      <c r="M258" s="284">
        <f t="shared" si="277"/>
        <v>17</v>
      </c>
      <c r="N258" s="284">
        <f t="shared" si="277"/>
        <v>11</v>
      </c>
      <c r="O258" s="284">
        <f t="shared" si="277"/>
        <v>22</v>
      </c>
      <c r="P258" s="183"/>
      <c r="Q258" s="468">
        <v>257</v>
      </c>
      <c r="R258" s="391" t="s">
        <v>84</v>
      </c>
      <c r="S258" s="176">
        <f t="shared" ref="S258:S269" si="278">D258</f>
        <v>29</v>
      </c>
      <c r="T258" s="176">
        <f t="shared" ref="T258:T269" si="279">S258+E258</f>
        <v>61</v>
      </c>
      <c r="U258" s="176">
        <f t="shared" ref="U258:U269" si="280">T258+F258</f>
        <v>91</v>
      </c>
      <c r="V258" s="176">
        <f t="shared" ref="V258:V269" si="281">U258+G258</f>
        <v>108</v>
      </c>
      <c r="W258" s="176">
        <f t="shared" ref="W258:W269" si="282">V258+H258</f>
        <v>118</v>
      </c>
      <c r="X258" s="176">
        <f t="shared" ref="X258:X269" si="283">W258+I258</f>
        <v>131</v>
      </c>
      <c r="Y258" s="176">
        <f t="shared" ref="Y258:Y269" si="284">X258+J258</f>
        <v>152</v>
      </c>
      <c r="Z258" s="176">
        <f t="shared" ref="Z258:Z269" si="285">Y258+K258</f>
        <v>177</v>
      </c>
      <c r="AA258" s="176">
        <f t="shared" ref="AA258:AA269" si="286">Z258+L258</f>
        <v>212</v>
      </c>
      <c r="AB258" s="176">
        <f t="shared" ref="AB258:AB269" si="287">AA258+M258</f>
        <v>229</v>
      </c>
      <c r="AC258" s="176">
        <f t="shared" ref="AC258:AC269" si="288">AB258+N258</f>
        <v>240</v>
      </c>
      <c r="AD258" s="461">
        <f t="shared" ref="AD258:AD269" si="289">AC258+O258</f>
        <v>262</v>
      </c>
      <c r="AE258" s="468">
        <v>257</v>
      </c>
      <c r="AF258" s="163">
        <f t="shared" si="269"/>
        <v>262</v>
      </c>
    </row>
    <row r="259" spans="1:32" x14ac:dyDescent="0.35">
      <c r="B259" s="421">
        <v>258</v>
      </c>
      <c r="C259" s="389" t="s">
        <v>45</v>
      </c>
      <c r="D259" s="195">
        <f>[2]Districts_Boroughs!DF222</f>
        <v>38</v>
      </c>
      <c r="E259" s="195">
        <f>[2]Districts_Boroughs!DG222</f>
        <v>29</v>
      </c>
      <c r="F259" s="195">
        <f>[2]Districts_Boroughs!DH222</f>
        <v>33</v>
      </c>
      <c r="G259" s="195">
        <f>[2]Districts_Boroughs!DI222</f>
        <v>23</v>
      </c>
      <c r="H259" s="195">
        <f>[2]Districts_Boroughs!DJ222</f>
        <v>27</v>
      </c>
      <c r="I259" s="195">
        <f>[2]Districts_Boroughs!DK222</f>
        <v>22</v>
      </c>
      <c r="J259" s="195">
        <f>[2]Districts_Boroughs!DL222</f>
        <v>18</v>
      </c>
      <c r="K259" s="195">
        <f>[2]Districts_Boroughs!DM222</f>
        <v>22</v>
      </c>
      <c r="L259" s="195">
        <f>[2]Districts_Boroughs!DN222</f>
        <v>20</v>
      </c>
      <c r="M259" s="195">
        <f>[2]Districts_Boroughs!DO222</f>
        <v>19</v>
      </c>
      <c r="N259" s="195">
        <f>[2]Districts_Boroughs!DP222</f>
        <v>21</v>
      </c>
      <c r="O259" s="195">
        <f>[2]Districts_Boroughs!DQ222</f>
        <v>23</v>
      </c>
      <c r="P259" s="178"/>
      <c r="Q259" s="468">
        <v>258</v>
      </c>
      <c r="R259" s="391" t="s">
        <v>45</v>
      </c>
      <c r="S259" s="176">
        <f t="shared" si="278"/>
        <v>38</v>
      </c>
      <c r="T259" s="176">
        <f t="shared" si="279"/>
        <v>67</v>
      </c>
      <c r="U259" s="176">
        <f t="shared" si="280"/>
        <v>100</v>
      </c>
      <c r="V259" s="176">
        <f t="shared" si="281"/>
        <v>123</v>
      </c>
      <c r="W259" s="176">
        <f t="shared" si="282"/>
        <v>150</v>
      </c>
      <c r="X259" s="176">
        <f t="shared" si="283"/>
        <v>172</v>
      </c>
      <c r="Y259" s="176">
        <f t="shared" si="284"/>
        <v>190</v>
      </c>
      <c r="Z259" s="176">
        <f t="shared" si="285"/>
        <v>212</v>
      </c>
      <c r="AA259" s="176">
        <f t="shared" si="286"/>
        <v>232</v>
      </c>
      <c r="AB259" s="176">
        <f t="shared" si="287"/>
        <v>251</v>
      </c>
      <c r="AC259" s="176">
        <f t="shared" si="288"/>
        <v>272</v>
      </c>
      <c r="AD259" s="461">
        <f t="shared" si="289"/>
        <v>295</v>
      </c>
      <c r="AE259" s="468">
        <v>258</v>
      </c>
      <c r="AF259" s="163">
        <f t="shared" si="269"/>
        <v>295</v>
      </c>
    </row>
    <row r="260" spans="1:32" x14ac:dyDescent="0.35">
      <c r="B260" s="420">
        <v>259</v>
      </c>
      <c r="C260" s="389" t="s">
        <v>191</v>
      </c>
      <c r="D260" s="195">
        <f>[2]Districts_Boroughs!DF223</f>
        <v>57</v>
      </c>
      <c r="E260" s="195">
        <f>[2]Districts_Boroughs!DG223</f>
        <v>69</v>
      </c>
      <c r="F260" s="195">
        <f>[2]Districts_Boroughs!DH223</f>
        <v>60</v>
      </c>
      <c r="G260" s="195">
        <f>[2]Districts_Boroughs!DI223</f>
        <v>80</v>
      </c>
      <c r="H260" s="195">
        <f>[2]Districts_Boroughs!DJ223</f>
        <v>59</v>
      </c>
      <c r="I260" s="195">
        <f>[2]Districts_Boroughs!DK223</f>
        <v>64</v>
      </c>
      <c r="J260" s="195">
        <f>[2]Districts_Boroughs!DL223</f>
        <v>65</v>
      </c>
      <c r="K260" s="195">
        <f>[2]Districts_Boroughs!DM223</f>
        <v>59</v>
      </c>
      <c r="L260" s="195">
        <f>[2]Districts_Boroughs!DN223</f>
        <v>51</v>
      </c>
      <c r="M260" s="195">
        <f>[2]Districts_Boroughs!DO223</f>
        <v>66</v>
      </c>
      <c r="N260" s="195">
        <f>[2]Districts_Boroughs!DP223</f>
        <v>53</v>
      </c>
      <c r="O260" s="195">
        <f>[2]Districts_Boroughs!DQ223</f>
        <v>75</v>
      </c>
      <c r="P260" s="178"/>
      <c r="Q260" s="468">
        <v>259</v>
      </c>
      <c r="R260" s="391" t="s">
        <v>191</v>
      </c>
      <c r="S260" s="176">
        <f t="shared" si="278"/>
        <v>57</v>
      </c>
      <c r="T260" s="176">
        <f t="shared" si="279"/>
        <v>126</v>
      </c>
      <c r="U260" s="176">
        <f t="shared" si="280"/>
        <v>186</v>
      </c>
      <c r="V260" s="176">
        <f t="shared" si="281"/>
        <v>266</v>
      </c>
      <c r="W260" s="176">
        <f t="shared" si="282"/>
        <v>325</v>
      </c>
      <c r="X260" s="176">
        <f t="shared" si="283"/>
        <v>389</v>
      </c>
      <c r="Y260" s="176">
        <f t="shared" si="284"/>
        <v>454</v>
      </c>
      <c r="Z260" s="176">
        <f t="shared" si="285"/>
        <v>513</v>
      </c>
      <c r="AA260" s="176">
        <f t="shared" si="286"/>
        <v>564</v>
      </c>
      <c r="AB260" s="176">
        <f t="shared" si="287"/>
        <v>630</v>
      </c>
      <c r="AC260" s="176">
        <f t="shared" si="288"/>
        <v>683</v>
      </c>
      <c r="AD260" s="461">
        <f t="shared" si="289"/>
        <v>758</v>
      </c>
      <c r="AE260" s="470">
        <v>259</v>
      </c>
      <c r="AF260" s="163">
        <f t="shared" si="269"/>
        <v>758</v>
      </c>
    </row>
    <row r="261" spans="1:32" x14ac:dyDescent="0.35">
      <c r="B261" s="420">
        <v>260</v>
      </c>
      <c r="C261" s="389" t="s">
        <v>53</v>
      </c>
      <c r="D261" s="195">
        <f>[2]Districts_Boroughs!DF225</f>
        <v>4</v>
      </c>
      <c r="E261" s="195">
        <f>[2]Districts_Boroughs!DG225</f>
        <v>7</v>
      </c>
      <c r="F261" s="195">
        <f>[2]Districts_Boroughs!DH225</f>
        <v>5</v>
      </c>
      <c r="G261" s="195">
        <f>[2]Districts_Boroughs!DI225</f>
        <v>8</v>
      </c>
      <c r="H261" s="195">
        <f>[2]Districts_Boroughs!DJ225</f>
        <v>3</v>
      </c>
      <c r="I261" s="195">
        <f>[2]Districts_Boroughs!DK225</f>
        <v>9</v>
      </c>
      <c r="J261" s="195">
        <f>[2]Districts_Boroughs!DL225</f>
        <v>3</v>
      </c>
      <c r="K261" s="195">
        <f>[2]Districts_Boroughs!DM225</f>
        <v>6</v>
      </c>
      <c r="L261" s="195">
        <f>[2]Districts_Boroughs!DN225</f>
        <v>4</v>
      </c>
      <c r="M261" s="195">
        <f>[2]Districts_Boroughs!DO225</f>
        <v>3</v>
      </c>
      <c r="N261" s="195">
        <f>[2]Districts_Boroughs!DP225</f>
        <v>9</v>
      </c>
      <c r="O261" s="195">
        <f>[2]Districts_Boroughs!DQ225</f>
        <v>4</v>
      </c>
      <c r="P261" s="178"/>
      <c r="Q261" s="468">
        <v>260</v>
      </c>
      <c r="R261" s="391" t="s">
        <v>53</v>
      </c>
      <c r="S261" s="176">
        <f t="shared" si="278"/>
        <v>4</v>
      </c>
      <c r="T261" s="176">
        <f t="shared" si="279"/>
        <v>11</v>
      </c>
      <c r="U261" s="176">
        <f t="shared" si="280"/>
        <v>16</v>
      </c>
      <c r="V261" s="176">
        <f t="shared" si="281"/>
        <v>24</v>
      </c>
      <c r="W261" s="176">
        <f t="shared" si="282"/>
        <v>27</v>
      </c>
      <c r="X261" s="176">
        <f t="shared" si="283"/>
        <v>36</v>
      </c>
      <c r="Y261" s="176">
        <f t="shared" si="284"/>
        <v>39</v>
      </c>
      <c r="Z261" s="176">
        <f t="shared" si="285"/>
        <v>45</v>
      </c>
      <c r="AA261" s="176">
        <f t="shared" si="286"/>
        <v>49</v>
      </c>
      <c r="AB261" s="176">
        <f t="shared" si="287"/>
        <v>52</v>
      </c>
      <c r="AC261" s="176">
        <f t="shared" si="288"/>
        <v>61</v>
      </c>
      <c r="AD261" s="461">
        <f t="shared" si="289"/>
        <v>65</v>
      </c>
      <c r="AE261" s="468">
        <v>260</v>
      </c>
      <c r="AF261" s="163">
        <f t="shared" si="269"/>
        <v>65</v>
      </c>
    </row>
    <row r="262" spans="1:32" x14ac:dyDescent="0.35">
      <c r="B262" s="420">
        <v>261</v>
      </c>
      <c r="C262" s="389" t="s">
        <v>54</v>
      </c>
      <c r="D262" s="195">
        <f>[2]Districts_Boroughs!DF226</f>
        <v>3</v>
      </c>
      <c r="E262" s="195">
        <f>[2]Districts_Boroughs!DG226</f>
        <v>1</v>
      </c>
      <c r="F262" s="195">
        <f>[2]Districts_Boroughs!DH226</f>
        <v>5</v>
      </c>
      <c r="G262" s="195">
        <f>[2]Districts_Boroughs!DI226</f>
        <v>3</v>
      </c>
      <c r="H262" s="195">
        <f>[2]Districts_Boroughs!DJ226</f>
        <v>5</v>
      </c>
      <c r="I262" s="195">
        <f>[2]Districts_Boroughs!DK226</f>
        <v>4</v>
      </c>
      <c r="J262" s="195">
        <f>[2]Districts_Boroughs!DL226</f>
        <v>2</v>
      </c>
      <c r="K262" s="195">
        <f>[2]Districts_Boroughs!DM226</f>
        <v>3</v>
      </c>
      <c r="L262" s="195">
        <f>[2]Districts_Boroughs!DN226</f>
        <v>6</v>
      </c>
      <c r="M262" s="195">
        <f>[2]Districts_Boroughs!DO226</f>
        <v>4</v>
      </c>
      <c r="N262" s="195">
        <f>[2]Districts_Boroughs!DP226</f>
        <v>2</v>
      </c>
      <c r="O262" s="195">
        <f>[2]Districts_Boroughs!DQ226</f>
        <v>2</v>
      </c>
      <c r="P262" s="178"/>
      <c r="Q262" s="468">
        <v>261</v>
      </c>
      <c r="R262" s="391" t="s">
        <v>54</v>
      </c>
      <c r="S262" s="176">
        <f t="shared" si="278"/>
        <v>3</v>
      </c>
      <c r="T262" s="176">
        <f t="shared" si="279"/>
        <v>4</v>
      </c>
      <c r="U262" s="176">
        <f t="shared" si="280"/>
        <v>9</v>
      </c>
      <c r="V262" s="176">
        <f t="shared" si="281"/>
        <v>12</v>
      </c>
      <c r="W262" s="176">
        <f t="shared" si="282"/>
        <v>17</v>
      </c>
      <c r="X262" s="176">
        <f t="shared" si="283"/>
        <v>21</v>
      </c>
      <c r="Y262" s="176">
        <f t="shared" si="284"/>
        <v>23</v>
      </c>
      <c r="Z262" s="176">
        <f t="shared" si="285"/>
        <v>26</v>
      </c>
      <c r="AA262" s="176">
        <f t="shared" si="286"/>
        <v>32</v>
      </c>
      <c r="AB262" s="176">
        <f t="shared" si="287"/>
        <v>36</v>
      </c>
      <c r="AC262" s="176">
        <f t="shared" si="288"/>
        <v>38</v>
      </c>
      <c r="AD262" s="461">
        <f t="shared" si="289"/>
        <v>40</v>
      </c>
      <c r="AE262" s="468">
        <v>261</v>
      </c>
      <c r="AF262" s="163">
        <f t="shared" si="269"/>
        <v>40</v>
      </c>
    </row>
    <row r="263" spans="1:32" x14ac:dyDescent="0.35">
      <c r="B263" s="420">
        <v>262</v>
      </c>
      <c r="C263" s="389" t="s">
        <v>46</v>
      </c>
      <c r="D263" s="195">
        <f>[2]Districts_Boroughs!DF228</f>
        <v>1</v>
      </c>
      <c r="E263" s="195">
        <f>[2]Districts_Boroughs!DG228</f>
        <v>1</v>
      </c>
      <c r="F263" s="195">
        <f>[2]Districts_Boroughs!DH228</f>
        <v>1</v>
      </c>
      <c r="G263" s="195">
        <f>[2]Districts_Boroughs!DI228</f>
        <v>0</v>
      </c>
      <c r="H263" s="195">
        <f>[2]Districts_Boroughs!DJ228</f>
        <v>2</v>
      </c>
      <c r="I263" s="195">
        <f>[2]Districts_Boroughs!DK228</f>
        <v>1</v>
      </c>
      <c r="J263" s="195">
        <f>[2]Districts_Boroughs!DL228</f>
        <v>2</v>
      </c>
      <c r="K263" s="195">
        <f>[2]Districts_Boroughs!DM228</f>
        <v>0</v>
      </c>
      <c r="L263" s="195">
        <f>[2]Districts_Boroughs!DN228</f>
        <v>3</v>
      </c>
      <c r="M263" s="195">
        <f>[2]Districts_Boroughs!DO228</f>
        <v>3</v>
      </c>
      <c r="N263" s="195">
        <f>[2]Districts_Boroughs!DP228</f>
        <v>0</v>
      </c>
      <c r="O263" s="195">
        <f>[2]Districts_Boroughs!DQ228</f>
        <v>1</v>
      </c>
      <c r="P263" s="178"/>
      <c r="Q263" s="468">
        <v>262</v>
      </c>
      <c r="R263" s="391" t="s">
        <v>46</v>
      </c>
      <c r="S263" s="176">
        <f t="shared" si="278"/>
        <v>1</v>
      </c>
      <c r="T263" s="176">
        <f t="shared" si="279"/>
        <v>2</v>
      </c>
      <c r="U263" s="176">
        <f t="shared" si="280"/>
        <v>3</v>
      </c>
      <c r="V263" s="176">
        <f t="shared" si="281"/>
        <v>3</v>
      </c>
      <c r="W263" s="176">
        <f t="shared" si="282"/>
        <v>5</v>
      </c>
      <c r="X263" s="176">
        <f t="shared" si="283"/>
        <v>6</v>
      </c>
      <c r="Y263" s="176">
        <f t="shared" si="284"/>
        <v>8</v>
      </c>
      <c r="Z263" s="176">
        <f t="shared" si="285"/>
        <v>8</v>
      </c>
      <c r="AA263" s="176">
        <f t="shared" si="286"/>
        <v>11</v>
      </c>
      <c r="AB263" s="176">
        <f t="shared" si="287"/>
        <v>14</v>
      </c>
      <c r="AC263" s="176">
        <f t="shared" si="288"/>
        <v>14</v>
      </c>
      <c r="AD263" s="461">
        <f t="shared" si="289"/>
        <v>15</v>
      </c>
      <c r="AE263" s="470">
        <v>262</v>
      </c>
      <c r="AF263" s="163">
        <f t="shared" si="269"/>
        <v>15</v>
      </c>
    </row>
    <row r="264" spans="1:32" x14ac:dyDescent="0.35">
      <c r="B264" s="421">
        <v>263</v>
      </c>
      <c r="C264" s="389" t="s">
        <v>47</v>
      </c>
      <c r="D264" s="195">
        <f>[2]Districts_Boroughs!DF229</f>
        <v>6</v>
      </c>
      <c r="E264" s="195">
        <f>[2]Districts_Boroughs!DG229</f>
        <v>14</v>
      </c>
      <c r="F264" s="195">
        <f>[2]Districts_Boroughs!DH229</f>
        <v>10</v>
      </c>
      <c r="G264" s="195">
        <f>[2]Districts_Boroughs!DI229</f>
        <v>16</v>
      </c>
      <c r="H264" s="195">
        <f>[2]Districts_Boroughs!DJ229</f>
        <v>5</v>
      </c>
      <c r="I264" s="195">
        <f>[2]Districts_Boroughs!DK229</f>
        <v>8</v>
      </c>
      <c r="J264" s="195">
        <f>[2]Districts_Boroughs!DL229</f>
        <v>19</v>
      </c>
      <c r="K264" s="195">
        <f>[2]Districts_Boroughs!DM229</f>
        <v>13</v>
      </c>
      <c r="L264" s="195">
        <f>[2]Districts_Boroughs!DN229</f>
        <v>23</v>
      </c>
      <c r="M264" s="195">
        <f>[2]Districts_Boroughs!DO229</f>
        <v>14</v>
      </c>
      <c r="N264" s="195">
        <f>[2]Districts_Boroughs!DP229</f>
        <v>8</v>
      </c>
      <c r="O264" s="195">
        <f>[2]Districts_Boroughs!DQ229</f>
        <v>13</v>
      </c>
      <c r="P264" s="178"/>
      <c r="Q264" s="468">
        <v>263</v>
      </c>
      <c r="R264" s="391" t="s">
        <v>47</v>
      </c>
      <c r="S264" s="176">
        <f t="shared" si="278"/>
        <v>6</v>
      </c>
      <c r="T264" s="176">
        <f t="shared" si="279"/>
        <v>20</v>
      </c>
      <c r="U264" s="176">
        <f t="shared" si="280"/>
        <v>30</v>
      </c>
      <c r="V264" s="176">
        <f t="shared" si="281"/>
        <v>46</v>
      </c>
      <c r="W264" s="176">
        <f t="shared" si="282"/>
        <v>51</v>
      </c>
      <c r="X264" s="176">
        <f t="shared" si="283"/>
        <v>59</v>
      </c>
      <c r="Y264" s="176">
        <f t="shared" si="284"/>
        <v>78</v>
      </c>
      <c r="Z264" s="176">
        <f t="shared" si="285"/>
        <v>91</v>
      </c>
      <c r="AA264" s="176">
        <f t="shared" si="286"/>
        <v>114</v>
      </c>
      <c r="AB264" s="176">
        <f t="shared" si="287"/>
        <v>128</v>
      </c>
      <c r="AC264" s="176">
        <f t="shared" si="288"/>
        <v>136</v>
      </c>
      <c r="AD264" s="461">
        <f t="shared" si="289"/>
        <v>149</v>
      </c>
      <c r="AE264" s="468">
        <v>263</v>
      </c>
      <c r="AF264" s="163">
        <f t="shared" si="269"/>
        <v>149</v>
      </c>
    </row>
    <row r="265" spans="1:32" x14ac:dyDescent="0.35">
      <c r="B265" s="420">
        <v>264</v>
      </c>
      <c r="C265" s="389" t="s">
        <v>48</v>
      </c>
      <c r="D265" s="195">
        <f>[2]Districts_Boroughs!DF230</f>
        <v>58</v>
      </c>
      <c r="E265" s="195">
        <f>[2]Districts_Boroughs!DG230</f>
        <v>34</v>
      </c>
      <c r="F265" s="195">
        <f>[2]Districts_Boroughs!DH230</f>
        <v>55</v>
      </c>
      <c r="G265" s="195">
        <f>[2]Districts_Boroughs!DI230</f>
        <v>73</v>
      </c>
      <c r="H265" s="195">
        <f>[2]Districts_Boroughs!DJ230</f>
        <v>49</v>
      </c>
      <c r="I265" s="195">
        <f>[2]Districts_Boroughs!DK230</f>
        <v>33</v>
      </c>
      <c r="J265" s="195">
        <f>[2]Districts_Boroughs!DL230</f>
        <v>51</v>
      </c>
      <c r="K265" s="195">
        <f>[2]Districts_Boroughs!DM230</f>
        <v>59</v>
      </c>
      <c r="L265" s="195">
        <f>[2]Districts_Boroughs!DN230</f>
        <v>65</v>
      </c>
      <c r="M265" s="195">
        <f>[2]Districts_Boroughs!DO230</f>
        <v>41</v>
      </c>
      <c r="N265" s="195">
        <f>[2]Districts_Boroughs!DP230</f>
        <v>29</v>
      </c>
      <c r="O265" s="195">
        <f>[2]Districts_Boroughs!DQ230</f>
        <v>22</v>
      </c>
      <c r="P265" s="178"/>
      <c r="Q265" s="468">
        <v>264</v>
      </c>
      <c r="R265" s="391" t="s">
        <v>48</v>
      </c>
      <c r="S265" s="176">
        <f t="shared" si="278"/>
        <v>58</v>
      </c>
      <c r="T265" s="176">
        <f t="shared" si="279"/>
        <v>92</v>
      </c>
      <c r="U265" s="176">
        <f t="shared" si="280"/>
        <v>147</v>
      </c>
      <c r="V265" s="176">
        <f t="shared" si="281"/>
        <v>220</v>
      </c>
      <c r="W265" s="176">
        <f t="shared" si="282"/>
        <v>269</v>
      </c>
      <c r="X265" s="176">
        <f t="shared" si="283"/>
        <v>302</v>
      </c>
      <c r="Y265" s="176">
        <f t="shared" si="284"/>
        <v>353</v>
      </c>
      <c r="Z265" s="176">
        <f t="shared" si="285"/>
        <v>412</v>
      </c>
      <c r="AA265" s="176">
        <f t="shared" si="286"/>
        <v>477</v>
      </c>
      <c r="AB265" s="176">
        <f t="shared" si="287"/>
        <v>518</v>
      </c>
      <c r="AC265" s="176">
        <f t="shared" si="288"/>
        <v>547</v>
      </c>
      <c r="AD265" s="461">
        <f t="shared" si="289"/>
        <v>569</v>
      </c>
      <c r="AE265" s="468">
        <v>264</v>
      </c>
      <c r="AF265" s="163">
        <f t="shared" si="269"/>
        <v>569</v>
      </c>
    </row>
    <row r="266" spans="1:32" x14ac:dyDescent="0.35">
      <c r="B266" s="420">
        <v>265</v>
      </c>
      <c r="C266" s="389" t="s">
        <v>49</v>
      </c>
      <c r="D266" s="195">
        <f>[2]Districts_Boroughs!DF231</f>
        <v>26</v>
      </c>
      <c r="E266" s="195">
        <f>[2]Districts_Boroughs!DG231</f>
        <v>13</v>
      </c>
      <c r="F266" s="195">
        <f>[2]Districts_Boroughs!DH231</f>
        <v>10</v>
      </c>
      <c r="G266" s="195">
        <f>[2]Districts_Boroughs!DI231</f>
        <v>17</v>
      </c>
      <c r="H266" s="195">
        <f>[2]Districts_Boroughs!DJ231</f>
        <v>18</v>
      </c>
      <c r="I266" s="195">
        <f>[2]Districts_Boroughs!DK231</f>
        <v>18</v>
      </c>
      <c r="J266" s="195">
        <f>[2]Districts_Boroughs!DL231</f>
        <v>18</v>
      </c>
      <c r="K266" s="195">
        <f>[2]Districts_Boroughs!DM231</f>
        <v>13</v>
      </c>
      <c r="L266" s="195">
        <f>[2]Districts_Boroughs!DN231</f>
        <v>10</v>
      </c>
      <c r="M266" s="195">
        <f>[2]Districts_Boroughs!DO231</f>
        <v>15</v>
      </c>
      <c r="N266" s="195">
        <f>[2]Districts_Boroughs!DP231</f>
        <v>15</v>
      </c>
      <c r="O266" s="195">
        <f>[2]Districts_Boroughs!DQ231</f>
        <v>22</v>
      </c>
      <c r="P266" s="178"/>
      <c r="Q266" s="468">
        <v>265</v>
      </c>
      <c r="R266" s="391" t="s">
        <v>49</v>
      </c>
      <c r="S266" s="176">
        <f t="shared" si="278"/>
        <v>26</v>
      </c>
      <c r="T266" s="176">
        <f t="shared" si="279"/>
        <v>39</v>
      </c>
      <c r="U266" s="176">
        <f t="shared" si="280"/>
        <v>49</v>
      </c>
      <c r="V266" s="176">
        <f t="shared" si="281"/>
        <v>66</v>
      </c>
      <c r="W266" s="176">
        <f t="shared" si="282"/>
        <v>84</v>
      </c>
      <c r="X266" s="176">
        <f t="shared" si="283"/>
        <v>102</v>
      </c>
      <c r="Y266" s="176">
        <f t="shared" si="284"/>
        <v>120</v>
      </c>
      <c r="Z266" s="176">
        <f t="shared" si="285"/>
        <v>133</v>
      </c>
      <c r="AA266" s="176">
        <f t="shared" si="286"/>
        <v>143</v>
      </c>
      <c r="AB266" s="176">
        <f t="shared" si="287"/>
        <v>158</v>
      </c>
      <c r="AC266" s="176">
        <f t="shared" si="288"/>
        <v>173</v>
      </c>
      <c r="AD266" s="461">
        <f t="shared" si="289"/>
        <v>195</v>
      </c>
      <c r="AE266" s="468">
        <v>265</v>
      </c>
      <c r="AF266" s="163">
        <f t="shared" si="269"/>
        <v>195</v>
      </c>
    </row>
    <row r="267" spans="1:32" x14ac:dyDescent="0.35">
      <c r="A267" s="162" t="s">
        <v>128</v>
      </c>
      <c r="B267" s="420">
        <v>266</v>
      </c>
      <c r="C267" s="389" t="s">
        <v>85</v>
      </c>
      <c r="D267" s="284">
        <f>D263+D266</f>
        <v>27</v>
      </c>
      <c r="E267" s="284">
        <f t="shared" ref="E267:O267" si="290">E263+E266</f>
        <v>14</v>
      </c>
      <c r="F267" s="284">
        <f t="shared" si="290"/>
        <v>11</v>
      </c>
      <c r="G267" s="284">
        <f t="shared" si="290"/>
        <v>17</v>
      </c>
      <c r="H267" s="284">
        <f t="shared" si="290"/>
        <v>20</v>
      </c>
      <c r="I267" s="284">
        <f t="shared" si="290"/>
        <v>19</v>
      </c>
      <c r="J267" s="284">
        <f t="shared" si="290"/>
        <v>20</v>
      </c>
      <c r="K267" s="284">
        <f t="shared" si="290"/>
        <v>13</v>
      </c>
      <c r="L267" s="284">
        <f t="shared" si="290"/>
        <v>13</v>
      </c>
      <c r="M267" s="284">
        <f t="shared" si="290"/>
        <v>18</v>
      </c>
      <c r="N267" s="284">
        <f t="shared" si="290"/>
        <v>15</v>
      </c>
      <c r="O267" s="284">
        <f t="shared" si="290"/>
        <v>23</v>
      </c>
      <c r="P267" s="183"/>
      <c r="Q267" s="468">
        <v>266</v>
      </c>
      <c r="R267" s="391" t="s">
        <v>85</v>
      </c>
      <c r="S267" s="176">
        <f t="shared" si="278"/>
        <v>27</v>
      </c>
      <c r="T267" s="176">
        <f t="shared" si="279"/>
        <v>41</v>
      </c>
      <c r="U267" s="176">
        <f t="shared" si="280"/>
        <v>52</v>
      </c>
      <c r="V267" s="176">
        <f t="shared" si="281"/>
        <v>69</v>
      </c>
      <c r="W267" s="176">
        <f t="shared" si="282"/>
        <v>89</v>
      </c>
      <c r="X267" s="176">
        <f t="shared" si="283"/>
        <v>108</v>
      </c>
      <c r="Y267" s="176">
        <f t="shared" si="284"/>
        <v>128</v>
      </c>
      <c r="Z267" s="176">
        <f t="shared" si="285"/>
        <v>141</v>
      </c>
      <c r="AA267" s="176">
        <f t="shared" si="286"/>
        <v>154</v>
      </c>
      <c r="AB267" s="176">
        <f t="shared" si="287"/>
        <v>172</v>
      </c>
      <c r="AC267" s="176">
        <f t="shared" si="288"/>
        <v>187</v>
      </c>
      <c r="AD267" s="461">
        <f t="shared" si="289"/>
        <v>210</v>
      </c>
      <c r="AE267" s="468">
        <v>266</v>
      </c>
      <c r="AF267" s="163">
        <f t="shared" si="269"/>
        <v>210</v>
      </c>
    </row>
    <row r="268" spans="1:32" x14ac:dyDescent="0.35">
      <c r="B268" s="420">
        <v>267</v>
      </c>
      <c r="C268" s="389" t="s">
        <v>50</v>
      </c>
      <c r="D268" s="197">
        <f>[2]Districts_Boroughs!DF232</f>
        <v>91</v>
      </c>
      <c r="E268" s="197">
        <f>[2]Districts_Boroughs!DG232</f>
        <v>62</v>
      </c>
      <c r="F268" s="197">
        <f>[2]Districts_Boroughs!DH232</f>
        <v>76</v>
      </c>
      <c r="G268" s="197">
        <f>[2]Districts_Boroughs!DI232</f>
        <v>106</v>
      </c>
      <c r="H268" s="197">
        <f>[2]Districts_Boroughs!DJ232</f>
        <v>74</v>
      </c>
      <c r="I268" s="197">
        <f>[2]Districts_Boroughs!DK232</f>
        <v>60</v>
      </c>
      <c r="J268" s="197">
        <f>[2]Districts_Boroughs!DL232</f>
        <v>90</v>
      </c>
      <c r="K268" s="197">
        <f>[2]Districts_Boroughs!DM232</f>
        <v>85</v>
      </c>
      <c r="L268" s="197">
        <f>[2]Districts_Boroughs!DN232</f>
        <v>101</v>
      </c>
      <c r="M268" s="197">
        <f>[2]Districts_Boroughs!DO232</f>
        <v>73</v>
      </c>
      <c r="N268" s="197">
        <f>[2]Districts_Boroughs!DP232</f>
        <v>52</v>
      </c>
      <c r="O268" s="197">
        <f>[2]Districts_Boroughs!DQ232</f>
        <v>58</v>
      </c>
      <c r="P268" s="178"/>
      <c r="Q268" s="468">
        <v>267</v>
      </c>
      <c r="R268" s="391" t="s">
        <v>50</v>
      </c>
      <c r="S268" s="176">
        <f t="shared" si="278"/>
        <v>91</v>
      </c>
      <c r="T268" s="176">
        <f t="shared" si="279"/>
        <v>153</v>
      </c>
      <c r="U268" s="176">
        <f t="shared" si="280"/>
        <v>229</v>
      </c>
      <c r="V268" s="176">
        <f t="shared" si="281"/>
        <v>335</v>
      </c>
      <c r="W268" s="176">
        <f t="shared" si="282"/>
        <v>409</v>
      </c>
      <c r="X268" s="176">
        <f t="shared" si="283"/>
        <v>469</v>
      </c>
      <c r="Y268" s="176">
        <f t="shared" si="284"/>
        <v>559</v>
      </c>
      <c r="Z268" s="176">
        <f t="shared" si="285"/>
        <v>644</v>
      </c>
      <c r="AA268" s="176">
        <f t="shared" si="286"/>
        <v>745</v>
      </c>
      <c r="AB268" s="176">
        <f t="shared" si="287"/>
        <v>818</v>
      </c>
      <c r="AC268" s="176">
        <f t="shared" si="288"/>
        <v>870</v>
      </c>
      <c r="AD268" s="461">
        <f t="shared" si="289"/>
        <v>928</v>
      </c>
      <c r="AE268" s="470">
        <v>267</v>
      </c>
      <c r="AF268" s="163">
        <f t="shared" si="269"/>
        <v>928</v>
      </c>
    </row>
    <row r="269" spans="1:32" x14ac:dyDescent="0.35">
      <c r="B269" s="421">
        <v>268</v>
      </c>
      <c r="C269" s="402" t="s">
        <v>51</v>
      </c>
      <c r="D269" s="197">
        <f>[2]Districts_Boroughs!DF234</f>
        <v>24</v>
      </c>
      <c r="E269" s="197">
        <f>[2]Districts_Boroughs!DG234</f>
        <v>23</v>
      </c>
      <c r="F269" s="197">
        <f>[2]Districts_Boroughs!DH234</f>
        <v>28</v>
      </c>
      <c r="G269" s="197">
        <f>[2]Districts_Boroughs!DI234</f>
        <v>24</v>
      </c>
      <c r="H269" s="197">
        <f>[2]Districts_Boroughs!DJ234</f>
        <v>20</v>
      </c>
      <c r="I269" s="197">
        <f>[2]Districts_Boroughs!DK234</f>
        <v>29</v>
      </c>
      <c r="J269" s="197">
        <f>[2]Districts_Boroughs!DL234</f>
        <v>7</v>
      </c>
      <c r="K269" s="197">
        <f>[2]Districts_Boroughs!DM234</f>
        <v>22</v>
      </c>
      <c r="L269" s="197">
        <f>[2]Districts_Boroughs!DN234</f>
        <v>21</v>
      </c>
      <c r="M269" s="197">
        <f>[2]Districts_Boroughs!DO234</f>
        <v>15</v>
      </c>
      <c r="N269" s="197">
        <f>[2]Districts_Boroughs!DP234</f>
        <v>25</v>
      </c>
      <c r="O269" s="197">
        <f>[2]Districts_Boroughs!DQ234</f>
        <v>15</v>
      </c>
      <c r="P269" s="178"/>
      <c r="Q269" s="468">
        <v>268</v>
      </c>
      <c r="R269" s="391" t="s">
        <v>51</v>
      </c>
      <c r="S269" s="176">
        <f t="shared" si="278"/>
        <v>24</v>
      </c>
      <c r="T269" s="176">
        <f t="shared" si="279"/>
        <v>47</v>
      </c>
      <c r="U269" s="176">
        <f t="shared" si="280"/>
        <v>75</v>
      </c>
      <c r="V269" s="176">
        <f t="shared" si="281"/>
        <v>99</v>
      </c>
      <c r="W269" s="176">
        <f t="shared" si="282"/>
        <v>119</v>
      </c>
      <c r="X269" s="176">
        <f t="shared" si="283"/>
        <v>148</v>
      </c>
      <c r="Y269" s="176">
        <f t="shared" si="284"/>
        <v>155</v>
      </c>
      <c r="Z269" s="176">
        <f t="shared" si="285"/>
        <v>177</v>
      </c>
      <c r="AA269" s="176">
        <f t="shared" si="286"/>
        <v>198</v>
      </c>
      <c r="AB269" s="176">
        <f t="shared" si="287"/>
        <v>213</v>
      </c>
      <c r="AC269" s="176">
        <f t="shared" si="288"/>
        <v>238</v>
      </c>
      <c r="AD269" s="461">
        <f t="shared" si="289"/>
        <v>253</v>
      </c>
      <c r="AE269" s="468">
        <v>268</v>
      </c>
      <c r="AF269" s="163">
        <f t="shared" si="269"/>
        <v>253</v>
      </c>
    </row>
    <row r="270" spans="1:32" x14ac:dyDescent="0.35">
      <c r="B270" s="420">
        <v>269</v>
      </c>
      <c r="C270" s="404" t="s">
        <v>200</v>
      </c>
      <c r="D270" s="197">
        <f>[2]Districts_Boroughs!DF235</f>
        <v>199</v>
      </c>
      <c r="E270" s="197">
        <f>[2]Districts_Boroughs!DG235</f>
        <v>185</v>
      </c>
      <c r="F270" s="197">
        <f>[2]Districts_Boroughs!DH235</f>
        <v>192</v>
      </c>
      <c r="G270" s="197">
        <f>[2]Districts_Boroughs!DI235</f>
        <v>184</v>
      </c>
      <c r="H270" s="197">
        <f>[2]Districts_Boroughs!DJ235</f>
        <v>179</v>
      </c>
      <c r="I270" s="197">
        <f>[2]Districts_Boroughs!DK235</f>
        <v>148</v>
      </c>
      <c r="J270" s="197">
        <f>[2]Districts_Boroughs!DL235</f>
        <v>168</v>
      </c>
      <c r="K270" s="197">
        <f>[2]Districts_Boroughs!DM235</f>
        <v>159</v>
      </c>
      <c r="L270" s="197">
        <f>[2]Districts_Boroughs!DN235</f>
        <v>168</v>
      </c>
      <c r="M270" s="197">
        <f>[2]Districts_Boroughs!DO235</f>
        <v>154</v>
      </c>
      <c r="N270" s="197">
        <f>[2]Districts_Boroughs!DP235</f>
        <v>167</v>
      </c>
      <c r="O270" s="197">
        <f>[2]Districts_Boroughs!DQ235</f>
        <v>183</v>
      </c>
      <c r="P270" s="178"/>
      <c r="Q270" s="468">
        <v>269</v>
      </c>
      <c r="R270" s="387" t="s">
        <v>200</v>
      </c>
      <c r="S270" s="176">
        <f t="shared" ref="S270:S272" si="291">D270</f>
        <v>199</v>
      </c>
      <c r="T270" s="176">
        <f t="shared" ref="T270:AD272" si="292">S270+E270</f>
        <v>384</v>
      </c>
      <c r="U270" s="176">
        <f t="shared" si="292"/>
        <v>576</v>
      </c>
      <c r="V270" s="176">
        <f t="shared" si="292"/>
        <v>760</v>
      </c>
      <c r="W270" s="176">
        <f t="shared" si="292"/>
        <v>939</v>
      </c>
      <c r="X270" s="176">
        <f t="shared" si="292"/>
        <v>1087</v>
      </c>
      <c r="Y270" s="176">
        <f t="shared" si="292"/>
        <v>1255</v>
      </c>
      <c r="Z270" s="176">
        <f t="shared" si="292"/>
        <v>1414</v>
      </c>
      <c r="AA270" s="176">
        <f t="shared" si="292"/>
        <v>1582</v>
      </c>
      <c r="AB270" s="176">
        <f t="shared" si="292"/>
        <v>1736</v>
      </c>
      <c r="AC270" s="176">
        <f t="shared" si="292"/>
        <v>1903</v>
      </c>
      <c r="AD270" s="461">
        <f t="shared" si="292"/>
        <v>2086</v>
      </c>
      <c r="AE270" s="468">
        <v>269</v>
      </c>
      <c r="AF270" s="163">
        <f t="shared" si="269"/>
        <v>2086</v>
      </c>
    </row>
    <row r="271" spans="1:32" x14ac:dyDescent="0.35">
      <c r="B271" s="420">
        <v>270</v>
      </c>
      <c r="C271" s="404" t="s">
        <v>243</v>
      </c>
      <c r="D271" s="197">
        <f>[2]Districts_Boroughs!DF236</f>
        <v>141</v>
      </c>
      <c r="E271" s="197">
        <f>[2]Districts_Boroughs!DG236</f>
        <v>121</v>
      </c>
      <c r="F271" s="197">
        <f>[2]Districts_Boroughs!DH236</f>
        <v>141</v>
      </c>
      <c r="G271" s="197">
        <f>[2]Districts_Boroughs!DI236</f>
        <v>136</v>
      </c>
      <c r="H271" s="197">
        <f>[2]Districts_Boroughs!DJ236</f>
        <v>116</v>
      </c>
      <c r="I271" s="197">
        <f>[2]Districts_Boroughs!DK236</f>
        <v>110</v>
      </c>
      <c r="J271" s="197">
        <f>[2]Districts_Boroughs!DL236</f>
        <v>106</v>
      </c>
      <c r="K271" s="197">
        <f>[2]Districts_Boroughs!DM236</f>
        <v>111</v>
      </c>
      <c r="L271" s="197">
        <f>[2]Districts_Boroughs!DN236</f>
        <v>139</v>
      </c>
      <c r="M271" s="197">
        <f>[2]Districts_Boroughs!DO236</f>
        <v>86</v>
      </c>
      <c r="N271" s="197">
        <f>[2]Districts_Boroughs!DP236</f>
        <v>103</v>
      </c>
      <c r="O271" s="197">
        <f>[2]Districts_Boroughs!DQ236</f>
        <v>85</v>
      </c>
      <c r="P271" s="178"/>
      <c r="Q271" s="468">
        <v>270</v>
      </c>
      <c r="R271" s="387" t="s">
        <v>201</v>
      </c>
      <c r="S271" s="176">
        <f t="shared" si="291"/>
        <v>141</v>
      </c>
      <c r="T271" s="176">
        <f t="shared" si="292"/>
        <v>262</v>
      </c>
      <c r="U271" s="176">
        <f t="shared" si="292"/>
        <v>403</v>
      </c>
      <c r="V271" s="176">
        <f t="shared" si="292"/>
        <v>539</v>
      </c>
      <c r="W271" s="176">
        <f t="shared" si="292"/>
        <v>655</v>
      </c>
      <c r="X271" s="176">
        <f t="shared" si="292"/>
        <v>765</v>
      </c>
      <c r="Y271" s="176">
        <f t="shared" si="292"/>
        <v>871</v>
      </c>
      <c r="Z271" s="176">
        <f t="shared" si="292"/>
        <v>982</v>
      </c>
      <c r="AA271" s="176">
        <f t="shared" si="292"/>
        <v>1121</v>
      </c>
      <c r="AB271" s="176">
        <f t="shared" si="292"/>
        <v>1207</v>
      </c>
      <c r="AC271" s="176">
        <f t="shared" si="292"/>
        <v>1310</v>
      </c>
      <c r="AD271" s="461">
        <f t="shared" si="292"/>
        <v>1395</v>
      </c>
      <c r="AE271" s="470">
        <v>270</v>
      </c>
      <c r="AF271" s="163">
        <f t="shared" si="269"/>
        <v>1395</v>
      </c>
    </row>
    <row r="272" spans="1:32" x14ac:dyDescent="0.35">
      <c r="B272" s="420">
        <v>271</v>
      </c>
      <c r="C272" s="404" t="s">
        <v>202</v>
      </c>
      <c r="D272" s="197">
        <f>[2]Districts_Boroughs!DF237</f>
        <v>1</v>
      </c>
      <c r="E272" s="197">
        <f>[2]Districts_Boroughs!DG237</f>
        <v>0</v>
      </c>
      <c r="F272" s="197">
        <f>[2]Districts_Boroughs!DH237</f>
        <v>2</v>
      </c>
      <c r="G272" s="197">
        <f>[2]Districts_Boroughs!DI237</f>
        <v>1</v>
      </c>
      <c r="H272" s="197">
        <f>[2]Districts_Boroughs!DJ237</f>
        <v>2</v>
      </c>
      <c r="I272" s="197">
        <f>[2]Districts_Boroughs!DK237</f>
        <v>1</v>
      </c>
      <c r="J272" s="197">
        <f>[2]Districts_Boroughs!DL237</f>
        <v>5</v>
      </c>
      <c r="K272" s="197">
        <f>[2]Districts_Boroughs!DM237</f>
        <v>3</v>
      </c>
      <c r="L272" s="197">
        <f>[2]Districts_Boroughs!DN237</f>
        <v>4</v>
      </c>
      <c r="M272" s="197">
        <f>[2]Districts_Boroughs!DO237</f>
        <v>10</v>
      </c>
      <c r="N272" s="197">
        <f>[2]Districts_Boroughs!DP237</f>
        <v>4</v>
      </c>
      <c r="O272" s="197">
        <f>[2]Districts_Boroughs!DQ237</f>
        <v>2</v>
      </c>
      <c r="P272" s="178"/>
      <c r="Q272" s="468">
        <v>271</v>
      </c>
      <c r="R272" s="387" t="s">
        <v>202</v>
      </c>
      <c r="S272" s="176">
        <f t="shared" si="291"/>
        <v>1</v>
      </c>
      <c r="T272" s="176">
        <f t="shared" si="292"/>
        <v>1</v>
      </c>
      <c r="U272" s="176">
        <f t="shared" si="292"/>
        <v>3</v>
      </c>
      <c r="V272" s="176">
        <f t="shared" si="292"/>
        <v>4</v>
      </c>
      <c r="W272" s="176">
        <f t="shared" si="292"/>
        <v>6</v>
      </c>
      <c r="X272" s="176">
        <f t="shared" si="292"/>
        <v>7</v>
      </c>
      <c r="Y272" s="176">
        <f t="shared" si="292"/>
        <v>12</v>
      </c>
      <c r="Z272" s="176">
        <f t="shared" si="292"/>
        <v>15</v>
      </c>
      <c r="AA272" s="176">
        <f t="shared" si="292"/>
        <v>19</v>
      </c>
      <c r="AB272" s="176">
        <f t="shared" si="292"/>
        <v>29</v>
      </c>
      <c r="AC272" s="176">
        <f t="shared" si="292"/>
        <v>33</v>
      </c>
      <c r="AD272" s="461">
        <f t="shared" si="292"/>
        <v>35</v>
      </c>
      <c r="AE272" s="468">
        <v>271</v>
      </c>
      <c r="AF272" s="163">
        <f t="shared" si="269"/>
        <v>35</v>
      </c>
    </row>
    <row r="273" spans="1:32" ht="16" customHeight="1" x14ac:dyDescent="0.35">
      <c r="B273" s="420">
        <v>272</v>
      </c>
      <c r="C273" s="403" t="s">
        <v>52</v>
      </c>
      <c r="D273" s="197">
        <f>[2]Districts_Boroughs!DF239</f>
        <v>115</v>
      </c>
      <c r="E273" s="197">
        <f>[2]Districts_Boroughs!DG239</f>
        <v>147</v>
      </c>
      <c r="F273" s="197">
        <f>[2]Districts_Boroughs!DH239</f>
        <v>122</v>
      </c>
      <c r="G273" s="197">
        <f>[2]Districts_Boroughs!DI239</f>
        <v>116</v>
      </c>
      <c r="H273" s="197">
        <f>[2]Districts_Boroughs!DJ239</f>
        <v>109</v>
      </c>
      <c r="I273" s="197">
        <f>[2]Districts_Boroughs!DK239</f>
        <v>130</v>
      </c>
      <c r="J273" s="197">
        <f>[2]Districts_Boroughs!DL239</f>
        <v>102</v>
      </c>
      <c r="K273" s="197">
        <f>[2]Districts_Boroughs!DM239</f>
        <v>116</v>
      </c>
      <c r="L273" s="197">
        <f>[2]Districts_Boroughs!DN239</f>
        <v>102</v>
      </c>
      <c r="M273" s="197">
        <f>[2]Districts_Boroughs!DO239</f>
        <v>159</v>
      </c>
      <c r="N273" s="197">
        <f>[2]Districts_Boroughs!DP239</f>
        <v>164</v>
      </c>
      <c r="O273" s="197">
        <f>[2]Districts_Boroughs!DQ239</f>
        <v>168</v>
      </c>
      <c r="P273" s="178"/>
      <c r="Q273" s="468">
        <v>272</v>
      </c>
      <c r="R273" s="391" t="s">
        <v>52</v>
      </c>
      <c r="S273" s="176">
        <f t="shared" ref="S273:S283" si="293">D273</f>
        <v>115</v>
      </c>
      <c r="T273" s="176">
        <f t="shared" ref="T273:T283" si="294">S273+E273</f>
        <v>262</v>
      </c>
      <c r="U273" s="176">
        <f t="shared" ref="U273:U283" si="295">T273+F273</f>
        <v>384</v>
      </c>
      <c r="V273" s="176">
        <f t="shared" ref="V273:V283" si="296">U273+G273</f>
        <v>500</v>
      </c>
      <c r="W273" s="176">
        <f t="shared" ref="W273:W283" si="297">V273+H273</f>
        <v>609</v>
      </c>
      <c r="X273" s="176">
        <f t="shared" ref="X273:X283" si="298">W273+I273</f>
        <v>739</v>
      </c>
      <c r="Y273" s="176">
        <f t="shared" ref="Y273:Y283" si="299">X273+J273</f>
        <v>841</v>
      </c>
      <c r="Z273" s="176">
        <f t="shared" ref="Z273:Z283" si="300">Y273+K273</f>
        <v>957</v>
      </c>
      <c r="AA273" s="176">
        <f t="shared" ref="AA273:AA283" si="301">Z273+L273</f>
        <v>1059</v>
      </c>
      <c r="AB273" s="176">
        <f t="shared" ref="AB273:AB283" si="302">AA273+M273</f>
        <v>1218</v>
      </c>
      <c r="AC273" s="176">
        <f t="shared" ref="AC273:AC283" si="303">AB273+N273</f>
        <v>1382</v>
      </c>
      <c r="AD273" s="461">
        <f t="shared" ref="AD273:AD283" si="304">AC273+O273</f>
        <v>1550</v>
      </c>
      <c r="AE273" s="468">
        <v>272</v>
      </c>
      <c r="AF273" s="163">
        <f t="shared" si="269"/>
        <v>1550</v>
      </c>
    </row>
    <row r="274" spans="1:32" x14ac:dyDescent="0.35">
      <c r="B274" s="421">
        <v>273</v>
      </c>
      <c r="C274" s="389" t="s">
        <v>81</v>
      </c>
      <c r="D274" s="197">
        <f>[2]Districts_Boroughs!DF241</f>
        <v>27</v>
      </c>
      <c r="E274" s="197">
        <f>[2]Districts_Boroughs!DG241</f>
        <v>23</v>
      </c>
      <c r="F274" s="197">
        <f>[2]Districts_Boroughs!DH241</f>
        <v>22</v>
      </c>
      <c r="G274" s="197">
        <f>[2]Districts_Boroughs!DI241</f>
        <v>14</v>
      </c>
      <c r="H274" s="197">
        <f>[2]Districts_Boroughs!DJ241</f>
        <v>15</v>
      </c>
      <c r="I274" s="197">
        <f>[2]Districts_Boroughs!DK241</f>
        <v>21</v>
      </c>
      <c r="J274" s="197">
        <f>[2]Districts_Boroughs!DL241</f>
        <v>21</v>
      </c>
      <c r="K274" s="197">
        <f>[2]Districts_Boroughs!DM241</f>
        <v>19</v>
      </c>
      <c r="L274" s="197">
        <f>[2]Districts_Boroughs!DN241</f>
        <v>20</v>
      </c>
      <c r="M274" s="197">
        <f>[2]Districts_Boroughs!DO241</f>
        <v>25</v>
      </c>
      <c r="N274" s="197">
        <f>[2]Districts_Boroughs!DP241</f>
        <v>21</v>
      </c>
      <c r="O274" s="197">
        <f>[2]Districts_Boroughs!DQ241</f>
        <v>20</v>
      </c>
      <c r="P274" s="178"/>
      <c r="Q274" s="468">
        <v>273</v>
      </c>
      <c r="R274" s="391" t="s">
        <v>81</v>
      </c>
      <c r="S274" s="176">
        <f t="shared" si="293"/>
        <v>27</v>
      </c>
      <c r="T274" s="176">
        <f t="shared" si="294"/>
        <v>50</v>
      </c>
      <c r="U274" s="176">
        <f t="shared" si="295"/>
        <v>72</v>
      </c>
      <c r="V274" s="176">
        <f t="shared" si="296"/>
        <v>86</v>
      </c>
      <c r="W274" s="176">
        <f t="shared" si="297"/>
        <v>101</v>
      </c>
      <c r="X274" s="176">
        <f t="shared" si="298"/>
        <v>122</v>
      </c>
      <c r="Y274" s="176">
        <f t="shared" si="299"/>
        <v>143</v>
      </c>
      <c r="Z274" s="176">
        <f t="shared" si="300"/>
        <v>162</v>
      </c>
      <c r="AA274" s="176">
        <f t="shared" si="301"/>
        <v>182</v>
      </c>
      <c r="AB274" s="176">
        <f t="shared" si="302"/>
        <v>207</v>
      </c>
      <c r="AC274" s="176">
        <f t="shared" si="303"/>
        <v>228</v>
      </c>
      <c r="AD274" s="461">
        <f t="shared" si="304"/>
        <v>248</v>
      </c>
      <c r="AE274" s="468">
        <v>273</v>
      </c>
      <c r="AF274" s="163">
        <f t="shared" si="269"/>
        <v>248</v>
      </c>
    </row>
    <row r="275" spans="1:32" x14ac:dyDescent="0.35">
      <c r="A275" s="162" t="s">
        <v>128</v>
      </c>
      <c r="B275" s="420">
        <v>274</v>
      </c>
      <c r="C275" s="389" t="s">
        <v>75</v>
      </c>
      <c r="D275" s="289">
        <f>D250+D245+D265+D267</f>
        <v>123</v>
      </c>
      <c r="E275" s="289">
        <f t="shared" ref="E275:O275" si="305">E250+E245+E265+E267</f>
        <v>84</v>
      </c>
      <c r="F275" s="289">
        <f t="shared" si="305"/>
        <v>101</v>
      </c>
      <c r="G275" s="289">
        <f t="shared" si="305"/>
        <v>124</v>
      </c>
      <c r="H275" s="289">
        <f t="shared" si="305"/>
        <v>98</v>
      </c>
      <c r="I275" s="289">
        <f t="shared" si="305"/>
        <v>86</v>
      </c>
      <c r="J275" s="289">
        <f t="shared" si="305"/>
        <v>107</v>
      </c>
      <c r="K275" s="289">
        <f t="shared" si="305"/>
        <v>99</v>
      </c>
      <c r="L275" s="289">
        <f t="shared" si="305"/>
        <v>107</v>
      </c>
      <c r="M275" s="289">
        <f t="shared" si="305"/>
        <v>99</v>
      </c>
      <c r="N275" s="289">
        <f t="shared" si="305"/>
        <v>77</v>
      </c>
      <c r="O275" s="289">
        <f t="shared" si="305"/>
        <v>80</v>
      </c>
      <c r="P275" s="189"/>
      <c r="Q275" s="468">
        <v>274</v>
      </c>
      <c r="R275" s="391" t="s">
        <v>75</v>
      </c>
      <c r="S275" s="176">
        <f t="shared" si="293"/>
        <v>123</v>
      </c>
      <c r="T275" s="176">
        <f t="shared" si="294"/>
        <v>207</v>
      </c>
      <c r="U275" s="176">
        <f t="shared" si="295"/>
        <v>308</v>
      </c>
      <c r="V275" s="176">
        <f t="shared" si="296"/>
        <v>432</v>
      </c>
      <c r="W275" s="176">
        <f t="shared" si="297"/>
        <v>530</v>
      </c>
      <c r="X275" s="176">
        <f t="shared" si="298"/>
        <v>616</v>
      </c>
      <c r="Y275" s="176">
        <f t="shared" si="299"/>
        <v>723</v>
      </c>
      <c r="Z275" s="176">
        <f t="shared" si="300"/>
        <v>822</v>
      </c>
      <c r="AA275" s="176">
        <f t="shared" si="301"/>
        <v>929</v>
      </c>
      <c r="AB275" s="176">
        <f t="shared" si="302"/>
        <v>1028</v>
      </c>
      <c r="AC275" s="176">
        <f t="shared" si="303"/>
        <v>1105</v>
      </c>
      <c r="AD275" s="461">
        <f t="shared" si="304"/>
        <v>1185</v>
      </c>
      <c r="AE275" s="468">
        <v>274</v>
      </c>
      <c r="AF275" s="163">
        <f t="shared" si="269"/>
        <v>1185</v>
      </c>
    </row>
    <row r="276" spans="1:32" x14ac:dyDescent="0.35">
      <c r="B276" s="420">
        <v>275</v>
      </c>
      <c r="C276" s="389" t="s">
        <v>76</v>
      </c>
      <c r="D276" s="100">
        <f>[2]ASB!DF45</f>
        <v>145</v>
      </c>
      <c r="E276" s="100">
        <f>[2]ASB!DG45</f>
        <v>188</v>
      </c>
      <c r="F276" s="100">
        <f>[2]ASB!DH45</f>
        <v>187</v>
      </c>
      <c r="G276" s="100">
        <f>[2]ASB!DI45</f>
        <v>158</v>
      </c>
      <c r="H276" s="100">
        <f>[2]ASB!DJ45</f>
        <v>194</v>
      </c>
      <c r="I276" s="100">
        <f>[2]ASB!DK45</f>
        <v>165</v>
      </c>
      <c r="J276" s="100">
        <f>[2]ASB!DL45</f>
        <v>140</v>
      </c>
      <c r="K276" s="100">
        <f>[2]ASB!DM45</f>
        <v>127</v>
      </c>
      <c r="L276" s="100">
        <f>[2]ASB!DN45</f>
        <v>119</v>
      </c>
      <c r="M276" s="100">
        <f>[2]ASB!DO45</f>
        <v>125</v>
      </c>
      <c r="N276" s="100">
        <f>[2]ASB!DP45</f>
        <v>145</v>
      </c>
      <c r="O276" s="100">
        <f>[2]ASB!DQ45</f>
        <v>133</v>
      </c>
      <c r="P276" s="100"/>
      <c r="Q276" s="468">
        <v>275</v>
      </c>
      <c r="R276" s="391" t="s">
        <v>76</v>
      </c>
      <c r="S276" s="176">
        <f t="shared" si="293"/>
        <v>145</v>
      </c>
      <c r="T276" s="176">
        <f t="shared" si="294"/>
        <v>333</v>
      </c>
      <c r="U276" s="176">
        <f t="shared" si="295"/>
        <v>520</v>
      </c>
      <c r="V276" s="176">
        <f t="shared" si="296"/>
        <v>678</v>
      </c>
      <c r="W276" s="176">
        <f t="shared" si="297"/>
        <v>872</v>
      </c>
      <c r="X276" s="176">
        <f t="shared" si="298"/>
        <v>1037</v>
      </c>
      <c r="Y276" s="176">
        <f t="shared" si="299"/>
        <v>1177</v>
      </c>
      <c r="Z276" s="176">
        <f t="shared" si="300"/>
        <v>1304</v>
      </c>
      <c r="AA276" s="176">
        <f t="shared" si="301"/>
        <v>1423</v>
      </c>
      <c r="AB276" s="176">
        <f t="shared" si="302"/>
        <v>1548</v>
      </c>
      <c r="AC276" s="176">
        <f t="shared" si="303"/>
        <v>1693</v>
      </c>
      <c r="AD276" s="461">
        <f t="shared" si="304"/>
        <v>1826</v>
      </c>
      <c r="AE276" s="470">
        <v>275</v>
      </c>
      <c r="AF276" s="163">
        <f t="shared" si="269"/>
        <v>1826</v>
      </c>
    </row>
    <row r="277" spans="1:32" x14ac:dyDescent="0.35">
      <c r="B277" s="420">
        <v>276</v>
      </c>
      <c r="C277" s="389" t="s">
        <v>86</v>
      </c>
      <c r="D277" s="100">
        <f>[2]ASB!DF46</f>
        <v>21</v>
      </c>
      <c r="E277" s="100">
        <f>[2]ASB!DG46</f>
        <v>23</v>
      </c>
      <c r="F277" s="100">
        <f>[2]ASB!DH46</f>
        <v>28</v>
      </c>
      <c r="G277" s="100">
        <f>[2]ASB!DI46</f>
        <v>26</v>
      </c>
      <c r="H277" s="100">
        <f>[2]ASB!DJ46</f>
        <v>40</v>
      </c>
      <c r="I277" s="100">
        <f>[2]ASB!DK46</f>
        <v>49</v>
      </c>
      <c r="J277" s="100">
        <f>[2]ASB!DL46</f>
        <v>39</v>
      </c>
      <c r="K277" s="100">
        <f>[2]ASB!DM46</f>
        <v>44</v>
      </c>
      <c r="L277" s="100">
        <f>[2]ASB!DN46</f>
        <v>36</v>
      </c>
      <c r="M277" s="100">
        <f>[2]ASB!DO46</f>
        <v>38</v>
      </c>
      <c r="N277" s="100">
        <f>[2]ASB!DP46</f>
        <v>46</v>
      </c>
      <c r="O277" s="100">
        <f>[2]ASB!DQ46</f>
        <v>38</v>
      </c>
      <c r="P277" s="100"/>
      <c r="Q277" s="468">
        <v>276</v>
      </c>
      <c r="R277" s="391" t="s">
        <v>86</v>
      </c>
      <c r="S277" s="176">
        <f t="shared" si="293"/>
        <v>21</v>
      </c>
      <c r="T277" s="176">
        <f t="shared" si="294"/>
        <v>44</v>
      </c>
      <c r="U277" s="176">
        <f t="shared" si="295"/>
        <v>72</v>
      </c>
      <c r="V277" s="176">
        <f t="shared" si="296"/>
        <v>98</v>
      </c>
      <c r="W277" s="176">
        <f t="shared" si="297"/>
        <v>138</v>
      </c>
      <c r="X277" s="176">
        <f t="shared" si="298"/>
        <v>187</v>
      </c>
      <c r="Y277" s="176">
        <f t="shared" si="299"/>
        <v>226</v>
      </c>
      <c r="Z277" s="176">
        <f t="shared" si="300"/>
        <v>270</v>
      </c>
      <c r="AA277" s="176">
        <f t="shared" si="301"/>
        <v>306</v>
      </c>
      <c r="AB277" s="176">
        <f t="shared" si="302"/>
        <v>344</v>
      </c>
      <c r="AC277" s="176">
        <f t="shared" si="303"/>
        <v>390</v>
      </c>
      <c r="AD277" s="461">
        <f t="shared" si="304"/>
        <v>428</v>
      </c>
      <c r="AE277" s="468">
        <v>276</v>
      </c>
      <c r="AF277" s="163">
        <f t="shared" si="269"/>
        <v>428</v>
      </c>
    </row>
    <row r="278" spans="1:32" x14ac:dyDescent="0.35">
      <c r="B278" s="420">
        <v>277</v>
      </c>
      <c r="C278" s="389" t="s">
        <v>88</v>
      </c>
      <c r="D278" s="100">
        <f>[2]ASB!DF47</f>
        <v>115</v>
      </c>
      <c r="E278" s="100">
        <f>[2]ASB!DG47</f>
        <v>158</v>
      </c>
      <c r="F278" s="100">
        <f>[2]ASB!DH47</f>
        <v>141</v>
      </c>
      <c r="G278" s="100">
        <f>[2]ASB!DI47</f>
        <v>118</v>
      </c>
      <c r="H278" s="100">
        <f>[2]ASB!DJ47</f>
        <v>142</v>
      </c>
      <c r="I278" s="100">
        <f>[2]ASB!DK47</f>
        <v>98</v>
      </c>
      <c r="J278" s="100">
        <f>[2]ASB!DL47</f>
        <v>83</v>
      </c>
      <c r="K278" s="100">
        <f>[2]ASB!DM47</f>
        <v>57</v>
      </c>
      <c r="L278" s="100">
        <f>[2]ASB!DN47</f>
        <v>67</v>
      </c>
      <c r="M278" s="100">
        <f>[2]ASB!DO47</f>
        <v>81</v>
      </c>
      <c r="N278" s="100">
        <f>[2]ASB!DP47</f>
        <v>82</v>
      </c>
      <c r="O278" s="100">
        <f>[2]ASB!DQ47</f>
        <v>79</v>
      </c>
      <c r="P278" s="100"/>
      <c r="Q278" s="468">
        <v>277</v>
      </c>
      <c r="R278" s="391" t="s">
        <v>88</v>
      </c>
      <c r="S278" s="176">
        <f t="shared" si="293"/>
        <v>115</v>
      </c>
      <c r="T278" s="176">
        <f t="shared" si="294"/>
        <v>273</v>
      </c>
      <c r="U278" s="176">
        <f t="shared" si="295"/>
        <v>414</v>
      </c>
      <c r="V278" s="176">
        <f t="shared" si="296"/>
        <v>532</v>
      </c>
      <c r="W278" s="176">
        <f t="shared" si="297"/>
        <v>674</v>
      </c>
      <c r="X278" s="176">
        <f t="shared" si="298"/>
        <v>772</v>
      </c>
      <c r="Y278" s="176">
        <f t="shared" si="299"/>
        <v>855</v>
      </c>
      <c r="Z278" s="176">
        <f t="shared" si="300"/>
        <v>912</v>
      </c>
      <c r="AA278" s="176">
        <f t="shared" si="301"/>
        <v>979</v>
      </c>
      <c r="AB278" s="176">
        <f t="shared" si="302"/>
        <v>1060</v>
      </c>
      <c r="AC278" s="176">
        <f t="shared" si="303"/>
        <v>1142</v>
      </c>
      <c r="AD278" s="461">
        <f t="shared" si="304"/>
        <v>1221</v>
      </c>
      <c r="AE278" s="468">
        <v>277</v>
      </c>
      <c r="AF278" s="163">
        <f t="shared" si="269"/>
        <v>1221</v>
      </c>
    </row>
    <row r="279" spans="1:32" x14ac:dyDescent="0.35">
      <c r="B279" s="421">
        <v>278</v>
      </c>
      <c r="C279" s="389" t="s">
        <v>87</v>
      </c>
      <c r="D279" s="100">
        <f>[2]ASB!DF48</f>
        <v>9</v>
      </c>
      <c r="E279" s="100">
        <f>[2]ASB!DG48</f>
        <v>7</v>
      </c>
      <c r="F279" s="100">
        <f>[2]ASB!DH48</f>
        <v>18</v>
      </c>
      <c r="G279" s="100">
        <f>[2]ASB!DI48</f>
        <v>14</v>
      </c>
      <c r="H279" s="100">
        <f>[2]ASB!DJ48</f>
        <v>12</v>
      </c>
      <c r="I279" s="100">
        <f>[2]ASB!DK48</f>
        <v>18</v>
      </c>
      <c r="J279" s="100">
        <f>[2]ASB!DL48</f>
        <v>18</v>
      </c>
      <c r="K279" s="100">
        <f>[2]ASB!DM48</f>
        <v>26</v>
      </c>
      <c r="L279" s="100">
        <f>[2]ASB!DN48</f>
        <v>16</v>
      </c>
      <c r="M279" s="100">
        <f>[2]ASB!DO48</f>
        <v>6</v>
      </c>
      <c r="N279" s="100">
        <f>[2]ASB!DP48</f>
        <v>17</v>
      </c>
      <c r="O279" s="100">
        <f>[2]ASB!DQ48</f>
        <v>16</v>
      </c>
      <c r="P279" s="100"/>
      <c r="Q279" s="468">
        <v>278</v>
      </c>
      <c r="R279" s="391" t="s">
        <v>87</v>
      </c>
      <c r="S279" s="176">
        <f t="shared" si="293"/>
        <v>9</v>
      </c>
      <c r="T279" s="176">
        <f t="shared" si="294"/>
        <v>16</v>
      </c>
      <c r="U279" s="176">
        <f t="shared" si="295"/>
        <v>34</v>
      </c>
      <c r="V279" s="176">
        <f t="shared" si="296"/>
        <v>48</v>
      </c>
      <c r="W279" s="176">
        <f t="shared" si="297"/>
        <v>60</v>
      </c>
      <c r="X279" s="176">
        <f t="shared" si="298"/>
        <v>78</v>
      </c>
      <c r="Y279" s="176">
        <f t="shared" si="299"/>
        <v>96</v>
      </c>
      <c r="Z279" s="176">
        <f t="shared" si="300"/>
        <v>122</v>
      </c>
      <c r="AA279" s="176">
        <f t="shared" si="301"/>
        <v>138</v>
      </c>
      <c r="AB279" s="176">
        <f t="shared" si="302"/>
        <v>144</v>
      </c>
      <c r="AC279" s="176">
        <f t="shared" si="303"/>
        <v>161</v>
      </c>
      <c r="AD279" s="461">
        <f t="shared" si="304"/>
        <v>177</v>
      </c>
      <c r="AE279" s="470">
        <v>278</v>
      </c>
      <c r="AF279" s="163">
        <f t="shared" si="269"/>
        <v>177</v>
      </c>
    </row>
    <row r="280" spans="1:32" x14ac:dyDescent="0.35">
      <c r="B280" s="420">
        <v>279</v>
      </c>
      <c r="C280" s="389" t="s">
        <v>90</v>
      </c>
      <c r="D280" s="754">
        <f>[2]DSF!EG3</f>
        <v>6</v>
      </c>
      <c r="E280" s="754">
        <f>[2]DSF!EH3</f>
        <v>2</v>
      </c>
      <c r="F280" s="754">
        <f>[2]DSF!EI3</f>
        <v>6</v>
      </c>
      <c r="G280" s="754">
        <f>[2]DSF!EJ3</f>
        <v>0</v>
      </c>
      <c r="H280" s="754">
        <f>[2]DSF!EK3</f>
        <v>5</v>
      </c>
      <c r="I280" s="754">
        <f>[2]DSF!EL3</f>
        <v>1</v>
      </c>
      <c r="J280" s="754">
        <f>[2]DSF!EM3</f>
        <v>3</v>
      </c>
      <c r="K280" s="754">
        <f>[2]DSF!EN3</f>
        <v>1</v>
      </c>
      <c r="L280" s="754">
        <f>[2]DSF!EO3</f>
        <v>0</v>
      </c>
      <c r="M280" s="754">
        <f>[2]DSF!EP3</f>
        <v>1</v>
      </c>
      <c r="N280" s="754">
        <f>[2]DSF!EQ3</f>
        <v>1</v>
      </c>
      <c r="O280" s="754">
        <f>[2]DSF!ER3</f>
        <v>0</v>
      </c>
      <c r="P280" s="188"/>
      <c r="Q280" s="468">
        <v>279</v>
      </c>
      <c r="R280" s="391" t="s">
        <v>90</v>
      </c>
      <c r="S280" s="176">
        <f t="shared" si="293"/>
        <v>6</v>
      </c>
      <c r="T280" s="176">
        <f t="shared" si="294"/>
        <v>8</v>
      </c>
      <c r="U280" s="176">
        <f t="shared" si="295"/>
        <v>14</v>
      </c>
      <c r="V280" s="176">
        <f t="shared" si="296"/>
        <v>14</v>
      </c>
      <c r="W280" s="176">
        <f t="shared" si="297"/>
        <v>19</v>
      </c>
      <c r="X280" s="176">
        <f t="shared" si="298"/>
        <v>20</v>
      </c>
      <c r="Y280" s="176">
        <f t="shared" si="299"/>
        <v>23</v>
      </c>
      <c r="Z280" s="176">
        <f t="shared" si="300"/>
        <v>24</v>
      </c>
      <c r="AA280" s="176">
        <f t="shared" si="301"/>
        <v>24</v>
      </c>
      <c r="AB280" s="176">
        <f t="shared" si="302"/>
        <v>25</v>
      </c>
      <c r="AC280" s="176">
        <f t="shared" si="303"/>
        <v>26</v>
      </c>
      <c r="AD280" s="461">
        <f t="shared" si="304"/>
        <v>26</v>
      </c>
      <c r="AE280" s="468">
        <v>279</v>
      </c>
      <c r="AF280" s="163">
        <f t="shared" si="269"/>
        <v>26</v>
      </c>
    </row>
    <row r="281" spans="1:32" x14ac:dyDescent="0.35">
      <c r="A281" s="162" t="s">
        <v>128</v>
      </c>
      <c r="B281" s="420">
        <v>280</v>
      </c>
      <c r="C281" s="389" t="s">
        <v>89</v>
      </c>
      <c r="D281" s="286">
        <f>SUM(D282:D283)</f>
        <v>0</v>
      </c>
      <c r="E281" s="286">
        <f t="shared" ref="E281:O281" si="306">SUM(E282:E283)</f>
        <v>2</v>
      </c>
      <c r="F281" s="286">
        <f t="shared" si="306"/>
        <v>2</v>
      </c>
      <c r="G281" s="286">
        <f t="shared" si="306"/>
        <v>10</v>
      </c>
      <c r="H281" s="286">
        <f t="shared" si="306"/>
        <v>5</v>
      </c>
      <c r="I281" s="286">
        <f t="shared" si="306"/>
        <v>2</v>
      </c>
      <c r="J281" s="286">
        <f t="shared" si="306"/>
        <v>4</v>
      </c>
      <c r="K281" s="286">
        <f t="shared" si="306"/>
        <v>1</v>
      </c>
      <c r="L281" s="286">
        <f t="shared" si="306"/>
        <v>1</v>
      </c>
      <c r="M281" s="286">
        <f t="shared" si="306"/>
        <v>4</v>
      </c>
      <c r="N281" s="286">
        <f t="shared" si="306"/>
        <v>3</v>
      </c>
      <c r="O281" s="286">
        <f t="shared" si="306"/>
        <v>2</v>
      </c>
      <c r="P281" s="181"/>
      <c r="Q281" s="468">
        <v>280</v>
      </c>
      <c r="R281" s="391" t="s">
        <v>89</v>
      </c>
      <c r="S281" s="176">
        <f t="shared" si="293"/>
        <v>0</v>
      </c>
      <c r="T281" s="176">
        <f t="shared" si="294"/>
        <v>2</v>
      </c>
      <c r="U281" s="176">
        <f t="shared" si="295"/>
        <v>4</v>
      </c>
      <c r="V281" s="176">
        <f t="shared" si="296"/>
        <v>14</v>
      </c>
      <c r="W281" s="176">
        <f t="shared" si="297"/>
        <v>19</v>
      </c>
      <c r="X281" s="176">
        <f t="shared" si="298"/>
        <v>21</v>
      </c>
      <c r="Y281" s="176">
        <f t="shared" si="299"/>
        <v>25</v>
      </c>
      <c r="Z281" s="176">
        <f t="shared" si="300"/>
        <v>26</v>
      </c>
      <c r="AA281" s="176">
        <f t="shared" si="301"/>
        <v>27</v>
      </c>
      <c r="AB281" s="176">
        <f t="shared" si="302"/>
        <v>31</v>
      </c>
      <c r="AC281" s="176">
        <f t="shared" si="303"/>
        <v>34</v>
      </c>
      <c r="AD281" s="461">
        <f t="shared" si="304"/>
        <v>36</v>
      </c>
      <c r="AE281" s="468">
        <v>280</v>
      </c>
      <c r="AF281" s="163">
        <f t="shared" si="269"/>
        <v>36</v>
      </c>
    </row>
    <row r="282" spans="1:32" x14ac:dyDescent="0.35">
      <c r="B282" s="420">
        <v>281</v>
      </c>
      <c r="C282" s="389" t="s">
        <v>66</v>
      </c>
      <c r="D282" s="176">
        <f>[2]KSI!DG10</f>
        <v>0</v>
      </c>
      <c r="E282" s="176">
        <f>[2]KSI!DH10</f>
        <v>0</v>
      </c>
      <c r="F282" s="176">
        <f>[2]KSI!DI10</f>
        <v>1</v>
      </c>
      <c r="G282" s="176">
        <f>[2]KSI!DJ10</f>
        <v>2</v>
      </c>
      <c r="H282" s="176">
        <f>[2]KSI!DK10</f>
        <v>0</v>
      </c>
      <c r="I282" s="176">
        <f>[2]KSI!DL10</f>
        <v>0</v>
      </c>
      <c r="J282" s="176">
        <f>[2]KSI!DM10</f>
        <v>0</v>
      </c>
      <c r="K282" s="176">
        <f>[2]KSI!DN10</f>
        <v>0</v>
      </c>
      <c r="L282" s="176">
        <f>[2]KSI!DO10</f>
        <v>0</v>
      </c>
      <c r="M282" s="176">
        <f>[2]KSI!DP10</f>
        <v>1</v>
      </c>
      <c r="N282" s="176">
        <f>[2]KSI!DQ10</f>
        <v>0</v>
      </c>
      <c r="O282" s="176">
        <f>[2]KSI!DR10</f>
        <v>0</v>
      </c>
      <c r="P282" s="181"/>
      <c r="Q282" s="468">
        <v>281</v>
      </c>
      <c r="R282" s="391" t="s">
        <v>66</v>
      </c>
      <c r="S282" s="176">
        <f t="shared" si="293"/>
        <v>0</v>
      </c>
      <c r="T282" s="176">
        <f t="shared" si="294"/>
        <v>0</v>
      </c>
      <c r="U282" s="176">
        <f t="shared" si="295"/>
        <v>1</v>
      </c>
      <c r="V282" s="176">
        <f t="shared" si="296"/>
        <v>3</v>
      </c>
      <c r="W282" s="176">
        <f t="shared" si="297"/>
        <v>3</v>
      </c>
      <c r="X282" s="176">
        <f t="shared" si="298"/>
        <v>3</v>
      </c>
      <c r="Y282" s="176">
        <f t="shared" si="299"/>
        <v>3</v>
      </c>
      <c r="Z282" s="176">
        <f t="shared" si="300"/>
        <v>3</v>
      </c>
      <c r="AA282" s="176">
        <f t="shared" si="301"/>
        <v>3</v>
      </c>
      <c r="AB282" s="176">
        <f t="shared" si="302"/>
        <v>4</v>
      </c>
      <c r="AC282" s="176">
        <f t="shared" si="303"/>
        <v>4</v>
      </c>
      <c r="AD282" s="461">
        <f t="shared" si="304"/>
        <v>4</v>
      </c>
      <c r="AE282" s="468">
        <v>281</v>
      </c>
      <c r="AF282" s="163">
        <f t="shared" si="269"/>
        <v>4</v>
      </c>
    </row>
    <row r="283" spans="1:32" x14ac:dyDescent="0.35">
      <c r="B283" s="420">
        <v>282</v>
      </c>
      <c r="C283" s="389" t="s">
        <v>67</v>
      </c>
      <c r="D283" s="176">
        <f>[2]KSI!DG11</f>
        <v>0</v>
      </c>
      <c r="E283" s="176">
        <f>[2]KSI!DH11</f>
        <v>2</v>
      </c>
      <c r="F283" s="176">
        <f>[2]KSI!DI11</f>
        <v>1</v>
      </c>
      <c r="G283" s="176">
        <f>[2]KSI!DJ11</f>
        <v>8</v>
      </c>
      <c r="H283" s="176">
        <f>[2]KSI!DK11</f>
        <v>5</v>
      </c>
      <c r="I283" s="176">
        <f>[2]KSI!DL11</f>
        <v>2</v>
      </c>
      <c r="J283" s="176">
        <f>[2]KSI!DM11</f>
        <v>4</v>
      </c>
      <c r="K283" s="176">
        <f>[2]KSI!DN11</f>
        <v>1</v>
      </c>
      <c r="L283" s="176">
        <f>[2]KSI!DO11</f>
        <v>1</v>
      </c>
      <c r="M283" s="176">
        <f>[2]KSI!DP11</f>
        <v>3</v>
      </c>
      <c r="N283" s="176">
        <f>[2]KSI!DQ11</f>
        <v>3</v>
      </c>
      <c r="O283" s="176">
        <f>[2]KSI!DR11</f>
        <v>2</v>
      </c>
      <c r="P283" s="181"/>
      <c r="Q283" s="468">
        <v>282</v>
      </c>
      <c r="R283" s="391" t="s">
        <v>67</v>
      </c>
      <c r="S283" s="176">
        <f t="shared" si="293"/>
        <v>0</v>
      </c>
      <c r="T283" s="176">
        <f t="shared" si="294"/>
        <v>2</v>
      </c>
      <c r="U283" s="176">
        <f t="shared" si="295"/>
        <v>3</v>
      </c>
      <c r="V283" s="176">
        <f t="shared" si="296"/>
        <v>11</v>
      </c>
      <c r="W283" s="176">
        <f t="shared" si="297"/>
        <v>16</v>
      </c>
      <c r="X283" s="176">
        <f t="shared" si="298"/>
        <v>18</v>
      </c>
      <c r="Y283" s="176">
        <f t="shared" si="299"/>
        <v>22</v>
      </c>
      <c r="Z283" s="176">
        <f t="shared" si="300"/>
        <v>23</v>
      </c>
      <c r="AA283" s="176">
        <f t="shared" si="301"/>
        <v>24</v>
      </c>
      <c r="AB283" s="176">
        <f t="shared" si="302"/>
        <v>27</v>
      </c>
      <c r="AC283" s="176">
        <f t="shared" si="303"/>
        <v>30</v>
      </c>
      <c r="AD283" s="461">
        <f t="shared" si="304"/>
        <v>32</v>
      </c>
      <c r="AE283" s="468">
        <v>282</v>
      </c>
      <c r="AF283" s="163">
        <f t="shared" si="269"/>
        <v>32</v>
      </c>
    </row>
    <row r="284" spans="1:32" ht="23" x14ac:dyDescent="0.5">
      <c r="B284" s="421">
        <v>283</v>
      </c>
      <c r="C284" s="346" t="s">
        <v>62</v>
      </c>
      <c r="D284" s="172"/>
      <c r="E284" s="172"/>
      <c r="F284" s="172"/>
      <c r="G284" s="172"/>
      <c r="H284" s="172"/>
      <c r="I284" s="172"/>
      <c r="J284" s="172"/>
      <c r="K284" s="172"/>
      <c r="L284" s="172"/>
      <c r="M284" s="172"/>
      <c r="N284" s="172"/>
      <c r="O284" s="172"/>
      <c r="P284" s="182"/>
      <c r="Q284" s="468">
        <v>283</v>
      </c>
      <c r="R284" s="346" t="s">
        <v>62</v>
      </c>
      <c r="S284" s="176"/>
      <c r="T284" s="176"/>
      <c r="U284" s="176"/>
      <c r="V284" s="176"/>
      <c r="W284" s="176"/>
      <c r="X284" s="176"/>
      <c r="Y284" s="176"/>
      <c r="Z284" s="176"/>
      <c r="AA284" s="176"/>
      <c r="AB284" s="176"/>
      <c r="AC284" s="176"/>
      <c r="AD284" s="461"/>
      <c r="AE284" s="470">
        <v>283</v>
      </c>
      <c r="AF284" s="163">
        <f t="shared" si="269"/>
        <v>0</v>
      </c>
    </row>
    <row r="285" spans="1:32" x14ac:dyDescent="0.35">
      <c r="B285" s="420">
        <v>284</v>
      </c>
      <c r="C285" s="347" t="s">
        <v>56</v>
      </c>
      <c r="D285" s="168">
        <v>45017</v>
      </c>
      <c r="E285" s="168">
        <v>45047</v>
      </c>
      <c r="F285" s="168">
        <v>45078</v>
      </c>
      <c r="G285" s="168">
        <v>45108</v>
      </c>
      <c r="H285" s="168">
        <v>45139</v>
      </c>
      <c r="I285" s="168">
        <v>45170</v>
      </c>
      <c r="J285" s="168">
        <v>45200</v>
      </c>
      <c r="K285" s="168">
        <v>45231</v>
      </c>
      <c r="L285" s="168">
        <v>45261</v>
      </c>
      <c r="M285" s="168">
        <v>45292</v>
      </c>
      <c r="N285" s="168">
        <v>45323</v>
      </c>
      <c r="O285" s="168">
        <v>45352</v>
      </c>
      <c r="P285" s="168"/>
      <c r="Q285" s="468">
        <v>284</v>
      </c>
      <c r="R285" s="349" t="s">
        <v>56</v>
      </c>
      <c r="S285" s="168">
        <v>45017</v>
      </c>
      <c r="T285" s="168">
        <v>45047</v>
      </c>
      <c r="U285" s="168">
        <v>45078</v>
      </c>
      <c r="V285" s="168">
        <v>45108</v>
      </c>
      <c r="W285" s="168">
        <v>45139</v>
      </c>
      <c r="X285" s="168">
        <v>45170</v>
      </c>
      <c r="Y285" s="168">
        <v>45200</v>
      </c>
      <c r="Z285" s="168">
        <v>45231</v>
      </c>
      <c r="AA285" s="168">
        <v>45261</v>
      </c>
      <c r="AB285" s="168">
        <v>45292</v>
      </c>
      <c r="AC285" s="168">
        <v>45323</v>
      </c>
      <c r="AD285" s="168">
        <v>45352</v>
      </c>
      <c r="AE285" s="468">
        <v>284</v>
      </c>
      <c r="AF285" s="163">
        <f t="shared" ref="AF285:AF318" si="307">SUM(D285:O285)</f>
        <v>542218</v>
      </c>
    </row>
    <row r="286" spans="1:32" x14ac:dyDescent="0.35">
      <c r="B286" s="420">
        <v>285</v>
      </c>
      <c r="C286" s="347" t="s">
        <v>33</v>
      </c>
      <c r="D286" s="170">
        <f>D238+D190</f>
        <v>1433</v>
      </c>
      <c r="E286" s="170">
        <f t="shared" ref="E286:O286" si="308">E238+E190</f>
        <v>1460</v>
      </c>
      <c r="F286" s="170">
        <f t="shared" si="308"/>
        <v>1598</v>
      </c>
      <c r="G286" s="170">
        <f t="shared" si="308"/>
        <v>1473</v>
      </c>
      <c r="H286" s="170">
        <f t="shared" si="308"/>
        <v>1375</v>
      </c>
      <c r="I286" s="170">
        <f t="shared" si="308"/>
        <v>1422</v>
      </c>
      <c r="J286" s="170">
        <f t="shared" si="308"/>
        <v>1422</v>
      </c>
      <c r="K286" s="170">
        <f t="shared" si="308"/>
        <v>1345</v>
      </c>
      <c r="L286" s="170">
        <f t="shared" si="308"/>
        <v>1349</v>
      </c>
      <c r="M286" s="170">
        <f t="shared" si="308"/>
        <v>1419</v>
      </c>
      <c r="N286" s="170">
        <f t="shared" si="308"/>
        <v>1349</v>
      </c>
      <c r="O286" s="170">
        <f t="shared" si="308"/>
        <v>1339</v>
      </c>
      <c r="P286" s="183"/>
      <c r="Q286" s="468">
        <v>285</v>
      </c>
      <c r="R286" s="349" t="s">
        <v>33</v>
      </c>
      <c r="S286" s="176">
        <f t="shared" ref="S286:S300" si="309">D286</f>
        <v>1433</v>
      </c>
      <c r="T286" s="176">
        <f t="shared" ref="T286:T300" si="310">S286+E286</f>
        <v>2893</v>
      </c>
      <c r="U286" s="176">
        <f t="shared" ref="U286:U300" si="311">T286+F286</f>
        <v>4491</v>
      </c>
      <c r="V286" s="176">
        <f t="shared" ref="V286:V300" si="312">U286+G286</f>
        <v>5964</v>
      </c>
      <c r="W286" s="176">
        <f t="shared" ref="W286:W300" si="313">V286+H286</f>
        <v>7339</v>
      </c>
      <c r="X286" s="176">
        <f t="shared" ref="X286:X300" si="314">W286+I286</f>
        <v>8761</v>
      </c>
      <c r="Y286" s="176">
        <f t="shared" ref="Y286:Y300" si="315">X286+J286</f>
        <v>10183</v>
      </c>
      <c r="Z286" s="176">
        <f t="shared" ref="Z286:Z300" si="316">Y286+K286</f>
        <v>11528</v>
      </c>
      <c r="AA286" s="176">
        <f t="shared" ref="AA286:AA300" si="317">Z286+L286</f>
        <v>12877</v>
      </c>
      <c r="AB286" s="176">
        <f t="shared" ref="AB286:AB300" si="318">AA286+M286</f>
        <v>14296</v>
      </c>
      <c r="AC286" s="176">
        <f t="shared" ref="AC286:AC300" si="319">AB286+N286</f>
        <v>15645</v>
      </c>
      <c r="AD286" s="461">
        <f t="shared" ref="AD286:AD300" si="320">AC286+O286</f>
        <v>16984</v>
      </c>
      <c r="AE286" s="468">
        <v>285</v>
      </c>
      <c r="AF286" s="163">
        <f t="shared" si="307"/>
        <v>16984</v>
      </c>
    </row>
    <row r="287" spans="1:32" x14ac:dyDescent="0.35">
      <c r="B287" s="420">
        <v>286</v>
      </c>
      <c r="C287" s="347" t="s">
        <v>39</v>
      </c>
      <c r="D287" s="170">
        <f t="shared" ref="D287" si="321">D239+D191</f>
        <v>164</v>
      </c>
      <c r="E287" s="170">
        <f t="shared" ref="E287:O287" si="322">E239+E191</f>
        <v>174</v>
      </c>
      <c r="F287" s="170">
        <f t="shared" si="322"/>
        <v>196</v>
      </c>
      <c r="G287" s="170">
        <f t="shared" si="322"/>
        <v>166</v>
      </c>
      <c r="H287" s="170">
        <f t="shared" si="322"/>
        <v>145</v>
      </c>
      <c r="I287" s="170">
        <f t="shared" si="322"/>
        <v>158</v>
      </c>
      <c r="J287" s="170">
        <f t="shared" si="322"/>
        <v>157</v>
      </c>
      <c r="K287" s="170">
        <f t="shared" si="322"/>
        <v>141</v>
      </c>
      <c r="L287" s="170">
        <f t="shared" si="322"/>
        <v>156</v>
      </c>
      <c r="M287" s="170">
        <f t="shared" si="322"/>
        <v>140</v>
      </c>
      <c r="N287" s="170">
        <f t="shared" si="322"/>
        <v>151</v>
      </c>
      <c r="O287" s="170">
        <f t="shared" si="322"/>
        <v>138</v>
      </c>
      <c r="P287" s="183"/>
      <c r="Q287" s="468">
        <v>286</v>
      </c>
      <c r="R287" s="349" t="s">
        <v>39</v>
      </c>
      <c r="S287" s="176">
        <f t="shared" si="309"/>
        <v>164</v>
      </c>
      <c r="T287" s="176">
        <f t="shared" si="310"/>
        <v>338</v>
      </c>
      <c r="U287" s="176">
        <f t="shared" si="311"/>
        <v>534</v>
      </c>
      <c r="V287" s="176">
        <f t="shared" si="312"/>
        <v>700</v>
      </c>
      <c r="W287" s="176">
        <f t="shared" si="313"/>
        <v>845</v>
      </c>
      <c r="X287" s="176">
        <f t="shared" si="314"/>
        <v>1003</v>
      </c>
      <c r="Y287" s="176">
        <f t="shared" si="315"/>
        <v>1160</v>
      </c>
      <c r="Z287" s="176">
        <f t="shared" si="316"/>
        <v>1301</v>
      </c>
      <c r="AA287" s="176">
        <f t="shared" si="317"/>
        <v>1457</v>
      </c>
      <c r="AB287" s="176">
        <f t="shared" si="318"/>
        <v>1597</v>
      </c>
      <c r="AC287" s="176">
        <f t="shared" si="319"/>
        <v>1748</v>
      </c>
      <c r="AD287" s="461">
        <f t="shared" si="320"/>
        <v>1886</v>
      </c>
      <c r="AE287" s="470">
        <v>286</v>
      </c>
      <c r="AF287" s="163">
        <f t="shared" si="307"/>
        <v>1886</v>
      </c>
    </row>
    <row r="288" spans="1:32" x14ac:dyDescent="0.35">
      <c r="B288" s="420">
        <v>287</v>
      </c>
      <c r="C288" s="347" t="s">
        <v>40</v>
      </c>
      <c r="D288" s="170">
        <f t="shared" ref="D288" si="323">D240+D192</f>
        <v>326</v>
      </c>
      <c r="E288" s="170">
        <f t="shared" ref="E288:O288" si="324">E240+E192</f>
        <v>302</v>
      </c>
      <c r="F288" s="170">
        <f t="shared" si="324"/>
        <v>367</v>
      </c>
      <c r="G288" s="170">
        <f t="shared" si="324"/>
        <v>345</v>
      </c>
      <c r="H288" s="170">
        <f t="shared" si="324"/>
        <v>333</v>
      </c>
      <c r="I288" s="170">
        <f t="shared" si="324"/>
        <v>357</v>
      </c>
      <c r="J288" s="170">
        <f t="shared" si="324"/>
        <v>354</v>
      </c>
      <c r="K288" s="170">
        <f t="shared" si="324"/>
        <v>334</v>
      </c>
      <c r="L288" s="170">
        <f t="shared" si="324"/>
        <v>326</v>
      </c>
      <c r="M288" s="170">
        <f t="shared" si="324"/>
        <v>361</v>
      </c>
      <c r="N288" s="170">
        <f t="shared" si="324"/>
        <v>336</v>
      </c>
      <c r="O288" s="170">
        <f t="shared" si="324"/>
        <v>323</v>
      </c>
      <c r="P288" s="183"/>
      <c r="Q288" s="468">
        <v>287</v>
      </c>
      <c r="R288" s="349" t="s">
        <v>40</v>
      </c>
      <c r="S288" s="176">
        <f t="shared" si="309"/>
        <v>326</v>
      </c>
      <c r="T288" s="176">
        <f t="shared" si="310"/>
        <v>628</v>
      </c>
      <c r="U288" s="176">
        <f t="shared" si="311"/>
        <v>995</v>
      </c>
      <c r="V288" s="176">
        <f t="shared" si="312"/>
        <v>1340</v>
      </c>
      <c r="W288" s="176">
        <f t="shared" si="313"/>
        <v>1673</v>
      </c>
      <c r="X288" s="176">
        <f t="shared" si="314"/>
        <v>2030</v>
      </c>
      <c r="Y288" s="176">
        <f t="shared" si="315"/>
        <v>2384</v>
      </c>
      <c r="Z288" s="176">
        <f t="shared" si="316"/>
        <v>2718</v>
      </c>
      <c r="AA288" s="176">
        <f t="shared" si="317"/>
        <v>3044</v>
      </c>
      <c r="AB288" s="176">
        <f t="shared" si="318"/>
        <v>3405</v>
      </c>
      <c r="AC288" s="176">
        <f t="shared" si="319"/>
        <v>3741</v>
      </c>
      <c r="AD288" s="461">
        <f t="shared" si="320"/>
        <v>4064</v>
      </c>
      <c r="AE288" s="468">
        <v>287</v>
      </c>
      <c r="AF288" s="163">
        <f t="shared" si="307"/>
        <v>4064</v>
      </c>
    </row>
    <row r="289" spans="2:32" x14ac:dyDescent="0.35">
      <c r="B289" s="421">
        <v>288</v>
      </c>
      <c r="C289" s="347" t="s">
        <v>5</v>
      </c>
      <c r="D289" s="170">
        <f t="shared" ref="D289" si="325">D241+D193</f>
        <v>11</v>
      </c>
      <c r="E289" s="170">
        <f t="shared" ref="E289:O289" si="326">E241+E193</f>
        <v>16</v>
      </c>
      <c r="F289" s="170">
        <f t="shared" si="326"/>
        <v>16</v>
      </c>
      <c r="G289" s="170">
        <f t="shared" si="326"/>
        <v>18</v>
      </c>
      <c r="H289" s="170">
        <f t="shared" si="326"/>
        <v>29</v>
      </c>
      <c r="I289" s="170">
        <f t="shared" si="326"/>
        <v>26</v>
      </c>
      <c r="J289" s="170">
        <f t="shared" si="326"/>
        <v>23</v>
      </c>
      <c r="K289" s="170">
        <f t="shared" si="326"/>
        <v>23</v>
      </c>
      <c r="L289" s="170">
        <f t="shared" si="326"/>
        <v>15</v>
      </c>
      <c r="M289" s="170">
        <f t="shared" si="326"/>
        <v>21</v>
      </c>
      <c r="N289" s="170">
        <f t="shared" si="326"/>
        <v>17</v>
      </c>
      <c r="O289" s="170">
        <f t="shared" si="326"/>
        <v>22</v>
      </c>
      <c r="P289" s="183"/>
      <c r="Q289" s="468">
        <v>288</v>
      </c>
      <c r="R289" s="349" t="s">
        <v>5</v>
      </c>
      <c r="S289" s="176">
        <f t="shared" si="309"/>
        <v>11</v>
      </c>
      <c r="T289" s="176">
        <f t="shared" si="310"/>
        <v>27</v>
      </c>
      <c r="U289" s="176">
        <f t="shared" si="311"/>
        <v>43</v>
      </c>
      <c r="V289" s="176">
        <f t="shared" si="312"/>
        <v>61</v>
      </c>
      <c r="W289" s="176">
        <f t="shared" si="313"/>
        <v>90</v>
      </c>
      <c r="X289" s="176">
        <f t="shared" si="314"/>
        <v>116</v>
      </c>
      <c r="Y289" s="176">
        <f t="shared" si="315"/>
        <v>139</v>
      </c>
      <c r="Z289" s="176">
        <f t="shared" si="316"/>
        <v>162</v>
      </c>
      <c r="AA289" s="176">
        <f t="shared" si="317"/>
        <v>177</v>
      </c>
      <c r="AB289" s="176">
        <f t="shared" si="318"/>
        <v>198</v>
      </c>
      <c r="AC289" s="176">
        <f t="shared" si="319"/>
        <v>215</v>
      </c>
      <c r="AD289" s="461">
        <f t="shared" si="320"/>
        <v>237</v>
      </c>
      <c r="AE289" s="468">
        <v>288</v>
      </c>
      <c r="AF289" s="163">
        <f t="shared" si="307"/>
        <v>237</v>
      </c>
    </row>
    <row r="290" spans="2:32" x14ac:dyDescent="0.35">
      <c r="B290" s="420">
        <v>289</v>
      </c>
      <c r="C290" s="347" t="s">
        <v>35</v>
      </c>
      <c r="D290" s="170">
        <f t="shared" ref="D290" si="327">D242+D194</f>
        <v>23</v>
      </c>
      <c r="E290" s="170">
        <f t="shared" ref="E290:O290" si="328">E242+E194</f>
        <v>27</v>
      </c>
      <c r="F290" s="170">
        <f t="shared" si="328"/>
        <v>43</v>
      </c>
      <c r="G290" s="170">
        <f t="shared" si="328"/>
        <v>37</v>
      </c>
      <c r="H290" s="170">
        <f t="shared" si="328"/>
        <v>33</v>
      </c>
      <c r="I290" s="170">
        <f t="shared" si="328"/>
        <v>39</v>
      </c>
      <c r="J290" s="170">
        <f t="shared" si="328"/>
        <v>49</v>
      </c>
      <c r="K290" s="170">
        <f t="shared" si="328"/>
        <v>34</v>
      </c>
      <c r="L290" s="170">
        <f t="shared" si="328"/>
        <v>54</v>
      </c>
      <c r="M290" s="170">
        <f t="shared" si="328"/>
        <v>31</v>
      </c>
      <c r="N290" s="170">
        <f t="shared" si="328"/>
        <v>55</v>
      </c>
      <c r="O290" s="170">
        <f t="shared" si="328"/>
        <v>41</v>
      </c>
      <c r="P290" s="183"/>
      <c r="Q290" s="468">
        <v>289</v>
      </c>
      <c r="R290" s="349" t="s">
        <v>35</v>
      </c>
      <c r="S290" s="176">
        <f t="shared" si="309"/>
        <v>23</v>
      </c>
      <c r="T290" s="176">
        <f t="shared" si="310"/>
        <v>50</v>
      </c>
      <c r="U290" s="176">
        <f t="shared" si="311"/>
        <v>93</v>
      </c>
      <c r="V290" s="176">
        <f t="shared" si="312"/>
        <v>130</v>
      </c>
      <c r="W290" s="176">
        <f t="shared" si="313"/>
        <v>163</v>
      </c>
      <c r="X290" s="176">
        <f t="shared" si="314"/>
        <v>202</v>
      </c>
      <c r="Y290" s="176">
        <f t="shared" si="315"/>
        <v>251</v>
      </c>
      <c r="Z290" s="176">
        <f t="shared" si="316"/>
        <v>285</v>
      </c>
      <c r="AA290" s="176">
        <f t="shared" si="317"/>
        <v>339</v>
      </c>
      <c r="AB290" s="176">
        <f t="shared" si="318"/>
        <v>370</v>
      </c>
      <c r="AC290" s="176">
        <f t="shared" si="319"/>
        <v>425</v>
      </c>
      <c r="AD290" s="461">
        <f t="shared" si="320"/>
        <v>466</v>
      </c>
      <c r="AE290" s="468">
        <v>289</v>
      </c>
      <c r="AF290" s="163">
        <f t="shared" si="307"/>
        <v>466</v>
      </c>
    </row>
    <row r="291" spans="2:32" x14ac:dyDescent="0.35">
      <c r="B291" s="420">
        <v>290</v>
      </c>
      <c r="C291" s="347" t="s">
        <v>36</v>
      </c>
      <c r="D291" s="170">
        <f t="shared" ref="D291" si="329">D243+D195</f>
        <v>1</v>
      </c>
      <c r="E291" s="170">
        <f t="shared" ref="E291:O291" si="330">E243+E195</f>
        <v>1</v>
      </c>
      <c r="F291" s="170">
        <f t="shared" si="330"/>
        <v>2</v>
      </c>
      <c r="G291" s="170">
        <f t="shared" si="330"/>
        <v>1</v>
      </c>
      <c r="H291" s="170">
        <f t="shared" si="330"/>
        <v>2</v>
      </c>
      <c r="I291" s="170">
        <f t="shared" si="330"/>
        <v>2</v>
      </c>
      <c r="J291" s="170">
        <f t="shared" si="330"/>
        <v>2</v>
      </c>
      <c r="K291" s="170">
        <f t="shared" si="330"/>
        <v>1</v>
      </c>
      <c r="L291" s="170">
        <f t="shared" si="330"/>
        <v>0</v>
      </c>
      <c r="M291" s="170">
        <f t="shared" si="330"/>
        <v>2</v>
      </c>
      <c r="N291" s="170">
        <f t="shared" si="330"/>
        <v>0</v>
      </c>
      <c r="O291" s="170">
        <f t="shared" si="330"/>
        <v>1</v>
      </c>
      <c r="P291" s="183"/>
      <c r="Q291" s="468">
        <v>290</v>
      </c>
      <c r="R291" s="349" t="s">
        <v>36</v>
      </c>
      <c r="S291" s="176">
        <f t="shared" si="309"/>
        <v>1</v>
      </c>
      <c r="T291" s="176">
        <f t="shared" si="310"/>
        <v>2</v>
      </c>
      <c r="U291" s="176">
        <f t="shared" si="311"/>
        <v>4</v>
      </c>
      <c r="V291" s="176">
        <f t="shared" si="312"/>
        <v>5</v>
      </c>
      <c r="W291" s="176">
        <f t="shared" si="313"/>
        <v>7</v>
      </c>
      <c r="X291" s="176">
        <f t="shared" si="314"/>
        <v>9</v>
      </c>
      <c r="Y291" s="176">
        <f t="shared" si="315"/>
        <v>11</v>
      </c>
      <c r="Z291" s="176">
        <f t="shared" si="316"/>
        <v>12</v>
      </c>
      <c r="AA291" s="176">
        <f t="shared" si="317"/>
        <v>12</v>
      </c>
      <c r="AB291" s="176">
        <f t="shared" si="318"/>
        <v>14</v>
      </c>
      <c r="AC291" s="176">
        <f t="shared" si="319"/>
        <v>14</v>
      </c>
      <c r="AD291" s="461">
        <f t="shared" si="320"/>
        <v>15</v>
      </c>
      <c r="AE291" s="468">
        <v>290</v>
      </c>
      <c r="AF291" s="163">
        <f t="shared" si="307"/>
        <v>15</v>
      </c>
    </row>
    <row r="292" spans="2:32" x14ac:dyDescent="0.35">
      <c r="B292" s="420">
        <v>291</v>
      </c>
      <c r="C292" s="347" t="s">
        <v>37</v>
      </c>
      <c r="D292" s="170">
        <f t="shared" ref="D292" si="331">D244+D196</f>
        <v>11</v>
      </c>
      <c r="E292" s="170">
        <f t="shared" ref="E292:O292" si="332">E244+E196</f>
        <v>17</v>
      </c>
      <c r="F292" s="170">
        <f t="shared" si="332"/>
        <v>12</v>
      </c>
      <c r="G292" s="170">
        <f t="shared" si="332"/>
        <v>17</v>
      </c>
      <c r="H292" s="170">
        <f t="shared" si="332"/>
        <v>14</v>
      </c>
      <c r="I292" s="170">
        <f t="shared" si="332"/>
        <v>8</v>
      </c>
      <c r="J292" s="170">
        <f t="shared" si="332"/>
        <v>9</v>
      </c>
      <c r="K292" s="170">
        <f t="shared" si="332"/>
        <v>4</v>
      </c>
      <c r="L292" s="170">
        <f t="shared" si="332"/>
        <v>9</v>
      </c>
      <c r="M292" s="170">
        <f t="shared" si="332"/>
        <v>12</v>
      </c>
      <c r="N292" s="170">
        <f t="shared" si="332"/>
        <v>10</v>
      </c>
      <c r="O292" s="170">
        <f t="shared" si="332"/>
        <v>12</v>
      </c>
      <c r="P292" s="183"/>
      <c r="Q292" s="468">
        <v>291</v>
      </c>
      <c r="R292" s="349" t="s">
        <v>37</v>
      </c>
      <c r="S292" s="176">
        <f t="shared" si="309"/>
        <v>11</v>
      </c>
      <c r="T292" s="176">
        <f t="shared" si="310"/>
        <v>28</v>
      </c>
      <c r="U292" s="176">
        <f t="shared" si="311"/>
        <v>40</v>
      </c>
      <c r="V292" s="176">
        <f t="shared" si="312"/>
        <v>57</v>
      </c>
      <c r="W292" s="176">
        <f t="shared" si="313"/>
        <v>71</v>
      </c>
      <c r="X292" s="176">
        <f t="shared" si="314"/>
        <v>79</v>
      </c>
      <c r="Y292" s="176">
        <f t="shared" si="315"/>
        <v>88</v>
      </c>
      <c r="Z292" s="176">
        <f t="shared" si="316"/>
        <v>92</v>
      </c>
      <c r="AA292" s="176">
        <f t="shared" si="317"/>
        <v>101</v>
      </c>
      <c r="AB292" s="176">
        <f t="shared" si="318"/>
        <v>113</v>
      </c>
      <c r="AC292" s="176">
        <f t="shared" si="319"/>
        <v>123</v>
      </c>
      <c r="AD292" s="461">
        <f t="shared" si="320"/>
        <v>135</v>
      </c>
      <c r="AE292" s="470">
        <v>291</v>
      </c>
      <c r="AF292" s="163">
        <f t="shared" si="307"/>
        <v>135</v>
      </c>
    </row>
    <row r="293" spans="2:32" x14ac:dyDescent="0.35">
      <c r="B293" s="420">
        <v>292</v>
      </c>
      <c r="C293" s="348" t="s">
        <v>31</v>
      </c>
      <c r="D293" s="170">
        <f t="shared" ref="D293" si="333">D245+D197</f>
        <v>75</v>
      </c>
      <c r="E293" s="170">
        <f t="shared" ref="E293:O293" si="334">E245+E197</f>
        <v>48</v>
      </c>
      <c r="F293" s="170">
        <f t="shared" si="334"/>
        <v>64</v>
      </c>
      <c r="G293" s="170">
        <f t="shared" si="334"/>
        <v>56</v>
      </c>
      <c r="H293" s="170">
        <f t="shared" si="334"/>
        <v>37</v>
      </c>
      <c r="I293" s="170">
        <f t="shared" si="334"/>
        <v>55</v>
      </c>
      <c r="J293" s="170">
        <f t="shared" si="334"/>
        <v>66</v>
      </c>
      <c r="K293" s="170">
        <f t="shared" si="334"/>
        <v>65</v>
      </c>
      <c r="L293" s="170">
        <f t="shared" si="334"/>
        <v>66</v>
      </c>
      <c r="M293" s="170">
        <f t="shared" si="334"/>
        <v>63</v>
      </c>
      <c r="N293" s="170">
        <f t="shared" si="334"/>
        <v>55</v>
      </c>
      <c r="O293" s="170">
        <f t="shared" si="334"/>
        <v>48</v>
      </c>
      <c r="P293" s="183"/>
      <c r="Q293" s="468">
        <v>292</v>
      </c>
      <c r="R293" s="350" t="s">
        <v>31</v>
      </c>
      <c r="S293" s="176">
        <f t="shared" si="309"/>
        <v>75</v>
      </c>
      <c r="T293" s="176">
        <f t="shared" si="310"/>
        <v>123</v>
      </c>
      <c r="U293" s="176">
        <f t="shared" si="311"/>
        <v>187</v>
      </c>
      <c r="V293" s="176">
        <f t="shared" si="312"/>
        <v>243</v>
      </c>
      <c r="W293" s="176">
        <f t="shared" si="313"/>
        <v>280</v>
      </c>
      <c r="X293" s="176">
        <f t="shared" si="314"/>
        <v>335</v>
      </c>
      <c r="Y293" s="176">
        <f t="shared" si="315"/>
        <v>401</v>
      </c>
      <c r="Z293" s="176">
        <f t="shared" si="316"/>
        <v>466</v>
      </c>
      <c r="AA293" s="176">
        <f t="shared" si="317"/>
        <v>532</v>
      </c>
      <c r="AB293" s="176">
        <f t="shared" si="318"/>
        <v>595</v>
      </c>
      <c r="AC293" s="176">
        <f t="shared" si="319"/>
        <v>650</v>
      </c>
      <c r="AD293" s="461">
        <f t="shared" si="320"/>
        <v>698</v>
      </c>
      <c r="AE293" s="468">
        <v>292</v>
      </c>
      <c r="AF293" s="163">
        <f t="shared" si="307"/>
        <v>698</v>
      </c>
    </row>
    <row r="294" spans="2:32" x14ac:dyDescent="0.35">
      <c r="B294" s="421">
        <v>293</v>
      </c>
      <c r="C294" s="348" t="s">
        <v>55</v>
      </c>
      <c r="D294" s="170">
        <f t="shared" ref="D294" si="335">D246+D198</f>
        <v>31</v>
      </c>
      <c r="E294" s="170">
        <f t="shared" ref="E294:O294" si="336">E246+E198</f>
        <v>28</v>
      </c>
      <c r="F294" s="170">
        <f t="shared" si="336"/>
        <v>22</v>
      </c>
      <c r="G294" s="170">
        <f t="shared" si="336"/>
        <v>25</v>
      </c>
      <c r="H294" s="170">
        <f t="shared" si="336"/>
        <v>39</v>
      </c>
      <c r="I294" s="170">
        <f t="shared" si="336"/>
        <v>37</v>
      </c>
      <c r="J294" s="170">
        <f t="shared" si="336"/>
        <v>31</v>
      </c>
      <c r="K294" s="170">
        <f t="shared" si="336"/>
        <v>23</v>
      </c>
      <c r="L294" s="170">
        <f t="shared" si="336"/>
        <v>16</v>
      </c>
      <c r="M294" s="170">
        <f t="shared" si="336"/>
        <v>30</v>
      </c>
      <c r="N294" s="170">
        <f t="shared" si="336"/>
        <v>23</v>
      </c>
      <c r="O294" s="170">
        <f t="shared" si="336"/>
        <v>27</v>
      </c>
      <c r="P294" s="183"/>
      <c r="Q294" s="468">
        <v>293</v>
      </c>
      <c r="R294" s="350" t="s">
        <v>55</v>
      </c>
      <c r="S294" s="176">
        <f t="shared" si="309"/>
        <v>31</v>
      </c>
      <c r="T294" s="176">
        <f t="shared" si="310"/>
        <v>59</v>
      </c>
      <c r="U294" s="176">
        <f t="shared" si="311"/>
        <v>81</v>
      </c>
      <c r="V294" s="176">
        <f t="shared" si="312"/>
        <v>106</v>
      </c>
      <c r="W294" s="176">
        <f t="shared" si="313"/>
        <v>145</v>
      </c>
      <c r="X294" s="176">
        <f t="shared" si="314"/>
        <v>182</v>
      </c>
      <c r="Y294" s="176">
        <f t="shared" si="315"/>
        <v>213</v>
      </c>
      <c r="Z294" s="176">
        <f t="shared" si="316"/>
        <v>236</v>
      </c>
      <c r="AA294" s="176">
        <f t="shared" si="317"/>
        <v>252</v>
      </c>
      <c r="AB294" s="176">
        <f t="shared" si="318"/>
        <v>282</v>
      </c>
      <c r="AC294" s="176">
        <f t="shared" si="319"/>
        <v>305</v>
      </c>
      <c r="AD294" s="461">
        <f t="shared" si="320"/>
        <v>332</v>
      </c>
      <c r="AE294" s="468">
        <v>293</v>
      </c>
      <c r="AF294" s="163">
        <f t="shared" si="307"/>
        <v>332</v>
      </c>
    </row>
    <row r="295" spans="2:32" x14ac:dyDescent="0.35">
      <c r="B295" s="420">
        <v>294</v>
      </c>
      <c r="C295" s="347" t="s">
        <v>38</v>
      </c>
      <c r="D295" s="170">
        <f t="shared" ref="D295" si="337">D247+D199</f>
        <v>195</v>
      </c>
      <c r="E295" s="170">
        <f t="shared" ref="E295:O295" si="338">E247+E199</f>
        <v>170</v>
      </c>
      <c r="F295" s="170">
        <f t="shared" si="338"/>
        <v>155</v>
      </c>
      <c r="G295" s="170">
        <f t="shared" si="338"/>
        <v>189</v>
      </c>
      <c r="H295" s="170">
        <f t="shared" si="338"/>
        <v>140</v>
      </c>
      <c r="I295" s="170">
        <f t="shared" si="338"/>
        <v>121</v>
      </c>
      <c r="J295" s="170">
        <f t="shared" si="338"/>
        <v>174</v>
      </c>
      <c r="K295" s="170">
        <f t="shared" si="338"/>
        <v>163</v>
      </c>
      <c r="L295" s="170">
        <f t="shared" si="338"/>
        <v>157</v>
      </c>
      <c r="M295" s="170">
        <f t="shared" si="338"/>
        <v>145</v>
      </c>
      <c r="N295" s="170">
        <f t="shared" si="338"/>
        <v>103</v>
      </c>
      <c r="O295" s="170">
        <f t="shared" si="338"/>
        <v>118</v>
      </c>
      <c r="P295" s="183"/>
      <c r="Q295" s="468">
        <v>294</v>
      </c>
      <c r="R295" s="349" t="s">
        <v>38</v>
      </c>
      <c r="S295" s="176">
        <f t="shared" si="309"/>
        <v>195</v>
      </c>
      <c r="T295" s="176">
        <f t="shared" si="310"/>
        <v>365</v>
      </c>
      <c r="U295" s="176">
        <f t="shared" si="311"/>
        <v>520</v>
      </c>
      <c r="V295" s="176">
        <f t="shared" si="312"/>
        <v>709</v>
      </c>
      <c r="W295" s="176">
        <f t="shared" si="313"/>
        <v>849</v>
      </c>
      <c r="X295" s="176">
        <f t="shared" si="314"/>
        <v>970</v>
      </c>
      <c r="Y295" s="176">
        <f t="shared" si="315"/>
        <v>1144</v>
      </c>
      <c r="Z295" s="176">
        <f t="shared" si="316"/>
        <v>1307</v>
      </c>
      <c r="AA295" s="176">
        <f t="shared" si="317"/>
        <v>1464</v>
      </c>
      <c r="AB295" s="176">
        <f t="shared" si="318"/>
        <v>1609</v>
      </c>
      <c r="AC295" s="176">
        <f t="shared" si="319"/>
        <v>1712</v>
      </c>
      <c r="AD295" s="461">
        <f t="shared" si="320"/>
        <v>1830</v>
      </c>
      <c r="AE295" s="470">
        <v>294</v>
      </c>
      <c r="AF295" s="163">
        <f t="shared" si="307"/>
        <v>1830</v>
      </c>
    </row>
    <row r="296" spans="2:32" x14ac:dyDescent="0.35">
      <c r="B296" s="420">
        <v>295</v>
      </c>
      <c r="C296" s="347" t="s">
        <v>17</v>
      </c>
      <c r="D296" s="170">
        <f t="shared" ref="D296" si="339">D248+D200</f>
        <v>99</v>
      </c>
      <c r="E296" s="170">
        <f t="shared" ref="E296:O296" si="340">E248+E200</f>
        <v>117</v>
      </c>
      <c r="F296" s="170">
        <f t="shared" si="340"/>
        <v>96</v>
      </c>
      <c r="G296" s="170">
        <f t="shared" si="340"/>
        <v>94</v>
      </c>
      <c r="H296" s="170">
        <f t="shared" si="340"/>
        <v>79</v>
      </c>
      <c r="I296" s="170">
        <f t="shared" si="340"/>
        <v>102</v>
      </c>
      <c r="J296" s="170">
        <f t="shared" si="340"/>
        <v>93</v>
      </c>
      <c r="K296" s="170">
        <f t="shared" si="340"/>
        <v>109</v>
      </c>
      <c r="L296" s="170">
        <f t="shared" si="340"/>
        <v>101</v>
      </c>
      <c r="M296" s="170">
        <f t="shared" si="340"/>
        <v>147</v>
      </c>
      <c r="N296" s="170">
        <f t="shared" si="340"/>
        <v>145</v>
      </c>
      <c r="O296" s="170">
        <f t="shared" si="340"/>
        <v>169</v>
      </c>
      <c r="P296" s="183"/>
      <c r="Q296" s="468">
        <v>295</v>
      </c>
      <c r="R296" s="349" t="s">
        <v>17</v>
      </c>
      <c r="S296" s="176">
        <f t="shared" si="309"/>
        <v>99</v>
      </c>
      <c r="T296" s="176">
        <f t="shared" si="310"/>
        <v>216</v>
      </c>
      <c r="U296" s="176">
        <f t="shared" si="311"/>
        <v>312</v>
      </c>
      <c r="V296" s="176">
        <f t="shared" si="312"/>
        <v>406</v>
      </c>
      <c r="W296" s="176">
        <f t="shared" si="313"/>
        <v>485</v>
      </c>
      <c r="X296" s="176">
        <f t="shared" si="314"/>
        <v>587</v>
      </c>
      <c r="Y296" s="176">
        <f t="shared" si="315"/>
        <v>680</v>
      </c>
      <c r="Z296" s="176">
        <f t="shared" si="316"/>
        <v>789</v>
      </c>
      <c r="AA296" s="176">
        <f t="shared" si="317"/>
        <v>890</v>
      </c>
      <c r="AB296" s="176">
        <f t="shared" si="318"/>
        <v>1037</v>
      </c>
      <c r="AC296" s="176">
        <f t="shared" si="319"/>
        <v>1182</v>
      </c>
      <c r="AD296" s="461">
        <f t="shared" si="320"/>
        <v>1351</v>
      </c>
      <c r="AE296" s="468">
        <v>295</v>
      </c>
      <c r="AF296" s="163">
        <f t="shared" si="307"/>
        <v>1351</v>
      </c>
    </row>
    <row r="297" spans="2:32" x14ac:dyDescent="0.35">
      <c r="B297" s="420">
        <v>296</v>
      </c>
      <c r="C297" s="347" t="s">
        <v>34</v>
      </c>
      <c r="D297" s="170">
        <f t="shared" ref="D297" si="341">D249+D201</f>
        <v>123</v>
      </c>
      <c r="E297" s="170">
        <f t="shared" ref="E297:O297" si="342">E249+E201</f>
        <v>130</v>
      </c>
      <c r="F297" s="170">
        <f t="shared" si="342"/>
        <v>161</v>
      </c>
      <c r="G297" s="170">
        <f t="shared" si="342"/>
        <v>135</v>
      </c>
      <c r="H297" s="170">
        <f t="shared" si="342"/>
        <v>129</v>
      </c>
      <c r="I297" s="170">
        <f t="shared" si="342"/>
        <v>130</v>
      </c>
      <c r="J297" s="170">
        <f t="shared" si="342"/>
        <v>101</v>
      </c>
      <c r="K297" s="170">
        <f t="shared" si="342"/>
        <v>87</v>
      </c>
      <c r="L297" s="170">
        <f t="shared" si="342"/>
        <v>100</v>
      </c>
      <c r="M297" s="170">
        <f t="shared" si="342"/>
        <v>111</v>
      </c>
      <c r="N297" s="170">
        <f t="shared" si="342"/>
        <v>99</v>
      </c>
      <c r="O297" s="170">
        <f t="shared" si="342"/>
        <v>87</v>
      </c>
      <c r="P297" s="183"/>
      <c r="Q297" s="468">
        <v>296</v>
      </c>
      <c r="R297" s="349" t="s">
        <v>34</v>
      </c>
      <c r="S297" s="176">
        <f t="shared" si="309"/>
        <v>123</v>
      </c>
      <c r="T297" s="176">
        <f t="shared" si="310"/>
        <v>253</v>
      </c>
      <c r="U297" s="176">
        <f t="shared" si="311"/>
        <v>414</v>
      </c>
      <c r="V297" s="176">
        <f t="shared" si="312"/>
        <v>549</v>
      </c>
      <c r="W297" s="176">
        <f t="shared" si="313"/>
        <v>678</v>
      </c>
      <c r="X297" s="176">
        <f t="shared" si="314"/>
        <v>808</v>
      </c>
      <c r="Y297" s="176">
        <f t="shared" si="315"/>
        <v>909</v>
      </c>
      <c r="Z297" s="176">
        <f t="shared" si="316"/>
        <v>996</v>
      </c>
      <c r="AA297" s="176">
        <f t="shared" si="317"/>
        <v>1096</v>
      </c>
      <c r="AB297" s="176">
        <f t="shared" si="318"/>
        <v>1207</v>
      </c>
      <c r="AC297" s="176">
        <f t="shared" si="319"/>
        <v>1306</v>
      </c>
      <c r="AD297" s="461">
        <f t="shared" si="320"/>
        <v>1393</v>
      </c>
      <c r="AE297" s="468">
        <v>296</v>
      </c>
      <c r="AF297" s="163">
        <f t="shared" si="307"/>
        <v>1393</v>
      </c>
    </row>
    <row r="298" spans="2:32" x14ac:dyDescent="0.35">
      <c r="B298" s="420">
        <v>297</v>
      </c>
      <c r="C298" s="347" t="s">
        <v>41</v>
      </c>
      <c r="D298" s="170">
        <f t="shared" ref="D298" si="343">D250+D202</f>
        <v>12</v>
      </c>
      <c r="E298" s="170">
        <f t="shared" ref="E298:O298" si="344">E250+E202</f>
        <v>18</v>
      </c>
      <c r="F298" s="170">
        <f t="shared" si="344"/>
        <v>14</v>
      </c>
      <c r="G298" s="170">
        <f t="shared" si="344"/>
        <v>18</v>
      </c>
      <c r="H298" s="170">
        <f t="shared" si="344"/>
        <v>16</v>
      </c>
      <c r="I298" s="170">
        <f t="shared" si="344"/>
        <v>10</v>
      </c>
      <c r="J298" s="170">
        <f t="shared" si="344"/>
        <v>11</v>
      </c>
      <c r="K298" s="170">
        <f t="shared" si="344"/>
        <v>5</v>
      </c>
      <c r="L298" s="170">
        <f t="shared" si="344"/>
        <v>9</v>
      </c>
      <c r="M298" s="170">
        <f t="shared" si="344"/>
        <v>14</v>
      </c>
      <c r="N298" s="170">
        <f t="shared" si="344"/>
        <v>10</v>
      </c>
      <c r="O298" s="170">
        <f t="shared" si="344"/>
        <v>13</v>
      </c>
      <c r="P298" s="183"/>
      <c r="Q298" s="468">
        <v>297</v>
      </c>
      <c r="R298" s="349" t="s">
        <v>41</v>
      </c>
      <c r="S298" s="176">
        <f t="shared" si="309"/>
        <v>12</v>
      </c>
      <c r="T298" s="176">
        <f t="shared" si="310"/>
        <v>30</v>
      </c>
      <c r="U298" s="176">
        <f t="shared" si="311"/>
        <v>44</v>
      </c>
      <c r="V298" s="176">
        <f t="shared" si="312"/>
        <v>62</v>
      </c>
      <c r="W298" s="176">
        <f t="shared" si="313"/>
        <v>78</v>
      </c>
      <c r="X298" s="176">
        <f t="shared" si="314"/>
        <v>88</v>
      </c>
      <c r="Y298" s="176">
        <f t="shared" si="315"/>
        <v>99</v>
      </c>
      <c r="Z298" s="176">
        <f t="shared" si="316"/>
        <v>104</v>
      </c>
      <c r="AA298" s="176">
        <f t="shared" si="317"/>
        <v>113</v>
      </c>
      <c r="AB298" s="176">
        <f t="shared" si="318"/>
        <v>127</v>
      </c>
      <c r="AC298" s="176">
        <f t="shared" si="319"/>
        <v>137</v>
      </c>
      <c r="AD298" s="461">
        <f t="shared" si="320"/>
        <v>150</v>
      </c>
      <c r="AE298" s="468">
        <v>297</v>
      </c>
      <c r="AF298" s="163">
        <f t="shared" si="307"/>
        <v>150</v>
      </c>
    </row>
    <row r="299" spans="2:32" x14ac:dyDescent="0.35">
      <c r="B299" s="421">
        <v>298</v>
      </c>
      <c r="C299" s="347" t="s">
        <v>42</v>
      </c>
      <c r="D299" s="170">
        <f t="shared" ref="D299" si="345">D251+D203</f>
        <v>524</v>
      </c>
      <c r="E299" s="170">
        <f t="shared" ref="E299:O299" si="346">E251+E203</f>
        <v>519</v>
      </c>
      <c r="F299" s="170">
        <f t="shared" si="346"/>
        <v>622</v>
      </c>
      <c r="G299" s="170">
        <f t="shared" si="346"/>
        <v>566</v>
      </c>
      <c r="H299" s="170">
        <f t="shared" si="346"/>
        <v>540</v>
      </c>
      <c r="I299" s="170">
        <f t="shared" si="346"/>
        <v>580</v>
      </c>
      <c r="J299" s="170">
        <f t="shared" si="346"/>
        <v>583</v>
      </c>
      <c r="K299" s="170">
        <f t="shared" si="346"/>
        <v>532</v>
      </c>
      <c r="L299" s="170">
        <f t="shared" si="346"/>
        <v>551</v>
      </c>
      <c r="M299" s="170">
        <f t="shared" si="346"/>
        <v>553</v>
      </c>
      <c r="N299" s="170">
        <f t="shared" si="346"/>
        <v>559</v>
      </c>
      <c r="O299" s="170">
        <f t="shared" si="346"/>
        <v>524</v>
      </c>
      <c r="P299" s="183"/>
      <c r="Q299" s="468">
        <v>298</v>
      </c>
      <c r="R299" s="349" t="s">
        <v>42</v>
      </c>
      <c r="S299" s="176">
        <f t="shared" si="309"/>
        <v>524</v>
      </c>
      <c r="T299" s="176">
        <f t="shared" si="310"/>
        <v>1043</v>
      </c>
      <c r="U299" s="176">
        <f t="shared" si="311"/>
        <v>1665</v>
      </c>
      <c r="V299" s="176">
        <f t="shared" si="312"/>
        <v>2231</v>
      </c>
      <c r="W299" s="176">
        <f t="shared" si="313"/>
        <v>2771</v>
      </c>
      <c r="X299" s="176">
        <f t="shared" si="314"/>
        <v>3351</v>
      </c>
      <c r="Y299" s="176">
        <f t="shared" si="315"/>
        <v>3934</v>
      </c>
      <c r="Z299" s="176">
        <f t="shared" si="316"/>
        <v>4466</v>
      </c>
      <c r="AA299" s="176">
        <f t="shared" si="317"/>
        <v>5017</v>
      </c>
      <c r="AB299" s="176">
        <f t="shared" si="318"/>
        <v>5570</v>
      </c>
      <c r="AC299" s="176">
        <f t="shared" si="319"/>
        <v>6129</v>
      </c>
      <c r="AD299" s="461">
        <f t="shared" si="320"/>
        <v>6653</v>
      </c>
      <c r="AE299" s="468">
        <v>298</v>
      </c>
      <c r="AF299" s="163">
        <f t="shared" si="307"/>
        <v>6653</v>
      </c>
    </row>
    <row r="300" spans="2:32" x14ac:dyDescent="0.35">
      <c r="B300" s="420">
        <v>299</v>
      </c>
      <c r="C300" s="347" t="s">
        <v>43</v>
      </c>
      <c r="D300" s="170">
        <f t="shared" ref="D300" si="347">D252+D204</f>
        <v>14</v>
      </c>
      <c r="E300" s="170">
        <f t="shared" ref="E300:O300" si="348">E252+E204</f>
        <v>23</v>
      </c>
      <c r="F300" s="170">
        <f t="shared" si="348"/>
        <v>22</v>
      </c>
      <c r="G300" s="170">
        <f t="shared" si="348"/>
        <v>13</v>
      </c>
      <c r="H300" s="170">
        <f t="shared" si="348"/>
        <v>10</v>
      </c>
      <c r="I300" s="170">
        <f t="shared" si="348"/>
        <v>12</v>
      </c>
      <c r="J300" s="170">
        <f t="shared" si="348"/>
        <v>11</v>
      </c>
      <c r="K300" s="170">
        <f t="shared" si="348"/>
        <v>20</v>
      </c>
      <c r="L300" s="170">
        <f t="shared" si="348"/>
        <v>25</v>
      </c>
      <c r="M300" s="170">
        <f t="shared" si="348"/>
        <v>10</v>
      </c>
      <c r="N300" s="170">
        <f t="shared" si="348"/>
        <v>13</v>
      </c>
      <c r="O300" s="170">
        <f t="shared" si="348"/>
        <v>19</v>
      </c>
      <c r="P300" s="183"/>
      <c r="Q300" s="468">
        <v>299</v>
      </c>
      <c r="R300" s="349" t="s">
        <v>43</v>
      </c>
      <c r="S300" s="176">
        <f t="shared" si="309"/>
        <v>14</v>
      </c>
      <c r="T300" s="176">
        <f t="shared" si="310"/>
        <v>37</v>
      </c>
      <c r="U300" s="176">
        <f t="shared" si="311"/>
        <v>59</v>
      </c>
      <c r="V300" s="176">
        <f t="shared" si="312"/>
        <v>72</v>
      </c>
      <c r="W300" s="176">
        <f t="shared" si="313"/>
        <v>82</v>
      </c>
      <c r="X300" s="176">
        <f t="shared" si="314"/>
        <v>94</v>
      </c>
      <c r="Y300" s="176">
        <f t="shared" si="315"/>
        <v>105</v>
      </c>
      <c r="Z300" s="176">
        <f t="shared" si="316"/>
        <v>125</v>
      </c>
      <c r="AA300" s="176">
        <f t="shared" si="317"/>
        <v>150</v>
      </c>
      <c r="AB300" s="176">
        <f t="shared" si="318"/>
        <v>160</v>
      </c>
      <c r="AC300" s="176">
        <f t="shared" si="319"/>
        <v>173</v>
      </c>
      <c r="AD300" s="461">
        <f t="shared" si="320"/>
        <v>192</v>
      </c>
      <c r="AE300" s="470">
        <v>299</v>
      </c>
      <c r="AF300" s="163">
        <f t="shared" si="307"/>
        <v>192</v>
      </c>
    </row>
    <row r="301" spans="2:32" x14ac:dyDescent="0.35">
      <c r="B301" s="420">
        <v>300</v>
      </c>
      <c r="C301" s="347" t="s">
        <v>198</v>
      </c>
      <c r="D301" s="170">
        <f>D253+D205</f>
        <v>26</v>
      </c>
      <c r="E301" s="170">
        <f t="shared" ref="E301:O301" si="349">E253+E205</f>
        <v>24</v>
      </c>
      <c r="F301" s="170">
        <f t="shared" si="349"/>
        <v>20</v>
      </c>
      <c r="G301" s="170">
        <f t="shared" si="349"/>
        <v>14</v>
      </c>
      <c r="H301" s="170">
        <f t="shared" si="349"/>
        <v>21</v>
      </c>
      <c r="I301" s="170">
        <f t="shared" si="349"/>
        <v>26</v>
      </c>
      <c r="J301" s="170">
        <f t="shared" si="349"/>
        <v>19</v>
      </c>
      <c r="K301" s="170">
        <f t="shared" si="349"/>
        <v>22</v>
      </c>
      <c r="L301" s="170">
        <f t="shared" si="349"/>
        <v>22</v>
      </c>
      <c r="M301" s="170">
        <f t="shared" si="349"/>
        <v>21</v>
      </c>
      <c r="N301" s="170">
        <f t="shared" si="349"/>
        <v>12</v>
      </c>
      <c r="O301" s="170">
        <f t="shared" si="349"/>
        <v>19</v>
      </c>
      <c r="P301" s="183"/>
      <c r="Q301" s="468">
        <v>300</v>
      </c>
      <c r="R301" s="349" t="s">
        <v>198</v>
      </c>
      <c r="S301" s="176">
        <f t="shared" ref="S301:S308" si="350">D301</f>
        <v>26</v>
      </c>
      <c r="T301" s="176">
        <f t="shared" ref="T301:AD301" si="351">S301+E301</f>
        <v>50</v>
      </c>
      <c r="U301" s="176">
        <f t="shared" si="351"/>
        <v>70</v>
      </c>
      <c r="V301" s="176">
        <f t="shared" si="351"/>
        <v>84</v>
      </c>
      <c r="W301" s="176">
        <f t="shared" si="351"/>
        <v>105</v>
      </c>
      <c r="X301" s="176">
        <f t="shared" si="351"/>
        <v>131</v>
      </c>
      <c r="Y301" s="176">
        <f t="shared" si="351"/>
        <v>150</v>
      </c>
      <c r="Z301" s="176">
        <f t="shared" si="351"/>
        <v>172</v>
      </c>
      <c r="AA301" s="176">
        <f t="shared" si="351"/>
        <v>194</v>
      </c>
      <c r="AB301" s="176">
        <f t="shared" si="351"/>
        <v>215</v>
      </c>
      <c r="AC301" s="176">
        <f t="shared" si="351"/>
        <v>227</v>
      </c>
      <c r="AD301" s="461">
        <f t="shared" si="351"/>
        <v>246</v>
      </c>
      <c r="AE301" s="468">
        <v>300</v>
      </c>
      <c r="AF301" s="163">
        <f t="shared" si="307"/>
        <v>246</v>
      </c>
    </row>
    <row r="302" spans="2:32" x14ac:dyDescent="0.35">
      <c r="B302" s="420">
        <v>301</v>
      </c>
      <c r="C302" s="347" t="s">
        <v>204</v>
      </c>
      <c r="D302" s="170">
        <f>SUM(D300:D301)</f>
        <v>40</v>
      </c>
      <c r="E302" s="170">
        <f t="shared" ref="E302:O302" si="352">SUM(E300:E301)</f>
        <v>47</v>
      </c>
      <c r="F302" s="170">
        <f t="shared" si="352"/>
        <v>42</v>
      </c>
      <c r="G302" s="170">
        <f t="shared" si="352"/>
        <v>27</v>
      </c>
      <c r="H302" s="170">
        <f t="shared" si="352"/>
        <v>31</v>
      </c>
      <c r="I302" s="170">
        <f t="shared" si="352"/>
        <v>38</v>
      </c>
      <c r="J302" s="170">
        <f t="shared" si="352"/>
        <v>30</v>
      </c>
      <c r="K302" s="170">
        <f t="shared" si="352"/>
        <v>42</v>
      </c>
      <c r="L302" s="170">
        <f t="shared" si="352"/>
        <v>47</v>
      </c>
      <c r="M302" s="170">
        <f t="shared" si="352"/>
        <v>31</v>
      </c>
      <c r="N302" s="170">
        <f t="shared" si="352"/>
        <v>25</v>
      </c>
      <c r="O302" s="170">
        <f t="shared" si="352"/>
        <v>38</v>
      </c>
      <c r="P302" s="183"/>
      <c r="Q302" s="468">
        <v>301</v>
      </c>
      <c r="R302" s="347" t="s">
        <v>204</v>
      </c>
      <c r="S302" s="176">
        <f>SUM(S300:S301)</f>
        <v>40</v>
      </c>
      <c r="T302" s="176">
        <f t="shared" ref="T302:AD302" si="353">SUM(T300:T301)</f>
        <v>87</v>
      </c>
      <c r="U302" s="176">
        <f t="shared" si="353"/>
        <v>129</v>
      </c>
      <c r="V302" s="176">
        <f t="shared" si="353"/>
        <v>156</v>
      </c>
      <c r="W302" s="176">
        <f t="shared" si="353"/>
        <v>187</v>
      </c>
      <c r="X302" s="176">
        <f t="shared" si="353"/>
        <v>225</v>
      </c>
      <c r="Y302" s="176">
        <f t="shared" si="353"/>
        <v>255</v>
      </c>
      <c r="Z302" s="176">
        <f t="shared" si="353"/>
        <v>297</v>
      </c>
      <c r="AA302" s="176">
        <f t="shared" si="353"/>
        <v>344</v>
      </c>
      <c r="AB302" s="176">
        <f t="shared" si="353"/>
        <v>375</v>
      </c>
      <c r="AC302" s="176">
        <f t="shared" si="353"/>
        <v>400</v>
      </c>
      <c r="AD302" s="461">
        <f t="shared" si="353"/>
        <v>438</v>
      </c>
      <c r="AE302" s="468">
        <v>301</v>
      </c>
      <c r="AF302" s="163"/>
    </row>
    <row r="303" spans="2:32" x14ac:dyDescent="0.35">
      <c r="B303" s="420">
        <v>302</v>
      </c>
      <c r="C303" s="347" t="s">
        <v>44</v>
      </c>
      <c r="D303" s="170">
        <f>D207+D255</f>
        <v>1</v>
      </c>
      <c r="E303" s="170">
        <f t="shared" ref="E303:O303" si="354">E207+E255</f>
        <v>3</v>
      </c>
      <c r="F303" s="170">
        <f t="shared" si="354"/>
        <v>1</v>
      </c>
      <c r="G303" s="170">
        <f t="shared" si="354"/>
        <v>2</v>
      </c>
      <c r="H303" s="170">
        <f t="shared" si="354"/>
        <v>0</v>
      </c>
      <c r="I303" s="170">
        <f t="shared" si="354"/>
        <v>0</v>
      </c>
      <c r="J303" s="170">
        <f t="shared" si="354"/>
        <v>0</v>
      </c>
      <c r="K303" s="170">
        <f t="shared" si="354"/>
        <v>0</v>
      </c>
      <c r="L303" s="170">
        <f t="shared" si="354"/>
        <v>1</v>
      </c>
      <c r="M303" s="170">
        <f t="shared" si="354"/>
        <v>0</v>
      </c>
      <c r="N303" s="170">
        <f t="shared" si="354"/>
        <v>0</v>
      </c>
      <c r="O303" s="170">
        <f t="shared" si="354"/>
        <v>1</v>
      </c>
      <c r="P303" s="183"/>
      <c r="Q303" s="468">
        <v>302</v>
      </c>
      <c r="R303" s="349" t="s">
        <v>44</v>
      </c>
      <c r="S303" s="176">
        <f t="shared" si="350"/>
        <v>1</v>
      </c>
      <c r="T303" s="176">
        <f t="shared" ref="T303:AD304" si="355">S303+E303</f>
        <v>4</v>
      </c>
      <c r="U303" s="176">
        <f t="shared" si="355"/>
        <v>5</v>
      </c>
      <c r="V303" s="176">
        <f t="shared" si="355"/>
        <v>7</v>
      </c>
      <c r="W303" s="176">
        <f t="shared" si="355"/>
        <v>7</v>
      </c>
      <c r="X303" s="176">
        <f t="shared" si="355"/>
        <v>7</v>
      </c>
      <c r="Y303" s="176">
        <f t="shared" si="355"/>
        <v>7</v>
      </c>
      <c r="Z303" s="176">
        <f t="shared" si="355"/>
        <v>7</v>
      </c>
      <c r="AA303" s="176">
        <f t="shared" si="355"/>
        <v>8</v>
      </c>
      <c r="AB303" s="176">
        <f t="shared" si="355"/>
        <v>8</v>
      </c>
      <c r="AC303" s="176">
        <f t="shared" si="355"/>
        <v>8</v>
      </c>
      <c r="AD303" s="461">
        <f t="shared" si="355"/>
        <v>9</v>
      </c>
      <c r="AE303" s="470">
        <v>302</v>
      </c>
      <c r="AF303" s="163">
        <f t="shared" si="307"/>
        <v>9</v>
      </c>
    </row>
    <row r="304" spans="2:32" x14ac:dyDescent="0.35">
      <c r="B304" s="421">
        <v>303</v>
      </c>
      <c r="C304" s="347" t="s">
        <v>199</v>
      </c>
      <c r="D304" s="170">
        <f>D208+D256</f>
        <v>0</v>
      </c>
      <c r="E304" s="170">
        <f t="shared" ref="E304:O304" si="356">E208+E256</f>
        <v>0</v>
      </c>
      <c r="F304" s="170">
        <f t="shared" si="356"/>
        <v>2</v>
      </c>
      <c r="G304" s="170">
        <f t="shared" si="356"/>
        <v>3</v>
      </c>
      <c r="H304" s="170">
        <f t="shared" si="356"/>
        <v>2</v>
      </c>
      <c r="I304" s="170">
        <f t="shared" si="356"/>
        <v>5</v>
      </c>
      <c r="J304" s="170">
        <f t="shared" si="356"/>
        <v>3</v>
      </c>
      <c r="K304" s="170">
        <f t="shared" si="356"/>
        <v>1</v>
      </c>
      <c r="L304" s="170">
        <f t="shared" si="356"/>
        <v>2</v>
      </c>
      <c r="M304" s="170">
        <f t="shared" si="356"/>
        <v>2</v>
      </c>
      <c r="N304" s="170">
        <f t="shared" si="356"/>
        <v>0</v>
      </c>
      <c r="O304" s="170">
        <f t="shared" si="356"/>
        <v>0</v>
      </c>
      <c r="P304" s="183"/>
      <c r="Q304" s="468">
        <v>303</v>
      </c>
      <c r="R304" s="349" t="s">
        <v>199</v>
      </c>
      <c r="S304" s="176">
        <f t="shared" si="350"/>
        <v>0</v>
      </c>
      <c r="T304" s="176">
        <f t="shared" si="355"/>
        <v>0</v>
      </c>
      <c r="U304" s="176">
        <f t="shared" si="355"/>
        <v>2</v>
      </c>
      <c r="V304" s="176">
        <f t="shared" si="355"/>
        <v>5</v>
      </c>
      <c r="W304" s="176">
        <f t="shared" si="355"/>
        <v>7</v>
      </c>
      <c r="X304" s="176">
        <f t="shared" si="355"/>
        <v>12</v>
      </c>
      <c r="Y304" s="176">
        <f t="shared" si="355"/>
        <v>15</v>
      </c>
      <c r="Z304" s="176">
        <f t="shared" si="355"/>
        <v>16</v>
      </c>
      <c r="AA304" s="176">
        <f t="shared" si="355"/>
        <v>18</v>
      </c>
      <c r="AB304" s="176">
        <f t="shared" si="355"/>
        <v>20</v>
      </c>
      <c r="AC304" s="176">
        <f t="shared" si="355"/>
        <v>20</v>
      </c>
      <c r="AD304" s="461">
        <f t="shared" si="355"/>
        <v>20</v>
      </c>
      <c r="AE304" s="468">
        <v>303</v>
      </c>
      <c r="AF304" s="163">
        <f t="shared" si="307"/>
        <v>20</v>
      </c>
    </row>
    <row r="305" spans="2:32" x14ac:dyDescent="0.35">
      <c r="B305" s="420">
        <v>304</v>
      </c>
      <c r="C305" s="347" t="s">
        <v>205</v>
      </c>
      <c r="D305" s="170">
        <f>SUM(D303:D304)</f>
        <v>1</v>
      </c>
      <c r="E305" s="170">
        <f t="shared" ref="E305:O305" si="357">SUM(E303:E304)</f>
        <v>3</v>
      </c>
      <c r="F305" s="170">
        <f t="shared" si="357"/>
        <v>3</v>
      </c>
      <c r="G305" s="170">
        <f t="shared" si="357"/>
        <v>5</v>
      </c>
      <c r="H305" s="170">
        <f t="shared" si="357"/>
        <v>2</v>
      </c>
      <c r="I305" s="170">
        <f t="shared" si="357"/>
        <v>5</v>
      </c>
      <c r="J305" s="170">
        <f t="shared" si="357"/>
        <v>3</v>
      </c>
      <c r="K305" s="170">
        <f t="shared" si="357"/>
        <v>1</v>
      </c>
      <c r="L305" s="170">
        <f t="shared" si="357"/>
        <v>3</v>
      </c>
      <c r="M305" s="170">
        <f t="shared" si="357"/>
        <v>2</v>
      </c>
      <c r="N305" s="170">
        <f t="shared" si="357"/>
        <v>0</v>
      </c>
      <c r="O305" s="170">
        <f t="shared" si="357"/>
        <v>1</v>
      </c>
      <c r="P305" s="183"/>
      <c r="Q305" s="468">
        <v>304</v>
      </c>
      <c r="R305" s="347" t="s">
        <v>205</v>
      </c>
      <c r="S305" s="176">
        <f>SUM(S303:S304)</f>
        <v>1</v>
      </c>
      <c r="T305" s="176">
        <f t="shared" ref="T305:AD305" si="358">SUM(T303:T304)</f>
        <v>4</v>
      </c>
      <c r="U305" s="176">
        <f t="shared" si="358"/>
        <v>7</v>
      </c>
      <c r="V305" s="176">
        <f t="shared" si="358"/>
        <v>12</v>
      </c>
      <c r="W305" s="176">
        <f t="shared" si="358"/>
        <v>14</v>
      </c>
      <c r="X305" s="176">
        <f t="shared" si="358"/>
        <v>19</v>
      </c>
      <c r="Y305" s="176">
        <f t="shared" si="358"/>
        <v>22</v>
      </c>
      <c r="Z305" s="176">
        <f t="shared" si="358"/>
        <v>23</v>
      </c>
      <c r="AA305" s="176">
        <f t="shared" si="358"/>
        <v>26</v>
      </c>
      <c r="AB305" s="176">
        <f t="shared" si="358"/>
        <v>28</v>
      </c>
      <c r="AC305" s="176">
        <f t="shared" si="358"/>
        <v>28</v>
      </c>
      <c r="AD305" s="461">
        <f t="shared" si="358"/>
        <v>29</v>
      </c>
      <c r="AE305" s="468">
        <v>304</v>
      </c>
      <c r="AF305" s="163"/>
    </row>
    <row r="306" spans="2:32" x14ac:dyDescent="0.35">
      <c r="B306" s="420">
        <v>305</v>
      </c>
      <c r="C306" s="347" t="s">
        <v>84</v>
      </c>
      <c r="D306" s="170">
        <f t="shared" ref="D306" si="359">D258+D210</f>
        <v>41</v>
      </c>
      <c r="E306" s="170">
        <f t="shared" ref="E306:O306" si="360">E258+E210</f>
        <v>50</v>
      </c>
      <c r="F306" s="170">
        <f t="shared" si="360"/>
        <v>45</v>
      </c>
      <c r="G306" s="170">
        <f t="shared" si="360"/>
        <v>32</v>
      </c>
      <c r="H306" s="170">
        <f t="shared" si="360"/>
        <v>33</v>
      </c>
      <c r="I306" s="170">
        <f t="shared" si="360"/>
        <v>43</v>
      </c>
      <c r="J306" s="170">
        <f t="shared" si="360"/>
        <v>33</v>
      </c>
      <c r="K306" s="170">
        <f t="shared" si="360"/>
        <v>43</v>
      </c>
      <c r="L306" s="170">
        <f t="shared" si="360"/>
        <v>50</v>
      </c>
      <c r="M306" s="170">
        <f t="shared" si="360"/>
        <v>33</v>
      </c>
      <c r="N306" s="170">
        <f t="shared" si="360"/>
        <v>25</v>
      </c>
      <c r="O306" s="170">
        <f t="shared" si="360"/>
        <v>39</v>
      </c>
      <c r="P306" s="183"/>
      <c r="Q306" s="468">
        <v>305</v>
      </c>
      <c r="R306" s="349" t="s">
        <v>84</v>
      </c>
      <c r="S306" s="176">
        <f t="shared" si="350"/>
        <v>41</v>
      </c>
      <c r="T306" s="176">
        <f t="shared" ref="T306:AD308" si="361">S306+E306</f>
        <v>91</v>
      </c>
      <c r="U306" s="176">
        <f t="shared" si="361"/>
        <v>136</v>
      </c>
      <c r="V306" s="176">
        <f t="shared" si="361"/>
        <v>168</v>
      </c>
      <c r="W306" s="176">
        <f t="shared" si="361"/>
        <v>201</v>
      </c>
      <c r="X306" s="176">
        <f t="shared" si="361"/>
        <v>244</v>
      </c>
      <c r="Y306" s="176">
        <f t="shared" si="361"/>
        <v>277</v>
      </c>
      <c r="Z306" s="176">
        <f t="shared" si="361"/>
        <v>320</v>
      </c>
      <c r="AA306" s="176">
        <f t="shared" si="361"/>
        <v>370</v>
      </c>
      <c r="AB306" s="176">
        <f t="shared" si="361"/>
        <v>403</v>
      </c>
      <c r="AC306" s="176">
        <f t="shared" si="361"/>
        <v>428</v>
      </c>
      <c r="AD306" s="461">
        <f t="shared" si="361"/>
        <v>467</v>
      </c>
      <c r="AE306" s="468">
        <v>305</v>
      </c>
      <c r="AF306" s="163">
        <f t="shared" si="307"/>
        <v>467</v>
      </c>
    </row>
    <row r="307" spans="2:32" x14ac:dyDescent="0.35">
      <c r="B307" s="420">
        <v>306</v>
      </c>
      <c r="C307" s="347" t="s">
        <v>45</v>
      </c>
      <c r="D307" s="170">
        <f t="shared" ref="D307" si="362">D259+D211</f>
        <v>68</v>
      </c>
      <c r="E307" s="170">
        <f t="shared" ref="E307:O307" si="363">E259+E211</f>
        <v>45</v>
      </c>
      <c r="F307" s="170">
        <f t="shared" si="363"/>
        <v>71</v>
      </c>
      <c r="G307" s="170">
        <f t="shared" si="363"/>
        <v>48</v>
      </c>
      <c r="H307" s="170">
        <f t="shared" si="363"/>
        <v>59</v>
      </c>
      <c r="I307" s="170">
        <f t="shared" si="363"/>
        <v>45</v>
      </c>
      <c r="J307" s="170">
        <f t="shared" si="363"/>
        <v>31</v>
      </c>
      <c r="K307" s="170">
        <f t="shared" si="363"/>
        <v>42</v>
      </c>
      <c r="L307" s="170">
        <f t="shared" si="363"/>
        <v>41</v>
      </c>
      <c r="M307" s="170">
        <f t="shared" si="363"/>
        <v>45</v>
      </c>
      <c r="N307" s="170">
        <f t="shared" si="363"/>
        <v>47</v>
      </c>
      <c r="O307" s="170">
        <f t="shared" si="363"/>
        <v>40</v>
      </c>
      <c r="P307" s="183"/>
      <c r="Q307" s="468">
        <v>306</v>
      </c>
      <c r="R307" s="349" t="s">
        <v>45</v>
      </c>
      <c r="S307" s="176">
        <f t="shared" si="350"/>
        <v>68</v>
      </c>
      <c r="T307" s="176">
        <f t="shared" si="361"/>
        <v>113</v>
      </c>
      <c r="U307" s="176">
        <f t="shared" si="361"/>
        <v>184</v>
      </c>
      <c r="V307" s="176">
        <f t="shared" si="361"/>
        <v>232</v>
      </c>
      <c r="W307" s="176">
        <f t="shared" si="361"/>
        <v>291</v>
      </c>
      <c r="X307" s="176">
        <f t="shared" si="361"/>
        <v>336</v>
      </c>
      <c r="Y307" s="176">
        <f t="shared" si="361"/>
        <v>367</v>
      </c>
      <c r="Z307" s="176">
        <f t="shared" si="361"/>
        <v>409</v>
      </c>
      <c r="AA307" s="176">
        <f t="shared" si="361"/>
        <v>450</v>
      </c>
      <c r="AB307" s="176">
        <f t="shared" si="361"/>
        <v>495</v>
      </c>
      <c r="AC307" s="176">
        <f t="shared" si="361"/>
        <v>542</v>
      </c>
      <c r="AD307" s="461">
        <f t="shared" si="361"/>
        <v>582</v>
      </c>
      <c r="AE307" s="468">
        <v>306</v>
      </c>
      <c r="AF307" s="163">
        <f t="shared" si="307"/>
        <v>582</v>
      </c>
    </row>
    <row r="308" spans="2:32" x14ac:dyDescent="0.35">
      <c r="B308" s="420">
        <v>307</v>
      </c>
      <c r="C308" s="347" t="s">
        <v>191</v>
      </c>
      <c r="D308" s="170">
        <f t="shared" ref="D308:D323" si="364">D260+D212</f>
        <v>127</v>
      </c>
      <c r="E308" s="170">
        <f t="shared" ref="E308:O308" si="365">E260+E212</f>
        <v>120</v>
      </c>
      <c r="F308" s="170">
        <f t="shared" si="365"/>
        <v>113</v>
      </c>
      <c r="G308" s="170">
        <f t="shared" si="365"/>
        <v>140</v>
      </c>
      <c r="H308" s="170">
        <f t="shared" si="365"/>
        <v>116</v>
      </c>
      <c r="I308" s="170">
        <f t="shared" si="365"/>
        <v>115</v>
      </c>
      <c r="J308" s="170">
        <f t="shared" si="365"/>
        <v>120</v>
      </c>
      <c r="K308" s="170">
        <f t="shared" si="365"/>
        <v>115</v>
      </c>
      <c r="L308" s="170">
        <f t="shared" si="365"/>
        <v>112</v>
      </c>
      <c r="M308" s="170">
        <f t="shared" si="365"/>
        <v>121</v>
      </c>
      <c r="N308" s="170">
        <f t="shared" si="365"/>
        <v>100</v>
      </c>
      <c r="O308" s="170">
        <f t="shared" si="365"/>
        <v>140</v>
      </c>
      <c r="P308" s="183"/>
      <c r="Q308" s="468">
        <v>307</v>
      </c>
      <c r="R308" s="349" t="s">
        <v>191</v>
      </c>
      <c r="S308" s="176">
        <f t="shared" si="350"/>
        <v>127</v>
      </c>
      <c r="T308" s="176">
        <f t="shared" si="361"/>
        <v>247</v>
      </c>
      <c r="U308" s="176">
        <f t="shared" si="361"/>
        <v>360</v>
      </c>
      <c r="V308" s="176">
        <f t="shared" si="361"/>
        <v>500</v>
      </c>
      <c r="W308" s="176">
        <f t="shared" si="361"/>
        <v>616</v>
      </c>
      <c r="X308" s="176">
        <f t="shared" si="361"/>
        <v>731</v>
      </c>
      <c r="Y308" s="176">
        <f t="shared" si="361"/>
        <v>851</v>
      </c>
      <c r="Z308" s="176">
        <f t="shared" si="361"/>
        <v>966</v>
      </c>
      <c r="AA308" s="176">
        <f t="shared" si="361"/>
        <v>1078</v>
      </c>
      <c r="AB308" s="176">
        <f t="shared" si="361"/>
        <v>1199</v>
      </c>
      <c r="AC308" s="176">
        <f t="shared" si="361"/>
        <v>1299</v>
      </c>
      <c r="AD308" s="461">
        <f t="shared" si="361"/>
        <v>1439</v>
      </c>
      <c r="AE308" s="470">
        <v>307</v>
      </c>
      <c r="AF308" s="163">
        <f t="shared" si="307"/>
        <v>1439</v>
      </c>
    </row>
    <row r="309" spans="2:32" x14ac:dyDescent="0.35">
      <c r="B309" s="421">
        <v>308</v>
      </c>
      <c r="C309" s="347" t="s">
        <v>53</v>
      </c>
      <c r="D309" s="170">
        <f t="shared" si="364"/>
        <v>9</v>
      </c>
      <c r="E309" s="170">
        <f t="shared" ref="E309:O309" si="366">E261+E213</f>
        <v>12</v>
      </c>
      <c r="F309" s="170">
        <f t="shared" si="366"/>
        <v>9</v>
      </c>
      <c r="G309" s="170">
        <f t="shared" si="366"/>
        <v>11</v>
      </c>
      <c r="H309" s="170">
        <f t="shared" si="366"/>
        <v>12</v>
      </c>
      <c r="I309" s="170">
        <f t="shared" si="366"/>
        <v>14</v>
      </c>
      <c r="J309" s="170">
        <f t="shared" si="366"/>
        <v>4</v>
      </c>
      <c r="K309" s="170">
        <f t="shared" si="366"/>
        <v>6</v>
      </c>
      <c r="L309" s="170">
        <f t="shared" si="366"/>
        <v>6</v>
      </c>
      <c r="M309" s="170">
        <f t="shared" si="366"/>
        <v>8</v>
      </c>
      <c r="N309" s="170">
        <f t="shared" si="366"/>
        <v>16</v>
      </c>
      <c r="O309" s="170">
        <f t="shared" si="366"/>
        <v>12</v>
      </c>
      <c r="P309" s="183"/>
      <c r="Q309" s="468">
        <v>308</v>
      </c>
      <c r="R309" s="349" t="s">
        <v>53</v>
      </c>
      <c r="S309" s="176">
        <f t="shared" ref="S309:S317" si="367">D309</f>
        <v>9</v>
      </c>
      <c r="T309" s="176">
        <f t="shared" ref="T309:T317" si="368">S309+E309</f>
        <v>21</v>
      </c>
      <c r="U309" s="176">
        <f t="shared" ref="U309:U317" si="369">T309+F309</f>
        <v>30</v>
      </c>
      <c r="V309" s="176">
        <f t="shared" ref="V309:V317" si="370">U309+G309</f>
        <v>41</v>
      </c>
      <c r="W309" s="176">
        <f t="shared" ref="W309:W317" si="371">V309+H309</f>
        <v>53</v>
      </c>
      <c r="X309" s="176">
        <f t="shared" ref="X309:X317" si="372">W309+I309</f>
        <v>67</v>
      </c>
      <c r="Y309" s="176">
        <f t="shared" ref="Y309:Y317" si="373">X309+J309</f>
        <v>71</v>
      </c>
      <c r="Z309" s="176">
        <f t="shared" ref="Z309:Z317" si="374">Y309+K309</f>
        <v>77</v>
      </c>
      <c r="AA309" s="176">
        <f t="shared" ref="AA309:AA317" si="375">Z309+L309</f>
        <v>83</v>
      </c>
      <c r="AB309" s="176">
        <f t="shared" ref="AB309:AB317" si="376">AA309+M309</f>
        <v>91</v>
      </c>
      <c r="AC309" s="176">
        <f t="shared" ref="AC309:AC317" si="377">AB309+N309</f>
        <v>107</v>
      </c>
      <c r="AD309" s="461">
        <f t="shared" ref="AD309:AD317" si="378">AC309+O309</f>
        <v>119</v>
      </c>
      <c r="AE309" s="468">
        <v>308</v>
      </c>
      <c r="AF309" s="163">
        <f t="shared" si="307"/>
        <v>119</v>
      </c>
    </row>
    <row r="310" spans="2:32" x14ac:dyDescent="0.35">
      <c r="B310" s="420">
        <v>309</v>
      </c>
      <c r="C310" s="347" t="s">
        <v>54</v>
      </c>
      <c r="D310" s="170">
        <f t="shared" si="364"/>
        <v>5</v>
      </c>
      <c r="E310" s="170">
        <f t="shared" ref="E310:O310" si="379">E262+E214</f>
        <v>3</v>
      </c>
      <c r="F310" s="170">
        <f t="shared" si="379"/>
        <v>7</v>
      </c>
      <c r="G310" s="170">
        <f t="shared" si="379"/>
        <v>3</v>
      </c>
      <c r="H310" s="170">
        <f t="shared" si="379"/>
        <v>11</v>
      </c>
      <c r="I310" s="170">
        <f t="shared" si="379"/>
        <v>4</v>
      </c>
      <c r="J310" s="170">
        <f t="shared" si="379"/>
        <v>4</v>
      </c>
      <c r="K310" s="170">
        <f t="shared" si="379"/>
        <v>6</v>
      </c>
      <c r="L310" s="170">
        <f t="shared" si="379"/>
        <v>8</v>
      </c>
      <c r="M310" s="170">
        <f t="shared" si="379"/>
        <v>6</v>
      </c>
      <c r="N310" s="170">
        <f t="shared" si="379"/>
        <v>3</v>
      </c>
      <c r="O310" s="170">
        <f t="shared" si="379"/>
        <v>4</v>
      </c>
      <c r="P310" s="183"/>
      <c r="Q310" s="468">
        <v>309</v>
      </c>
      <c r="R310" s="349" t="s">
        <v>54</v>
      </c>
      <c r="S310" s="176">
        <f t="shared" si="367"/>
        <v>5</v>
      </c>
      <c r="T310" s="176">
        <f t="shared" si="368"/>
        <v>8</v>
      </c>
      <c r="U310" s="176">
        <f t="shared" si="369"/>
        <v>15</v>
      </c>
      <c r="V310" s="176">
        <f t="shared" si="370"/>
        <v>18</v>
      </c>
      <c r="W310" s="176">
        <f t="shared" si="371"/>
        <v>29</v>
      </c>
      <c r="X310" s="176">
        <f t="shared" si="372"/>
        <v>33</v>
      </c>
      <c r="Y310" s="176">
        <f t="shared" si="373"/>
        <v>37</v>
      </c>
      <c r="Z310" s="176">
        <f t="shared" si="374"/>
        <v>43</v>
      </c>
      <c r="AA310" s="176">
        <f t="shared" si="375"/>
        <v>51</v>
      </c>
      <c r="AB310" s="176">
        <f t="shared" si="376"/>
        <v>57</v>
      </c>
      <c r="AC310" s="176">
        <f t="shared" si="377"/>
        <v>60</v>
      </c>
      <c r="AD310" s="461">
        <f t="shared" si="378"/>
        <v>64</v>
      </c>
      <c r="AE310" s="468">
        <v>309</v>
      </c>
      <c r="AF310" s="163">
        <f t="shared" si="307"/>
        <v>64</v>
      </c>
    </row>
    <row r="311" spans="2:32" x14ac:dyDescent="0.35">
      <c r="B311" s="420">
        <v>310</v>
      </c>
      <c r="C311" s="347" t="s">
        <v>46</v>
      </c>
      <c r="D311" s="170">
        <f t="shared" si="364"/>
        <v>2</v>
      </c>
      <c r="E311" s="170">
        <f t="shared" ref="E311:O311" si="380">E263+E215</f>
        <v>3</v>
      </c>
      <c r="F311" s="170">
        <f t="shared" si="380"/>
        <v>2</v>
      </c>
      <c r="G311" s="170">
        <f t="shared" si="380"/>
        <v>1</v>
      </c>
      <c r="H311" s="170">
        <f t="shared" si="380"/>
        <v>2</v>
      </c>
      <c r="I311" s="170">
        <f t="shared" si="380"/>
        <v>1</v>
      </c>
      <c r="J311" s="170">
        <f t="shared" si="380"/>
        <v>3</v>
      </c>
      <c r="K311" s="170">
        <f t="shared" si="380"/>
        <v>1</v>
      </c>
      <c r="L311" s="170">
        <f t="shared" si="380"/>
        <v>4</v>
      </c>
      <c r="M311" s="170">
        <f t="shared" si="380"/>
        <v>4</v>
      </c>
      <c r="N311" s="170">
        <f t="shared" si="380"/>
        <v>1</v>
      </c>
      <c r="O311" s="170">
        <f t="shared" si="380"/>
        <v>1</v>
      </c>
      <c r="P311" s="183"/>
      <c r="Q311" s="468">
        <v>310</v>
      </c>
      <c r="R311" s="349" t="s">
        <v>46</v>
      </c>
      <c r="S311" s="176">
        <f t="shared" si="367"/>
        <v>2</v>
      </c>
      <c r="T311" s="176">
        <f t="shared" si="368"/>
        <v>5</v>
      </c>
      <c r="U311" s="176">
        <f t="shared" si="369"/>
        <v>7</v>
      </c>
      <c r="V311" s="176">
        <f t="shared" si="370"/>
        <v>8</v>
      </c>
      <c r="W311" s="176">
        <f t="shared" si="371"/>
        <v>10</v>
      </c>
      <c r="X311" s="176">
        <f t="shared" si="372"/>
        <v>11</v>
      </c>
      <c r="Y311" s="176">
        <f t="shared" si="373"/>
        <v>14</v>
      </c>
      <c r="Z311" s="176">
        <f t="shared" si="374"/>
        <v>15</v>
      </c>
      <c r="AA311" s="176">
        <f t="shared" si="375"/>
        <v>19</v>
      </c>
      <c r="AB311" s="176">
        <f t="shared" si="376"/>
        <v>23</v>
      </c>
      <c r="AC311" s="176">
        <f t="shared" si="377"/>
        <v>24</v>
      </c>
      <c r="AD311" s="461">
        <f t="shared" si="378"/>
        <v>25</v>
      </c>
      <c r="AE311" s="470">
        <v>310</v>
      </c>
      <c r="AF311" s="163">
        <f t="shared" si="307"/>
        <v>25</v>
      </c>
    </row>
    <row r="312" spans="2:32" x14ac:dyDescent="0.35">
      <c r="B312" s="420">
        <v>311</v>
      </c>
      <c r="C312" s="347" t="s">
        <v>47</v>
      </c>
      <c r="D312" s="170">
        <f t="shared" si="364"/>
        <v>23</v>
      </c>
      <c r="E312" s="170">
        <f t="shared" ref="E312:O312" si="381">E264+E216</f>
        <v>35</v>
      </c>
      <c r="F312" s="170">
        <f t="shared" si="381"/>
        <v>18</v>
      </c>
      <c r="G312" s="170">
        <f t="shared" si="381"/>
        <v>27</v>
      </c>
      <c r="H312" s="170">
        <f t="shared" si="381"/>
        <v>14</v>
      </c>
      <c r="I312" s="170">
        <f t="shared" si="381"/>
        <v>22</v>
      </c>
      <c r="J312" s="170">
        <f t="shared" si="381"/>
        <v>34</v>
      </c>
      <c r="K312" s="170">
        <f t="shared" si="381"/>
        <v>32</v>
      </c>
      <c r="L312" s="170">
        <f t="shared" si="381"/>
        <v>36</v>
      </c>
      <c r="M312" s="170">
        <f t="shared" si="381"/>
        <v>37</v>
      </c>
      <c r="N312" s="170">
        <f t="shared" si="381"/>
        <v>27</v>
      </c>
      <c r="O312" s="170">
        <f t="shared" si="381"/>
        <v>28</v>
      </c>
      <c r="P312" s="183"/>
      <c r="Q312" s="468">
        <v>311</v>
      </c>
      <c r="R312" s="349" t="s">
        <v>47</v>
      </c>
      <c r="S312" s="176">
        <f t="shared" si="367"/>
        <v>23</v>
      </c>
      <c r="T312" s="176">
        <f t="shared" si="368"/>
        <v>58</v>
      </c>
      <c r="U312" s="176">
        <f t="shared" si="369"/>
        <v>76</v>
      </c>
      <c r="V312" s="176">
        <f t="shared" si="370"/>
        <v>103</v>
      </c>
      <c r="W312" s="176">
        <f t="shared" si="371"/>
        <v>117</v>
      </c>
      <c r="X312" s="176">
        <f t="shared" si="372"/>
        <v>139</v>
      </c>
      <c r="Y312" s="176">
        <f t="shared" si="373"/>
        <v>173</v>
      </c>
      <c r="Z312" s="176">
        <f t="shared" si="374"/>
        <v>205</v>
      </c>
      <c r="AA312" s="176">
        <f t="shared" si="375"/>
        <v>241</v>
      </c>
      <c r="AB312" s="176">
        <f t="shared" si="376"/>
        <v>278</v>
      </c>
      <c r="AC312" s="176">
        <f t="shared" si="377"/>
        <v>305</v>
      </c>
      <c r="AD312" s="461">
        <f t="shared" si="378"/>
        <v>333</v>
      </c>
      <c r="AE312" s="468">
        <v>311</v>
      </c>
      <c r="AF312" s="163">
        <f t="shared" si="307"/>
        <v>333</v>
      </c>
    </row>
    <row r="313" spans="2:32" x14ac:dyDescent="0.35">
      <c r="B313" s="420">
        <v>312</v>
      </c>
      <c r="C313" s="347" t="s">
        <v>48</v>
      </c>
      <c r="D313" s="170">
        <f t="shared" si="364"/>
        <v>123</v>
      </c>
      <c r="E313" s="170">
        <f t="shared" ref="E313:O313" si="382">E265+E217</f>
        <v>97</v>
      </c>
      <c r="F313" s="170">
        <f t="shared" si="382"/>
        <v>108</v>
      </c>
      <c r="G313" s="170">
        <f t="shared" si="382"/>
        <v>132</v>
      </c>
      <c r="H313" s="170">
        <f t="shared" si="382"/>
        <v>94</v>
      </c>
      <c r="I313" s="170">
        <f t="shared" si="382"/>
        <v>68</v>
      </c>
      <c r="J313" s="170">
        <f t="shared" si="382"/>
        <v>106</v>
      </c>
      <c r="K313" s="170">
        <f t="shared" si="382"/>
        <v>105</v>
      </c>
      <c r="L313" s="170">
        <f t="shared" si="382"/>
        <v>101</v>
      </c>
      <c r="M313" s="170">
        <f t="shared" si="382"/>
        <v>70</v>
      </c>
      <c r="N313" s="170">
        <f t="shared" si="382"/>
        <v>48</v>
      </c>
      <c r="O313" s="170">
        <f t="shared" si="382"/>
        <v>47</v>
      </c>
      <c r="P313" s="183"/>
      <c r="Q313" s="468">
        <v>312</v>
      </c>
      <c r="R313" s="349" t="s">
        <v>48</v>
      </c>
      <c r="S313" s="176">
        <f t="shared" si="367"/>
        <v>123</v>
      </c>
      <c r="T313" s="176">
        <f t="shared" si="368"/>
        <v>220</v>
      </c>
      <c r="U313" s="176">
        <f t="shared" si="369"/>
        <v>328</v>
      </c>
      <c r="V313" s="176">
        <f t="shared" si="370"/>
        <v>460</v>
      </c>
      <c r="W313" s="176">
        <f t="shared" si="371"/>
        <v>554</v>
      </c>
      <c r="X313" s="176">
        <f t="shared" si="372"/>
        <v>622</v>
      </c>
      <c r="Y313" s="176">
        <f t="shared" si="373"/>
        <v>728</v>
      </c>
      <c r="Z313" s="176">
        <f t="shared" si="374"/>
        <v>833</v>
      </c>
      <c r="AA313" s="176">
        <f t="shared" si="375"/>
        <v>934</v>
      </c>
      <c r="AB313" s="176">
        <f t="shared" si="376"/>
        <v>1004</v>
      </c>
      <c r="AC313" s="176">
        <f t="shared" si="377"/>
        <v>1052</v>
      </c>
      <c r="AD313" s="461">
        <f t="shared" si="378"/>
        <v>1099</v>
      </c>
      <c r="AE313" s="468">
        <v>312</v>
      </c>
      <c r="AF313" s="163">
        <f t="shared" si="307"/>
        <v>1099</v>
      </c>
    </row>
    <row r="314" spans="2:32" x14ac:dyDescent="0.35">
      <c r="B314" s="421">
        <v>313</v>
      </c>
      <c r="C314" s="347" t="s">
        <v>49</v>
      </c>
      <c r="D314" s="170">
        <f t="shared" si="364"/>
        <v>47</v>
      </c>
      <c r="E314" s="170">
        <f t="shared" ref="E314:O314" si="383">E266+E218</f>
        <v>35</v>
      </c>
      <c r="F314" s="170">
        <f t="shared" si="383"/>
        <v>27</v>
      </c>
      <c r="G314" s="170">
        <f t="shared" si="383"/>
        <v>29</v>
      </c>
      <c r="H314" s="170">
        <f t="shared" si="383"/>
        <v>30</v>
      </c>
      <c r="I314" s="170">
        <f t="shared" si="383"/>
        <v>30</v>
      </c>
      <c r="J314" s="170">
        <f t="shared" si="383"/>
        <v>31</v>
      </c>
      <c r="K314" s="170">
        <f t="shared" si="383"/>
        <v>25</v>
      </c>
      <c r="L314" s="170">
        <f t="shared" si="383"/>
        <v>16</v>
      </c>
      <c r="M314" s="170">
        <f t="shared" si="383"/>
        <v>34</v>
      </c>
      <c r="N314" s="170">
        <f t="shared" si="383"/>
        <v>27</v>
      </c>
      <c r="O314" s="170">
        <f t="shared" si="383"/>
        <v>42</v>
      </c>
      <c r="P314" s="183"/>
      <c r="Q314" s="468">
        <v>313</v>
      </c>
      <c r="R314" s="349" t="s">
        <v>49</v>
      </c>
      <c r="S314" s="176">
        <f t="shared" si="367"/>
        <v>47</v>
      </c>
      <c r="T314" s="176">
        <f t="shared" si="368"/>
        <v>82</v>
      </c>
      <c r="U314" s="176">
        <f t="shared" si="369"/>
        <v>109</v>
      </c>
      <c r="V314" s="176">
        <f t="shared" si="370"/>
        <v>138</v>
      </c>
      <c r="W314" s="176">
        <f t="shared" si="371"/>
        <v>168</v>
      </c>
      <c r="X314" s="176">
        <f t="shared" si="372"/>
        <v>198</v>
      </c>
      <c r="Y314" s="176">
        <f t="shared" si="373"/>
        <v>229</v>
      </c>
      <c r="Z314" s="176">
        <f t="shared" si="374"/>
        <v>254</v>
      </c>
      <c r="AA314" s="176">
        <f t="shared" si="375"/>
        <v>270</v>
      </c>
      <c r="AB314" s="176">
        <f t="shared" si="376"/>
        <v>304</v>
      </c>
      <c r="AC314" s="176">
        <f t="shared" si="377"/>
        <v>331</v>
      </c>
      <c r="AD314" s="461">
        <f t="shared" si="378"/>
        <v>373</v>
      </c>
      <c r="AE314" s="468">
        <v>313</v>
      </c>
      <c r="AF314" s="163">
        <f t="shared" si="307"/>
        <v>373</v>
      </c>
    </row>
    <row r="315" spans="2:32" x14ac:dyDescent="0.35">
      <c r="B315" s="420">
        <v>314</v>
      </c>
      <c r="C315" s="347" t="s">
        <v>85</v>
      </c>
      <c r="D315" s="170">
        <f t="shared" si="364"/>
        <v>49</v>
      </c>
      <c r="E315" s="170">
        <f t="shared" ref="E315:O315" si="384">E267+E219</f>
        <v>38</v>
      </c>
      <c r="F315" s="170">
        <f t="shared" si="384"/>
        <v>29</v>
      </c>
      <c r="G315" s="170">
        <f t="shared" si="384"/>
        <v>30</v>
      </c>
      <c r="H315" s="170">
        <f t="shared" si="384"/>
        <v>32</v>
      </c>
      <c r="I315" s="170">
        <f t="shared" si="384"/>
        <v>31</v>
      </c>
      <c r="J315" s="170">
        <f t="shared" si="384"/>
        <v>34</v>
      </c>
      <c r="K315" s="170">
        <f t="shared" si="384"/>
        <v>26</v>
      </c>
      <c r="L315" s="170">
        <f t="shared" si="384"/>
        <v>20</v>
      </c>
      <c r="M315" s="170">
        <f t="shared" si="384"/>
        <v>38</v>
      </c>
      <c r="N315" s="170">
        <f t="shared" si="384"/>
        <v>28</v>
      </c>
      <c r="O315" s="170">
        <f t="shared" si="384"/>
        <v>43</v>
      </c>
      <c r="P315" s="183"/>
      <c r="Q315" s="468">
        <v>314</v>
      </c>
      <c r="R315" s="349" t="s">
        <v>85</v>
      </c>
      <c r="S315" s="176">
        <f t="shared" si="367"/>
        <v>49</v>
      </c>
      <c r="T315" s="176">
        <f t="shared" si="368"/>
        <v>87</v>
      </c>
      <c r="U315" s="176">
        <f t="shared" si="369"/>
        <v>116</v>
      </c>
      <c r="V315" s="176">
        <f t="shared" si="370"/>
        <v>146</v>
      </c>
      <c r="W315" s="176">
        <f t="shared" si="371"/>
        <v>178</v>
      </c>
      <c r="X315" s="176">
        <f t="shared" si="372"/>
        <v>209</v>
      </c>
      <c r="Y315" s="176">
        <f t="shared" si="373"/>
        <v>243</v>
      </c>
      <c r="Z315" s="176">
        <f t="shared" si="374"/>
        <v>269</v>
      </c>
      <c r="AA315" s="176">
        <f t="shared" si="375"/>
        <v>289</v>
      </c>
      <c r="AB315" s="176">
        <f t="shared" si="376"/>
        <v>327</v>
      </c>
      <c r="AC315" s="176">
        <f t="shared" si="377"/>
        <v>355</v>
      </c>
      <c r="AD315" s="461">
        <f t="shared" si="378"/>
        <v>398</v>
      </c>
      <c r="AE315" s="468">
        <v>314</v>
      </c>
      <c r="AF315" s="163">
        <f t="shared" si="307"/>
        <v>398</v>
      </c>
    </row>
    <row r="316" spans="2:32" x14ac:dyDescent="0.35">
      <c r="B316" s="420">
        <v>315</v>
      </c>
      <c r="C316" s="347" t="s">
        <v>50</v>
      </c>
      <c r="D316" s="170">
        <f t="shared" si="364"/>
        <v>195</v>
      </c>
      <c r="E316" s="170">
        <f t="shared" ref="E316:O316" si="385">E268+E220</f>
        <v>170</v>
      </c>
      <c r="F316" s="170">
        <f t="shared" si="385"/>
        <v>155</v>
      </c>
      <c r="G316" s="170">
        <f t="shared" si="385"/>
        <v>189</v>
      </c>
      <c r="H316" s="170">
        <f t="shared" si="385"/>
        <v>140</v>
      </c>
      <c r="I316" s="170">
        <f t="shared" si="385"/>
        <v>121</v>
      </c>
      <c r="J316" s="170">
        <f t="shared" si="385"/>
        <v>174</v>
      </c>
      <c r="K316" s="170">
        <f t="shared" si="385"/>
        <v>163</v>
      </c>
      <c r="L316" s="170">
        <f t="shared" si="385"/>
        <v>157</v>
      </c>
      <c r="M316" s="170">
        <f t="shared" si="385"/>
        <v>145</v>
      </c>
      <c r="N316" s="170">
        <f t="shared" si="385"/>
        <v>103</v>
      </c>
      <c r="O316" s="170">
        <f t="shared" si="385"/>
        <v>118</v>
      </c>
      <c r="P316" s="183"/>
      <c r="Q316" s="468">
        <v>315</v>
      </c>
      <c r="R316" s="349" t="s">
        <v>50</v>
      </c>
      <c r="S316" s="176">
        <f t="shared" si="367"/>
        <v>195</v>
      </c>
      <c r="T316" s="176">
        <f t="shared" si="368"/>
        <v>365</v>
      </c>
      <c r="U316" s="176">
        <f t="shared" si="369"/>
        <v>520</v>
      </c>
      <c r="V316" s="176">
        <f t="shared" si="370"/>
        <v>709</v>
      </c>
      <c r="W316" s="176">
        <f t="shared" si="371"/>
        <v>849</v>
      </c>
      <c r="X316" s="176">
        <f t="shared" si="372"/>
        <v>970</v>
      </c>
      <c r="Y316" s="176">
        <f t="shared" si="373"/>
        <v>1144</v>
      </c>
      <c r="Z316" s="176">
        <f t="shared" si="374"/>
        <v>1307</v>
      </c>
      <c r="AA316" s="176">
        <f t="shared" si="375"/>
        <v>1464</v>
      </c>
      <c r="AB316" s="176">
        <f t="shared" si="376"/>
        <v>1609</v>
      </c>
      <c r="AC316" s="176">
        <f t="shared" si="377"/>
        <v>1712</v>
      </c>
      <c r="AD316" s="461">
        <f t="shared" si="378"/>
        <v>1830</v>
      </c>
      <c r="AE316" s="470">
        <v>315</v>
      </c>
      <c r="AF316" s="163">
        <f t="shared" si="307"/>
        <v>1830</v>
      </c>
    </row>
    <row r="317" spans="2:32" x14ac:dyDescent="0.35">
      <c r="B317" s="420">
        <v>316</v>
      </c>
      <c r="C317" s="399" t="s">
        <v>51</v>
      </c>
      <c r="D317" s="170">
        <f t="shared" si="364"/>
        <v>37</v>
      </c>
      <c r="E317" s="170">
        <f t="shared" ref="E317:O317" si="386">E269+E221</f>
        <v>34</v>
      </c>
      <c r="F317" s="170">
        <f t="shared" si="386"/>
        <v>38</v>
      </c>
      <c r="G317" s="170">
        <f t="shared" si="386"/>
        <v>36</v>
      </c>
      <c r="H317" s="170">
        <f t="shared" si="386"/>
        <v>40</v>
      </c>
      <c r="I317" s="170">
        <f t="shared" si="386"/>
        <v>41</v>
      </c>
      <c r="J317" s="170">
        <f t="shared" si="386"/>
        <v>22</v>
      </c>
      <c r="K317" s="170">
        <f t="shared" si="386"/>
        <v>35</v>
      </c>
      <c r="L317" s="170">
        <f t="shared" si="386"/>
        <v>39</v>
      </c>
      <c r="M317" s="170">
        <f t="shared" si="386"/>
        <v>29</v>
      </c>
      <c r="N317" s="170">
        <f t="shared" si="386"/>
        <v>46</v>
      </c>
      <c r="O317" s="170">
        <f t="shared" si="386"/>
        <v>32</v>
      </c>
      <c r="P317" s="183"/>
      <c r="Q317" s="468">
        <v>316</v>
      </c>
      <c r="R317" s="349" t="s">
        <v>51</v>
      </c>
      <c r="S317" s="176">
        <f t="shared" si="367"/>
        <v>37</v>
      </c>
      <c r="T317" s="176">
        <f t="shared" si="368"/>
        <v>71</v>
      </c>
      <c r="U317" s="176">
        <f t="shared" si="369"/>
        <v>109</v>
      </c>
      <c r="V317" s="176">
        <f t="shared" si="370"/>
        <v>145</v>
      </c>
      <c r="W317" s="176">
        <f t="shared" si="371"/>
        <v>185</v>
      </c>
      <c r="X317" s="176">
        <f t="shared" si="372"/>
        <v>226</v>
      </c>
      <c r="Y317" s="176">
        <f t="shared" si="373"/>
        <v>248</v>
      </c>
      <c r="Z317" s="176">
        <f t="shared" si="374"/>
        <v>283</v>
      </c>
      <c r="AA317" s="176">
        <f t="shared" si="375"/>
        <v>322</v>
      </c>
      <c r="AB317" s="176">
        <f t="shared" si="376"/>
        <v>351</v>
      </c>
      <c r="AC317" s="176">
        <f t="shared" si="377"/>
        <v>397</v>
      </c>
      <c r="AD317" s="461">
        <f t="shared" si="378"/>
        <v>429</v>
      </c>
      <c r="AE317" s="468">
        <v>316</v>
      </c>
      <c r="AF317" s="163">
        <f t="shared" si="307"/>
        <v>429</v>
      </c>
    </row>
    <row r="318" spans="2:32" x14ac:dyDescent="0.35">
      <c r="B318" s="420">
        <v>317</v>
      </c>
      <c r="C318" s="401" t="s">
        <v>200</v>
      </c>
      <c r="D318" s="398">
        <f>D222+D270</f>
        <v>398</v>
      </c>
      <c r="E318" s="398">
        <f t="shared" ref="E318:O318" si="387">E222+E270</f>
        <v>333</v>
      </c>
      <c r="F318" s="398">
        <f t="shared" si="387"/>
        <v>381</v>
      </c>
      <c r="G318" s="398">
        <f t="shared" si="387"/>
        <v>347</v>
      </c>
      <c r="H318" s="398">
        <f t="shared" si="387"/>
        <v>345</v>
      </c>
      <c r="I318" s="398">
        <f t="shared" si="387"/>
        <v>301</v>
      </c>
      <c r="J318" s="398">
        <f t="shared" si="387"/>
        <v>318</v>
      </c>
      <c r="K318" s="398">
        <f t="shared" si="387"/>
        <v>313</v>
      </c>
      <c r="L318" s="398">
        <f t="shared" si="387"/>
        <v>340</v>
      </c>
      <c r="M318" s="398">
        <f t="shared" si="387"/>
        <v>307</v>
      </c>
      <c r="N318" s="398">
        <f t="shared" si="387"/>
        <v>326</v>
      </c>
      <c r="O318" s="398">
        <f t="shared" si="387"/>
        <v>358</v>
      </c>
      <c r="P318" s="183"/>
      <c r="Q318" s="468">
        <v>317</v>
      </c>
      <c r="R318" s="350" t="s">
        <v>200</v>
      </c>
      <c r="S318" s="176">
        <f t="shared" ref="S318:S320" si="388">D318</f>
        <v>398</v>
      </c>
      <c r="T318" s="176">
        <f t="shared" ref="T318:AD320" si="389">S318+E318</f>
        <v>731</v>
      </c>
      <c r="U318" s="176">
        <f t="shared" si="389"/>
        <v>1112</v>
      </c>
      <c r="V318" s="176">
        <f t="shared" si="389"/>
        <v>1459</v>
      </c>
      <c r="W318" s="176">
        <f t="shared" si="389"/>
        <v>1804</v>
      </c>
      <c r="X318" s="176">
        <f t="shared" si="389"/>
        <v>2105</v>
      </c>
      <c r="Y318" s="176">
        <f t="shared" si="389"/>
        <v>2423</v>
      </c>
      <c r="Z318" s="176">
        <f t="shared" si="389"/>
        <v>2736</v>
      </c>
      <c r="AA318" s="176">
        <f t="shared" si="389"/>
        <v>3076</v>
      </c>
      <c r="AB318" s="176">
        <f t="shared" si="389"/>
        <v>3383</v>
      </c>
      <c r="AC318" s="176">
        <f t="shared" si="389"/>
        <v>3709</v>
      </c>
      <c r="AD318" s="461">
        <f t="shared" si="389"/>
        <v>4067</v>
      </c>
      <c r="AE318" s="468">
        <v>317</v>
      </c>
      <c r="AF318" s="163">
        <f t="shared" si="307"/>
        <v>4067</v>
      </c>
    </row>
    <row r="319" spans="2:32" x14ac:dyDescent="0.35">
      <c r="B319" s="422">
        <v>318</v>
      </c>
      <c r="C319" s="401" t="s">
        <v>243</v>
      </c>
      <c r="D319" s="398">
        <f t="shared" si="364"/>
        <v>254</v>
      </c>
      <c r="E319" s="398">
        <f t="shared" ref="E319:O319" si="390">E271+E223</f>
        <v>251</v>
      </c>
      <c r="F319" s="398">
        <f t="shared" si="390"/>
        <v>252</v>
      </c>
      <c r="G319" s="398">
        <f t="shared" si="390"/>
        <v>251</v>
      </c>
      <c r="H319" s="398">
        <f t="shared" si="390"/>
        <v>231</v>
      </c>
      <c r="I319" s="398">
        <f t="shared" si="390"/>
        <v>218</v>
      </c>
      <c r="J319" s="398">
        <f t="shared" si="390"/>
        <v>217</v>
      </c>
      <c r="K319" s="398">
        <f t="shared" si="390"/>
        <v>221</v>
      </c>
      <c r="L319" s="398">
        <f t="shared" si="390"/>
        <v>236</v>
      </c>
      <c r="M319" s="398">
        <f t="shared" si="390"/>
        <v>184</v>
      </c>
      <c r="N319" s="398">
        <f t="shared" si="390"/>
        <v>209</v>
      </c>
      <c r="O319" s="398">
        <f t="shared" si="390"/>
        <v>189</v>
      </c>
      <c r="P319" s="183"/>
      <c r="Q319" s="468">
        <v>318</v>
      </c>
      <c r="R319" s="350" t="s">
        <v>201</v>
      </c>
      <c r="S319" s="176">
        <f t="shared" si="388"/>
        <v>254</v>
      </c>
      <c r="T319" s="176">
        <f t="shared" si="389"/>
        <v>505</v>
      </c>
      <c r="U319" s="176">
        <f t="shared" si="389"/>
        <v>757</v>
      </c>
      <c r="V319" s="176">
        <f t="shared" si="389"/>
        <v>1008</v>
      </c>
      <c r="W319" s="176">
        <f t="shared" si="389"/>
        <v>1239</v>
      </c>
      <c r="X319" s="176">
        <f t="shared" si="389"/>
        <v>1457</v>
      </c>
      <c r="Y319" s="176">
        <f t="shared" si="389"/>
        <v>1674</v>
      </c>
      <c r="Z319" s="176">
        <f t="shared" si="389"/>
        <v>1895</v>
      </c>
      <c r="AA319" s="176">
        <f t="shared" si="389"/>
        <v>2131</v>
      </c>
      <c r="AB319" s="176">
        <f t="shared" si="389"/>
        <v>2315</v>
      </c>
      <c r="AC319" s="176">
        <f t="shared" si="389"/>
        <v>2524</v>
      </c>
      <c r="AD319" s="461">
        <f t="shared" si="389"/>
        <v>2713</v>
      </c>
      <c r="AE319" s="470">
        <v>318</v>
      </c>
      <c r="AF319" s="163">
        <f t="shared" ref="AF319:AF331" si="391">SUM(D319:O319)</f>
        <v>2713</v>
      </c>
    </row>
    <row r="320" spans="2:32" x14ac:dyDescent="0.35">
      <c r="B320" s="420">
        <v>319</v>
      </c>
      <c r="C320" s="401" t="s">
        <v>202</v>
      </c>
      <c r="D320" s="398">
        <f t="shared" si="364"/>
        <v>1</v>
      </c>
      <c r="E320" s="398">
        <f t="shared" ref="E320:O320" si="392">E272+E224</f>
        <v>3</v>
      </c>
      <c r="F320" s="398">
        <f t="shared" si="392"/>
        <v>2</v>
      </c>
      <c r="G320" s="398">
        <f t="shared" si="392"/>
        <v>1</v>
      </c>
      <c r="H320" s="398">
        <f t="shared" si="392"/>
        <v>2</v>
      </c>
      <c r="I320" s="398">
        <f t="shared" si="392"/>
        <v>2</v>
      </c>
      <c r="J320" s="398">
        <f t="shared" si="392"/>
        <v>5</v>
      </c>
      <c r="K320" s="398">
        <f t="shared" si="392"/>
        <v>5</v>
      </c>
      <c r="L320" s="398">
        <f t="shared" si="392"/>
        <v>8</v>
      </c>
      <c r="M320" s="398">
        <f t="shared" si="392"/>
        <v>16</v>
      </c>
      <c r="N320" s="398">
        <f t="shared" si="392"/>
        <v>5</v>
      </c>
      <c r="O320" s="398">
        <f t="shared" si="392"/>
        <v>6</v>
      </c>
      <c r="P320" s="183"/>
      <c r="Q320" s="468">
        <v>319</v>
      </c>
      <c r="R320" s="350" t="s">
        <v>202</v>
      </c>
      <c r="S320" s="176">
        <f t="shared" si="388"/>
        <v>1</v>
      </c>
      <c r="T320" s="176">
        <f t="shared" si="389"/>
        <v>4</v>
      </c>
      <c r="U320" s="176">
        <f t="shared" si="389"/>
        <v>6</v>
      </c>
      <c r="V320" s="176">
        <f t="shared" si="389"/>
        <v>7</v>
      </c>
      <c r="W320" s="176">
        <f t="shared" si="389"/>
        <v>9</v>
      </c>
      <c r="X320" s="176">
        <f t="shared" si="389"/>
        <v>11</v>
      </c>
      <c r="Y320" s="176">
        <f t="shared" si="389"/>
        <v>16</v>
      </c>
      <c r="Z320" s="176">
        <f t="shared" si="389"/>
        <v>21</v>
      </c>
      <c r="AA320" s="176">
        <f t="shared" si="389"/>
        <v>29</v>
      </c>
      <c r="AB320" s="176">
        <f t="shared" si="389"/>
        <v>45</v>
      </c>
      <c r="AC320" s="176">
        <f t="shared" si="389"/>
        <v>50</v>
      </c>
      <c r="AD320" s="461">
        <f t="shared" si="389"/>
        <v>56</v>
      </c>
      <c r="AE320" s="468">
        <v>319</v>
      </c>
      <c r="AF320" s="163">
        <f t="shared" si="391"/>
        <v>56</v>
      </c>
    </row>
    <row r="321" spans="2:32" x14ac:dyDescent="0.35">
      <c r="B321" s="420">
        <v>320</v>
      </c>
      <c r="C321" s="400" t="s">
        <v>52</v>
      </c>
      <c r="D321" s="170">
        <f t="shared" si="364"/>
        <v>220</v>
      </c>
      <c r="E321" s="170">
        <f t="shared" ref="E321:O321" si="393">E273+E225</f>
        <v>270</v>
      </c>
      <c r="F321" s="170">
        <f t="shared" si="393"/>
        <v>214</v>
      </c>
      <c r="G321" s="170">
        <f t="shared" si="393"/>
        <v>232</v>
      </c>
      <c r="H321" s="170">
        <f t="shared" si="393"/>
        <v>195</v>
      </c>
      <c r="I321" s="170">
        <f t="shared" si="393"/>
        <v>220</v>
      </c>
      <c r="J321" s="170">
        <f t="shared" si="393"/>
        <v>213</v>
      </c>
      <c r="K321" s="170">
        <f t="shared" si="393"/>
        <v>237</v>
      </c>
      <c r="L321" s="170">
        <f t="shared" si="393"/>
        <v>202</v>
      </c>
      <c r="M321" s="170">
        <f t="shared" si="393"/>
        <v>295</v>
      </c>
      <c r="N321" s="170">
        <f t="shared" si="393"/>
        <v>262</v>
      </c>
      <c r="O321" s="170">
        <f t="shared" si="393"/>
        <v>284</v>
      </c>
      <c r="P321" s="183"/>
      <c r="Q321" s="468">
        <v>320</v>
      </c>
      <c r="R321" s="349" t="s">
        <v>52</v>
      </c>
      <c r="S321" s="176">
        <f>D321</f>
        <v>220</v>
      </c>
      <c r="T321" s="176">
        <f t="shared" ref="T321:T331" si="394">S321+E321</f>
        <v>490</v>
      </c>
      <c r="U321" s="176">
        <f t="shared" ref="U321:U331" si="395">T321+F321</f>
        <v>704</v>
      </c>
      <c r="V321" s="176">
        <f t="shared" ref="V321:V331" si="396">U321+G321</f>
        <v>936</v>
      </c>
      <c r="W321" s="176">
        <f t="shared" ref="W321:W331" si="397">V321+H321</f>
        <v>1131</v>
      </c>
      <c r="X321" s="176">
        <f t="shared" ref="X321:X331" si="398">W321+I321</f>
        <v>1351</v>
      </c>
      <c r="Y321" s="176">
        <f t="shared" ref="Y321:Y331" si="399">X321+J321</f>
        <v>1564</v>
      </c>
      <c r="Z321" s="176">
        <f t="shared" ref="Z321:Z331" si="400">Y321+K321</f>
        <v>1801</v>
      </c>
      <c r="AA321" s="176">
        <f t="shared" ref="AA321:AA331" si="401">Z321+L321</f>
        <v>2003</v>
      </c>
      <c r="AB321" s="176">
        <f t="shared" ref="AB321:AB331" si="402">AA321+M321</f>
        <v>2298</v>
      </c>
      <c r="AC321" s="176">
        <f t="shared" ref="AC321:AC331" si="403">AB321+N321</f>
        <v>2560</v>
      </c>
      <c r="AD321" s="461">
        <f t="shared" ref="AD321:AD331" si="404">AC321+O321</f>
        <v>2844</v>
      </c>
      <c r="AE321" s="468">
        <v>320</v>
      </c>
      <c r="AF321" s="163">
        <f t="shared" si="391"/>
        <v>2844</v>
      </c>
    </row>
    <row r="322" spans="2:32" x14ac:dyDescent="0.35">
      <c r="B322" s="420">
        <v>321</v>
      </c>
      <c r="C322" s="347" t="s">
        <v>81</v>
      </c>
      <c r="D322" s="170">
        <f t="shared" si="364"/>
        <v>61</v>
      </c>
      <c r="E322" s="170">
        <f t="shared" ref="E322:O322" si="405">E274+E226</f>
        <v>40</v>
      </c>
      <c r="F322" s="170">
        <f t="shared" si="405"/>
        <v>47</v>
      </c>
      <c r="G322" s="170">
        <f t="shared" si="405"/>
        <v>35</v>
      </c>
      <c r="H322" s="170">
        <f t="shared" si="405"/>
        <v>29</v>
      </c>
      <c r="I322" s="170">
        <f t="shared" si="405"/>
        <v>38</v>
      </c>
      <c r="J322" s="170">
        <f t="shared" si="405"/>
        <v>32</v>
      </c>
      <c r="K322" s="170">
        <f t="shared" si="405"/>
        <v>39</v>
      </c>
      <c r="L322" s="170">
        <f t="shared" si="405"/>
        <v>56</v>
      </c>
      <c r="M322" s="170">
        <f t="shared" si="405"/>
        <v>51</v>
      </c>
      <c r="N322" s="170">
        <f t="shared" si="405"/>
        <v>42</v>
      </c>
      <c r="O322" s="170">
        <f t="shared" si="405"/>
        <v>35</v>
      </c>
      <c r="P322" s="183"/>
      <c r="Q322" s="468">
        <v>321</v>
      </c>
      <c r="R322" s="349" t="s">
        <v>81</v>
      </c>
      <c r="S322" s="176">
        <f t="shared" ref="S322" si="406">D322</f>
        <v>61</v>
      </c>
      <c r="T322" s="174">
        <f t="shared" si="394"/>
        <v>101</v>
      </c>
      <c r="U322" s="174">
        <f t="shared" si="395"/>
        <v>148</v>
      </c>
      <c r="V322" s="174">
        <f t="shared" si="396"/>
        <v>183</v>
      </c>
      <c r="W322" s="174">
        <f t="shared" si="397"/>
        <v>212</v>
      </c>
      <c r="X322" s="174">
        <f t="shared" si="398"/>
        <v>250</v>
      </c>
      <c r="Y322" s="174">
        <f t="shared" si="399"/>
        <v>282</v>
      </c>
      <c r="Z322" s="174">
        <f t="shared" si="400"/>
        <v>321</v>
      </c>
      <c r="AA322" s="174">
        <f t="shared" si="401"/>
        <v>377</v>
      </c>
      <c r="AB322" s="174">
        <f t="shared" si="402"/>
        <v>428</v>
      </c>
      <c r="AC322" s="174">
        <f t="shared" si="403"/>
        <v>470</v>
      </c>
      <c r="AD322" s="462">
        <f t="shared" si="404"/>
        <v>505</v>
      </c>
      <c r="AE322" s="468">
        <v>321</v>
      </c>
      <c r="AF322" s="163">
        <f t="shared" si="391"/>
        <v>505</v>
      </c>
    </row>
    <row r="323" spans="2:32" x14ac:dyDescent="0.35">
      <c r="B323" s="420">
        <v>322</v>
      </c>
      <c r="C323" s="347" t="s">
        <v>75</v>
      </c>
      <c r="D323" s="170">
        <f t="shared" si="364"/>
        <v>259</v>
      </c>
      <c r="E323" s="170">
        <f t="shared" ref="E323:O323" si="407">E275+E227</f>
        <v>201</v>
      </c>
      <c r="F323" s="170">
        <f t="shared" si="407"/>
        <v>215</v>
      </c>
      <c r="G323" s="170">
        <f t="shared" si="407"/>
        <v>236</v>
      </c>
      <c r="H323" s="170">
        <f t="shared" si="407"/>
        <v>179</v>
      </c>
      <c r="I323" s="170">
        <f t="shared" si="407"/>
        <v>164</v>
      </c>
      <c r="J323" s="170">
        <f t="shared" si="407"/>
        <v>217</v>
      </c>
      <c r="K323" s="170">
        <f t="shared" si="407"/>
        <v>201</v>
      </c>
      <c r="L323" s="170">
        <f t="shared" si="407"/>
        <v>196</v>
      </c>
      <c r="M323" s="170">
        <f t="shared" si="407"/>
        <v>185</v>
      </c>
      <c r="N323" s="170">
        <f t="shared" si="407"/>
        <v>141</v>
      </c>
      <c r="O323" s="170">
        <f t="shared" si="407"/>
        <v>151</v>
      </c>
      <c r="P323" s="183"/>
      <c r="Q323" s="468">
        <v>322</v>
      </c>
      <c r="R323" s="349" t="s">
        <v>75</v>
      </c>
      <c r="S323" s="176">
        <f t="shared" ref="S323:S331" si="408">D323</f>
        <v>259</v>
      </c>
      <c r="T323" s="176">
        <f t="shared" si="394"/>
        <v>460</v>
      </c>
      <c r="U323" s="176">
        <f t="shared" si="395"/>
        <v>675</v>
      </c>
      <c r="V323" s="176">
        <f t="shared" si="396"/>
        <v>911</v>
      </c>
      <c r="W323" s="176">
        <f t="shared" si="397"/>
        <v>1090</v>
      </c>
      <c r="X323" s="176">
        <f t="shared" si="398"/>
        <v>1254</v>
      </c>
      <c r="Y323" s="176">
        <f t="shared" si="399"/>
        <v>1471</v>
      </c>
      <c r="Z323" s="176">
        <f t="shared" si="400"/>
        <v>1672</v>
      </c>
      <c r="AA323" s="176">
        <f t="shared" si="401"/>
        <v>1868</v>
      </c>
      <c r="AB323" s="176">
        <f t="shared" si="402"/>
        <v>2053</v>
      </c>
      <c r="AC323" s="176">
        <f t="shared" si="403"/>
        <v>2194</v>
      </c>
      <c r="AD323" s="461">
        <f t="shared" si="404"/>
        <v>2345</v>
      </c>
      <c r="AE323" s="468">
        <v>322</v>
      </c>
      <c r="AF323" s="163">
        <f t="shared" si="391"/>
        <v>2345</v>
      </c>
    </row>
    <row r="324" spans="2:32" x14ac:dyDescent="0.35">
      <c r="B324" s="421">
        <v>323</v>
      </c>
      <c r="C324" s="347" t="s">
        <v>76</v>
      </c>
      <c r="D324" s="173">
        <f>D228+D276</f>
        <v>273</v>
      </c>
      <c r="E324" s="173">
        <f t="shared" ref="E324:O324" si="409">E228+E276</f>
        <v>355</v>
      </c>
      <c r="F324" s="173">
        <f t="shared" si="409"/>
        <v>354</v>
      </c>
      <c r="G324" s="173">
        <f t="shared" si="409"/>
        <v>275</v>
      </c>
      <c r="H324" s="173">
        <f t="shared" si="409"/>
        <v>339</v>
      </c>
      <c r="I324" s="173">
        <f t="shared" si="409"/>
        <v>323</v>
      </c>
      <c r="J324" s="173">
        <f t="shared" si="409"/>
        <v>258</v>
      </c>
      <c r="K324" s="173">
        <f t="shared" si="409"/>
        <v>242</v>
      </c>
      <c r="L324" s="173">
        <f t="shared" si="409"/>
        <v>207</v>
      </c>
      <c r="M324" s="173">
        <f t="shared" si="409"/>
        <v>230</v>
      </c>
      <c r="N324" s="173">
        <f t="shared" si="409"/>
        <v>266</v>
      </c>
      <c r="O324" s="173">
        <f t="shared" si="409"/>
        <v>264</v>
      </c>
      <c r="P324" s="166"/>
      <c r="Q324" s="468">
        <v>323</v>
      </c>
      <c r="R324" s="349" t="s">
        <v>76</v>
      </c>
      <c r="S324" s="176">
        <f t="shared" si="408"/>
        <v>273</v>
      </c>
      <c r="T324" s="176">
        <f t="shared" si="394"/>
        <v>628</v>
      </c>
      <c r="U324" s="176">
        <f t="shared" si="395"/>
        <v>982</v>
      </c>
      <c r="V324" s="176">
        <f t="shared" si="396"/>
        <v>1257</v>
      </c>
      <c r="W324" s="176">
        <f t="shared" si="397"/>
        <v>1596</v>
      </c>
      <c r="X324" s="176">
        <f t="shared" si="398"/>
        <v>1919</v>
      </c>
      <c r="Y324" s="176">
        <f t="shared" si="399"/>
        <v>2177</v>
      </c>
      <c r="Z324" s="176">
        <f t="shared" si="400"/>
        <v>2419</v>
      </c>
      <c r="AA324" s="176">
        <f t="shared" si="401"/>
        <v>2626</v>
      </c>
      <c r="AB324" s="176">
        <f t="shared" si="402"/>
        <v>2856</v>
      </c>
      <c r="AC324" s="176">
        <f t="shared" si="403"/>
        <v>3122</v>
      </c>
      <c r="AD324" s="461">
        <f t="shared" si="404"/>
        <v>3386</v>
      </c>
      <c r="AE324" s="470">
        <v>323</v>
      </c>
      <c r="AF324" s="163">
        <f t="shared" si="391"/>
        <v>3386</v>
      </c>
    </row>
    <row r="325" spans="2:32" x14ac:dyDescent="0.35">
      <c r="B325" s="420">
        <v>324</v>
      </c>
      <c r="C325" s="347" t="s">
        <v>86</v>
      </c>
      <c r="D325" s="173">
        <f t="shared" ref="D325:O327" si="410">D229+D277</f>
        <v>40</v>
      </c>
      <c r="E325" s="173">
        <f t="shared" si="410"/>
        <v>54</v>
      </c>
      <c r="F325" s="173">
        <f t="shared" si="410"/>
        <v>56</v>
      </c>
      <c r="G325" s="173">
        <f t="shared" si="410"/>
        <v>49</v>
      </c>
      <c r="H325" s="173">
        <f t="shared" si="410"/>
        <v>71</v>
      </c>
      <c r="I325" s="173">
        <f t="shared" si="410"/>
        <v>86</v>
      </c>
      <c r="J325" s="173">
        <f t="shared" si="410"/>
        <v>67</v>
      </c>
      <c r="K325" s="173">
        <f t="shared" si="410"/>
        <v>79</v>
      </c>
      <c r="L325" s="173">
        <f t="shared" si="410"/>
        <v>56</v>
      </c>
      <c r="M325" s="173">
        <f t="shared" si="410"/>
        <v>72</v>
      </c>
      <c r="N325" s="173">
        <f t="shared" si="410"/>
        <v>79</v>
      </c>
      <c r="O325" s="173">
        <f t="shared" si="410"/>
        <v>86</v>
      </c>
      <c r="P325" s="166"/>
      <c r="Q325" s="468">
        <v>324</v>
      </c>
      <c r="R325" s="349" t="s">
        <v>86</v>
      </c>
      <c r="S325" s="176">
        <f t="shared" si="408"/>
        <v>40</v>
      </c>
      <c r="T325" s="176">
        <f t="shared" si="394"/>
        <v>94</v>
      </c>
      <c r="U325" s="176">
        <f t="shared" si="395"/>
        <v>150</v>
      </c>
      <c r="V325" s="176">
        <f t="shared" si="396"/>
        <v>199</v>
      </c>
      <c r="W325" s="176">
        <f t="shared" si="397"/>
        <v>270</v>
      </c>
      <c r="X325" s="176">
        <f t="shared" si="398"/>
        <v>356</v>
      </c>
      <c r="Y325" s="176">
        <f t="shared" si="399"/>
        <v>423</v>
      </c>
      <c r="Z325" s="176">
        <f t="shared" si="400"/>
        <v>502</v>
      </c>
      <c r="AA325" s="176">
        <f t="shared" si="401"/>
        <v>558</v>
      </c>
      <c r="AB325" s="176">
        <f t="shared" si="402"/>
        <v>630</v>
      </c>
      <c r="AC325" s="176">
        <f t="shared" si="403"/>
        <v>709</v>
      </c>
      <c r="AD325" s="461">
        <f t="shared" si="404"/>
        <v>795</v>
      </c>
      <c r="AE325" s="468">
        <v>324</v>
      </c>
      <c r="AF325" s="163">
        <f t="shared" si="391"/>
        <v>795</v>
      </c>
    </row>
    <row r="326" spans="2:32" x14ac:dyDescent="0.35">
      <c r="B326" s="420">
        <v>325</v>
      </c>
      <c r="C326" s="347" t="s">
        <v>88</v>
      </c>
      <c r="D326" s="173">
        <f t="shared" si="410"/>
        <v>217</v>
      </c>
      <c r="E326" s="173">
        <f t="shared" si="410"/>
        <v>275</v>
      </c>
      <c r="F326" s="173">
        <f t="shared" si="410"/>
        <v>262</v>
      </c>
      <c r="G326" s="173">
        <f t="shared" si="410"/>
        <v>202</v>
      </c>
      <c r="H326" s="173">
        <f t="shared" si="410"/>
        <v>247</v>
      </c>
      <c r="I326" s="173">
        <f t="shared" si="410"/>
        <v>206</v>
      </c>
      <c r="J326" s="173">
        <f t="shared" si="410"/>
        <v>159</v>
      </c>
      <c r="K326" s="173">
        <f t="shared" si="410"/>
        <v>112</v>
      </c>
      <c r="L326" s="173">
        <f t="shared" si="410"/>
        <v>124</v>
      </c>
      <c r="M326" s="173">
        <f t="shared" si="410"/>
        <v>136</v>
      </c>
      <c r="N326" s="173">
        <f t="shared" si="410"/>
        <v>150</v>
      </c>
      <c r="O326" s="173">
        <f t="shared" si="410"/>
        <v>146</v>
      </c>
      <c r="P326" s="166"/>
      <c r="Q326" s="468">
        <v>325</v>
      </c>
      <c r="R326" s="349" t="s">
        <v>88</v>
      </c>
      <c r="S326" s="176">
        <f t="shared" si="408"/>
        <v>217</v>
      </c>
      <c r="T326" s="176">
        <f t="shared" si="394"/>
        <v>492</v>
      </c>
      <c r="U326" s="176">
        <f t="shared" si="395"/>
        <v>754</v>
      </c>
      <c r="V326" s="176">
        <f t="shared" si="396"/>
        <v>956</v>
      </c>
      <c r="W326" s="176">
        <f t="shared" si="397"/>
        <v>1203</v>
      </c>
      <c r="X326" s="176">
        <f t="shared" si="398"/>
        <v>1409</v>
      </c>
      <c r="Y326" s="176">
        <f t="shared" si="399"/>
        <v>1568</v>
      </c>
      <c r="Z326" s="176">
        <f t="shared" si="400"/>
        <v>1680</v>
      </c>
      <c r="AA326" s="176">
        <f t="shared" si="401"/>
        <v>1804</v>
      </c>
      <c r="AB326" s="176">
        <f t="shared" si="402"/>
        <v>1940</v>
      </c>
      <c r="AC326" s="176">
        <f t="shared" si="403"/>
        <v>2090</v>
      </c>
      <c r="AD326" s="461">
        <f t="shared" si="404"/>
        <v>2236</v>
      </c>
      <c r="AE326" s="468">
        <v>325</v>
      </c>
      <c r="AF326" s="163">
        <f t="shared" si="391"/>
        <v>2236</v>
      </c>
    </row>
    <row r="327" spans="2:32" x14ac:dyDescent="0.35">
      <c r="B327" s="420">
        <v>326</v>
      </c>
      <c r="C327" s="347" t="s">
        <v>87</v>
      </c>
      <c r="D327" s="173">
        <f t="shared" si="410"/>
        <v>16</v>
      </c>
      <c r="E327" s="173">
        <f t="shared" si="410"/>
        <v>26</v>
      </c>
      <c r="F327" s="173">
        <f t="shared" si="410"/>
        <v>36</v>
      </c>
      <c r="G327" s="173">
        <f t="shared" si="410"/>
        <v>24</v>
      </c>
      <c r="H327" s="173">
        <f t="shared" si="410"/>
        <v>21</v>
      </c>
      <c r="I327" s="173">
        <f t="shared" si="410"/>
        <v>31</v>
      </c>
      <c r="J327" s="173">
        <f t="shared" si="410"/>
        <v>32</v>
      </c>
      <c r="K327" s="173">
        <f t="shared" si="410"/>
        <v>51</v>
      </c>
      <c r="L327" s="173">
        <f t="shared" si="410"/>
        <v>27</v>
      </c>
      <c r="M327" s="173">
        <f t="shared" si="410"/>
        <v>22</v>
      </c>
      <c r="N327" s="173">
        <f t="shared" si="410"/>
        <v>37</v>
      </c>
      <c r="O327" s="173">
        <f t="shared" si="410"/>
        <v>32</v>
      </c>
      <c r="P327" s="166"/>
      <c r="Q327" s="468">
        <v>326</v>
      </c>
      <c r="R327" s="349" t="s">
        <v>87</v>
      </c>
      <c r="S327" s="176">
        <f t="shared" si="408"/>
        <v>16</v>
      </c>
      <c r="T327" s="176">
        <f t="shared" si="394"/>
        <v>42</v>
      </c>
      <c r="U327" s="176">
        <f t="shared" si="395"/>
        <v>78</v>
      </c>
      <c r="V327" s="176">
        <f t="shared" si="396"/>
        <v>102</v>
      </c>
      <c r="W327" s="176">
        <f t="shared" si="397"/>
        <v>123</v>
      </c>
      <c r="X327" s="176">
        <f t="shared" si="398"/>
        <v>154</v>
      </c>
      <c r="Y327" s="176">
        <f t="shared" si="399"/>
        <v>186</v>
      </c>
      <c r="Z327" s="176">
        <f t="shared" si="400"/>
        <v>237</v>
      </c>
      <c r="AA327" s="176">
        <f t="shared" si="401"/>
        <v>264</v>
      </c>
      <c r="AB327" s="176">
        <f t="shared" si="402"/>
        <v>286</v>
      </c>
      <c r="AC327" s="176">
        <f t="shared" si="403"/>
        <v>323</v>
      </c>
      <c r="AD327" s="461">
        <f t="shared" si="404"/>
        <v>355</v>
      </c>
      <c r="AE327" s="470">
        <v>326</v>
      </c>
      <c r="AF327" s="163">
        <f t="shared" si="391"/>
        <v>355</v>
      </c>
    </row>
    <row r="328" spans="2:32" x14ac:dyDescent="0.35">
      <c r="B328" s="420">
        <v>327</v>
      </c>
      <c r="C328" s="347" t="s">
        <v>90</v>
      </c>
      <c r="D328" s="166">
        <f t="shared" ref="D328:O328" si="411">D280+D232</f>
        <v>9</v>
      </c>
      <c r="E328" s="166">
        <f t="shared" si="411"/>
        <v>3</v>
      </c>
      <c r="F328" s="166">
        <f t="shared" si="411"/>
        <v>7</v>
      </c>
      <c r="G328" s="166">
        <f t="shared" si="411"/>
        <v>0</v>
      </c>
      <c r="H328" s="166">
        <f t="shared" si="411"/>
        <v>7</v>
      </c>
      <c r="I328" s="166">
        <f t="shared" si="411"/>
        <v>2</v>
      </c>
      <c r="J328" s="166">
        <f t="shared" si="411"/>
        <v>3</v>
      </c>
      <c r="K328" s="166">
        <f t="shared" si="411"/>
        <v>3</v>
      </c>
      <c r="L328" s="166">
        <f t="shared" si="411"/>
        <v>1</v>
      </c>
      <c r="M328" s="166">
        <f t="shared" si="411"/>
        <v>2</v>
      </c>
      <c r="N328" s="166">
        <f t="shared" si="411"/>
        <v>1</v>
      </c>
      <c r="O328" s="166">
        <f t="shared" si="411"/>
        <v>1</v>
      </c>
      <c r="P328" s="166"/>
      <c r="Q328" s="468">
        <v>327</v>
      </c>
      <c r="R328" s="349" t="s">
        <v>90</v>
      </c>
      <c r="S328" s="176">
        <f t="shared" si="408"/>
        <v>9</v>
      </c>
      <c r="T328" s="176">
        <f t="shared" si="394"/>
        <v>12</v>
      </c>
      <c r="U328" s="176">
        <f t="shared" si="395"/>
        <v>19</v>
      </c>
      <c r="V328" s="176">
        <f t="shared" si="396"/>
        <v>19</v>
      </c>
      <c r="W328" s="176">
        <f t="shared" si="397"/>
        <v>26</v>
      </c>
      <c r="X328" s="176">
        <f t="shared" si="398"/>
        <v>28</v>
      </c>
      <c r="Y328" s="176">
        <f t="shared" si="399"/>
        <v>31</v>
      </c>
      <c r="Z328" s="176">
        <f t="shared" si="400"/>
        <v>34</v>
      </c>
      <c r="AA328" s="176">
        <f t="shared" si="401"/>
        <v>35</v>
      </c>
      <c r="AB328" s="176">
        <f t="shared" si="402"/>
        <v>37</v>
      </c>
      <c r="AC328" s="176">
        <f t="shared" si="403"/>
        <v>38</v>
      </c>
      <c r="AD328" s="461">
        <f t="shared" si="404"/>
        <v>39</v>
      </c>
      <c r="AE328" s="468">
        <v>327</v>
      </c>
      <c r="AF328" s="163">
        <f t="shared" si="391"/>
        <v>39</v>
      </c>
    </row>
    <row r="329" spans="2:32" x14ac:dyDescent="0.35">
      <c r="B329" s="421">
        <v>328</v>
      </c>
      <c r="C329" s="347" t="s">
        <v>89</v>
      </c>
      <c r="D329" s="166">
        <f t="shared" ref="D329:O329" si="412">D281+D233</f>
        <v>10</v>
      </c>
      <c r="E329" s="166">
        <f t="shared" si="412"/>
        <v>10</v>
      </c>
      <c r="F329" s="166">
        <f t="shared" si="412"/>
        <v>9</v>
      </c>
      <c r="G329" s="166">
        <f t="shared" si="412"/>
        <v>17</v>
      </c>
      <c r="H329" s="166">
        <f t="shared" si="412"/>
        <v>10</v>
      </c>
      <c r="I329" s="166">
        <f t="shared" si="412"/>
        <v>6</v>
      </c>
      <c r="J329" s="166">
        <f t="shared" si="412"/>
        <v>13</v>
      </c>
      <c r="K329" s="166">
        <f t="shared" si="412"/>
        <v>6</v>
      </c>
      <c r="L329" s="166">
        <f t="shared" si="412"/>
        <v>11</v>
      </c>
      <c r="M329" s="166">
        <f t="shared" si="412"/>
        <v>10</v>
      </c>
      <c r="N329" s="166">
        <f t="shared" si="412"/>
        <v>6</v>
      </c>
      <c r="O329" s="166">
        <f t="shared" si="412"/>
        <v>6</v>
      </c>
      <c r="P329" s="166"/>
      <c r="Q329" s="468">
        <v>328</v>
      </c>
      <c r="R329" s="349" t="s">
        <v>89</v>
      </c>
      <c r="S329" s="176">
        <f t="shared" si="408"/>
        <v>10</v>
      </c>
      <c r="T329" s="176">
        <f t="shared" si="394"/>
        <v>20</v>
      </c>
      <c r="U329" s="176">
        <f t="shared" si="395"/>
        <v>29</v>
      </c>
      <c r="V329" s="176">
        <f t="shared" si="396"/>
        <v>46</v>
      </c>
      <c r="W329" s="176">
        <f t="shared" si="397"/>
        <v>56</v>
      </c>
      <c r="X329" s="176">
        <f t="shared" si="398"/>
        <v>62</v>
      </c>
      <c r="Y329" s="176">
        <f t="shared" si="399"/>
        <v>75</v>
      </c>
      <c r="Z329" s="176">
        <f t="shared" si="400"/>
        <v>81</v>
      </c>
      <c r="AA329" s="176">
        <f t="shared" si="401"/>
        <v>92</v>
      </c>
      <c r="AB329" s="176">
        <f t="shared" si="402"/>
        <v>102</v>
      </c>
      <c r="AC329" s="176">
        <f t="shared" si="403"/>
        <v>108</v>
      </c>
      <c r="AD329" s="461">
        <f t="shared" si="404"/>
        <v>114</v>
      </c>
      <c r="AE329" s="468">
        <v>328</v>
      </c>
      <c r="AF329" s="163">
        <f t="shared" si="391"/>
        <v>114</v>
      </c>
    </row>
    <row r="330" spans="2:32" x14ac:dyDescent="0.35">
      <c r="B330" s="420">
        <v>329</v>
      </c>
      <c r="C330" s="347" t="s">
        <v>66</v>
      </c>
      <c r="D330" s="166">
        <f t="shared" ref="D330:O330" si="413">D282+D234</f>
        <v>4</v>
      </c>
      <c r="E330" s="166">
        <f t="shared" si="413"/>
        <v>1</v>
      </c>
      <c r="F330" s="166">
        <f t="shared" si="413"/>
        <v>2</v>
      </c>
      <c r="G330" s="166">
        <f t="shared" si="413"/>
        <v>2</v>
      </c>
      <c r="H330" s="166">
        <f t="shared" si="413"/>
        <v>0</v>
      </c>
      <c r="I330" s="166">
        <f t="shared" si="413"/>
        <v>0</v>
      </c>
      <c r="J330" s="166">
        <f t="shared" si="413"/>
        <v>4</v>
      </c>
      <c r="K330" s="166">
        <f t="shared" si="413"/>
        <v>1</v>
      </c>
      <c r="L330" s="166">
        <f t="shared" si="413"/>
        <v>1</v>
      </c>
      <c r="M330" s="166">
        <f t="shared" si="413"/>
        <v>2</v>
      </c>
      <c r="N330" s="166">
        <f t="shared" si="413"/>
        <v>0</v>
      </c>
      <c r="O330" s="166">
        <f t="shared" si="413"/>
        <v>1</v>
      </c>
      <c r="P330" s="166"/>
      <c r="Q330" s="468">
        <v>329</v>
      </c>
      <c r="R330" s="349" t="s">
        <v>66</v>
      </c>
      <c r="S330" s="176">
        <f t="shared" si="408"/>
        <v>4</v>
      </c>
      <c r="T330" s="176">
        <f t="shared" si="394"/>
        <v>5</v>
      </c>
      <c r="U330" s="176">
        <f t="shared" si="395"/>
        <v>7</v>
      </c>
      <c r="V330" s="176">
        <f t="shared" si="396"/>
        <v>9</v>
      </c>
      <c r="W330" s="176">
        <f t="shared" si="397"/>
        <v>9</v>
      </c>
      <c r="X330" s="176">
        <f t="shared" si="398"/>
        <v>9</v>
      </c>
      <c r="Y330" s="176">
        <f t="shared" si="399"/>
        <v>13</v>
      </c>
      <c r="Z330" s="176">
        <f t="shared" si="400"/>
        <v>14</v>
      </c>
      <c r="AA330" s="176">
        <f t="shared" si="401"/>
        <v>15</v>
      </c>
      <c r="AB330" s="176">
        <f t="shared" si="402"/>
        <v>17</v>
      </c>
      <c r="AC330" s="176">
        <f t="shared" si="403"/>
        <v>17</v>
      </c>
      <c r="AD330" s="461">
        <f t="shared" si="404"/>
        <v>18</v>
      </c>
      <c r="AE330" s="468">
        <v>329</v>
      </c>
      <c r="AF330" s="163">
        <f t="shared" si="391"/>
        <v>18</v>
      </c>
    </row>
    <row r="331" spans="2:32" x14ac:dyDescent="0.35">
      <c r="B331" s="420">
        <v>330</v>
      </c>
      <c r="C331" s="347" t="s">
        <v>67</v>
      </c>
      <c r="D331" s="166">
        <f t="shared" ref="D331:O331" si="414">D283+D235</f>
        <v>6</v>
      </c>
      <c r="E331" s="166">
        <f t="shared" si="414"/>
        <v>9</v>
      </c>
      <c r="F331" s="166">
        <f t="shared" si="414"/>
        <v>7</v>
      </c>
      <c r="G331" s="166">
        <f t="shared" si="414"/>
        <v>15</v>
      </c>
      <c r="H331" s="166">
        <f t="shared" si="414"/>
        <v>10</v>
      </c>
      <c r="I331" s="166">
        <f t="shared" si="414"/>
        <v>6</v>
      </c>
      <c r="J331" s="166">
        <f t="shared" si="414"/>
        <v>9</v>
      </c>
      <c r="K331" s="166">
        <f t="shared" si="414"/>
        <v>5</v>
      </c>
      <c r="L331" s="166">
        <f t="shared" si="414"/>
        <v>10</v>
      </c>
      <c r="M331" s="166">
        <f t="shared" si="414"/>
        <v>8</v>
      </c>
      <c r="N331" s="166">
        <f t="shared" si="414"/>
        <v>6</v>
      </c>
      <c r="O331" s="166">
        <f t="shared" si="414"/>
        <v>5</v>
      </c>
      <c r="P331" s="166"/>
      <c r="Q331" s="468">
        <v>330</v>
      </c>
      <c r="R331" s="349" t="s">
        <v>67</v>
      </c>
      <c r="S331" s="176">
        <f t="shared" si="408"/>
        <v>6</v>
      </c>
      <c r="T331" s="176">
        <f t="shared" si="394"/>
        <v>15</v>
      </c>
      <c r="U331" s="176">
        <f t="shared" si="395"/>
        <v>22</v>
      </c>
      <c r="V331" s="176">
        <f t="shared" si="396"/>
        <v>37</v>
      </c>
      <c r="W331" s="176">
        <f t="shared" si="397"/>
        <v>47</v>
      </c>
      <c r="X331" s="176">
        <f t="shared" si="398"/>
        <v>53</v>
      </c>
      <c r="Y331" s="176">
        <f t="shared" si="399"/>
        <v>62</v>
      </c>
      <c r="Z331" s="176">
        <f t="shared" si="400"/>
        <v>67</v>
      </c>
      <c r="AA331" s="176">
        <f t="shared" si="401"/>
        <v>77</v>
      </c>
      <c r="AB331" s="176">
        <f t="shared" si="402"/>
        <v>85</v>
      </c>
      <c r="AC331" s="176">
        <f t="shared" si="403"/>
        <v>91</v>
      </c>
      <c r="AD331" s="461">
        <f t="shared" si="404"/>
        <v>96</v>
      </c>
      <c r="AE331" s="468">
        <v>330</v>
      </c>
      <c r="AF331" s="163">
        <f t="shared" si="391"/>
        <v>96</v>
      </c>
    </row>
    <row r="332" spans="2:32" x14ac:dyDescent="0.35">
      <c r="B332" s="421">
        <v>331</v>
      </c>
      <c r="C332" s="37" t="s">
        <v>252</v>
      </c>
      <c r="D332" s="168">
        <v>45017</v>
      </c>
      <c r="E332" s="168">
        <v>45047</v>
      </c>
      <c r="F332" s="168">
        <v>45078</v>
      </c>
      <c r="G332" s="168">
        <v>45108</v>
      </c>
      <c r="H332" s="168">
        <v>45139</v>
      </c>
      <c r="I332" s="168">
        <v>45170</v>
      </c>
      <c r="J332" s="168">
        <v>45200</v>
      </c>
      <c r="K332" s="168">
        <v>45231</v>
      </c>
      <c r="L332" s="168">
        <v>45261</v>
      </c>
      <c r="M332" s="168">
        <v>45292</v>
      </c>
      <c r="N332" s="168">
        <v>45323</v>
      </c>
      <c r="O332" s="168">
        <v>45352</v>
      </c>
      <c r="Q332" s="468">
        <v>331</v>
      </c>
      <c r="R332" s="37" t="s">
        <v>252</v>
      </c>
      <c r="S332" s="168">
        <v>44287</v>
      </c>
      <c r="T332" s="168">
        <v>44317</v>
      </c>
      <c r="U332" s="168">
        <v>44348</v>
      </c>
      <c r="V332" s="168">
        <v>44378</v>
      </c>
      <c r="W332" s="168">
        <v>44409</v>
      </c>
      <c r="X332" s="168">
        <v>44440</v>
      </c>
      <c r="Y332" s="168">
        <v>44470</v>
      </c>
      <c r="Z332" s="168">
        <v>44501</v>
      </c>
      <c r="AA332" s="168">
        <v>44531</v>
      </c>
      <c r="AB332" s="168">
        <v>44562</v>
      </c>
      <c r="AC332" s="168">
        <v>44593</v>
      </c>
      <c r="AD332" s="168">
        <v>44621</v>
      </c>
      <c r="AE332" s="468">
        <v>331</v>
      </c>
      <c r="AF332" s="163">
        <f t="shared" ref="AF332:AF339" si="415">SUM(D332:O332)</f>
        <v>542218</v>
      </c>
    </row>
    <row r="333" spans="2:32" x14ac:dyDescent="0.35">
      <c r="B333" s="420">
        <v>332</v>
      </c>
      <c r="C333" s="37" t="s">
        <v>212</v>
      </c>
      <c r="D333" s="608">
        <f>[2]Rural!AX3</f>
        <v>27</v>
      </c>
      <c r="E333" s="608">
        <f>[2]Rural!AY3</f>
        <v>19</v>
      </c>
      <c r="F333" s="608">
        <f>[2]Rural!AZ3</f>
        <v>16</v>
      </c>
      <c r="G333" s="608">
        <f>[2]Rural!BA3</f>
        <v>16</v>
      </c>
      <c r="H333" s="608">
        <f>[2]Rural!BB3</f>
        <v>7</v>
      </c>
      <c r="I333" s="608">
        <f>[2]Rural!BC3</f>
        <v>25</v>
      </c>
      <c r="J333" s="608">
        <f>[2]Rural!BD3</f>
        <v>24</v>
      </c>
      <c r="K333" s="608">
        <f>[2]Rural!BE3</f>
        <v>25</v>
      </c>
      <c r="L333" s="608">
        <f>[2]Rural!BF3</f>
        <v>18</v>
      </c>
      <c r="M333" s="608">
        <f>[2]Rural!BG3</f>
        <v>23</v>
      </c>
      <c r="N333" s="608">
        <f>[2]Rural!BH3</f>
        <v>33</v>
      </c>
      <c r="O333" s="608">
        <f>[2]Rural!BI3</f>
        <v>21</v>
      </c>
      <c r="Q333" s="468">
        <v>332</v>
      </c>
      <c r="R333" s="37" t="s">
        <v>212</v>
      </c>
      <c r="S333" s="176">
        <f t="shared" ref="S333:S339" si="416">D333</f>
        <v>27</v>
      </c>
      <c r="T333" s="176">
        <f t="shared" ref="T333:T339" si="417">S333+E333</f>
        <v>46</v>
      </c>
      <c r="U333" s="176">
        <f t="shared" ref="U333:U339" si="418">T333+F333</f>
        <v>62</v>
      </c>
      <c r="V333" s="176">
        <f t="shared" ref="V333:V339" si="419">U333+G333</f>
        <v>78</v>
      </c>
      <c r="W333" s="176">
        <f t="shared" ref="W333:W339" si="420">V333+H333</f>
        <v>85</v>
      </c>
      <c r="X333" s="176">
        <f t="shared" ref="X333:X339" si="421">W333+I333</f>
        <v>110</v>
      </c>
      <c r="Y333" s="176">
        <f t="shared" ref="Y333:Y339" si="422">X333+J333</f>
        <v>134</v>
      </c>
      <c r="Z333" s="176">
        <f t="shared" ref="Z333:Z339" si="423">Y333+K333</f>
        <v>159</v>
      </c>
      <c r="AA333" s="176">
        <f t="shared" ref="AA333:AA339" si="424">Z333+L333</f>
        <v>177</v>
      </c>
      <c r="AB333" s="176">
        <f t="shared" ref="AB333:AB339" si="425">AA333+M333</f>
        <v>200</v>
      </c>
      <c r="AC333" s="176">
        <f t="shared" ref="AC333:AC339" si="426">AB333+N333</f>
        <v>233</v>
      </c>
      <c r="AD333" s="461">
        <f t="shared" ref="AD333:AD339" si="427">AC333+O333</f>
        <v>254</v>
      </c>
      <c r="AE333" s="468">
        <v>332</v>
      </c>
      <c r="AF333" s="163">
        <f t="shared" si="415"/>
        <v>254</v>
      </c>
    </row>
    <row r="334" spans="2:32" x14ac:dyDescent="0.35">
      <c r="B334" s="420">
        <v>333</v>
      </c>
      <c r="C334" s="37" t="s">
        <v>213</v>
      </c>
      <c r="D334" s="608">
        <f>[2]Rural!AX4</f>
        <v>8</v>
      </c>
      <c r="E334" s="608">
        <f>[2]Rural!AY4</f>
        <v>5</v>
      </c>
      <c r="F334" s="608">
        <f>[2]Rural!AZ4</f>
        <v>2</v>
      </c>
      <c r="G334" s="608">
        <f>[2]Rural!BA4</f>
        <v>11</v>
      </c>
      <c r="H334" s="608">
        <f>[2]Rural!BB4</f>
        <v>4</v>
      </c>
      <c r="I334" s="608">
        <f>[2]Rural!BC4</f>
        <v>7</v>
      </c>
      <c r="J334" s="608">
        <f>[2]Rural!BD4</f>
        <v>5</v>
      </c>
      <c r="K334" s="608">
        <f>[2]Rural!BE4</f>
        <v>10</v>
      </c>
      <c r="L334" s="608">
        <f>[2]Rural!BF4</f>
        <v>5</v>
      </c>
      <c r="M334" s="608">
        <f>[2]Rural!BG4</f>
        <v>3</v>
      </c>
      <c r="N334" s="608">
        <f>[2]Rural!BH4</f>
        <v>11</v>
      </c>
      <c r="O334" s="608">
        <f>[2]Rural!BI4</f>
        <v>13</v>
      </c>
      <c r="P334" s="166"/>
      <c r="Q334" s="468">
        <v>333</v>
      </c>
      <c r="R334" s="37" t="s">
        <v>213</v>
      </c>
      <c r="S334" s="176">
        <f t="shared" si="416"/>
        <v>8</v>
      </c>
      <c r="T334" s="176">
        <f t="shared" si="417"/>
        <v>13</v>
      </c>
      <c r="U334" s="176">
        <f t="shared" si="418"/>
        <v>15</v>
      </c>
      <c r="V334" s="176">
        <f t="shared" si="419"/>
        <v>26</v>
      </c>
      <c r="W334" s="176">
        <f t="shared" si="420"/>
        <v>30</v>
      </c>
      <c r="X334" s="176">
        <f t="shared" si="421"/>
        <v>37</v>
      </c>
      <c r="Y334" s="176">
        <f t="shared" si="422"/>
        <v>42</v>
      </c>
      <c r="Z334" s="176">
        <f t="shared" si="423"/>
        <v>52</v>
      </c>
      <c r="AA334" s="176">
        <f t="shared" si="424"/>
        <v>57</v>
      </c>
      <c r="AB334" s="176">
        <f t="shared" si="425"/>
        <v>60</v>
      </c>
      <c r="AC334" s="176">
        <f t="shared" si="426"/>
        <v>71</v>
      </c>
      <c r="AD334" s="461">
        <f t="shared" si="427"/>
        <v>84</v>
      </c>
      <c r="AE334" s="468">
        <v>333</v>
      </c>
      <c r="AF334" s="163">
        <f t="shared" si="415"/>
        <v>84</v>
      </c>
    </row>
    <row r="335" spans="2:32" x14ac:dyDescent="0.35">
      <c r="B335" s="421">
        <v>334</v>
      </c>
      <c r="C335" s="37" t="s">
        <v>214</v>
      </c>
      <c r="D335" s="608">
        <f>[2]Rural!AX5</f>
        <v>17</v>
      </c>
      <c r="E335" s="608">
        <f>[2]Rural!AY5</f>
        <v>13</v>
      </c>
      <c r="F335" s="608">
        <f>[2]Rural!AZ5</f>
        <v>18</v>
      </c>
      <c r="G335" s="608">
        <f>[2]Rural!BA5</f>
        <v>13</v>
      </c>
      <c r="H335" s="608">
        <f>[2]Rural!BB5</f>
        <v>18</v>
      </c>
      <c r="I335" s="608">
        <f>[2]Rural!BC5</f>
        <v>13</v>
      </c>
      <c r="J335" s="608">
        <f>[2]Rural!BD5</f>
        <v>14</v>
      </c>
      <c r="K335" s="608">
        <f>[2]Rural!BE5</f>
        <v>15</v>
      </c>
      <c r="L335" s="608">
        <f>[2]Rural!BF5</f>
        <v>13</v>
      </c>
      <c r="M335" s="608">
        <f>[2]Rural!BG5</f>
        <v>13</v>
      </c>
      <c r="N335" s="608">
        <f>[2]Rural!BH5</f>
        <v>15</v>
      </c>
      <c r="O335" s="608">
        <f>[2]Rural!BI5</f>
        <v>13</v>
      </c>
      <c r="P335" s="166"/>
      <c r="Q335" s="468">
        <v>334</v>
      </c>
      <c r="R335" s="37" t="s">
        <v>214</v>
      </c>
      <c r="S335" s="176">
        <f t="shared" si="416"/>
        <v>17</v>
      </c>
      <c r="T335" s="176">
        <f t="shared" si="417"/>
        <v>30</v>
      </c>
      <c r="U335" s="176">
        <f t="shared" si="418"/>
        <v>48</v>
      </c>
      <c r="V335" s="176">
        <f t="shared" si="419"/>
        <v>61</v>
      </c>
      <c r="W335" s="176">
        <f t="shared" si="420"/>
        <v>79</v>
      </c>
      <c r="X335" s="176">
        <f t="shared" si="421"/>
        <v>92</v>
      </c>
      <c r="Y335" s="176">
        <f t="shared" si="422"/>
        <v>106</v>
      </c>
      <c r="Z335" s="176">
        <f t="shared" si="423"/>
        <v>121</v>
      </c>
      <c r="AA335" s="176">
        <f t="shared" si="424"/>
        <v>134</v>
      </c>
      <c r="AB335" s="176">
        <f t="shared" si="425"/>
        <v>147</v>
      </c>
      <c r="AC335" s="176">
        <f t="shared" si="426"/>
        <v>162</v>
      </c>
      <c r="AD335" s="461">
        <f t="shared" si="427"/>
        <v>175</v>
      </c>
      <c r="AE335" s="468">
        <v>334</v>
      </c>
      <c r="AF335" s="163">
        <f t="shared" si="415"/>
        <v>175</v>
      </c>
    </row>
    <row r="336" spans="2:32" x14ac:dyDescent="0.35">
      <c r="B336" s="420">
        <v>335</v>
      </c>
      <c r="C336" s="37" t="s">
        <v>146</v>
      </c>
      <c r="D336" s="608">
        <f>[2]Rural!AX6</f>
        <v>36</v>
      </c>
      <c r="E336" s="608">
        <f>[2]Rural!AY6</f>
        <v>13</v>
      </c>
      <c r="F336" s="608">
        <f>[2]Rural!AZ6</f>
        <v>29</v>
      </c>
      <c r="G336" s="608">
        <f>[2]Rural!BA6</f>
        <v>20</v>
      </c>
      <c r="H336" s="608">
        <f>[2]Rural!BB6</f>
        <v>31</v>
      </c>
      <c r="I336" s="608">
        <f>[2]Rural!BC6</f>
        <v>22</v>
      </c>
      <c r="J336" s="608">
        <f>[2]Rural!BD6</f>
        <v>23</v>
      </c>
      <c r="K336" s="608">
        <f>[2]Rural!BE6</f>
        <v>25</v>
      </c>
      <c r="L336" s="608">
        <f>[2]Rural!BF6</f>
        <v>20</v>
      </c>
      <c r="M336" s="608">
        <f>[2]Rural!BG6</f>
        <v>33</v>
      </c>
      <c r="N336" s="608">
        <f>[2]Rural!BH6</f>
        <v>26</v>
      </c>
      <c r="O336" s="608">
        <f>[2]Rural!BI6</f>
        <v>32</v>
      </c>
      <c r="P336" s="166"/>
      <c r="Q336" s="468">
        <v>335</v>
      </c>
      <c r="R336" s="37" t="s">
        <v>146</v>
      </c>
      <c r="S336" s="176">
        <f t="shared" si="416"/>
        <v>36</v>
      </c>
      <c r="T336" s="176">
        <f t="shared" si="417"/>
        <v>49</v>
      </c>
      <c r="U336" s="176">
        <f t="shared" si="418"/>
        <v>78</v>
      </c>
      <c r="V336" s="176">
        <f t="shared" si="419"/>
        <v>98</v>
      </c>
      <c r="W336" s="176">
        <f t="shared" si="420"/>
        <v>129</v>
      </c>
      <c r="X336" s="176">
        <f t="shared" si="421"/>
        <v>151</v>
      </c>
      <c r="Y336" s="176">
        <f t="shared" si="422"/>
        <v>174</v>
      </c>
      <c r="Z336" s="176">
        <f t="shared" si="423"/>
        <v>199</v>
      </c>
      <c r="AA336" s="176">
        <f t="shared" si="424"/>
        <v>219</v>
      </c>
      <c r="AB336" s="176">
        <f t="shared" si="425"/>
        <v>252</v>
      </c>
      <c r="AC336" s="176">
        <f t="shared" si="426"/>
        <v>278</v>
      </c>
      <c r="AD336" s="461">
        <f t="shared" si="427"/>
        <v>310</v>
      </c>
      <c r="AE336" s="468">
        <v>335</v>
      </c>
      <c r="AF336" s="163">
        <f t="shared" si="415"/>
        <v>310</v>
      </c>
    </row>
    <row r="337" spans="2:32" x14ac:dyDescent="0.35">
      <c r="B337" s="420">
        <v>336</v>
      </c>
      <c r="C337" s="37" t="s">
        <v>147</v>
      </c>
      <c r="D337" s="608">
        <f>[2]Rural!AX7</f>
        <v>9</v>
      </c>
      <c r="E337" s="608">
        <f>[2]Rural!AY7</f>
        <v>3</v>
      </c>
      <c r="F337" s="608">
        <f>[2]Rural!AZ7</f>
        <v>10</v>
      </c>
      <c r="G337" s="608">
        <f>[2]Rural!BA7</f>
        <v>4</v>
      </c>
      <c r="H337" s="608">
        <f>[2]Rural!BB7</f>
        <v>9</v>
      </c>
      <c r="I337" s="608">
        <f>[2]Rural!BC7</f>
        <v>9</v>
      </c>
      <c r="J337" s="608">
        <f>[2]Rural!BD7</f>
        <v>4</v>
      </c>
      <c r="K337" s="608">
        <f>[2]Rural!BE7</f>
        <v>4</v>
      </c>
      <c r="L337" s="608">
        <f>[2]Rural!BF7</f>
        <v>9</v>
      </c>
      <c r="M337" s="608">
        <f>[2]Rural!BG7</f>
        <v>14</v>
      </c>
      <c r="N337" s="608">
        <f>[2]Rural!BH7</f>
        <v>18</v>
      </c>
      <c r="O337" s="608">
        <f>[2]Rural!BI7</f>
        <v>6</v>
      </c>
      <c r="P337" s="166"/>
      <c r="Q337" s="468">
        <v>336</v>
      </c>
      <c r="R337" s="37" t="s">
        <v>147</v>
      </c>
      <c r="S337" s="176">
        <f t="shared" si="416"/>
        <v>9</v>
      </c>
      <c r="T337" s="176">
        <f t="shared" si="417"/>
        <v>12</v>
      </c>
      <c r="U337" s="176">
        <f t="shared" si="418"/>
        <v>22</v>
      </c>
      <c r="V337" s="176">
        <f t="shared" si="419"/>
        <v>26</v>
      </c>
      <c r="W337" s="176">
        <f t="shared" si="420"/>
        <v>35</v>
      </c>
      <c r="X337" s="176">
        <f t="shared" si="421"/>
        <v>44</v>
      </c>
      <c r="Y337" s="176">
        <f t="shared" si="422"/>
        <v>48</v>
      </c>
      <c r="Z337" s="176">
        <f t="shared" si="423"/>
        <v>52</v>
      </c>
      <c r="AA337" s="176">
        <f t="shared" si="424"/>
        <v>61</v>
      </c>
      <c r="AB337" s="176">
        <f t="shared" si="425"/>
        <v>75</v>
      </c>
      <c r="AC337" s="176">
        <f t="shared" si="426"/>
        <v>93</v>
      </c>
      <c r="AD337" s="461">
        <f t="shared" si="427"/>
        <v>99</v>
      </c>
      <c r="AE337" s="468">
        <v>336</v>
      </c>
      <c r="AF337" s="163">
        <f t="shared" si="415"/>
        <v>99</v>
      </c>
    </row>
    <row r="338" spans="2:32" x14ac:dyDescent="0.35">
      <c r="B338" s="421">
        <v>337</v>
      </c>
      <c r="C338" s="37" t="s">
        <v>62</v>
      </c>
      <c r="D338" s="608">
        <f>[2]Rural!AX8</f>
        <v>45</v>
      </c>
      <c r="E338" s="608">
        <f>[2]Rural!AY8</f>
        <v>16</v>
      </c>
      <c r="F338" s="608">
        <f>[2]Rural!AZ8</f>
        <v>39</v>
      </c>
      <c r="G338" s="608">
        <f>[2]Rural!BA8</f>
        <v>24</v>
      </c>
      <c r="H338" s="608">
        <f>[2]Rural!BB8</f>
        <v>40</v>
      </c>
      <c r="I338" s="608">
        <f>[2]Rural!BC8</f>
        <v>31</v>
      </c>
      <c r="J338" s="608">
        <f>[2]Rural!BD8</f>
        <v>27</v>
      </c>
      <c r="K338" s="608">
        <f>[2]Rural!BE8</f>
        <v>29</v>
      </c>
      <c r="L338" s="608">
        <f>[2]Rural!BF8</f>
        <v>29</v>
      </c>
      <c r="M338" s="608">
        <f>[2]Rural!BG8</f>
        <v>47</v>
      </c>
      <c r="N338" s="608">
        <f>[2]Rural!BH8</f>
        <v>44</v>
      </c>
      <c r="O338" s="608">
        <f>[2]Rural!BI8</f>
        <v>38</v>
      </c>
      <c r="Q338" s="468">
        <v>337</v>
      </c>
      <c r="R338" s="37" t="s">
        <v>62</v>
      </c>
      <c r="S338" s="176">
        <f t="shared" si="416"/>
        <v>45</v>
      </c>
      <c r="T338" s="176">
        <f t="shared" si="417"/>
        <v>61</v>
      </c>
      <c r="U338" s="176">
        <f t="shared" si="418"/>
        <v>100</v>
      </c>
      <c r="V338" s="176">
        <f t="shared" si="419"/>
        <v>124</v>
      </c>
      <c r="W338" s="176">
        <f t="shared" si="420"/>
        <v>164</v>
      </c>
      <c r="X338" s="176">
        <f t="shared" si="421"/>
        <v>195</v>
      </c>
      <c r="Y338" s="176">
        <f t="shared" si="422"/>
        <v>222</v>
      </c>
      <c r="Z338" s="176">
        <f t="shared" si="423"/>
        <v>251</v>
      </c>
      <c r="AA338" s="176">
        <f t="shared" si="424"/>
        <v>280</v>
      </c>
      <c r="AB338" s="176">
        <f t="shared" si="425"/>
        <v>327</v>
      </c>
      <c r="AC338" s="176">
        <f t="shared" si="426"/>
        <v>371</v>
      </c>
      <c r="AD338" s="461">
        <f t="shared" si="427"/>
        <v>409</v>
      </c>
      <c r="AE338" s="468">
        <v>337</v>
      </c>
      <c r="AF338" s="163">
        <f t="shared" si="415"/>
        <v>409</v>
      </c>
    </row>
    <row r="339" spans="2:32" x14ac:dyDescent="0.35">
      <c r="B339" s="420">
        <v>338</v>
      </c>
      <c r="C339" s="37" t="s">
        <v>0</v>
      </c>
      <c r="D339" s="1070">
        <f>[2]Rural!AX9</f>
        <v>97</v>
      </c>
      <c r="E339" s="1070">
        <f>[2]Rural!AY9</f>
        <v>53</v>
      </c>
      <c r="F339" s="1070">
        <f>[2]Rural!AZ9</f>
        <v>75</v>
      </c>
      <c r="G339" s="1070">
        <f>[2]Rural!BA9</f>
        <v>64</v>
      </c>
      <c r="H339" s="1070">
        <f>[2]Rural!BB9</f>
        <v>69</v>
      </c>
      <c r="I339" s="1070">
        <f>[2]Rural!BC9</f>
        <v>76</v>
      </c>
      <c r="J339" s="1070">
        <f>[2]Rural!BD9</f>
        <v>70</v>
      </c>
      <c r="K339" s="1070">
        <f>[2]Rural!BE9</f>
        <v>79</v>
      </c>
      <c r="L339" s="1070">
        <f>[2]Rural!BF9</f>
        <v>65</v>
      </c>
      <c r="M339" s="1070">
        <f>[2]Rural!BG9</f>
        <v>86</v>
      </c>
      <c r="N339" s="1070">
        <f>[2]Rural!BH9</f>
        <v>103</v>
      </c>
      <c r="O339" s="1070">
        <f>[2]Rural!BI9</f>
        <v>85</v>
      </c>
      <c r="Q339" s="468">
        <v>338</v>
      </c>
      <c r="R339" s="37" t="s">
        <v>0</v>
      </c>
      <c r="S339" s="176">
        <f t="shared" si="416"/>
        <v>97</v>
      </c>
      <c r="T339" s="176">
        <f t="shared" si="417"/>
        <v>150</v>
      </c>
      <c r="U339" s="176">
        <f t="shared" si="418"/>
        <v>225</v>
      </c>
      <c r="V339" s="176">
        <f t="shared" si="419"/>
        <v>289</v>
      </c>
      <c r="W339" s="176">
        <f t="shared" si="420"/>
        <v>358</v>
      </c>
      <c r="X339" s="176">
        <f t="shared" si="421"/>
        <v>434</v>
      </c>
      <c r="Y339" s="176">
        <f t="shared" si="422"/>
        <v>504</v>
      </c>
      <c r="Z339" s="176">
        <f t="shared" si="423"/>
        <v>583</v>
      </c>
      <c r="AA339" s="176">
        <f t="shared" si="424"/>
        <v>648</v>
      </c>
      <c r="AB339" s="176">
        <f t="shared" si="425"/>
        <v>734</v>
      </c>
      <c r="AC339" s="176">
        <f t="shared" si="426"/>
        <v>837</v>
      </c>
      <c r="AD339" s="461">
        <f t="shared" si="427"/>
        <v>922</v>
      </c>
      <c r="AE339" s="468">
        <v>338</v>
      </c>
      <c r="AF339" s="163">
        <f t="shared" si="415"/>
        <v>922</v>
      </c>
    </row>
    <row r="340" spans="2:32" x14ac:dyDescent="0.35">
      <c r="B340" s="420">
        <f>B339+1</f>
        <v>339</v>
      </c>
      <c r="C340" s="424" t="s">
        <v>254</v>
      </c>
      <c r="D340" s="168">
        <v>45017</v>
      </c>
      <c r="E340" s="168">
        <v>45047</v>
      </c>
      <c r="F340" s="168">
        <v>45078</v>
      </c>
      <c r="G340" s="168">
        <v>45108</v>
      </c>
      <c r="H340" s="168">
        <v>45139</v>
      </c>
      <c r="I340" s="168">
        <v>45170</v>
      </c>
      <c r="J340" s="168">
        <v>45200</v>
      </c>
      <c r="K340" s="168">
        <v>45231</v>
      </c>
      <c r="L340" s="168">
        <v>45261</v>
      </c>
      <c r="M340" s="168">
        <v>45292</v>
      </c>
      <c r="N340" s="168">
        <v>45323</v>
      </c>
      <c r="O340" s="168">
        <v>45352</v>
      </c>
      <c r="P340" s="425"/>
      <c r="Q340" s="469">
        <f>Q339+1</f>
        <v>339</v>
      </c>
      <c r="R340" s="424" t="s">
        <v>254</v>
      </c>
      <c r="S340" s="168">
        <v>44287</v>
      </c>
      <c r="T340" s="168">
        <v>44317</v>
      </c>
      <c r="U340" s="168">
        <v>44348</v>
      </c>
      <c r="V340" s="168">
        <v>44378</v>
      </c>
      <c r="W340" s="168">
        <v>44409</v>
      </c>
      <c r="X340" s="168">
        <v>44440</v>
      </c>
      <c r="Y340" s="168">
        <v>44470</v>
      </c>
      <c r="Z340" s="168">
        <v>44501</v>
      </c>
      <c r="AA340" s="168">
        <v>44531</v>
      </c>
      <c r="AB340" s="168">
        <v>44562</v>
      </c>
      <c r="AC340" s="168">
        <v>44593</v>
      </c>
      <c r="AD340" s="168">
        <v>44621</v>
      </c>
      <c r="AE340" s="469">
        <f>AE339+1</f>
        <v>339</v>
      </c>
      <c r="AF340" s="425"/>
    </row>
    <row r="341" spans="2:32" x14ac:dyDescent="0.35">
      <c r="B341" s="420">
        <f t="shared" ref="B341:B344" si="428">B340+1</f>
        <v>340</v>
      </c>
      <c r="C341" s="426" t="s">
        <v>212</v>
      </c>
      <c r="D341" s="609">
        <f>'[2]VAP Knife Crime'!AX3</f>
        <v>4</v>
      </c>
      <c r="E341" s="609">
        <f>'[2]VAP Knife Crime'!AY3</f>
        <v>8</v>
      </c>
      <c r="F341" s="609">
        <f>'[2]VAP Knife Crime'!AZ3</f>
        <v>2</v>
      </c>
      <c r="G341" s="609">
        <f>'[2]VAP Knife Crime'!BA3</f>
        <v>2</v>
      </c>
      <c r="H341" s="609">
        <f>'[2]VAP Knife Crime'!BB3</f>
        <v>1</v>
      </c>
      <c r="I341" s="609">
        <f>'[2]VAP Knife Crime'!BC3</f>
        <v>0</v>
      </c>
      <c r="J341" s="609">
        <f>'[2]VAP Knife Crime'!BD3</f>
        <v>1</v>
      </c>
      <c r="K341" s="609">
        <f>'[2]VAP Knife Crime'!BE3</f>
        <v>1</v>
      </c>
      <c r="L341" s="609">
        <f>'[2]VAP Knife Crime'!BF3</f>
        <v>2</v>
      </c>
      <c r="M341" s="609">
        <f>'[2]VAP Knife Crime'!BG3</f>
        <v>2</v>
      </c>
      <c r="N341" s="609">
        <f>'[2]VAP Knife Crime'!BH3</f>
        <v>0</v>
      </c>
      <c r="O341" s="609">
        <f>'[2]VAP Knife Crime'!BI3</f>
        <v>2</v>
      </c>
      <c r="P341" s="427"/>
      <c r="Q341" s="469">
        <f t="shared" ref="Q341:Q344" si="429">Q340+1</f>
        <v>340</v>
      </c>
      <c r="R341" s="426" t="s">
        <v>212</v>
      </c>
      <c r="S341" s="425">
        <f>D341</f>
        <v>4</v>
      </c>
      <c r="T341" s="425">
        <f>S341+E341</f>
        <v>12</v>
      </c>
      <c r="U341" s="425">
        <f t="shared" ref="U341:AD341" si="430">T341+F341</f>
        <v>14</v>
      </c>
      <c r="V341" s="425">
        <f t="shared" si="430"/>
        <v>16</v>
      </c>
      <c r="W341" s="425">
        <f t="shared" si="430"/>
        <v>17</v>
      </c>
      <c r="X341" s="425">
        <f t="shared" si="430"/>
        <v>17</v>
      </c>
      <c r="Y341" s="425">
        <f t="shared" si="430"/>
        <v>18</v>
      </c>
      <c r="Z341" s="425">
        <f t="shared" si="430"/>
        <v>19</v>
      </c>
      <c r="AA341" s="425">
        <f t="shared" si="430"/>
        <v>21</v>
      </c>
      <c r="AB341" s="425">
        <f t="shared" si="430"/>
        <v>23</v>
      </c>
      <c r="AC341" s="425">
        <f t="shared" si="430"/>
        <v>23</v>
      </c>
      <c r="AD341" s="463">
        <f t="shared" si="430"/>
        <v>25</v>
      </c>
      <c r="AE341" s="469">
        <f t="shared" ref="AE341:AE344" si="431">AE340+1</f>
        <v>340</v>
      </c>
      <c r="AF341" s="169">
        <f>SUM(D341:O341)</f>
        <v>25</v>
      </c>
    </row>
    <row r="342" spans="2:32" x14ac:dyDescent="0.35">
      <c r="B342" s="420">
        <f t="shared" si="428"/>
        <v>341</v>
      </c>
      <c r="C342" s="426" t="s">
        <v>213</v>
      </c>
      <c r="D342" s="609">
        <f>'[2]VAP Knife Crime'!AX4</f>
        <v>8</v>
      </c>
      <c r="E342" s="609">
        <f>'[2]VAP Knife Crime'!AY4</f>
        <v>6</v>
      </c>
      <c r="F342" s="609">
        <f>'[2]VAP Knife Crime'!AZ4</f>
        <v>5</v>
      </c>
      <c r="G342" s="609">
        <f>'[2]VAP Knife Crime'!BA4</f>
        <v>9</v>
      </c>
      <c r="H342" s="609">
        <f>'[2]VAP Knife Crime'!BB4</f>
        <v>7</v>
      </c>
      <c r="I342" s="609">
        <f>'[2]VAP Knife Crime'!BC4</f>
        <v>8</v>
      </c>
      <c r="J342" s="609">
        <f>'[2]VAP Knife Crime'!BD4</f>
        <v>8</v>
      </c>
      <c r="K342" s="609">
        <f>'[2]VAP Knife Crime'!BE4</f>
        <v>5</v>
      </c>
      <c r="L342" s="609">
        <f>'[2]VAP Knife Crime'!BF4</f>
        <v>4</v>
      </c>
      <c r="M342" s="609">
        <f>'[2]VAP Knife Crime'!BG4</f>
        <v>2</v>
      </c>
      <c r="N342" s="609">
        <f>'[2]VAP Knife Crime'!BH4</f>
        <v>9</v>
      </c>
      <c r="O342" s="609">
        <f>'[2]VAP Knife Crime'!BI4</f>
        <v>6</v>
      </c>
      <c r="P342" s="428"/>
      <c r="Q342" s="469">
        <f t="shared" si="429"/>
        <v>341</v>
      </c>
      <c r="R342" s="426" t="s">
        <v>213</v>
      </c>
      <c r="S342" s="425">
        <f t="shared" ref="S342:S345" si="432">D342</f>
        <v>8</v>
      </c>
      <c r="T342" s="425">
        <f t="shared" ref="T342:T345" si="433">S342+E342</f>
        <v>14</v>
      </c>
      <c r="U342" s="425">
        <f t="shared" ref="U342:U345" si="434">T342+F342</f>
        <v>19</v>
      </c>
      <c r="V342" s="425">
        <f t="shared" ref="V342:V345" si="435">U342+G342</f>
        <v>28</v>
      </c>
      <c r="W342" s="425">
        <f t="shared" ref="W342:W345" si="436">V342+H342</f>
        <v>35</v>
      </c>
      <c r="X342" s="425">
        <f t="shared" ref="X342:X345" si="437">W342+I342</f>
        <v>43</v>
      </c>
      <c r="Y342" s="425">
        <f t="shared" ref="Y342:Y345" si="438">X342+J342</f>
        <v>51</v>
      </c>
      <c r="Z342" s="425">
        <f t="shared" ref="Z342:Z345" si="439">Y342+K342</f>
        <v>56</v>
      </c>
      <c r="AA342" s="425">
        <f t="shared" ref="AA342:AA345" si="440">Z342+L342</f>
        <v>60</v>
      </c>
      <c r="AB342" s="425">
        <f t="shared" ref="AB342:AB345" si="441">AA342+M342</f>
        <v>62</v>
      </c>
      <c r="AC342" s="425">
        <f t="shared" ref="AC342:AC345" si="442">AB342+N342</f>
        <v>71</v>
      </c>
      <c r="AD342" s="463">
        <f t="shared" ref="AD342:AD345" si="443">AC342+O342</f>
        <v>77</v>
      </c>
      <c r="AE342" s="469">
        <f t="shared" si="431"/>
        <v>341</v>
      </c>
      <c r="AF342" s="169">
        <f t="shared" ref="AF342:AF359" si="444">SUM(D342:O342)</f>
        <v>77</v>
      </c>
    </row>
    <row r="343" spans="2:32" x14ac:dyDescent="0.35">
      <c r="B343" s="420">
        <f t="shared" si="428"/>
        <v>342</v>
      </c>
      <c r="C343" s="426" t="s">
        <v>214</v>
      </c>
      <c r="D343" s="609">
        <f>'[2]VAP Knife Crime'!AX5</f>
        <v>2</v>
      </c>
      <c r="E343" s="609">
        <f>'[2]VAP Knife Crime'!AY5</f>
        <v>9</v>
      </c>
      <c r="F343" s="609">
        <f>'[2]VAP Knife Crime'!AZ5</f>
        <v>4</v>
      </c>
      <c r="G343" s="609">
        <f>'[2]VAP Knife Crime'!BA5</f>
        <v>7</v>
      </c>
      <c r="H343" s="609">
        <f>'[2]VAP Knife Crime'!BB5</f>
        <v>4</v>
      </c>
      <c r="I343" s="609">
        <f>'[2]VAP Knife Crime'!BC5</f>
        <v>5</v>
      </c>
      <c r="J343" s="609">
        <f>'[2]VAP Knife Crime'!BD5</f>
        <v>6</v>
      </c>
      <c r="K343" s="609">
        <f>'[2]VAP Knife Crime'!BE5</f>
        <v>3</v>
      </c>
      <c r="L343" s="609">
        <f>'[2]VAP Knife Crime'!BF5</f>
        <v>2</v>
      </c>
      <c r="M343" s="609">
        <f>'[2]VAP Knife Crime'!BG5</f>
        <v>6</v>
      </c>
      <c r="N343" s="609">
        <f>'[2]VAP Knife Crime'!BH5</f>
        <v>7</v>
      </c>
      <c r="O343" s="609">
        <f>'[2]VAP Knife Crime'!BI5</f>
        <v>2</v>
      </c>
      <c r="P343" s="429"/>
      <c r="Q343" s="469">
        <f t="shared" si="429"/>
        <v>342</v>
      </c>
      <c r="R343" s="426" t="s">
        <v>214</v>
      </c>
      <c r="S343" s="425">
        <f t="shared" si="432"/>
        <v>2</v>
      </c>
      <c r="T343" s="425">
        <f t="shared" si="433"/>
        <v>11</v>
      </c>
      <c r="U343" s="425">
        <f t="shared" si="434"/>
        <v>15</v>
      </c>
      <c r="V343" s="425">
        <f t="shared" si="435"/>
        <v>22</v>
      </c>
      <c r="W343" s="425">
        <f t="shared" si="436"/>
        <v>26</v>
      </c>
      <c r="X343" s="425">
        <f t="shared" si="437"/>
        <v>31</v>
      </c>
      <c r="Y343" s="425">
        <f t="shared" si="438"/>
        <v>37</v>
      </c>
      <c r="Z343" s="425">
        <f t="shared" si="439"/>
        <v>40</v>
      </c>
      <c r="AA343" s="425">
        <f t="shared" si="440"/>
        <v>42</v>
      </c>
      <c r="AB343" s="425">
        <f t="shared" si="441"/>
        <v>48</v>
      </c>
      <c r="AC343" s="425">
        <f t="shared" si="442"/>
        <v>55</v>
      </c>
      <c r="AD343" s="463">
        <f t="shared" si="443"/>
        <v>57</v>
      </c>
      <c r="AE343" s="469">
        <f t="shared" si="431"/>
        <v>342</v>
      </c>
      <c r="AF343" s="169">
        <f t="shared" si="444"/>
        <v>57</v>
      </c>
    </row>
    <row r="344" spans="2:32" x14ac:dyDescent="0.35">
      <c r="B344" s="420">
        <f t="shared" si="428"/>
        <v>343</v>
      </c>
      <c r="C344" s="426" t="s">
        <v>146</v>
      </c>
      <c r="D344" s="609">
        <f>'[2]VAP Knife Crime'!AX6</f>
        <v>1</v>
      </c>
      <c r="E344" s="609">
        <f>'[2]VAP Knife Crime'!AY6</f>
        <v>1</v>
      </c>
      <c r="F344" s="609">
        <f>'[2]VAP Knife Crime'!AZ6</f>
        <v>3</v>
      </c>
      <c r="G344" s="609">
        <f>'[2]VAP Knife Crime'!BA6</f>
        <v>6</v>
      </c>
      <c r="H344" s="609">
        <f>'[2]VAP Knife Crime'!BB6</f>
        <v>5</v>
      </c>
      <c r="I344" s="609">
        <f>'[2]VAP Knife Crime'!BC6</f>
        <v>5</v>
      </c>
      <c r="J344" s="609">
        <f>'[2]VAP Knife Crime'!BD6</f>
        <v>1</v>
      </c>
      <c r="K344" s="609">
        <f>'[2]VAP Knife Crime'!BE6</f>
        <v>4</v>
      </c>
      <c r="L344" s="609">
        <f>'[2]VAP Knife Crime'!BF6</f>
        <v>3</v>
      </c>
      <c r="M344" s="609">
        <f>'[2]VAP Knife Crime'!BG6</f>
        <v>8</v>
      </c>
      <c r="N344" s="609">
        <f>'[2]VAP Knife Crime'!BH6</f>
        <v>7</v>
      </c>
      <c r="O344" s="609">
        <f>'[2]VAP Knife Crime'!BI6</f>
        <v>1</v>
      </c>
      <c r="P344" s="429"/>
      <c r="Q344" s="469">
        <f t="shared" si="429"/>
        <v>343</v>
      </c>
      <c r="R344" s="426" t="s">
        <v>146</v>
      </c>
      <c r="S344" s="425">
        <f t="shared" si="432"/>
        <v>1</v>
      </c>
      <c r="T344" s="425">
        <f t="shared" si="433"/>
        <v>2</v>
      </c>
      <c r="U344" s="425">
        <f t="shared" si="434"/>
        <v>5</v>
      </c>
      <c r="V344" s="425">
        <f t="shared" si="435"/>
        <v>11</v>
      </c>
      <c r="W344" s="425">
        <f t="shared" si="436"/>
        <v>16</v>
      </c>
      <c r="X344" s="425">
        <f t="shared" si="437"/>
        <v>21</v>
      </c>
      <c r="Y344" s="425">
        <f t="shared" si="438"/>
        <v>22</v>
      </c>
      <c r="Z344" s="425">
        <f t="shared" si="439"/>
        <v>26</v>
      </c>
      <c r="AA344" s="425">
        <f t="shared" si="440"/>
        <v>29</v>
      </c>
      <c r="AB344" s="425">
        <f t="shared" si="441"/>
        <v>37</v>
      </c>
      <c r="AC344" s="425">
        <f t="shared" si="442"/>
        <v>44</v>
      </c>
      <c r="AD344" s="463">
        <f t="shared" si="443"/>
        <v>45</v>
      </c>
      <c r="AE344" s="469">
        <f t="shared" si="431"/>
        <v>343</v>
      </c>
      <c r="AF344" s="169">
        <f t="shared" si="444"/>
        <v>45</v>
      </c>
    </row>
    <row r="345" spans="2:32" x14ac:dyDescent="0.35">
      <c r="B345" s="420">
        <f>B344+1</f>
        <v>344</v>
      </c>
      <c r="C345" s="426" t="s">
        <v>147</v>
      </c>
      <c r="D345" s="609">
        <f>'[2]VAP Knife Crime'!AX7</f>
        <v>5</v>
      </c>
      <c r="E345" s="609">
        <f>'[2]VAP Knife Crime'!AY7</f>
        <v>3</v>
      </c>
      <c r="F345" s="609">
        <f>'[2]VAP Knife Crime'!AZ7</f>
        <v>6</v>
      </c>
      <c r="G345" s="609">
        <f>'[2]VAP Knife Crime'!BA7</f>
        <v>13</v>
      </c>
      <c r="H345" s="609">
        <f>'[2]VAP Knife Crime'!BB7</f>
        <v>5</v>
      </c>
      <c r="I345" s="609">
        <f>'[2]VAP Knife Crime'!BC7</f>
        <v>6</v>
      </c>
      <c r="J345" s="609">
        <f>'[2]VAP Knife Crime'!BD7</f>
        <v>6</v>
      </c>
      <c r="K345" s="609">
        <f>'[2]VAP Knife Crime'!BE7</f>
        <v>10</v>
      </c>
      <c r="L345" s="609">
        <f>'[2]VAP Knife Crime'!BF7</f>
        <v>2</v>
      </c>
      <c r="M345" s="609">
        <f>'[2]VAP Knife Crime'!BG7</f>
        <v>7</v>
      </c>
      <c r="N345" s="609">
        <f>'[2]VAP Knife Crime'!BH7</f>
        <v>8</v>
      </c>
      <c r="O345" s="609">
        <f>'[2]VAP Knife Crime'!BI7</f>
        <v>2</v>
      </c>
      <c r="P345" s="429"/>
      <c r="Q345" s="469">
        <f>Q344+1</f>
        <v>344</v>
      </c>
      <c r="R345" s="426" t="s">
        <v>147</v>
      </c>
      <c r="S345" s="425">
        <f t="shared" si="432"/>
        <v>5</v>
      </c>
      <c r="T345" s="425">
        <f t="shared" si="433"/>
        <v>8</v>
      </c>
      <c r="U345" s="425">
        <f t="shared" si="434"/>
        <v>14</v>
      </c>
      <c r="V345" s="425">
        <f t="shared" si="435"/>
        <v>27</v>
      </c>
      <c r="W345" s="425">
        <f t="shared" si="436"/>
        <v>32</v>
      </c>
      <c r="X345" s="425">
        <f t="shared" si="437"/>
        <v>38</v>
      </c>
      <c r="Y345" s="425">
        <f t="shared" si="438"/>
        <v>44</v>
      </c>
      <c r="Z345" s="425">
        <f t="shared" si="439"/>
        <v>54</v>
      </c>
      <c r="AA345" s="425">
        <f t="shared" si="440"/>
        <v>56</v>
      </c>
      <c r="AB345" s="425">
        <f t="shared" si="441"/>
        <v>63</v>
      </c>
      <c r="AC345" s="425">
        <f t="shared" si="442"/>
        <v>71</v>
      </c>
      <c r="AD345" s="463">
        <f t="shared" si="443"/>
        <v>73</v>
      </c>
      <c r="AE345" s="469">
        <f>AE344+1</f>
        <v>344</v>
      </c>
      <c r="AF345" s="169">
        <f t="shared" si="444"/>
        <v>73</v>
      </c>
    </row>
    <row r="346" spans="2:32" x14ac:dyDescent="0.35">
      <c r="B346" s="420">
        <f t="shared" ref="B346:B417" si="445">B345+1</f>
        <v>345</v>
      </c>
      <c r="C346" s="426" t="s">
        <v>62</v>
      </c>
      <c r="D346" s="609">
        <f>'[2]VAP Knife Crime'!AX8</f>
        <v>6</v>
      </c>
      <c r="E346" s="609">
        <f>'[2]VAP Knife Crime'!AY8</f>
        <v>4</v>
      </c>
      <c r="F346" s="609">
        <f>'[2]VAP Knife Crime'!AZ8</f>
        <v>9</v>
      </c>
      <c r="G346" s="609">
        <f>'[2]VAP Knife Crime'!BA8</f>
        <v>19</v>
      </c>
      <c r="H346" s="609">
        <f>'[2]VAP Knife Crime'!BB8</f>
        <v>10</v>
      </c>
      <c r="I346" s="609">
        <f>'[2]VAP Knife Crime'!BC8</f>
        <v>11</v>
      </c>
      <c r="J346" s="609">
        <f>'[2]VAP Knife Crime'!BD8</f>
        <v>7</v>
      </c>
      <c r="K346" s="609">
        <f>'[2]VAP Knife Crime'!BE8</f>
        <v>14</v>
      </c>
      <c r="L346" s="609">
        <f>'[2]VAP Knife Crime'!BF8</f>
        <v>5</v>
      </c>
      <c r="M346" s="609">
        <f>'[2]VAP Knife Crime'!BG8</f>
        <v>15</v>
      </c>
      <c r="N346" s="609">
        <f>'[2]VAP Knife Crime'!BH8</f>
        <v>15</v>
      </c>
      <c r="O346" s="609">
        <f>'[2]VAP Knife Crime'!BI8</f>
        <v>3</v>
      </c>
      <c r="P346" s="429"/>
      <c r="Q346" s="469">
        <f t="shared" ref="Q346:Q409" si="446">Q345+1</f>
        <v>345</v>
      </c>
      <c r="R346" s="426" t="s">
        <v>62</v>
      </c>
      <c r="S346" s="425">
        <f t="shared" ref="S346:S347" si="447">D346</f>
        <v>6</v>
      </c>
      <c r="T346" s="425">
        <f t="shared" ref="T346:T347" si="448">S346+E346</f>
        <v>10</v>
      </c>
      <c r="U346" s="425">
        <f t="shared" ref="U346:U347" si="449">T346+F346</f>
        <v>19</v>
      </c>
      <c r="V346" s="425">
        <f t="shared" ref="V346:V347" si="450">U346+G346</f>
        <v>38</v>
      </c>
      <c r="W346" s="425">
        <f t="shared" ref="W346:W347" si="451">V346+H346</f>
        <v>48</v>
      </c>
      <c r="X346" s="425">
        <f t="shared" ref="X346:X347" si="452">W346+I346</f>
        <v>59</v>
      </c>
      <c r="Y346" s="425">
        <f t="shared" ref="Y346:Y347" si="453">X346+J346</f>
        <v>66</v>
      </c>
      <c r="Z346" s="425">
        <f t="shared" ref="Z346:Z347" si="454">Y346+K346</f>
        <v>80</v>
      </c>
      <c r="AA346" s="425">
        <f t="shared" ref="AA346:AA347" si="455">Z346+L346</f>
        <v>85</v>
      </c>
      <c r="AB346" s="425">
        <f t="shared" ref="AB346:AB347" si="456">AA346+M346</f>
        <v>100</v>
      </c>
      <c r="AC346" s="425">
        <f t="shared" ref="AC346:AC347" si="457">AB346+N346</f>
        <v>115</v>
      </c>
      <c r="AD346" s="463">
        <f t="shared" ref="AD346:AD347" si="458">AC346+O346</f>
        <v>118</v>
      </c>
      <c r="AE346" s="469">
        <f t="shared" ref="AE346:AE409" si="459">AE345+1</f>
        <v>345</v>
      </c>
      <c r="AF346" s="169">
        <f t="shared" si="444"/>
        <v>118</v>
      </c>
    </row>
    <row r="347" spans="2:32" x14ac:dyDescent="0.35">
      <c r="B347" s="420">
        <f t="shared" si="445"/>
        <v>346</v>
      </c>
      <c r="C347" s="426" t="s">
        <v>0</v>
      </c>
      <c r="D347" s="609">
        <f>'[2]VAP Knife Crime'!AX9</f>
        <v>20</v>
      </c>
      <c r="E347" s="609">
        <f>'[2]VAP Knife Crime'!AY9</f>
        <v>27</v>
      </c>
      <c r="F347" s="609">
        <f>'[2]VAP Knife Crime'!AZ9</f>
        <v>20</v>
      </c>
      <c r="G347" s="609">
        <f>'[2]VAP Knife Crime'!BA9</f>
        <v>37</v>
      </c>
      <c r="H347" s="609">
        <f>'[2]VAP Knife Crime'!BB9</f>
        <v>22</v>
      </c>
      <c r="I347" s="609">
        <f>'[2]VAP Knife Crime'!BC9</f>
        <v>24</v>
      </c>
      <c r="J347" s="609">
        <f>'[2]VAP Knife Crime'!BD9</f>
        <v>22</v>
      </c>
      <c r="K347" s="609">
        <f>'[2]VAP Knife Crime'!BE9</f>
        <v>23</v>
      </c>
      <c r="L347" s="609">
        <f>'[2]VAP Knife Crime'!BF9</f>
        <v>13</v>
      </c>
      <c r="M347" s="609">
        <f>'[2]VAP Knife Crime'!BG9</f>
        <v>25</v>
      </c>
      <c r="N347" s="609">
        <f>'[2]VAP Knife Crime'!BH9</f>
        <v>31</v>
      </c>
      <c r="O347" s="609">
        <f>'[2]VAP Knife Crime'!BI9</f>
        <v>13</v>
      </c>
      <c r="P347" s="425"/>
      <c r="Q347" s="469">
        <f t="shared" si="446"/>
        <v>346</v>
      </c>
      <c r="R347" s="426" t="s">
        <v>0</v>
      </c>
      <c r="S347" s="425">
        <f t="shared" si="447"/>
        <v>20</v>
      </c>
      <c r="T347" s="425">
        <f t="shared" si="448"/>
        <v>47</v>
      </c>
      <c r="U347" s="425">
        <f t="shared" si="449"/>
        <v>67</v>
      </c>
      <c r="V347" s="425">
        <f t="shared" si="450"/>
        <v>104</v>
      </c>
      <c r="W347" s="425">
        <f t="shared" si="451"/>
        <v>126</v>
      </c>
      <c r="X347" s="425">
        <f t="shared" si="452"/>
        <v>150</v>
      </c>
      <c r="Y347" s="425">
        <f t="shared" si="453"/>
        <v>172</v>
      </c>
      <c r="Z347" s="425">
        <f t="shared" si="454"/>
        <v>195</v>
      </c>
      <c r="AA347" s="425">
        <f t="shared" si="455"/>
        <v>208</v>
      </c>
      <c r="AB347" s="425">
        <f t="shared" si="456"/>
        <v>233</v>
      </c>
      <c r="AC347" s="425">
        <f t="shared" si="457"/>
        <v>264</v>
      </c>
      <c r="AD347" s="463">
        <f t="shared" si="458"/>
        <v>277</v>
      </c>
      <c r="AE347" s="469">
        <f t="shared" si="459"/>
        <v>346</v>
      </c>
      <c r="AF347" s="169">
        <f t="shared" si="444"/>
        <v>277</v>
      </c>
    </row>
    <row r="348" spans="2:32" x14ac:dyDescent="0.35">
      <c r="B348" s="420">
        <f t="shared" si="445"/>
        <v>347</v>
      </c>
      <c r="C348" s="445" t="s">
        <v>258</v>
      </c>
      <c r="D348" s="168">
        <v>45017</v>
      </c>
      <c r="E348" s="168">
        <v>45047</v>
      </c>
      <c r="F348" s="168">
        <v>45078</v>
      </c>
      <c r="G348" s="168">
        <v>45108</v>
      </c>
      <c r="H348" s="168">
        <v>45139</v>
      </c>
      <c r="I348" s="168">
        <v>45170</v>
      </c>
      <c r="J348" s="168">
        <v>45200</v>
      </c>
      <c r="K348" s="168">
        <v>45231</v>
      </c>
      <c r="L348" s="168">
        <v>45261</v>
      </c>
      <c r="M348" s="168">
        <v>45292</v>
      </c>
      <c r="N348" s="168">
        <v>45323</v>
      </c>
      <c r="O348" s="168">
        <v>45352</v>
      </c>
      <c r="Q348" s="469">
        <f t="shared" si="446"/>
        <v>347</v>
      </c>
      <c r="R348" s="445" t="s">
        <v>258</v>
      </c>
      <c r="S348" s="168">
        <v>44287</v>
      </c>
      <c r="T348" s="168">
        <v>44317</v>
      </c>
      <c r="U348" s="168">
        <v>44348</v>
      </c>
      <c r="V348" s="168">
        <v>44378</v>
      </c>
      <c r="W348" s="168">
        <v>44409</v>
      </c>
      <c r="X348" s="168">
        <v>44440</v>
      </c>
      <c r="Y348" s="168">
        <v>44470</v>
      </c>
      <c r="Z348" s="168">
        <v>44501</v>
      </c>
      <c r="AA348" s="168">
        <v>44531</v>
      </c>
      <c r="AB348" s="168">
        <v>44562</v>
      </c>
      <c r="AC348" s="168">
        <v>44593</v>
      </c>
      <c r="AD348" s="168">
        <v>44621</v>
      </c>
      <c r="AE348" s="469">
        <f t="shared" si="459"/>
        <v>347</v>
      </c>
      <c r="AF348" s="169"/>
    </row>
    <row r="349" spans="2:32" x14ac:dyDescent="0.35">
      <c r="B349" s="420">
        <f t="shared" si="445"/>
        <v>348</v>
      </c>
      <c r="C349" s="445" t="s">
        <v>85</v>
      </c>
      <c r="D349" s="608">
        <f>D169+D172</f>
        <v>11</v>
      </c>
      <c r="E349" s="608">
        <f t="shared" ref="E349:O349" si="460">E169+E172</f>
        <v>21</v>
      </c>
      <c r="F349" s="608">
        <f t="shared" si="460"/>
        <v>11</v>
      </c>
      <c r="G349" s="608">
        <f t="shared" si="460"/>
        <v>16</v>
      </c>
      <c r="H349" s="608">
        <f t="shared" si="460"/>
        <v>24</v>
      </c>
      <c r="I349" s="608">
        <f t="shared" si="460"/>
        <v>23</v>
      </c>
      <c r="J349" s="608">
        <f t="shared" si="460"/>
        <v>7</v>
      </c>
      <c r="K349" s="608">
        <f t="shared" si="460"/>
        <v>17</v>
      </c>
      <c r="L349" s="608">
        <f t="shared" si="460"/>
        <v>11</v>
      </c>
      <c r="M349" s="608">
        <f t="shared" si="460"/>
        <v>7</v>
      </c>
      <c r="N349" s="608">
        <f t="shared" si="460"/>
        <v>15</v>
      </c>
      <c r="O349" s="608">
        <f t="shared" si="460"/>
        <v>18</v>
      </c>
      <c r="Q349" s="469">
        <f t="shared" si="446"/>
        <v>348</v>
      </c>
      <c r="R349" s="445" t="s">
        <v>85</v>
      </c>
      <c r="S349" s="162">
        <f>D349</f>
        <v>11</v>
      </c>
      <c r="T349" s="162">
        <f>S349+E349</f>
        <v>32</v>
      </c>
      <c r="U349" s="162">
        <f t="shared" ref="U349:AD349" si="461">T349+F349</f>
        <v>43</v>
      </c>
      <c r="V349" s="162">
        <f t="shared" si="461"/>
        <v>59</v>
      </c>
      <c r="W349" s="162">
        <f t="shared" si="461"/>
        <v>83</v>
      </c>
      <c r="X349" s="162">
        <f t="shared" si="461"/>
        <v>106</v>
      </c>
      <c r="Y349" s="162">
        <f t="shared" si="461"/>
        <v>113</v>
      </c>
      <c r="Z349" s="162">
        <f t="shared" si="461"/>
        <v>130</v>
      </c>
      <c r="AA349" s="162">
        <f t="shared" si="461"/>
        <v>141</v>
      </c>
      <c r="AB349" s="162">
        <f t="shared" si="461"/>
        <v>148</v>
      </c>
      <c r="AC349" s="162">
        <f t="shared" si="461"/>
        <v>163</v>
      </c>
      <c r="AD349" s="459">
        <f t="shared" si="461"/>
        <v>181</v>
      </c>
      <c r="AE349" s="469">
        <f t="shared" si="459"/>
        <v>348</v>
      </c>
      <c r="AF349" s="169">
        <f t="shared" si="444"/>
        <v>181</v>
      </c>
    </row>
    <row r="350" spans="2:32" x14ac:dyDescent="0.35">
      <c r="B350" s="420">
        <f t="shared" si="445"/>
        <v>349</v>
      </c>
      <c r="C350" s="444" t="s">
        <v>262</v>
      </c>
      <c r="D350" s="168">
        <v>45017</v>
      </c>
      <c r="E350" s="168">
        <v>45047</v>
      </c>
      <c r="F350" s="168">
        <v>45078</v>
      </c>
      <c r="G350" s="168">
        <v>45108</v>
      </c>
      <c r="H350" s="168">
        <v>45139</v>
      </c>
      <c r="I350" s="168">
        <v>45170</v>
      </c>
      <c r="J350" s="168">
        <v>45200</v>
      </c>
      <c r="K350" s="168">
        <v>45231</v>
      </c>
      <c r="L350" s="168">
        <v>45261</v>
      </c>
      <c r="M350" s="168">
        <v>45292</v>
      </c>
      <c r="N350" s="168">
        <v>45323</v>
      </c>
      <c r="O350" s="168">
        <v>45352</v>
      </c>
      <c r="P350" s="164"/>
      <c r="Q350" s="469">
        <f t="shared" si="446"/>
        <v>349</v>
      </c>
      <c r="R350" s="444" t="s">
        <v>262</v>
      </c>
      <c r="S350" s="168">
        <v>44287</v>
      </c>
      <c r="T350" s="168">
        <v>44317</v>
      </c>
      <c r="U350" s="168">
        <v>44348</v>
      </c>
      <c r="V350" s="168">
        <v>44378</v>
      </c>
      <c r="W350" s="168">
        <v>44409</v>
      </c>
      <c r="X350" s="168">
        <v>44440</v>
      </c>
      <c r="Y350" s="168">
        <v>44470</v>
      </c>
      <c r="Z350" s="168">
        <v>44501</v>
      </c>
      <c r="AA350" s="168">
        <v>44531</v>
      </c>
      <c r="AB350" s="168">
        <v>44562</v>
      </c>
      <c r="AC350" s="168">
        <v>44593</v>
      </c>
      <c r="AD350" s="168">
        <v>44621</v>
      </c>
      <c r="AE350" s="469">
        <f t="shared" si="459"/>
        <v>349</v>
      </c>
      <c r="AF350" s="169"/>
    </row>
    <row r="351" spans="2:32" x14ac:dyDescent="0.35">
      <c r="B351" s="420">
        <f t="shared" si="445"/>
        <v>350</v>
      </c>
      <c r="C351" s="444" t="s">
        <v>212</v>
      </c>
      <c r="D351" s="175">
        <f>'[2]Cyber Fraud'!AL3</f>
        <v>3</v>
      </c>
      <c r="E351" s="175">
        <f>'[2]Cyber Fraud'!AM3</f>
        <v>2</v>
      </c>
      <c r="F351" s="175">
        <f>'[2]Cyber Fraud'!AN3</f>
        <v>0</v>
      </c>
      <c r="G351" s="175">
        <f>'[2]Cyber Fraud'!AO3</f>
        <v>4</v>
      </c>
      <c r="H351" s="175">
        <f>'[2]Cyber Fraud'!AP3</f>
        <v>2</v>
      </c>
      <c r="I351" s="175">
        <f>'[2]Cyber Fraud'!AQ3</f>
        <v>4</v>
      </c>
      <c r="J351" s="175">
        <f>'[2]Cyber Fraud'!AR3</f>
        <v>3</v>
      </c>
      <c r="K351" s="175">
        <f>'[2]Cyber Fraud'!AS3</f>
        <v>0</v>
      </c>
      <c r="L351" s="175">
        <f>'[2]Cyber Fraud'!AT3</f>
        <v>1</v>
      </c>
      <c r="M351" s="175">
        <f>'[2]Cyber Fraud'!AU3</f>
        <v>1</v>
      </c>
      <c r="N351" s="175">
        <f>'[2]Cyber Fraud'!AV3</f>
        <v>3</v>
      </c>
      <c r="O351" s="175">
        <f>'[2]Cyber Fraud'!AW3</f>
        <v>1</v>
      </c>
      <c r="P351" s="175"/>
      <c r="Q351" s="469">
        <f t="shared" si="446"/>
        <v>350</v>
      </c>
      <c r="R351" s="444" t="s">
        <v>212</v>
      </c>
      <c r="S351" s="175">
        <f>D351</f>
        <v>3</v>
      </c>
      <c r="T351" s="175">
        <f>S351+E351</f>
        <v>5</v>
      </c>
      <c r="U351" s="175">
        <f t="shared" ref="U351:AD357" si="462">T351+F351</f>
        <v>5</v>
      </c>
      <c r="V351" s="175">
        <f t="shared" si="462"/>
        <v>9</v>
      </c>
      <c r="W351" s="175">
        <f t="shared" si="462"/>
        <v>11</v>
      </c>
      <c r="X351" s="175">
        <f t="shared" si="462"/>
        <v>15</v>
      </c>
      <c r="Y351" s="175">
        <f t="shared" si="462"/>
        <v>18</v>
      </c>
      <c r="Z351" s="175">
        <f t="shared" si="462"/>
        <v>18</v>
      </c>
      <c r="AA351" s="175">
        <f t="shared" si="462"/>
        <v>19</v>
      </c>
      <c r="AB351" s="175">
        <f t="shared" si="462"/>
        <v>20</v>
      </c>
      <c r="AC351" s="175">
        <f t="shared" si="462"/>
        <v>23</v>
      </c>
      <c r="AD351" s="464">
        <f t="shared" si="462"/>
        <v>24</v>
      </c>
      <c r="AE351" s="469">
        <f t="shared" si="459"/>
        <v>350</v>
      </c>
      <c r="AF351" s="169">
        <f t="shared" si="444"/>
        <v>24</v>
      </c>
    </row>
    <row r="352" spans="2:32" x14ac:dyDescent="0.35">
      <c r="B352" s="420">
        <f t="shared" si="445"/>
        <v>351</v>
      </c>
      <c r="C352" s="444" t="s">
        <v>213</v>
      </c>
      <c r="D352" s="175">
        <f>'[2]Cyber Fraud'!AL4</f>
        <v>7</v>
      </c>
      <c r="E352" s="175">
        <f>'[2]Cyber Fraud'!AM4</f>
        <v>6</v>
      </c>
      <c r="F352" s="175">
        <f>'[2]Cyber Fraud'!AN4</f>
        <v>11</v>
      </c>
      <c r="G352" s="175">
        <f>'[2]Cyber Fraud'!AO4</f>
        <v>9</v>
      </c>
      <c r="H352" s="175">
        <f>'[2]Cyber Fraud'!AP4</f>
        <v>4</v>
      </c>
      <c r="I352" s="175">
        <f>'[2]Cyber Fraud'!AQ4</f>
        <v>4</v>
      </c>
      <c r="J352" s="175">
        <f>'[2]Cyber Fraud'!AR4</f>
        <v>4</v>
      </c>
      <c r="K352" s="175">
        <f>'[2]Cyber Fraud'!AS4</f>
        <v>6</v>
      </c>
      <c r="L352" s="175">
        <f>'[2]Cyber Fraud'!AT4</f>
        <v>7</v>
      </c>
      <c r="M352" s="175">
        <f>'[2]Cyber Fraud'!AU4</f>
        <v>7</v>
      </c>
      <c r="N352" s="175">
        <f>'[2]Cyber Fraud'!AV4</f>
        <v>4</v>
      </c>
      <c r="O352" s="175">
        <f>'[2]Cyber Fraud'!AW4</f>
        <v>1</v>
      </c>
      <c r="P352" s="167"/>
      <c r="Q352" s="469">
        <f t="shared" si="446"/>
        <v>351</v>
      </c>
      <c r="R352" s="444" t="s">
        <v>213</v>
      </c>
      <c r="S352" s="175">
        <f t="shared" ref="S352:S382" si="463">D352</f>
        <v>7</v>
      </c>
      <c r="T352" s="175">
        <f t="shared" ref="T352:T382" si="464">S352+E352</f>
        <v>13</v>
      </c>
      <c r="U352" s="175">
        <f t="shared" si="462"/>
        <v>24</v>
      </c>
      <c r="V352" s="175">
        <f t="shared" si="462"/>
        <v>33</v>
      </c>
      <c r="W352" s="175">
        <f t="shared" si="462"/>
        <v>37</v>
      </c>
      <c r="X352" s="175">
        <f t="shared" si="462"/>
        <v>41</v>
      </c>
      <c r="Y352" s="175">
        <f t="shared" si="462"/>
        <v>45</v>
      </c>
      <c r="Z352" s="175">
        <f t="shared" si="462"/>
        <v>51</v>
      </c>
      <c r="AA352" s="175">
        <f t="shared" si="462"/>
        <v>58</v>
      </c>
      <c r="AB352" s="175">
        <f t="shared" si="462"/>
        <v>65</v>
      </c>
      <c r="AC352" s="175">
        <f t="shared" si="462"/>
        <v>69</v>
      </c>
      <c r="AD352" s="464">
        <f t="shared" si="462"/>
        <v>70</v>
      </c>
      <c r="AE352" s="469">
        <f t="shared" si="459"/>
        <v>351</v>
      </c>
      <c r="AF352" s="169">
        <f t="shared" si="444"/>
        <v>70</v>
      </c>
    </row>
    <row r="353" spans="2:32" x14ac:dyDescent="0.35">
      <c r="B353" s="420">
        <f t="shared" si="445"/>
        <v>352</v>
      </c>
      <c r="C353" s="444" t="s">
        <v>214</v>
      </c>
      <c r="D353" s="175">
        <f>'[2]Cyber Fraud'!AL5</f>
        <v>2</v>
      </c>
      <c r="E353" s="175">
        <f>'[2]Cyber Fraud'!AM5</f>
        <v>3</v>
      </c>
      <c r="F353" s="175">
        <f>'[2]Cyber Fraud'!AN5</f>
        <v>10</v>
      </c>
      <c r="G353" s="175">
        <f>'[2]Cyber Fraud'!AO5</f>
        <v>3</v>
      </c>
      <c r="H353" s="175">
        <f>'[2]Cyber Fraud'!AP5</f>
        <v>8</v>
      </c>
      <c r="I353" s="175">
        <f>'[2]Cyber Fraud'!AQ5</f>
        <v>4</v>
      </c>
      <c r="J353" s="175">
        <f>'[2]Cyber Fraud'!AR5</f>
        <v>3</v>
      </c>
      <c r="K353" s="175">
        <f>'[2]Cyber Fraud'!AS5</f>
        <v>3</v>
      </c>
      <c r="L353" s="175">
        <f>'[2]Cyber Fraud'!AT5</f>
        <v>4</v>
      </c>
      <c r="M353" s="175">
        <f>'[2]Cyber Fraud'!AU5</f>
        <v>3</v>
      </c>
      <c r="N353" s="175">
        <f>'[2]Cyber Fraud'!AV5</f>
        <v>2</v>
      </c>
      <c r="O353" s="175">
        <f>'[2]Cyber Fraud'!AW5</f>
        <v>6</v>
      </c>
      <c r="P353" s="167"/>
      <c r="Q353" s="469">
        <f t="shared" si="446"/>
        <v>352</v>
      </c>
      <c r="R353" s="444" t="s">
        <v>214</v>
      </c>
      <c r="S353" s="175">
        <f t="shared" si="463"/>
        <v>2</v>
      </c>
      <c r="T353" s="175">
        <f t="shared" si="464"/>
        <v>5</v>
      </c>
      <c r="U353" s="175">
        <f t="shared" si="462"/>
        <v>15</v>
      </c>
      <c r="V353" s="175">
        <f t="shared" si="462"/>
        <v>18</v>
      </c>
      <c r="W353" s="175">
        <f t="shared" si="462"/>
        <v>26</v>
      </c>
      <c r="X353" s="175">
        <f t="shared" si="462"/>
        <v>30</v>
      </c>
      <c r="Y353" s="175">
        <f t="shared" si="462"/>
        <v>33</v>
      </c>
      <c r="Z353" s="175">
        <f t="shared" si="462"/>
        <v>36</v>
      </c>
      <c r="AA353" s="175">
        <f t="shared" si="462"/>
        <v>40</v>
      </c>
      <c r="AB353" s="175">
        <f t="shared" si="462"/>
        <v>43</v>
      </c>
      <c r="AC353" s="175">
        <f t="shared" si="462"/>
        <v>45</v>
      </c>
      <c r="AD353" s="464">
        <f t="shared" si="462"/>
        <v>51</v>
      </c>
      <c r="AE353" s="469">
        <f t="shared" si="459"/>
        <v>352</v>
      </c>
      <c r="AF353" s="169">
        <f t="shared" si="444"/>
        <v>51</v>
      </c>
    </row>
    <row r="354" spans="2:32" x14ac:dyDescent="0.35">
      <c r="B354" s="420">
        <f t="shared" si="445"/>
        <v>353</v>
      </c>
      <c r="C354" s="444" t="s">
        <v>146</v>
      </c>
      <c r="D354" s="175">
        <f>'[2]Cyber Fraud'!AL6</f>
        <v>3</v>
      </c>
      <c r="E354" s="175">
        <f>'[2]Cyber Fraud'!AM6</f>
        <v>6</v>
      </c>
      <c r="F354" s="175">
        <f>'[2]Cyber Fraud'!AN6</f>
        <v>6</v>
      </c>
      <c r="G354" s="175">
        <f>'[2]Cyber Fraud'!AO6</f>
        <v>7</v>
      </c>
      <c r="H354" s="175">
        <f>'[2]Cyber Fraud'!AP6</f>
        <v>8</v>
      </c>
      <c r="I354" s="175">
        <f>'[2]Cyber Fraud'!AQ6</f>
        <v>6</v>
      </c>
      <c r="J354" s="175">
        <f>'[2]Cyber Fraud'!AR6</f>
        <v>2</v>
      </c>
      <c r="K354" s="175">
        <f>'[2]Cyber Fraud'!AS6</f>
        <v>3</v>
      </c>
      <c r="L354" s="175">
        <f>'[2]Cyber Fraud'!AT6</f>
        <v>4</v>
      </c>
      <c r="M354" s="175">
        <f>'[2]Cyber Fraud'!AU6</f>
        <v>3</v>
      </c>
      <c r="N354" s="175">
        <f>'[2]Cyber Fraud'!AV6</f>
        <v>3</v>
      </c>
      <c r="O354" s="175">
        <f>'[2]Cyber Fraud'!AW6</f>
        <v>6</v>
      </c>
      <c r="P354" s="167"/>
      <c r="Q354" s="469">
        <f t="shared" si="446"/>
        <v>353</v>
      </c>
      <c r="R354" s="444" t="s">
        <v>146</v>
      </c>
      <c r="S354" s="175">
        <f t="shared" si="463"/>
        <v>3</v>
      </c>
      <c r="T354" s="175">
        <f t="shared" si="464"/>
        <v>9</v>
      </c>
      <c r="U354" s="175">
        <f t="shared" si="462"/>
        <v>15</v>
      </c>
      <c r="V354" s="175">
        <f t="shared" si="462"/>
        <v>22</v>
      </c>
      <c r="W354" s="175">
        <f t="shared" si="462"/>
        <v>30</v>
      </c>
      <c r="X354" s="175">
        <f t="shared" si="462"/>
        <v>36</v>
      </c>
      <c r="Y354" s="175">
        <f t="shared" si="462"/>
        <v>38</v>
      </c>
      <c r="Z354" s="175">
        <f t="shared" si="462"/>
        <v>41</v>
      </c>
      <c r="AA354" s="175">
        <f t="shared" si="462"/>
        <v>45</v>
      </c>
      <c r="AB354" s="175">
        <f t="shared" si="462"/>
        <v>48</v>
      </c>
      <c r="AC354" s="175">
        <f t="shared" si="462"/>
        <v>51</v>
      </c>
      <c r="AD354" s="464">
        <f t="shared" si="462"/>
        <v>57</v>
      </c>
      <c r="AE354" s="469">
        <f t="shared" si="459"/>
        <v>353</v>
      </c>
      <c r="AF354" s="169">
        <f t="shared" si="444"/>
        <v>57</v>
      </c>
    </row>
    <row r="355" spans="2:32" x14ac:dyDescent="0.35">
      <c r="B355" s="420">
        <f t="shared" si="445"/>
        <v>354</v>
      </c>
      <c r="C355" s="444" t="s">
        <v>147</v>
      </c>
      <c r="D355" s="175">
        <f>'[2]Cyber Fraud'!AL7</f>
        <v>5</v>
      </c>
      <c r="E355" s="175">
        <f>'[2]Cyber Fraud'!AM7</f>
        <v>5</v>
      </c>
      <c r="F355" s="175">
        <f>'[2]Cyber Fraud'!AN7</f>
        <v>6</v>
      </c>
      <c r="G355" s="175">
        <f>'[2]Cyber Fraud'!AO7</f>
        <v>4</v>
      </c>
      <c r="H355" s="175">
        <f>'[2]Cyber Fraud'!AP7</f>
        <v>3</v>
      </c>
      <c r="I355" s="175">
        <f>'[2]Cyber Fraud'!AQ7</f>
        <v>6</v>
      </c>
      <c r="J355" s="175">
        <f>'[2]Cyber Fraud'!AR7</f>
        <v>5</v>
      </c>
      <c r="K355" s="175">
        <f>'[2]Cyber Fraud'!AS7</f>
        <v>5</v>
      </c>
      <c r="L355" s="175">
        <f>'[2]Cyber Fraud'!AT7</f>
        <v>10</v>
      </c>
      <c r="M355" s="175">
        <f>'[2]Cyber Fraud'!AU7</f>
        <v>4</v>
      </c>
      <c r="N355" s="175">
        <f>'[2]Cyber Fraud'!AV7</f>
        <v>4</v>
      </c>
      <c r="O355" s="175">
        <f>'[2]Cyber Fraud'!AW7</f>
        <v>2</v>
      </c>
      <c r="Q355" s="469">
        <f t="shared" si="446"/>
        <v>354</v>
      </c>
      <c r="R355" s="444" t="s">
        <v>147</v>
      </c>
      <c r="S355" s="175">
        <f t="shared" si="463"/>
        <v>5</v>
      </c>
      <c r="T355" s="175">
        <f t="shared" si="464"/>
        <v>10</v>
      </c>
      <c r="U355" s="175">
        <f t="shared" si="462"/>
        <v>16</v>
      </c>
      <c r="V355" s="175">
        <f t="shared" si="462"/>
        <v>20</v>
      </c>
      <c r="W355" s="175">
        <f t="shared" si="462"/>
        <v>23</v>
      </c>
      <c r="X355" s="175">
        <f t="shared" si="462"/>
        <v>29</v>
      </c>
      <c r="Y355" s="175">
        <f t="shared" si="462"/>
        <v>34</v>
      </c>
      <c r="Z355" s="175">
        <f t="shared" si="462"/>
        <v>39</v>
      </c>
      <c r="AA355" s="175">
        <f t="shared" si="462"/>
        <v>49</v>
      </c>
      <c r="AB355" s="175">
        <f t="shared" si="462"/>
        <v>53</v>
      </c>
      <c r="AC355" s="175">
        <f t="shared" si="462"/>
        <v>57</v>
      </c>
      <c r="AD355" s="464">
        <f t="shared" si="462"/>
        <v>59</v>
      </c>
      <c r="AE355" s="469">
        <f t="shared" si="459"/>
        <v>354</v>
      </c>
      <c r="AF355" s="169">
        <f t="shared" si="444"/>
        <v>59</v>
      </c>
    </row>
    <row r="356" spans="2:32" x14ac:dyDescent="0.35">
      <c r="B356" s="420">
        <f t="shared" si="445"/>
        <v>355</v>
      </c>
      <c r="C356" s="444" t="s">
        <v>62</v>
      </c>
      <c r="D356" s="175">
        <f>'[2]Cyber Fraud'!AL8</f>
        <v>8</v>
      </c>
      <c r="E356" s="175">
        <f>'[2]Cyber Fraud'!AM8</f>
        <v>11</v>
      </c>
      <c r="F356" s="175">
        <f>'[2]Cyber Fraud'!AN8</f>
        <v>12</v>
      </c>
      <c r="G356" s="175">
        <f>'[2]Cyber Fraud'!AO8</f>
        <v>11</v>
      </c>
      <c r="H356" s="175">
        <f>'[2]Cyber Fraud'!AP8</f>
        <v>11</v>
      </c>
      <c r="I356" s="175">
        <f>'[2]Cyber Fraud'!AQ8</f>
        <v>12</v>
      </c>
      <c r="J356" s="175">
        <f>'[2]Cyber Fraud'!AR8</f>
        <v>7</v>
      </c>
      <c r="K356" s="175">
        <f>'[2]Cyber Fraud'!AS8</f>
        <v>8</v>
      </c>
      <c r="L356" s="175">
        <f>'[2]Cyber Fraud'!AT8</f>
        <v>14</v>
      </c>
      <c r="M356" s="175">
        <f>'[2]Cyber Fraud'!AU8</f>
        <v>7</v>
      </c>
      <c r="N356" s="175">
        <f>'[2]Cyber Fraud'!AV8</f>
        <v>7</v>
      </c>
      <c r="O356" s="175">
        <f>'[2]Cyber Fraud'!AW8</f>
        <v>8</v>
      </c>
      <c r="Q356" s="469">
        <f t="shared" si="446"/>
        <v>355</v>
      </c>
      <c r="R356" s="444" t="s">
        <v>62</v>
      </c>
      <c r="S356" s="175">
        <f t="shared" si="463"/>
        <v>8</v>
      </c>
      <c r="T356" s="175">
        <f t="shared" si="464"/>
        <v>19</v>
      </c>
      <c r="U356" s="175">
        <f t="shared" si="462"/>
        <v>31</v>
      </c>
      <c r="V356" s="175">
        <f t="shared" si="462"/>
        <v>42</v>
      </c>
      <c r="W356" s="175">
        <f t="shared" si="462"/>
        <v>53</v>
      </c>
      <c r="X356" s="175">
        <f t="shared" si="462"/>
        <v>65</v>
      </c>
      <c r="Y356" s="175">
        <f t="shared" si="462"/>
        <v>72</v>
      </c>
      <c r="Z356" s="175">
        <f t="shared" si="462"/>
        <v>80</v>
      </c>
      <c r="AA356" s="175">
        <f t="shared" si="462"/>
        <v>94</v>
      </c>
      <c r="AB356" s="175">
        <f t="shared" si="462"/>
        <v>101</v>
      </c>
      <c r="AC356" s="175">
        <f t="shared" si="462"/>
        <v>108</v>
      </c>
      <c r="AD356" s="464">
        <f t="shared" si="462"/>
        <v>116</v>
      </c>
      <c r="AE356" s="469">
        <f t="shared" si="459"/>
        <v>355</v>
      </c>
      <c r="AF356" s="169">
        <f t="shared" si="444"/>
        <v>116</v>
      </c>
    </row>
    <row r="357" spans="2:32" x14ac:dyDescent="0.35">
      <c r="B357" s="420">
        <f t="shared" si="445"/>
        <v>356</v>
      </c>
      <c r="C357" s="444" t="s">
        <v>0</v>
      </c>
      <c r="D357" s="175">
        <f>'[2]Cyber Fraud'!AL9</f>
        <v>20</v>
      </c>
      <c r="E357" s="175">
        <f>'[2]Cyber Fraud'!AM9</f>
        <v>22</v>
      </c>
      <c r="F357" s="175">
        <f>'[2]Cyber Fraud'!AN9</f>
        <v>33</v>
      </c>
      <c r="G357" s="175">
        <f>'[2]Cyber Fraud'!AO9</f>
        <v>27</v>
      </c>
      <c r="H357" s="175">
        <f>'[2]Cyber Fraud'!AP9</f>
        <v>25</v>
      </c>
      <c r="I357" s="175">
        <f>'[2]Cyber Fraud'!AQ9</f>
        <v>24</v>
      </c>
      <c r="J357" s="175">
        <f>'[2]Cyber Fraud'!AR9</f>
        <v>17</v>
      </c>
      <c r="K357" s="175">
        <f>'[2]Cyber Fraud'!AS9</f>
        <v>17</v>
      </c>
      <c r="L357" s="175">
        <f>'[2]Cyber Fraud'!AT9</f>
        <v>26</v>
      </c>
      <c r="M357" s="175">
        <f>'[2]Cyber Fraud'!AU9</f>
        <v>18</v>
      </c>
      <c r="N357" s="175">
        <f>'[2]Cyber Fraud'!AV9</f>
        <v>16</v>
      </c>
      <c r="O357" s="175">
        <f>'[2]Cyber Fraud'!AW9</f>
        <v>16</v>
      </c>
      <c r="Q357" s="469">
        <f t="shared" si="446"/>
        <v>356</v>
      </c>
      <c r="R357" s="444" t="s">
        <v>0</v>
      </c>
      <c r="S357" s="175">
        <f t="shared" si="463"/>
        <v>20</v>
      </c>
      <c r="T357" s="175">
        <f t="shared" si="464"/>
        <v>42</v>
      </c>
      <c r="U357" s="175">
        <f t="shared" si="462"/>
        <v>75</v>
      </c>
      <c r="V357" s="175">
        <f t="shared" si="462"/>
        <v>102</v>
      </c>
      <c r="W357" s="175">
        <f t="shared" si="462"/>
        <v>127</v>
      </c>
      <c r="X357" s="175">
        <f t="shared" si="462"/>
        <v>151</v>
      </c>
      <c r="Y357" s="175">
        <f t="shared" si="462"/>
        <v>168</v>
      </c>
      <c r="Z357" s="175">
        <f t="shared" si="462"/>
        <v>185</v>
      </c>
      <c r="AA357" s="175">
        <f t="shared" si="462"/>
        <v>211</v>
      </c>
      <c r="AB357" s="175">
        <f t="shared" si="462"/>
        <v>229</v>
      </c>
      <c r="AC357" s="175">
        <f t="shared" si="462"/>
        <v>245</v>
      </c>
      <c r="AD357" s="464">
        <f t="shared" si="462"/>
        <v>261</v>
      </c>
      <c r="AE357" s="469">
        <f t="shared" si="459"/>
        <v>356</v>
      </c>
      <c r="AF357" s="169">
        <f t="shared" si="444"/>
        <v>261</v>
      </c>
    </row>
    <row r="358" spans="2:32" x14ac:dyDescent="0.35">
      <c r="B358" s="420">
        <f t="shared" si="445"/>
        <v>357</v>
      </c>
      <c r="C358" s="456" t="s">
        <v>228</v>
      </c>
      <c r="D358" s="168">
        <v>45017</v>
      </c>
      <c r="E358" s="168">
        <v>45047</v>
      </c>
      <c r="F358" s="168">
        <v>45078</v>
      </c>
      <c r="G358" s="168">
        <v>45108</v>
      </c>
      <c r="H358" s="168">
        <v>45139</v>
      </c>
      <c r="I358" s="168">
        <v>45170</v>
      </c>
      <c r="J358" s="168">
        <v>45200</v>
      </c>
      <c r="K358" s="168">
        <v>45231</v>
      </c>
      <c r="L358" s="168">
        <v>45261</v>
      </c>
      <c r="M358" s="168">
        <v>45292</v>
      </c>
      <c r="N358" s="168">
        <v>45323</v>
      </c>
      <c r="O358" s="168">
        <v>45352</v>
      </c>
      <c r="P358" s="164"/>
      <c r="Q358" s="469">
        <f t="shared" si="446"/>
        <v>357</v>
      </c>
      <c r="R358" s="456" t="s">
        <v>228</v>
      </c>
      <c r="S358" s="168">
        <v>44287</v>
      </c>
      <c r="T358" s="168">
        <v>44317</v>
      </c>
      <c r="U358" s="168">
        <v>44348</v>
      </c>
      <c r="V358" s="168">
        <v>44378</v>
      </c>
      <c r="W358" s="168">
        <v>44409</v>
      </c>
      <c r="X358" s="168">
        <v>44440</v>
      </c>
      <c r="Y358" s="168">
        <v>44470</v>
      </c>
      <c r="Z358" s="168">
        <v>44501</v>
      </c>
      <c r="AA358" s="168">
        <v>44531</v>
      </c>
      <c r="AB358" s="168">
        <v>44562</v>
      </c>
      <c r="AC358" s="168">
        <v>44593</v>
      </c>
      <c r="AD358" s="168">
        <v>44621</v>
      </c>
      <c r="AE358" s="469">
        <f t="shared" si="459"/>
        <v>357</v>
      </c>
      <c r="AF358" s="169"/>
    </row>
    <row r="359" spans="2:32" x14ac:dyDescent="0.35">
      <c r="B359" s="420">
        <f t="shared" si="445"/>
        <v>358</v>
      </c>
      <c r="C359" s="458" t="s">
        <v>267</v>
      </c>
      <c r="D359" s="175" t="s">
        <v>449</v>
      </c>
      <c r="E359" s="175" t="s">
        <v>449</v>
      </c>
      <c r="F359" s="175" t="s">
        <v>449</v>
      </c>
      <c r="G359" s="175" t="s">
        <v>449</v>
      </c>
      <c r="H359" s="175" t="s">
        <v>449</v>
      </c>
      <c r="I359" s="175" t="s">
        <v>449</v>
      </c>
      <c r="J359" s="175" t="s">
        <v>449</v>
      </c>
      <c r="K359" s="175" t="s">
        <v>449</v>
      </c>
      <c r="L359" s="175" t="s">
        <v>449</v>
      </c>
      <c r="M359" s="175" t="s">
        <v>449</v>
      </c>
      <c r="N359" s="175" t="s">
        <v>449</v>
      </c>
      <c r="O359" s="175" t="s">
        <v>449</v>
      </c>
      <c r="P359" s="175"/>
      <c r="Q359" s="469">
        <f t="shared" si="446"/>
        <v>358</v>
      </c>
      <c r="R359" s="458" t="s">
        <v>267</v>
      </c>
      <c r="S359" s="175" t="str">
        <f t="shared" si="463"/>
        <v>n/a</v>
      </c>
      <c r="T359" s="175" t="e">
        <f t="shared" si="464"/>
        <v>#VALUE!</v>
      </c>
      <c r="U359" s="175" t="e">
        <f t="shared" ref="U359:U382" si="465">T359+F359</f>
        <v>#VALUE!</v>
      </c>
      <c r="V359" s="175" t="e">
        <f t="shared" ref="V359:V382" si="466">U359+G359</f>
        <v>#VALUE!</v>
      </c>
      <c r="W359" s="175" t="e">
        <f t="shared" ref="W359:W382" si="467">V359+H359</f>
        <v>#VALUE!</v>
      </c>
      <c r="X359" s="175" t="e">
        <f t="shared" ref="X359:X382" si="468">W359+I359</f>
        <v>#VALUE!</v>
      </c>
      <c r="Y359" s="175" t="e">
        <f t="shared" ref="Y359:Y382" si="469">X359+J359</f>
        <v>#VALUE!</v>
      </c>
      <c r="Z359" s="175" t="e">
        <f t="shared" ref="Z359:Z382" si="470">Y359+K359</f>
        <v>#VALUE!</v>
      </c>
      <c r="AA359" s="175" t="e">
        <f t="shared" ref="AA359:AA382" si="471">Z359+L359</f>
        <v>#VALUE!</v>
      </c>
      <c r="AB359" s="175" t="e">
        <f t="shared" ref="AB359:AB382" si="472">AA359+M359</f>
        <v>#VALUE!</v>
      </c>
      <c r="AC359" s="175" t="e">
        <f t="shared" ref="AC359:AC382" si="473">AB359+N359</f>
        <v>#VALUE!</v>
      </c>
      <c r="AD359" s="464" t="e">
        <f t="shared" ref="AD359:AD382" si="474">AC359+O359</f>
        <v>#VALUE!</v>
      </c>
      <c r="AE359" s="469">
        <f t="shared" si="459"/>
        <v>358</v>
      </c>
      <c r="AF359" s="169">
        <f t="shared" si="444"/>
        <v>0</v>
      </c>
    </row>
    <row r="360" spans="2:32" x14ac:dyDescent="0.35">
      <c r="B360" s="420">
        <f t="shared" si="445"/>
        <v>359</v>
      </c>
      <c r="C360" s="457" t="s">
        <v>264</v>
      </c>
      <c r="D360" s="175" t="s">
        <v>449</v>
      </c>
      <c r="E360" s="175" t="s">
        <v>449</v>
      </c>
      <c r="F360" s="175" t="s">
        <v>449</v>
      </c>
      <c r="G360" s="175" t="s">
        <v>449</v>
      </c>
      <c r="H360" s="175" t="s">
        <v>449</v>
      </c>
      <c r="I360" s="175" t="s">
        <v>449</v>
      </c>
      <c r="J360" s="175" t="s">
        <v>449</v>
      </c>
      <c r="K360" s="175" t="s">
        <v>449</v>
      </c>
      <c r="L360" s="175" t="s">
        <v>449</v>
      </c>
      <c r="M360" s="175" t="s">
        <v>449</v>
      </c>
      <c r="N360" s="175" t="s">
        <v>449</v>
      </c>
      <c r="O360" s="175" t="s">
        <v>449</v>
      </c>
      <c r="P360" s="167"/>
      <c r="Q360" s="469">
        <f t="shared" si="446"/>
        <v>359</v>
      </c>
      <c r="R360" s="457" t="s">
        <v>264</v>
      </c>
      <c r="S360" s="175" t="str">
        <f t="shared" si="463"/>
        <v>n/a</v>
      </c>
      <c r="T360" s="175" t="e">
        <f t="shared" si="464"/>
        <v>#VALUE!</v>
      </c>
      <c r="U360" s="175" t="e">
        <f t="shared" si="465"/>
        <v>#VALUE!</v>
      </c>
      <c r="V360" s="175" t="e">
        <f t="shared" si="466"/>
        <v>#VALUE!</v>
      </c>
      <c r="W360" s="175" t="e">
        <f t="shared" si="467"/>
        <v>#VALUE!</v>
      </c>
      <c r="X360" s="175" t="e">
        <f t="shared" si="468"/>
        <v>#VALUE!</v>
      </c>
      <c r="Y360" s="175" t="e">
        <f t="shared" si="469"/>
        <v>#VALUE!</v>
      </c>
      <c r="Z360" s="175" t="e">
        <f t="shared" si="470"/>
        <v>#VALUE!</v>
      </c>
      <c r="AA360" s="175" t="e">
        <f t="shared" si="471"/>
        <v>#VALUE!</v>
      </c>
      <c r="AB360" s="175" t="e">
        <f t="shared" si="472"/>
        <v>#VALUE!</v>
      </c>
      <c r="AC360" s="175" t="e">
        <f t="shared" si="473"/>
        <v>#VALUE!</v>
      </c>
      <c r="AD360" s="464" t="e">
        <f t="shared" si="474"/>
        <v>#VALUE!</v>
      </c>
      <c r="AE360" s="469">
        <f t="shared" si="459"/>
        <v>359</v>
      </c>
      <c r="AF360" s="169">
        <f t="shared" ref="AF360:AF382" si="475">SUM(D360:O360)</f>
        <v>0</v>
      </c>
    </row>
    <row r="361" spans="2:32" x14ac:dyDescent="0.35">
      <c r="B361" s="420">
        <f t="shared" si="445"/>
        <v>360</v>
      </c>
      <c r="C361" s="457" t="s">
        <v>265</v>
      </c>
      <c r="D361" s="175" t="s">
        <v>449</v>
      </c>
      <c r="E361" s="175" t="s">
        <v>449</v>
      </c>
      <c r="F361" s="175" t="s">
        <v>449</v>
      </c>
      <c r="G361" s="175" t="s">
        <v>449</v>
      </c>
      <c r="H361" s="175" t="s">
        <v>449</v>
      </c>
      <c r="I361" s="175" t="s">
        <v>449</v>
      </c>
      <c r="J361" s="175" t="s">
        <v>449</v>
      </c>
      <c r="K361" s="175" t="s">
        <v>449</v>
      </c>
      <c r="L361" s="175" t="s">
        <v>449</v>
      </c>
      <c r="M361" s="175" t="s">
        <v>449</v>
      </c>
      <c r="N361" s="175" t="s">
        <v>449</v>
      </c>
      <c r="O361" s="175" t="s">
        <v>449</v>
      </c>
      <c r="P361" s="167"/>
      <c r="Q361" s="469">
        <f t="shared" si="446"/>
        <v>360</v>
      </c>
      <c r="R361" s="457" t="s">
        <v>265</v>
      </c>
      <c r="S361" s="175" t="str">
        <f t="shared" si="463"/>
        <v>n/a</v>
      </c>
      <c r="T361" s="175" t="e">
        <f t="shared" si="464"/>
        <v>#VALUE!</v>
      </c>
      <c r="U361" s="175" t="e">
        <f t="shared" si="465"/>
        <v>#VALUE!</v>
      </c>
      <c r="V361" s="175" t="e">
        <f t="shared" si="466"/>
        <v>#VALUE!</v>
      </c>
      <c r="W361" s="175" t="e">
        <f t="shared" si="467"/>
        <v>#VALUE!</v>
      </c>
      <c r="X361" s="175" t="e">
        <f t="shared" si="468"/>
        <v>#VALUE!</v>
      </c>
      <c r="Y361" s="175" t="e">
        <f t="shared" si="469"/>
        <v>#VALUE!</v>
      </c>
      <c r="Z361" s="175" t="e">
        <f t="shared" si="470"/>
        <v>#VALUE!</v>
      </c>
      <c r="AA361" s="175" t="e">
        <f t="shared" si="471"/>
        <v>#VALUE!</v>
      </c>
      <c r="AB361" s="175" t="e">
        <f t="shared" si="472"/>
        <v>#VALUE!</v>
      </c>
      <c r="AC361" s="175" t="e">
        <f t="shared" si="473"/>
        <v>#VALUE!</v>
      </c>
      <c r="AD361" s="464" t="e">
        <f t="shared" si="474"/>
        <v>#VALUE!</v>
      </c>
      <c r="AE361" s="469">
        <f t="shared" si="459"/>
        <v>360</v>
      </c>
      <c r="AF361" s="169">
        <f t="shared" si="475"/>
        <v>0</v>
      </c>
    </row>
    <row r="362" spans="2:32" x14ac:dyDescent="0.35">
      <c r="B362" s="420">
        <f t="shared" si="445"/>
        <v>361</v>
      </c>
      <c r="C362" s="457" t="s">
        <v>266</v>
      </c>
      <c r="D362" s="175" t="s">
        <v>449</v>
      </c>
      <c r="E362" s="175" t="s">
        <v>449</v>
      </c>
      <c r="F362" s="175" t="s">
        <v>449</v>
      </c>
      <c r="G362" s="175" t="s">
        <v>449</v>
      </c>
      <c r="H362" s="175" t="s">
        <v>449</v>
      </c>
      <c r="I362" s="175" t="s">
        <v>449</v>
      </c>
      <c r="J362" s="175" t="s">
        <v>449</v>
      </c>
      <c r="K362" s="175" t="s">
        <v>449</v>
      </c>
      <c r="L362" s="175" t="s">
        <v>449</v>
      </c>
      <c r="M362" s="175" t="s">
        <v>449</v>
      </c>
      <c r="N362" s="175" t="s">
        <v>449</v>
      </c>
      <c r="O362" s="175" t="s">
        <v>449</v>
      </c>
      <c r="P362" s="167"/>
      <c r="Q362" s="469">
        <f t="shared" si="446"/>
        <v>361</v>
      </c>
      <c r="R362" s="457" t="s">
        <v>266</v>
      </c>
      <c r="S362" s="175" t="str">
        <f t="shared" si="463"/>
        <v>n/a</v>
      </c>
      <c r="T362" s="175" t="e">
        <f t="shared" si="464"/>
        <v>#VALUE!</v>
      </c>
      <c r="U362" s="175" t="e">
        <f t="shared" si="465"/>
        <v>#VALUE!</v>
      </c>
      <c r="V362" s="175" t="e">
        <f t="shared" si="466"/>
        <v>#VALUE!</v>
      </c>
      <c r="W362" s="175" t="e">
        <f t="shared" si="467"/>
        <v>#VALUE!</v>
      </c>
      <c r="X362" s="175" t="e">
        <f t="shared" si="468"/>
        <v>#VALUE!</v>
      </c>
      <c r="Y362" s="175" t="e">
        <f t="shared" si="469"/>
        <v>#VALUE!</v>
      </c>
      <c r="Z362" s="175" t="e">
        <f t="shared" si="470"/>
        <v>#VALUE!</v>
      </c>
      <c r="AA362" s="175" t="e">
        <f t="shared" si="471"/>
        <v>#VALUE!</v>
      </c>
      <c r="AB362" s="175" t="e">
        <f t="shared" si="472"/>
        <v>#VALUE!</v>
      </c>
      <c r="AC362" s="175" t="e">
        <f t="shared" si="473"/>
        <v>#VALUE!</v>
      </c>
      <c r="AD362" s="464" t="e">
        <f t="shared" si="474"/>
        <v>#VALUE!</v>
      </c>
      <c r="AE362" s="469">
        <f t="shared" si="459"/>
        <v>361</v>
      </c>
      <c r="AF362" s="169">
        <f t="shared" si="475"/>
        <v>0</v>
      </c>
    </row>
    <row r="363" spans="2:32" x14ac:dyDescent="0.35">
      <c r="B363" s="420">
        <f t="shared" si="445"/>
        <v>362</v>
      </c>
      <c r="C363" s="458" t="s">
        <v>283</v>
      </c>
      <c r="D363" s="175" t="s">
        <v>449</v>
      </c>
      <c r="E363" s="175" t="s">
        <v>449</v>
      </c>
      <c r="F363" s="175" t="s">
        <v>449</v>
      </c>
      <c r="G363" s="175" t="s">
        <v>449</v>
      </c>
      <c r="H363" s="175" t="s">
        <v>449</v>
      </c>
      <c r="I363" s="175" t="s">
        <v>449</v>
      </c>
      <c r="J363" s="175" t="s">
        <v>449</v>
      </c>
      <c r="K363" s="175" t="s">
        <v>449</v>
      </c>
      <c r="L363" s="175" t="s">
        <v>449</v>
      </c>
      <c r="M363" s="175" t="s">
        <v>449</v>
      </c>
      <c r="N363" s="175" t="s">
        <v>449</v>
      </c>
      <c r="O363" s="175" t="s">
        <v>449</v>
      </c>
      <c r="Q363" s="469">
        <f t="shared" si="446"/>
        <v>362</v>
      </c>
      <c r="R363" s="458" t="s">
        <v>283</v>
      </c>
      <c r="S363" s="175" t="str">
        <f t="shared" si="463"/>
        <v>n/a</v>
      </c>
      <c r="T363" s="175" t="e">
        <f t="shared" si="464"/>
        <v>#VALUE!</v>
      </c>
      <c r="U363" s="175" t="e">
        <f t="shared" si="465"/>
        <v>#VALUE!</v>
      </c>
      <c r="V363" s="175" t="e">
        <f t="shared" si="466"/>
        <v>#VALUE!</v>
      </c>
      <c r="W363" s="175" t="e">
        <f t="shared" si="467"/>
        <v>#VALUE!</v>
      </c>
      <c r="X363" s="175" t="e">
        <f t="shared" si="468"/>
        <v>#VALUE!</v>
      </c>
      <c r="Y363" s="175" t="e">
        <f t="shared" si="469"/>
        <v>#VALUE!</v>
      </c>
      <c r="Z363" s="175" t="e">
        <f t="shared" si="470"/>
        <v>#VALUE!</v>
      </c>
      <c r="AA363" s="175" t="e">
        <f t="shared" si="471"/>
        <v>#VALUE!</v>
      </c>
      <c r="AB363" s="175" t="e">
        <f t="shared" si="472"/>
        <v>#VALUE!</v>
      </c>
      <c r="AC363" s="175" t="e">
        <f t="shared" si="473"/>
        <v>#VALUE!</v>
      </c>
      <c r="AD363" s="464" t="e">
        <f t="shared" si="474"/>
        <v>#VALUE!</v>
      </c>
      <c r="AE363" s="469">
        <f t="shared" si="459"/>
        <v>362</v>
      </c>
      <c r="AF363" s="169">
        <f t="shared" si="475"/>
        <v>0</v>
      </c>
    </row>
    <row r="364" spans="2:32" x14ac:dyDescent="0.35">
      <c r="B364" s="420">
        <f t="shared" si="445"/>
        <v>363</v>
      </c>
      <c r="C364" s="457" t="s">
        <v>268</v>
      </c>
      <c r="D364" s="175" t="s">
        <v>449</v>
      </c>
      <c r="E364" s="175" t="s">
        <v>449</v>
      </c>
      <c r="F364" s="175" t="s">
        <v>449</v>
      </c>
      <c r="G364" s="175" t="s">
        <v>449</v>
      </c>
      <c r="H364" s="175" t="s">
        <v>449</v>
      </c>
      <c r="I364" s="175" t="s">
        <v>449</v>
      </c>
      <c r="J364" s="175" t="s">
        <v>449</v>
      </c>
      <c r="K364" s="175" t="s">
        <v>449</v>
      </c>
      <c r="L364" s="175" t="s">
        <v>449</v>
      </c>
      <c r="M364" s="175" t="s">
        <v>449</v>
      </c>
      <c r="N364" s="175" t="s">
        <v>449</v>
      </c>
      <c r="O364" s="175" t="s">
        <v>449</v>
      </c>
      <c r="Q364" s="469">
        <f t="shared" si="446"/>
        <v>363</v>
      </c>
      <c r="R364" s="457" t="s">
        <v>268</v>
      </c>
      <c r="S364" s="175" t="str">
        <f t="shared" si="463"/>
        <v>n/a</v>
      </c>
      <c r="T364" s="175" t="e">
        <f t="shared" si="464"/>
        <v>#VALUE!</v>
      </c>
      <c r="U364" s="175" t="e">
        <f t="shared" si="465"/>
        <v>#VALUE!</v>
      </c>
      <c r="V364" s="175" t="e">
        <f t="shared" si="466"/>
        <v>#VALUE!</v>
      </c>
      <c r="W364" s="175" t="e">
        <f t="shared" si="467"/>
        <v>#VALUE!</v>
      </c>
      <c r="X364" s="175" t="e">
        <f t="shared" si="468"/>
        <v>#VALUE!</v>
      </c>
      <c r="Y364" s="175" t="e">
        <f t="shared" si="469"/>
        <v>#VALUE!</v>
      </c>
      <c r="Z364" s="175" t="e">
        <f t="shared" si="470"/>
        <v>#VALUE!</v>
      </c>
      <c r="AA364" s="175" t="e">
        <f t="shared" si="471"/>
        <v>#VALUE!</v>
      </c>
      <c r="AB364" s="175" t="e">
        <f t="shared" si="472"/>
        <v>#VALUE!</v>
      </c>
      <c r="AC364" s="175" t="e">
        <f t="shared" si="473"/>
        <v>#VALUE!</v>
      </c>
      <c r="AD364" s="464" t="e">
        <f t="shared" si="474"/>
        <v>#VALUE!</v>
      </c>
      <c r="AE364" s="469">
        <f t="shared" si="459"/>
        <v>363</v>
      </c>
      <c r="AF364" s="169">
        <f t="shared" si="475"/>
        <v>0</v>
      </c>
    </row>
    <row r="365" spans="2:32" x14ac:dyDescent="0.35">
      <c r="B365" s="420">
        <f t="shared" si="445"/>
        <v>364</v>
      </c>
      <c r="C365" s="457" t="s">
        <v>269</v>
      </c>
      <c r="D365" s="175" t="s">
        <v>449</v>
      </c>
      <c r="E365" s="175" t="s">
        <v>449</v>
      </c>
      <c r="F365" s="175" t="s">
        <v>449</v>
      </c>
      <c r="G365" s="175" t="s">
        <v>449</v>
      </c>
      <c r="H365" s="175" t="s">
        <v>449</v>
      </c>
      <c r="I365" s="175" t="s">
        <v>449</v>
      </c>
      <c r="J365" s="175" t="s">
        <v>449</v>
      </c>
      <c r="K365" s="175" t="s">
        <v>449</v>
      </c>
      <c r="L365" s="175" t="s">
        <v>449</v>
      </c>
      <c r="M365" s="175" t="s">
        <v>449</v>
      </c>
      <c r="N365" s="175" t="s">
        <v>449</v>
      </c>
      <c r="O365" s="175" t="s">
        <v>449</v>
      </c>
      <c r="Q365" s="469">
        <f t="shared" si="446"/>
        <v>364</v>
      </c>
      <c r="R365" s="457" t="s">
        <v>269</v>
      </c>
      <c r="S365" s="175" t="str">
        <f t="shared" si="463"/>
        <v>n/a</v>
      </c>
      <c r="T365" s="175" t="e">
        <f t="shared" si="464"/>
        <v>#VALUE!</v>
      </c>
      <c r="U365" s="175" t="e">
        <f t="shared" si="465"/>
        <v>#VALUE!</v>
      </c>
      <c r="V365" s="175" t="e">
        <f t="shared" si="466"/>
        <v>#VALUE!</v>
      </c>
      <c r="W365" s="175" t="e">
        <f t="shared" si="467"/>
        <v>#VALUE!</v>
      </c>
      <c r="X365" s="175" t="e">
        <f t="shared" si="468"/>
        <v>#VALUE!</v>
      </c>
      <c r="Y365" s="175" t="e">
        <f t="shared" si="469"/>
        <v>#VALUE!</v>
      </c>
      <c r="Z365" s="175" t="e">
        <f t="shared" si="470"/>
        <v>#VALUE!</v>
      </c>
      <c r="AA365" s="175" t="e">
        <f t="shared" si="471"/>
        <v>#VALUE!</v>
      </c>
      <c r="AB365" s="175" t="e">
        <f t="shared" si="472"/>
        <v>#VALUE!</v>
      </c>
      <c r="AC365" s="175" t="e">
        <f t="shared" si="473"/>
        <v>#VALUE!</v>
      </c>
      <c r="AD365" s="464" t="e">
        <f t="shared" si="474"/>
        <v>#VALUE!</v>
      </c>
      <c r="AE365" s="469">
        <f t="shared" si="459"/>
        <v>364</v>
      </c>
      <c r="AF365" s="169">
        <f t="shared" si="475"/>
        <v>0</v>
      </c>
    </row>
    <row r="366" spans="2:32" x14ac:dyDescent="0.35">
      <c r="B366" s="420">
        <f t="shared" si="445"/>
        <v>365</v>
      </c>
      <c r="C366" s="457" t="s">
        <v>270</v>
      </c>
      <c r="D366" s="175" t="s">
        <v>449</v>
      </c>
      <c r="E366" s="175" t="s">
        <v>449</v>
      </c>
      <c r="F366" s="175" t="s">
        <v>449</v>
      </c>
      <c r="G366" s="175" t="s">
        <v>449</v>
      </c>
      <c r="H366" s="175" t="s">
        <v>449</v>
      </c>
      <c r="I366" s="175" t="s">
        <v>449</v>
      </c>
      <c r="J366" s="175" t="s">
        <v>449</v>
      </c>
      <c r="K366" s="175" t="s">
        <v>449</v>
      </c>
      <c r="L366" s="175" t="s">
        <v>449</v>
      </c>
      <c r="M366" s="175" t="s">
        <v>449</v>
      </c>
      <c r="N366" s="175" t="s">
        <v>449</v>
      </c>
      <c r="O366" s="175" t="s">
        <v>449</v>
      </c>
      <c r="P366" s="772"/>
      <c r="Q366" s="469">
        <f t="shared" si="446"/>
        <v>365</v>
      </c>
      <c r="R366" s="457" t="s">
        <v>270</v>
      </c>
      <c r="S366" s="175" t="str">
        <f t="shared" si="463"/>
        <v>n/a</v>
      </c>
      <c r="T366" s="175" t="e">
        <f t="shared" si="464"/>
        <v>#VALUE!</v>
      </c>
      <c r="U366" s="175" t="e">
        <f t="shared" si="465"/>
        <v>#VALUE!</v>
      </c>
      <c r="V366" s="175" t="e">
        <f t="shared" si="466"/>
        <v>#VALUE!</v>
      </c>
      <c r="W366" s="175" t="e">
        <f t="shared" si="467"/>
        <v>#VALUE!</v>
      </c>
      <c r="X366" s="175" t="e">
        <f t="shared" si="468"/>
        <v>#VALUE!</v>
      </c>
      <c r="Y366" s="175" t="e">
        <f t="shared" si="469"/>
        <v>#VALUE!</v>
      </c>
      <c r="Z366" s="175" t="e">
        <f t="shared" si="470"/>
        <v>#VALUE!</v>
      </c>
      <c r="AA366" s="175" t="e">
        <f t="shared" si="471"/>
        <v>#VALUE!</v>
      </c>
      <c r="AB366" s="175" t="e">
        <f t="shared" si="472"/>
        <v>#VALUE!</v>
      </c>
      <c r="AC366" s="175" t="e">
        <f t="shared" si="473"/>
        <v>#VALUE!</v>
      </c>
      <c r="AD366" s="464" t="e">
        <f t="shared" si="474"/>
        <v>#VALUE!</v>
      </c>
      <c r="AE366" s="469">
        <f t="shared" si="459"/>
        <v>365</v>
      </c>
      <c r="AF366" s="169">
        <f t="shared" si="475"/>
        <v>0</v>
      </c>
    </row>
    <row r="367" spans="2:32" x14ac:dyDescent="0.35">
      <c r="B367" s="420">
        <f t="shared" si="445"/>
        <v>366</v>
      </c>
      <c r="C367" s="458" t="s">
        <v>284</v>
      </c>
      <c r="D367" s="175" t="s">
        <v>449</v>
      </c>
      <c r="E367" s="175" t="s">
        <v>449</v>
      </c>
      <c r="F367" s="175" t="s">
        <v>449</v>
      </c>
      <c r="G367" s="175" t="s">
        <v>449</v>
      </c>
      <c r="H367" s="175" t="s">
        <v>449</v>
      </c>
      <c r="I367" s="175" t="s">
        <v>449</v>
      </c>
      <c r="J367" s="175" t="s">
        <v>449</v>
      </c>
      <c r="K367" s="175" t="s">
        <v>449</v>
      </c>
      <c r="L367" s="175" t="s">
        <v>449</v>
      </c>
      <c r="M367" s="175" t="s">
        <v>449</v>
      </c>
      <c r="N367" s="175" t="s">
        <v>449</v>
      </c>
      <c r="O367" s="175" t="s">
        <v>449</v>
      </c>
      <c r="P367" s="175"/>
      <c r="Q367" s="469">
        <f t="shared" si="446"/>
        <v>366</v>
      </c>
      <c r="R367" s="458" t="s">
        <v>284</v>
      </c>
      <c r="S367" s="175" t="str">
        <f t="shared" si="463"/>
        <v>n/a</v>
      </c>
      <c r="T367" s="175" t="e">
        <f t="shared" si="464"/>
        <v>#VALUE!</v>
      </c>
      <c r="U367" s="175" t="e">
        <f t="shared" si="465"/>
        <v>#VALUE!</v>
      </c>
      <c r="V367" s="175" t="e">
        <f t="shared" si="466"/>
        <v>#VALUE!</v>
      </c>
      <c r="W367" s="175" t="e">
        <f t="shared" si="467"/>
        <v>#VALUE!</v>
      </c>
      <c r="X367" s="175" t="e">
        <f t="shared" si="468"/>
        <v>#VALUE!</v>
      </c>
      <c r="Y367" s="175" t="e">
        <f t="shared" si="469"/>
        <v>#VALUE!</v>
      </c>
      <c r="Z367" s="175" t="e">
        <f t="shared" si="470"/>
        <v>#VALUE!</v>
      </c>
      <c r="AA367" s="175" t="e">
        <f t="shared" si="471"/>
        <v>#VALUE!</v>
      </c>
      <c r="AB367" s="175" t="e">
        <f t="shared" si="472"/>
        <v>#VALUE!</v>
      </c>
      <c r="AC367" s="175" t="e">
        <f t="shared" si="473"/>
        <v>#VALUE!</v>
      </c>
      <c r="AD367" s="464" t="e">
        <f t="shared" si="474"/>
        <v>#VALUE!</v>
      </c>
      <c r="AE367" s="469">
        <f t="shared" si="459"/>
        <v>366</v>
      </c>
      <c r="AF367" s="169">
        <f t="shared" si="475"/>
        <v>0</v>
      </c>
    </row>
    <row r="368" spans="2:32" x14ac:dyDescent="0.35">
      <c r="B368" s="420">
        <f t="shared" si="445"/>
        <v>367</v>
      </c>
      <c r="C368" s="457" t="s">
        <v>271</v>
      </c>
      <c r="D368" s="175" t="s">
        <v>449</v>
      </c>
      <c r="E368" s="175" t="s">
        <v>449</v>
      </c>
      <c r="F368" s="175" t="s">
        <v>449</v>
      </c>
      <c r="G368" s="175" t="s">
        <v>449</v>
      </c>
      <c r="H368" s="175" t="s">
        <v>449</v>
      </c>
      <c r="I368" s="175" t="s">
        <v>449</v>
      </c>
      <c r="J368" s="175" t="s">
        <v>449</v>
      </c>
      <c r="K368" s="175" t="s">
        <v>449</v>
      </c>
      <c r="L368" s="175" t="s">
        <v>449</v>
      </c>
      <c r="M368" s="175" t="s">
        <v>449</v>
      </c>
      <c r="N368" s="175" t="s">
        <v>449</v>
      </c>
      <c r="O368" s="175" t="s">
        <v>449</v>
      </c>
      <c r="P368" s="167"/>
      <c r="Q368" s="469">
        <f t="shared" si="446"/>
        <v>367</v>
      </c>
      <c r="R368" s="457" t="s">
        <v>271</v>
      </c>
      <c r="S368" s="175" t="str">
        <f t="shared" si="463"/>
        <v>n/a</v>
      </c>
      <c r="T368" s="175" t="e">
        <f t="shared" si="464"/>
        <v>#VALUE!</v>
      </c>
      <c r="U368" s="175" t="e">
        <f t="shared" si="465"/>
        <v>#VALUE!</v>
      </c>
      <c r="V368" s="175" t="e">
        <f t="shared" si="466"/>
        <v>#VALUE!</v>
      </c>
      <c r="W368" s="175" t="e">
        <f t="shared" si="467"/>
        <v>#VALUE!</v>
      </c>
      <c r="X368" s="175" t="e">
        <f t="shared" si="468"/>
        <v>#VALUE!</v>
      </c>
      <c r="Y368" s="175" t="e">
        <f t="shared" si="469"/>
        <v>#VALUE!</v>
      </c>
      <c r="Z368" s="175" t="e">
        <f t="shared" si="470"/>
        <v>#VALUE!</v>
      </c>
      <c r="AA368" s="175" t="e">
        <f t="shared" si="471"/>
        <v>#VALUE!</v>
      </c>
      <c r="AB368" s="175" t="e">
        <f t="shared" si="472"/>
        <v>#VALUE!</v>
      </c>
      <c r="AC368" s="175" t="e">
        <f t="shared" si="473"/>
        <v>#VALUE!</v>
      </c>
      <c r="AD368" s="464" t="e">
        <f t="shared" si="474"/>
        <v>#VALUE!</v>
      </c>
      <c r="AE368" s="469">
        <f t="shared" si="459"/>
        <v>367</v>
      </c>
      <c r="AF368" s="169">
        <f t="shared" si="475"/>
        <v>0</v>
      </c>
    </row>
    <row r="369" spans="2:32" x14ac:dyDescent="0.35">
      <c r="B369" s="420">
        <f t="shared" si="445"/>
        <v>368</v>
      </c>
      <c r="C369" s="457" t="s">
        <v>272</v>
      </c>
      <c r="D369" s="175" t="s">
        <v>449</v>
      </c>
      <c r="E369" s="175" t="s">
        <v>449</v>
      </c>
      <c r="F369" s="175" t="s">
        <v>449</v>
      </c>
      <c r="G369" s="175" t="s">
        <v>449</v>
      </c>
      <c r="H369" s="175" t="s">
        <v>449</v>
      </c>
      <c r="I369" s="175" t="s">
        <v>449</v>
      </c>
      <c r="J369" s="175" t="s">
        <v>449</v>
      </c>
      <c r="K369" s="175" t="s">
        <v>449</v>
      </c>
      <c r="L369" s="175" t="s">
        <v>449</v>
      </c>
      <c r="M369" s="175" t="s">
        <v>449</v>
      </c>
      <c r="N369" s="175" t="s">
        <v>449</v>
      </c>
      <c r="O369" s="175" t="s">
        <v>449</v>
      </c>
      <c r="P369" s="167"/>
      <c r="Q369" s="469">
        <f t="shared" si="446"/>
        <v>368</v>
      </c>
      <c r="R369" s="457" t="s">
        <v>272</v>
      </c>
      <c r="S369" s="175" t="str">
        <f t="shared" si="463"/>
        <v>n/a</v>
      </c>
      <c r="T369" s="175" t="e">
        <f t="shared" si="464"/>
        <v>#VALUE!</v>
      </c>
      <c r="U369" s="175" t="e">
        <f t="shared" si="465"/>
        <v>#VALUE!</v>
      </c>
      <c r="V369" s="175" t="e">
        <f t="shared" si="466"/>
        <v>#VALUE!</v>
      </c>
      <c r="W369" s="175" t="e">
        <f t="shared" si="467"/>
        <v>#VALUE!</v>
      </c>
      <c r="X369" s="175" t="e">
        <f t="shared" si="468"/>
        <v>#VALUE!</v>
      </c>
      <c r="Y369" s="175" t="e">
        <f t="shared" si="469"/>
        <v>#VALUE!</v>
      </c>
      <c r="Z369" s="175" t="e">
        <f t="shared" si="470"/>
        <v>#VALUE!</v>
      </c>
      <c r="AA369" s="175" t="e">
        <f t="shared" si="471"/>
        <v>#VALUE!</v>
      </c>
      <c r="AB369" s="175" t="e">
        <f t="shared" si="472"/>
        <v>#VALUE!</v>
      </c>
      <c r="AC369" s="175" t="e">
        <f t="shared" si="473"/>
        <v>#VALUE!</v>
      </c>
      <c r="AD369" s="464" t="e">
        <f t="shared" si="474"/>
        <v>#VALUE!</v>
      </c>
      <c r="AE369" s="469">
        <f t="shared" si="459"/>
        <v>368</v>
      </c>
      <c r="AF369" s="169">
        <f t="shared" si="475"/>
        <v>0</v>
      </c>
    </row>
    <row r="370" spans="2:32" x14ac:dyDescent="0.35">
      <c r="B370" s="420">
        <f t="shared" si="445"/>
        <v>369</v>
      </c>
      <c r="C370" s="457" t="s">
        <v>273</v>
      </c>
      <c r="D370" s="175" t="s">
        <v>449</v>
      </c>
      <c r="E370" s="175" t="s">
        <v>449</v>
      </c>
      <c r="F370" s="175" t="s">
        <v>449</v>
      </c>
      <c r="G370" s="175" t="s">
        <v>449</v>
      </c>
      <c r="H370" s="175" t="s">
        <v>449</v>
      </c>
      <c r="I370" s="175" t="s">
        <v>449</v>
      </c>
      <c r="J370" s="175" t="s">
        <v>449</v>
      </c>
      <c r="K370" s="175" t="s">
        <v>449</v>
      </c>
      <c r="L370" s="175" t="s">
        <v>449</v>
      </c>
      <c r="M370" s="175" t="s">
        <v>449</v>
      </c>
      <c r="N370" s="175" t="s">
        <v>449</v>
      </c>
      <c r="O370" s="175" t="s">
        <v>449</v>
      </c>
      <c r="P370" s="167"/>
      <c r="Q370" s="469">
        <f t="shared" si="446"/>
        <v>369</v>
      </c>
      <c r="R370" s="457" t="s">
        <v>273</v>
      </c>
      <c r="S370" s="175" t="str">
        <f t="shared" si="463"/>
        <v>n/a</v>
      </c>
      <c r="T370" s="175" t="e">
        <f t="shared" si="464"/>
        <v>#VALUE!</v>
      </c>
      <c r="U370" s="175" t="e">
        <f t="shared" si="465"/>
        <v>#VALUE!</v>
      </c>
      <c r="V370" s="175" t="e">
        <f t="shared" si="466"/>
        <v>#VALUE!</v>
      </c>
      <c r="W370" s="175" t="e">
        <f t="shared" si="467"/>
        <v>#VALUE!</v>
      </c>
      <c r="X370" s="175" t="e">
        <f t="shared" si="468"/>
        <v>#VALUE!</v>
      </c>
      <c r="Y370" s="175" t="e">
        <f t="shared" si="469"/>
        <v>#VALUE!</v>
      </c>
      <c r="Z370" s="175" t="e">
        <f t="shared" si="470"/>
        <v>#VALUE!</v>
      </c>
      <c r="AA370" s="175" t="e">
        <f t="shared" si="471"/>
        <v>#VALUE!</v>
      </c>
      <c r="AB370" s="175" t="e">
        <f t="shared" si="472"/>
        <v>#VALUE!</v>
      </c>
      <c r="AC370" s="175" t="e">
        <f t="shared" si="473"/>
        <v>#VALUE!</v>
      </c>
      <c r="AD370" s="464" t="e">
        <f t="shared" si="474"/>
        <v>#VALUE!</v>
      </c>
      <c r="AE370" s="469">
        <f t="shared" si="459"/>
        <v>369</v>
      </c>
      <c r="AF370" s="169">
        <f t="shared" si="475"/>
        <v>0</v>
      </c>
    </row>
    <row r="371" spans="2:32" x14ac:dyDescent="0.35">
      <c r="B371" s="420">
        <f t="shared" si="445"/>
        <v>370</v>
      </c>
      <c r="C371" s="458" t="s">
        <v>285</v>
      </c>
      <c r="D371" s="175" t="s">
        <v>449</v>
      </c>
      <c r="E371" s="175" t="s">
        <v>449</v>
      </c>
      <c r="F371" s="175" t="s">
        <v>449</v>
      </c>
      <c r="G371" s="175" t="s">
        <v>449</v>
      </c>
      <c r="H371" s="175" t="s">
        <v>449</v>
      </c>
      <c r="I371" s="175" t="s">
        <v>449</v>
      </c>
      <c r="J371" s="175" t="s">
        <v>449</v>
      </c>
      <c r="K371" s="175" t="s">
        <v>449</v>
      </c>
      <c r="L371" s="175" t="s">
        <v>449</v>
      </c>
      <c r="M371" s="175" t="s">
        <v>449</v>
      </c>
      <c r="N371" s="175" t="s">
        <v>449</v>
      </c>
      <c r="O371" s="175" t="s">
        <v>449</v>
      </c>
      <c r="Q371" s="469">
        <f t="shared" si="446"/>
        <v>370</v>
      </c>
      <c r="R371" s="458" t="s">
        <v>285</v>
      </c>
      <c r="S371" s="175" t="str">
        <f t="shared" si="463"/>
        <v>n/a</v>
      </c>
      <c r="T371" s="175" t="e">
        <f t="shared" si="464"/>
        <v>#VALUE!</v>
      </c>
      <c r="U371" s="175" t="e">
        <f t="shared" si="465"/>
        <v>#VALUE!</v>
      </c>
      <c r="V371" s="175" t="e">
        <f t="shared" si="466"/>
        <v>#VALUE!</v>
      </c>
      <c r="W371" s="175" t="e">
        <f t="shared" si="467"/>
        <v>#VALUE!</v>
      </c>
      <c r="X371" s="175" t="e">
        <f t="shared" si="468"/>
        <v>#VALUE!</v>
      </c>
      <c r="Y371" s="175" t="e">
        <f t="shared" si="469"/>
        <v>#VALUE!</v>
      </c>
      <c r="Z371" s="175" t="e">
        <f t="shared" si="470"/>
        <v>#VALUE!</v>
      </c>
      <c r="AA371" s="175" t="e">
        <f t="shared" si="471"/>
        <v>#VALUE!</v>
      </c>
      <c r="AB371" s="175" t="e">
        <f t="shared" si="472"/>
        <v>#VALUE!</v>
      </c>
      <c r="AC371" s="175" t="e">
        <f t="shared" si="473"/>
        <v>#VALUE!</v>
      </c>
      <c r="AD371" s="464" t="e">
        <f t="shared" si="474"/>
        <v>#VALUE!</v>
      </c>
      <c r="AE371" s="469">
        <f t="shared" si="459"/>
        <v>370</v>
      </c>
      <c r="AF371" s="169">
        <f t="shared" si="475"/>
        <v>0</v>
      </c>
    </row>
    <row r="372" spans="2:32" x14ac:dyDescent="0.35">
      <c r="B372" s="420">
        <f t="shared" si="445"/>
        <v>371</v>
      </c>
      <c r="C372" s="457" t="s">
        <v>274</v>
      </c>
      <c r="D372" s="175" t="s">
        <v>449</v>
      </c>
      <c r="E372" s="175" t="s">
        <v>449</v>
      </c>
      <c r="F372" s="175" t="s">
        <v>449</v>
      </c>
      <c r="G372" s="175" t="s">
        <v>449</v>
      </c>
      <c r="H372" s="175" t="s">
        <v>449</v>
      </c>
      <c r="I372" s="175" t="s">
        <v>449</v>
      </c>
      <c r="J372" s="175" t="s">
        <v>449</v>
      </c>
      <c r="K372" s="175" t="s">
        <v>449</v>
      </c>
      <c r="L372" s="175" t="s">
        <v>449</v>
      </c>
      <c r="M372" s="175" t="s">
        <v>449</v>
      </c>
      <c r="N372" s="175" t="s">
        <v>449</v>
      </c>
      <c r="O372" s="175" t="s">
        <v>449</v>
      </c>
      <c r="Q372" s="469">
        <f t="shared" si="446"/>
        <v>371</v>
      </c>
      <c r="R372" s="457" t="s">
        <v>274</v>
      </c>
      <c r="S372" s="175" t="str">
        <f t="shared" si="463"/>
        <v>n/a</v>
      </c>
      <c r="T372" s="175" t="e">
        <f t="shared" si="464"/>
        <v>#VALUE!</v>
      </c>
      <c r="U372" s="175" t="e">
        <f t="shared" si="465"/>
        <v>#VALUE!</v>
      </c>
      <c r="V372" s="175" t="e">
        <f t="shared" si="466"/>
        <v>#VALUE!</v>
      </c>
      <c r="W372" s="175" t="e">
        <f t="shared" si="467"/>
        <v>#VALUE!</v>
      </c>
      <c r="X372" s="175" t="e">
        <f t="shared" si="468"/>
        <v>#VALUE!</v>
      </c>
      <c r="Y372" s="175" t="e">
        <f t="shared" si="469"/>
        <v>#VALUE!</v>
      </c>
      <c r="Z372" s="175" t="e">
        <f t="shared" si="470"/>
        <v>#VALUE!</v>
      </c>
      <c r="AA372" s="175" t="e">
        <f t="shared" si="471"/>
        <v>#VALUE!</v>
      </c>
      <c r="AB372" s="175" t="e">
        <f t="shared" si="472"/>
        <v>#VALUE!</v>
      </c>
      <c r="AC372" s="175" t="e">
        <f t="shared" si="473"/>
        <v>#VALUE!</v>
      </c>
      <c r="AD372" s="464" t="e">
        <f t="shared" si="474"/>
        <v>#VALUE!</v>
      </c>
      <c r="AE372" s="469">
        <f t="shared" si="459"/>
        <v>371</v>
      </c>
      <c r="AF372" s="169">
        <f t="shared" si="475"/>
        <v>0</v>
      </c>
    </row>
    <row r="373" spans="2:32" x14ac:dyDescent="0.35">
      <c r="B373" s="420">
        <f t="shared" si="445"/>
        <v>372</v>
      </c>
      <c r="C373" s="457" t="s">
        <v>275</v>
      </c>
      <c r="D373" s="175" t="s">
        <v>449</v>
      </c>
      <c r="E373" s="175" t="s">
        <v>449</v>
      </c>
      <c r="F373" s="175" t="s">
        <v>449</v>
      </c>
      <c r="G373" s="175" t="s">
        <v>449</v>
      </c>
      <c r="H373" s="175" t="s">
        <v>449</v>
      </c>
      <c r="I373" s="175" t="s">
        <v>449</v>
      </c>
      <c r="J373" s="175" t="s">
        <v>449</v>
      </c>
      <c r="K373" s="175" t="s">
        <v>449</v>
      </c>
      <c r="L373" s="175" t="s">
        <v>449</v>
      </c>
      <c r="M373" s="175" t="s">
        <v>449</v>
      </c>
      <c r="N373" s="175" t="s">
        <v>449</v>
      </c>
      <c r="O373" s="175" t="s">
        <v>449</v>
      </c>
      <c r="Q373" s="469">
        <f t="shared" si="446"/>
        <v>372</v>
      </c>
      <c r="R373" s="457" t="s">
        <v>275</v>
      </c>
      <c r="S373" s="175" t="str">
        <f t="shared" si="463"/>
        <v>n/a</v>
      </c>
      <c r="T373" s="175" t="e">
        <f t="shared" si="464"/>
        <v>#VALUE!</v>
      </c>
      <c r="U373" s="175" t="e">
        <f t="shared" si="465"/>
        <v>#VALUE!</v>
      </c>
      <c r="V373" s="175" t="e">
        <f t="shared" si="466"/>
        <v>#VALUE!</v>
      </c>
      <c r="W373" s="175" t="e">
        <f t="shared" si="467"/>
        <v>#VALUE!</v>
      </c>
      <c r="X373" s="175" t="e">
        <f t="shared" si="468"/>
        <v>#VALUE!</v>
      </c>
      <c r="Y373" s="175" t="e">
        <f t="shared" si="469"/>
        <v>#VALUE!</v>
      </c>
      <c r="Z373" s="175" t="e">
        <f t="shared" si="470"/>
        <v>#VALUE!</v>
      </c>
      <c r="AA373" s="175" t="e">
        <f t="shared" si="471"/>
        <v>#VALUE!</v>
      </c>
      <c r="AB373" s="175" t="e">
        <f t="shared" si="472"/>
        <v>#VALUE!</v>
      </c>
      <c r="AC373" s="175" t="e">
        <f t="shared" si="473"/>
        <v>#VALUE!</v>
      </c>
      <c r="AD373" s="464" t="e">
        <f t="shared" si="474"/>
        <v>#VALUE!</v>
      </c>
      <c r="AE373" s="469">
        <f t="shared" si="459"/>
        <v>372</v>
      </c>
      <c r="AF373" s="169">
        <f t="shared" si="475"/>
        <v>0</v>
      </c>
    </row>
    <row r="374" spans="2:32" x14ac:dyDescent="0.35">
      <c r="B374" s="420">
        <f t="shared" si="445"/>
        <v>373</v>
      </c>
      <c r="C374" s="457" t="s">
        <v>276</v>
      </c>
      <c r="D374" s="175" t="s">
        <v>449</v>
      </c>
      <c r="E374" s="175" t="s">
        <v>449</v>
      </c>
      <c r="F374" s="175" t="s">
        <v>449</v>
      </c>
      <c r="G374" s="175" t="s">
        <v>449</v>
      </c>
      <c r="H374" s="175" t="s">
        <v>449</v>
      </c>
      <c r="I374" s="175" t="s">
        <v>449</v>
      </c>
      <c r="J374" s="175" t="s">
        <v>449</v>
      </c>
      <c r="K374" s="175" t="s">
        <v>449</v>
      </c>
      <c r="L374" s="175" t="s">
        <v>449</v>
      </c>
      <c r="M374" s="175" t="s">
        <v>449</v>
      </c>
      <c r="N374" s="175" t="s">
        <v>449</v>
      </c>
      <c r="O374" s="175" t="s">
        <v>449</v>
      </c>
      <c r="P374" s="164"/>
      <c r="Q374" s="469">
        <f t="shared" si="446"/>
        <v>373</v>
      </c>
      <c r="R374" s="457" t="s">
        <v>276</v>
      </c>
      <c r="S374" s="175" t="str">
        <f t="shared" si="463"/>
        <v>n/a</v>
      </c>
      <c r="T374" s="175" t="e">
        <f t="shared" si="464"/>
        <v>#VALUE!</v>
      </c>
      <c r="U374" s="175" t="e">
        <f t="shared" si="465"/>
        <v>#VALUE!</v>
      </c>
      <c r="V374" s="175" t="e">
        <f t="shared" si="466"/>
        <v>#VALUE!</v>
      </c>
      <c r="W374" s="175" t="e">
        <f t="shared" si="467"/>
        <v>#VALUE!</v>
      </c>
      <c r="X374" s="175" t="e">
        <f t="shared" si="468"/>
        <v>#VALUE!</v>
      </c>
      <c r="Y374" s="175" t="e">
        <f t="shared" si="469"/>
        <v>#VALUE!</v>
      </c>
      <c r="Z374" s="175" t="e">
        <f t="shared" si="470"/>
        <v>#VALUE!</v>
      </c>
      <c r="AA374" s="175" t="e">
        <f t="shared" si="471"/>
        <v>#VALUE!</v>
      </c>
      <c r="AB374" s="175" t="e">
        <f t="shared" si="472"/>
        <v>#VALUE!</v>
      </c>
      <c r="AC374" s="175" t="e">
        <f t="shared" si="473"/>
        <v>#VALUE!</v>
      </c>
      <c r="AD374" s="464" t="e">
        <f t="shared" si="474"/>
        <v>#VALUE!</v>
      </c>
      <c r="AE374" s="469">
        <f t="shared" si="459"/>
        <v>373</v>
      </c>
      <c r="AF374" s="169">
        <f t="shared" si="475"/>
        <v>0</v>
      </c>
    </row>
    <row r="375" spans="2:32" x14ac:dyDescent="0.35">
      <c r="B375" s="420">
        <f t="shared" si="445"/>
        <v>374</v>
      </c>
      <c r="C375" s="458" t="s">
        <v>286</v>
      </c>
      <c r="D375" s="175" t="s">
        <v>449</v>
      </c>
      <c r="E375" s="175" t="s">
        <v>449</v>
      </c>
      <c r="F375" s="175" t="s">
        <v>449</v>
      </c>
      <c r="G375" s="175" t="s">
        <v>449</v>
      </c>
      <c r="H375" s="175" t="s">
        <v>449</v>
      </c>
      <c r="I375" s="175" t="s">
        <v>449</v>
      </c>
      <c r="J375" s="175" t="s">
        <v>449</v>
      </c>
      <c r="K375" s="175" t="s">
        <v>449</v>
      </c>
      <c r="L375" s="175" t="s">
        <v>449</v>
      </c>
      <c r="M375" s="175" t="s">
        <v>449</v>
      </c>
      <c r="N375" s="175" t="s">
        <v>449</v>
      </c>
      <c r="O375" s="175" t="s">
        <v>449</v>
      </c>
      <c r="P375" s="175"/>
      <c r="Q375" s="469">
        <f t="shared" si="446"/>
        <v>374</v>
      </c>
      <c r="R375" s="458" t="s">
        <v>286</v>
      </c>
      <c r="S375" s="175" t="str">
        <f t="shared" si="463"/>
        <v>n/a</v>
      </c>
      <c r="T375" s="175" t="e">
        <f t="shared" si="464"/>
        <v>#VALUE!</v>
      </c>
      <c r="U375" s="175" t="e">
        <f t="shared" si="465"/>
        <v>#VALUE!</v>
      </c>
      <c r="V375" s="175" t="e">
        <f t="shared" si="466"/>
        <v>#VALUE!</v>
      </c>
      <c r="W375" s="175" t="e">
        <f t="shared" si="467"/>
        <v>#VALUE!</v>
      </c>
      <c r="X375" s="175" t="e">
        <f t="shared" si="468"/>
        <v>#VALUE!</v>
      </c>
      <c r="Y375" s="175" t="e">
        <f t="shared" si="469"/>
        <v>#VALUE!</v>
      </c>
      <c r="Z375" s="175" t="e">
        <f t="shared" si="470"/>
        <v>#VALUE!</v>
      </c>
      <c r="AA375" s="175" t="e">
        <f t="shared" si="471"/>
        <v>#VALUE!</v>
      </c>
      <c r="AB375" s="175" t="e">
        <f t="shared" si="472"/>
        <v>#VALUE!</v>
      </c>
      <c r="AC375" s="175" t="e">
        <f t="shared" si="473"/>
        <v>#VALUE!</v>
      </c>
      <c r="AD375" s="464" t="e">
        <f t="shared" si="474"/>
        <v>#VALUE!</v>
      </c>
      <c r="AE375" s="469">
        <f t="shared" si="459"/>
        <v>374</v>
      </c>
      <c r="AF375" s="169">
        <f t="shared" si="475"/>
        <v>0</v>
      </c>
    </row>
    <row r="376" spans="2:32" x14ac:dyDescent="0.35">
      <c r="B376" s="420">
        <f t="shared" si="445"/>
        <v>375</v>
      </c>
      <c r="C376" s="457" t="s">
        <v>277</v>
      </c>
      <c r="D376" s="175" t="s">
        <v>449</v>
      </c>
      <c r="E376" s="175" t="s">
        <v>449</v>
      </c>
      <c r="F376" s="175" t="s">
        <v>449</v>
      </c>
      <c r="G376" s="175" t="s">
        <v>449</v>
      </c>
      <c r="H376" s="175" t="s">
        <v>449</v>
      </c>
      <c r="I376" s="175" t="s">
        <v>449</v>
      </c>
      <c r="J376" s="175" t="s">
        <v>449</v>
      </c>
      <c r="K376" s="175" t="s">
        <v>449</v>
      </c>
      <c r="L376" s="175" t="s">
        <v>449</v>
      </c>
      <c r="M376" s="175" t="s">
        <v>449</v>
      </c>
      <c r="N376" s="175" t="s">
        <v>449</v>
      </c>
      <c r="O376" s="175" t="s">
        <v>449</v>
      </c>
      <c r="P376" s="167"/>
      <c r="Q376" s="469">
        <f t="shared" si="446"/>
        <v>375</v>
      </c>
      <c r="R376" s="457" t="s">
        <v>277</v>
      </c>
      <c r="S376" s="175" t="str">
        <f t="shared" si="463"/>
        <v>n/a</v>
      </c>
      <c r="T376" s="175" t="e">
        <f t="shared" si="464"/>
        <v>#VALUE!</v>
      </c>
      <c r="U376" s="175" t="e">
        <f t="shared" si="465"/>
        <v>#VALUE!</v>
      </c>
      <c r="V376" s="175" t="e">
        <f t="shared" si="466"/>
        <v>#VALUE!</v>
      </c>
      <c r="W376" s="175" t="e">
        <f t="shared" si="467"/>
        <v>#VALUE!</v>
      </c>
      <c r="X376" s="175" t="e">
        <f t="shared" si="468"/>
        <v>#VALUE!</v>
      </c>
      <c r="Y376" s="175" t="e">
        <f t="shared" si="469"/>
        <v>#VALUE!</v>
      </c>
      <c r="Z376" s="175" t="e">
        <f t="shared" si="470"/>
        <v>#VALUE!</v>
      </c>
      <c r="AA376" s="175" t="e">
        <f t="shared" si="471"/>
        <v>#VALUE!</v>
      </c>
      <c r="AB376" s="175" t="e">
        <f t="shared" si="472"/>
        <v>#VALUE!</v>
      </c>
      <c r="AC376" s="175" t="e">
        <f t="shared" si="473"/>
        <v>#VALUE!</v>
      </c>
      <c r="AD376" s="464" t="e">
        <f t="shared" si="474"/>
        <v>#VALUE!</v>
      </c>
      <c r="AE376" s="469">
        <f t="shared" si="459"/>
        <v>375</v>
      </c>
      <c r="AF376" s="169">
        <f t="shared" si="475"/>
        <v>0</v>
      </c>
    </row>
    <row r="377" spans="2:32" x14ac:dyDescent="0.35">
      <c r="B377" s="420">
        <f t="shared" si="445"/>
        <v>376</v>
      </c>
      <c r="C377" s="457" t="s">
        <v>278</v>
      </c>
      <c r="D377" s="175" t="s">
        <v>449</v>
      </c>
      <c r="E377" s="175" t="s">
        <v>449</v>
      </c>
      <c r="F377" s="175" t="s">
        <v>449</v>
      </c>
      <c r="G377" s="175" t="s">
        <v>449</v>
      </c>
      <c r="H377" s="175" t="s">
        <v>449</v>
      </c>
      <c r="I377" s="175" t="s">
        <v>449</v>
      </c>
      <c r="J377" s="175" t="s">
        <v>449</v>
      </c>
      <c r="K377" s="175" t="s">
        <v>449</v>
      </c>
      <c r="L377" s="175" t="s">
        <v>449</v>
      </c>
      <c r="M377" s="175" t="s">
        <v>449</v>
      </c>
      <c r="N377" s="175" t="s">
        <v>449</v>
      </c>
      <c r="O377" s="175" t="s">
        <v>449</v>
      </c>
      <c r="P377" s="167"/>
      <c r="Q377" s="469">
        <f t="shared" si="446"/>
        <v>376</v>
      </c>
      <c r="R377" s="457" t="s">
        <v>278</v>
      </c>
      <c r="S377" s="175" t="str">
        <f t="shared" si="463"/>
        <v>n/a</v>
      </c>
      <c r="T377" s="175" t="e">
        <f t="shared" si="464"/>
        <v>#VALUE!</v>
      </c>
      <c r="U377" s="175" t="e">
        <f t="shared" si="465"/>
        <v>#VALUE!</v>
      </c>
      <c r="V377" s="175" t="e">
        <f t="shared" si="466"/>
        <v>#VALUE!</v>
      </c>
      <c r="W377" s="175" t="e">
        <f t="shared" si="467"/>
        <v>#VALUE!</v>
      </c>
      <c r="X377" s="175" t="e">
        <f t="shared" si="468"/>
        <v>#VALUE!</v>
      </c>
      <c r="Y377" s="175" t="e">
        <f t="shared" si="469"/>
        <v>#VALUE!</v>
      </c>
      <c r="Z377" s="175" t="e">
        <f t="shared" si="470"/>
        <v>#VALUE!</v>
      </c>
      <c r="AA377" s="175" t="e">
        <f t="shared" si="471"/>
        <v>#VALUE!</v>
      </c>
      <c r="AB377" s="175" t="e">
        <f t="shared" si="472"/>
        <v>#VALUE!</v>
      </c>
      <c r="AC377" s="175" t="e">
        <f t="shared" si="473"/>
        <v>#VALUE!</v>
      </c>
      <c r="AD377" s="464" t="e">
        <f t="shared" si="474"/>
        <v>#VALUE!</v>
      </c>
      <c r="AE377" s="469">
        <f t="shared" si="459"/>
        <v>376</v>
      </c>
      <c r="AF377" s="169">
        <f t="shared" si="475"/>
        <v>0</v>
      </c>
    </row>
    <row r="378" spans="2:32" x14ac:dyDescent="0.35">
      <c r="B378" s="420">
        <f t="shared" si="445"/>
        <v>377</v>
      </c>
      <c r="C378" s="457" t="s">
        <v>279</v>
      </c>
      <c r="D378" s="175" t="s">
        <v>449</v>
      </c>
      <c r="E378" s="175" t="s">
        <v>449</v>
      </c>
      <c r="F378" s="175" t="s">
        <v>449</v>
      </c>
      <c r="G378" s="175" t="s">
        <v>449</v>
      </c>
      <c r="H378" s="175" t="s">
        <v>449</v>
      </c>
      <c r="I378" s="175" t="s">
        <v>449</v>
      </c>
      <c r="J378" s="175" t="s">
        <v>449</v>
      </c>
      <c r="K378" s="175" t="s">
        <v>449</v>
      </c>
      <c r="L378" s="175" t="s">
        <v>449</v>
      </c>
      <c r="M378" s="175" t="s">
        <v>449</v>
      </c>
      <c r="N378" s="175" t="s">
        <v>449</v>
      </c>
      <c r="O378" s="175" t="s">
        <v>449</v>
      </c>
      <c r="P378" s="167"/>
      <c r="Q378" s="469">
        <f t="shared" si="446"/>
        <v>377</v>
      </c>
      <c r="R378" s="457" t="s">
        <v>279</v>
      </c>
      <c r="S378" s="175" t="str">
        <f t="shared" si="463"/>
        <v>n/a</v>
      </c>
      <c r="T378" s="175" t="e">
        <f t="shared" si="464"/>
        <v>#VALUE!</v>
      </c>
      <c r="U378" s="175" t="e">
        <f t="shared" si="465"/>
        <v>#VALUE!</v>
      </c>
      <c r="V378" s="175" t="e">
        <f t="shared" si="466"/>
        <v>#VALUE!</v>
      </c>
      <c r="W378" s="175" t="e">
        <f t="shared" si="467"/>
        <v>#VALUE!</v>
      </c>
      <c r="X378" s="175" t="e">
        <f t="shared" si="468"/>
        <v>#VALUE!</v>
      </c>
      <c r="Y378" s="175" t="e">
        <f t="shared" si="469"/>
        <v>#VALUE!</v>
      </c>
      <c r="Z378" s="175" t="e">
        <f t="shared" si="470"/>
        <v>#VALUE!</v>
      </c>
      <c r="AA378" s="175" t="e">
        <f t="shared" si="471"/>
        <v>#VALUE!</v>
      </c>
      <c r="AB378" s="175" t="e">
        <f t="shared" si="472"/>
        <v>#VALUE!</v>
      </c>
      <c r="AC378" s="175" t="e">
        <f t="shared" si="473"/>
        <v>#VALUE!</v>
      </c>
      <c r="AD378" s="464" t="e">
        <f t="shared" si="474"/>
        <v>#VALUE!</v>
      </c>
      <c r="AE378" s="469">
        <f t="shared" si="459"/>
        <v>377</v>
      </c>
      <c r="AF378" s="169">
        <f t="shared" si="475"/>
        <v>0</v>
      </c>
    </row>
    <row r="379" spans="2:32" x14ac:dyDescent="0.35">
      <c r="B379" s="420">
        <f t="shared" si="445"/>
        <v>378</v>
      </c>
      <c r="C379" s="458" t="s">
        <v>287</v>
      </c>
      <c r="D379" s="175" t="s">
        <v>449</v>
      </c>
      <c r="E379" s="175" t="s">
        <v>449</v>
      </c>
      <c r="F379" s="175" t="s">
        <v>449</v>
      </c>
      <c r="G379" s="175" t="s">
        <v>449</v>
      </c>
      <c r="H379" s="175" t="s">
        <v>449</v>
      </c>
      <c r="I379" s="175" t="s">
        <v>449</v>
      </c>
      <c r="J379" s="175" t="s">
        <v>449</v>
      </c>
      <c r="K379" s="175" t="s">
        <v>449</v>
      </c>
      <c r="L379" s="175" t="s">
        <v>449</v>
      </c>
      <c r="M379" s="175" t="s">
        <v>449</v>
      </c>
      <c r="N379" s="175" t="s">
        <v>449</v>
      </c>
      <c r="O379" s="175" t="s">
        <v>449</v>
      </c>
      <c r="Q379" s="469">
        <f t="shared" si="446"/>
        <v>378</v>
      </c>
      <c r="R379" s="458" t="s">
        <v>287</v>
      </c>
      <c r="S379" s="175" t="str">
        <f t="shared" si="463"/>
        <v>n/a</v>
      </c>
      <c r="T379" s="175" t="e">
        <f t="shared" si="464"/>
        <v>#VALUE!</v>
      </c>
      <c r="U379" s="175" t="e">
        <f t="shared" si="465"/>
        <v>#VALUE!</v>
      </c>
      <c r="V379" s="175" t="e">
        <f t="shared" si="466"/>
        <v>#VALUE!</v>
      </c>
      <c r="W379" s="175" t="e">
        <f t="shared" si="467"/>
        <v>#VALUE!</v>
      </c>
      <c r="X379" s="175" t="e">
        <f t="shared" si="468"/>
        <v>#VALUE!</v>
      </c>
      <c r="Y379" s="175" t="e">
        <f t="shared" si="469"/>
        <v>#VALUE!</v>
      </c>
      <c r="Z379" s="175" t="e">
        <f t="shared" si="470"/>
        <v>#VALUE!</v>
      </c>
      <c r="AA379" s="175" t="e">
        <f t="shared" si="471"/>
        <v>#VALUE!</v>
      </c>
      <c r="AB379" s="175" t="e">
        <f t="shared" si="472"/>
        <v>#VALUE!</v>
      </c>
      <c r="AC379" s="175" t="e">
        <f t="shared" si="473"/>
        <v>#VALUE!</v>
      </c>
      <c r="AD379" s="464" t="e">
        <f t="shared" si="474"/>
        <v>#VALUE!</v>
      </c>
      <c r="AE379" s="469">
        <f t="shared" si="459"/>
        <v>378</v>
      </c>
      <c r="AF379" s="169">
        <f t="shared" si="475"/>
        <v>0</v>
      </c>
    </row>
    <row r="380" spans="2:32" ht="15" customHeight="1" x14ac:dyDescent="0.35">
      <c r="B380" s="420">
        <f t="shared" si="445"/>
        <v>379</v>
      </c>
      <c r="C380" s="457" t="s">
        <v>280</v>
      </c>
      <c r="D380" s="175" t="s">
        <v>449</v>
      </c>
      <c r="E380" s="175" t="s">
        <v>449</v>
      </c>
      <c r="F380" s="175" t="s">
        <v>449</v>
      </c>
      <c r="G380" s="175" t="s">
        <v>449</v>
      </c>
      <c r="H380" s="175" t="s">
        <v>449</v>
      </c>
      <c r="I380" s="175" t="s">
        <v>449</v>
      </c>
      <c r="J380" s="175" t="s">
        <v>449</v>
      </c>
      <c r="K380" s="175" t="s">
        <v>449</v>
      </c>
      <c r="L380" s="175" t="s">
        <v>449</v>
      </c>
      <c r="M380" s="175" t="s">
        <v>449</v>
      </c>
      <c r="N380" s="175" t="s">
        <v>449</v>
      </c>
      <c r="O380" s="175" t="s">
        <v>449</v>
      </c>
      <c r="Q380" s="469">
        <f t="shared" si="446"/>
        <v>379</v>
      </c>
      <c r="R380" s="457" t="s">
        <v>280</v>
      </c>
      <c r="S380" s="175" t="str">
        <f t="shared" si="463"/>
        <v>n/a</v>
      </c>
      <c r="T380" s="175" t="e">
        <f t="shared" si="464"/>
        <v>#VALUE!</v>
      </c>
      <c r="U380" s="175" t="e">
        <f t="shared" si="465"/>
        <v>#VALUE!</v>
      </c>
      <c r="V380" s="175" t="e">
        <f t="shared" si="466"/>
        <v>#VALUE!</v>
      </c>
      <c r="W380" s="175" t="e">
        <f t="shared" si="467"/>
        <v>#VALUE!</v>
      </c>
      <c r="X380" s="175" t="e">
        <f t="shared" si="468"/>
        <v>#VALUE!</v>
      </c>
      <c r="Y380" s="175" t="e">
        <f t="shared" si="469"/>
        <v>#VALUE!</v>
      </c>
      <c r="Z380" s="175" t="e">
        <f t="shared" si="470"/>
        <v>#VALUE!</v>
      </c>
      <c r="AA380" s="175" t="e">
        <f t="shared" si="471"/>
        <v>#VALUE!</v>
      </c>
      <c r="AB380" s="175" t="e">
        <f t="shared" si="472"/>
        <v>#VALUE!</v>
      </c>
      <c r="AC380" s="175" t="e">
        <f t="shared" si="473"/>
        <v>#VALUE!</v>
      </c>
      <c r="AD380" s="464" t="e">
        <f t="shared" si="474"/>
        <v>#VALUE!</v>
      </c>
      <c r="AE380" s="469">
        <f t="shared" si="459"/>
        <v>379</v>
      </c>
      <c r="AF380" s="169">
        <f t="shared" si="475"/>
        <v>0</v>
      </c>
    </row>
    <row r="381" spans="2:32" x14ac:dyDescent="0.35">
      <c r="B381" s="420">
        <f t="shared" si="445"/>
        <v>380</v>
      </c>
      <c r="C381" s="457" t="s">
        <v>281</v>
      </c>
      <c r="D381" s="175" t="s">
        <v>449</v>
      </c>
      <c r="E381" s="175" t="s">
        <v>449</v>
      </c>
      <c r="F381" s="175" t="s">
        <v>449</v>
      </c>
      <c r="G381" s="175" t="s">
        <v>449</v>
      </c>
      <c r="H381" s="175" t="s">
        <v>449</v>
      </c>
      <c r="I381" s="175" t="s">
        <v>449</v>
      </c>
      <c r="J381" s="175" t="s">
        <v>449</v>
      </c>
      <c r="K381" s="175" t="s">
        <v>449</v>
      </c>
      <c r="L381" s="175" t="s">
        <v>449</v>
      </c>
      <c r="M381" s="175" t="s">
        <v>449</v>
      </c>
      <c r="N381" s="175" t="s">
        <v>449</v>
      </c>
      <c r="O381" s="175" t="s">
        <v>449</v>
      </c>
      <c r="Q381" s="469">
        <f t="shared" si="446"/>
        <v>380</v>
      </c>
      <c r="R381" s="457" t="s">
        <v>281</v>
      </c>
      <c r="S381" s="175" t="str">
        <f t="shared" si="463"/>
        <v>n/a</v>
      </c>
      <c r="T381" s="175" t="e">
        <f t="shared" si="464"/>
        <v>#VALUE!</v>
      </c>
      <c r="U381" s="175" t="e">
        <f t="shared" si="465"/>
        <v>#VALUE!</v>
      </c>
      <c r="V381" s="175" t="e">
        <f t="shared" si="466"/>
        <v>#VALUE!</v>
      </c>
      <c r="W381" s="175" t="e">
        <f t="shared" si="467"/>
        <v>#VALUE!</v>
      </c>
      <c r="X381" s="175" t="e">
        <f t="shared" si="468"/>
        <v>#VALUE!</v>
      </c>
      <c r="Y381" s="175" t="e">
        <f t="shared" si="469"/>
        <v>#VALUE!</v>
      </c>
      <c r="Z381" s="175" t="e">
        <f t="shared" si="470"/>
        <v>#VALUE!</v>
      </c>
      <c r="AA381" s="175" t="e">
        <f t="shared" si="471"/>
        <v>#VALUE!</v>
      </c>
      <c r="AB381" s="175" t="e">
        <f t="shared" si="472"/>
        <v>#VALUE!</v>
      </c>
      <c r="AC381" s="175" t="e">
        <f t="shared" si="473"/>
        <v>#VALUE!</v>
      </c>
      <c r="AD381" s="464" t="e">
        <f t="shared" si="474"/>
        <v>#VALUE!</v>
      </c>
      <c r="AE381" s="469">
        <f t="shared" si="459"/>
        <v>380</v>
      </c>
      <c r="AF381" s="169">
        <f t="shared" si="475"/>
        <v>0</v>
      </c>
    </row>
    <row r="382" spans="2:32" x14ac:dyDescent="0.35">
      <c r="B382" s="420">
        <f t="shared" si="445"/>
        <v>381</v>
      </c>
      <c r="C382" s="457" t="s">
        <v>282</v>
      </c>
      <c r="D382" s="175" t="s">
        <v>449</v>
      </c>
      <c r="E382" s="175" t="s">
        <v>449</v>
      </c>
      <c r="F382" s="175" t="s">
        <v>449</v>
      </c>
      <c r="G382" s="175" t="s">
        <v>449</v>
      </c>
      <c r="H382" s="175" t="s">
        <v>449</v>
      </c>
      <c r="I382" s="175" t="s">
        <v>449</v>
      </c>
      <c r="J382" s="175" t="s">
        <v>449</v>
      </c>
      <c r="K382" s="175" t="s">
        <v>449</v>
      </c>
      <c r="L382" s="175" t="s">
        <v>449</v>
      </c>
      <c r="M382" s="175" t="s">
        <v>449</v>
      </c>
      <c r="N382" s="175" t="s">
        <v>449</v>
      </c>
      <c r="O382" s="175" t="s">
        <v>449</v>
      </c>
      <c r="P382" s="164"/>
      <c r="Q382" s="469">
        <f t="shared" si="446"/>
        <v>381</v>
      </c>
      <c r="R382" s="457" t="s">
        <v>282</v>
      </c>
      <c r="S382" s="175" t="str">
        <f t="shared" si="463"/>
        <v>n/a</v>
      </c>
      <c r="T382" s="175" t="e">
        <f t="shared" si="464"/>
        <v>#VALUE!</v>
      </c>
      <c r="U382" s="175" t="e">
        <f t="shared" si="465"/>
        <v>#VALUE!</v>
      </c>
      <c r="V382" s="175" t="e">
        <f t="shared" si="466"/>
        <v>#VALUE!</v>
      </c>
      <c r="W382" s="175" t="e">
        <f t="shared" si="467"/>
        <v>#VALUE!</v>
      </c>
      <c r="X382" s="175" t="e">
        <f t="shared" si="468"/>
        <v>#VALUE!</v>
      </c>
      <c r="Y382" s="175" t="e">
        <f t="shared" si="469"/>
        <v>#VALUE!</v>
      </c>
      <c r="Z382" s="175" t="e">
        <f t="shared" si="470"/>
        <v>#VALUE!</v>
      </c>
      <c r="AA382" s="175" t="e">
        <f t="shared" si="471"/>
        <v>#VALUE!</v>
      </c>
      <c r="AB382" s="175" t="e">
        <f t="shared" si="472"/>
        <v>#VALUE!</v>
      </c>
      <c r="AC382" s="175" t="e">
        <f t="shared" si="473"/>
        <v>#VALUE!</v>
      </c>
      <c r="AD382" s="464" t="e">
        <f t="shared" si="474"/>
        <v>#VALUE!</v>
      </c>
      <c r="AE382" s="469">
        <f t="shared" si="459"/>
        <v>381</v>
      </c>
      <c r="AF382" s="169">
        <f t="shared" si="475"/>
        <v>0</v>
      </c>
    </row>
    <row r="383" spans="2:32" x14ac:dyDescent="0.35">
      <c r="B383" s="420">
        <f t="shared" si="445"/>
        <v>382</v>
      </c>
      <c r="C383" s="458" t="s">
        <v>291</v>
      </c>
      <c r="D383" s="175" t="s">
        <v>449</v>
      </c>
      <c r="E383" s="175" t="s">
        <v>449</v>
      </c>
      <c r="F383" s="175" t="s">
        <v>449</v>
      </c>
      <c r="G383" s="175" t="s">
        <v>449</v>
      </c>
      <c r="H383" s="175" t="s">
        <v>449</v>
      </c>
      <c r="I383" s="175" t="s">
        <v>449</v>
      </c>
      <c r="J383" s="175" t="s">
        <v>449</v>
      </c>
      <c r="K383" s="175" t="s">
        <v>449</v>
      </c>
      <c r="L383" s="175" t="s">
        <v>449</v>
      </c>
      <c r="M383" s="175" t="s">
        <v>449</v>
      </c>
      <c r="N383" s="175" t="s">
        <v>449</v>
      </c>
      <c r="O383" s="175" t="s">
        <v>449</v>
      </c>
      <c r="P383" s="166"/>
      <c r="Q383" s="469">
        <f t="shared" si="446"/>
        <v>382</v>
      </c>
      <c r="R383" s="458" t="s">
        <v>291</v>
      </c>
      <c r="S383" s="175" t="str">
        <f t="shared" ref="S383:S386" si="476">D383</f>
        <v>n/a</v>
      </c>
      <c r="T383" s="175" t="e">
        <f t="shared" ref="T383:T386" si="477">S383+E383</f>
        <v>#VALUE!</v>
      </c>
      <c r="U383" s="175" t="e">
        <f t="shared" ref="U383:U386" si="478">T383+F383</f>
        <v>#VALUE!</v>
      </c>
      <c r="V383" s="175" t="e">
        <f t="shared" ref="V383:V386" si="479">U383+G383</f>
        <v>#VALUE!</v>
      </c>
      <c r="W383" s="175" t="e">
        <f t="shared" ref="W383:W386" si="480">V383+H383</f>
        <v>#VALUE!</v>
      </c>
      <c r="X383" s="175" t="e">
        <f t="shared" ref="X383:X386" si="481">W383+I383</f>
        <v>#VALUE!</v>
      </c>
      <c r="Y383" s="175" t="e">
        <f t="shared" ref="Y383:Y386" si="482">X383+J383</f>
        <v>#VALUE!</v>
      </c>
      <c r="Z383" s="175" t="e">
        <f t="shared" ref="Z383:Z386" si="483">Y383+K383</f>
        <v>#VALUE!</v>
      </c>
      <c r="AA383" s="175" t="e">
        <f t="shared" ref="AA383:AA386" si="484">Z383+L383</f>
        <v>#VALUE!</v>
      </c>
      <c r="AB383" s="175" t="e">
        <f t="shared" ref="AB383:AB386" si="485">AA383+M383</f>
        <v>#VALUE!</v>
      </c>
      <c r="AC383" s="175" t="e">
        <f t="shared" ref="AC383:AC386" si="486">AB383+N383</f>
        <v>#VALUE!</v>
      </c>
      <c r="AD383" s="464" t="e">
        <f t="shared" ref="AD383:AD386" si="487">AC383+O383</f>
        <v>#VALUE!</v>
      </c>
      <c r="AE383" s="469">
        <f t="shared" si="459"/>
        <v>382</v>
      </c>
      <c r="AF383" s="169">
        <f>SUM(D383:O383)</f>
        <v>0</v>
      </c>
    </row>
    <row r="384" spans="2:32" x14ac:dyDescent="0.35">
      <c r="B384" s="420">
        <f t="shared" si="445"/>
        <v>383</v>
      </c>
      <c r="C384" s="457" t="s">
        <v>288</v>
      </c>
      <c r="D384" s="175" t="s">
        <v>449</v>
      </c>
      <c r="E384" s="175" t="s">
        <v>449</v>
      </c>
      <c r="F384" s="175" t="s">
        <v>449</v>
      </c>
      <c r="G384" s="175" t="s">
        <v>449</v>
      </c>
      <c r="H384" s="175" t="s">
        <v>449</v>
      </c>
      <c r="I384" s="175" t="s">
        <v>449</v>
      </c>
      <c r="J384" s="175" t="s">
        <v>449</v>
      </c>
      <c r="K384" s="175" t="s">
        <v>449</v>
      </c>
      <c r="L384" s="175" t="s">
        <v>449</v>
      </c>
      <c r="M384" s="175" t="s">
        <v>449</v>
      </c>
      <c r="N384" s="175" t="s">
        <v>449</v>
      </c>
      <c r="O384" s="175" t="s">
        <v>449</v>
      </c>
      <c r="P384" s="166"/>
      <c r="Q384" s="469">
        <f t="shared" si="446"/>
        <v>383</v>
      </c>
      <c r="R384" s="457" t="s">
        <v>288</v>
      </c>
      <c r="S384" s="175" t="str">
        <f t="shared" si="476"/>
        <v>n/a</v>
      </c>
      <c r="T384" s="175" t="e">
        <f t="shared" si="477"/>
        <v>#VALUE!</v>
      </c>
      <c r="U384" s="175" t="e">
        <f t="shared" si="478"/>
        <v>#VALUE!</v>
      </c>
      <c r="V384" s="175" t="e">
        <f t="shared" si="479"/>
        <v>#VALUE!</v>
      </c>
      <c r="W384" s="175" t="e">
        <f t="shared" si="480"/>
        <v>#VALUE!</v>
      </c>
      <c r="X384" s="175" t="e">
        <f t="shared" si="481"/>
        <v>#VALUE!</v>
      </c>
      <c r="Y384" s="175" t="e">
        <f t="shared" si="482"/>
        <v>#VALUE!</v>
      </c>
      <c r="Z384" s="175" t="e">
        <f t="shared" si="483"/>
        <v>#VALUE!</v>
      </c>
      <c r="AA384" s="175" t="e">
        <f t="shared" si="484"/>
        <v>#VALUE!</v>
      </c>
      <c r="AB384" s="175" t="e">
        <f t="shared" si="485"/>
        <v>#VALUE!</v>
      </c>
      <c r="AC384" s="175" t="e">
        <f t="shared" si="486"/>
        <v>#VALUE!</v>
      </c>
      <c r="AD384" s="464" t="e">
        <f t="shared" si="487"/>
        <v>#VALUE!</v>
      </c>
      <c r="AE384" s="469">
        <f t="shared" si="459"/>
        <v>383</v>
      </c>
      <c r="AF384" s="169">
        <f t="shared" ref="AF384:AF386" si="488">SUM(D384:O384)</f>
        <v>0</v>
      </c>
    </row>
    <row r="385" spans="2:32" x14ac:dyDescent="0.35">
      <c r="B385" s="420">
        <f t="shared" si="445"/>
        <v>384</v>
      </c>
      <c r="C385" s="457" t="s">
        <v>289</v>
      </c>
      <c r="D385" s="175" t="s">
        <v>449</v>
      </c>
      <c r="E385" s="175" t="s">
        <v>449</v>
      </c>
      <c r="F385" s="175" t="s">
        <v>449</v>
      </c>
      <c r="G385" s="175" t="s">
        <v>449</v>
      </c>
      <c r="H385" s="175" t="s">
        <v>449</v>
      </c>
      <c r="I385" s="175" t="s">
        <v>449</v>
      </c>
      <c r="J385" s="175" t="s">
        <v>449</v>
      </c>
      <c r="K385" s="175" t="s">
        <v>449</v>
      </c>
      <c r="L385" s="175" t="s">
        <v>449</v>
      </c>
      <c r="M385" s="175" t="s">
        <v>449</v>
      </c>
      <c r="N385" s="175" t="s">
        <v>449</v>
      </c>
      <c r="O385" s="175" t="s">
        <v>449</v>
      </c>
      <c r="P385" s="166"/>
      <c r="Q385" s="469">
        <f t="shared" si="446"/>
        <v>384</v>
      </c>
      <c r="R385" s="457" t="s">
        <v>289</v>
      </c>
      <c r="S385" s="175" t="str">
        <f t="shared" si="476"/>
        <v>n/a</v>
      </c>
      <c r="T385" s="175" t="e">
        <f t="shared" si="477"/>
        <v>#VALUE!</v>
      </c>
      <c r="U385" s="175" t="e">
        <f t="shared" si="478"/>
        <v>#VALUE!</v>
      </c>
      <c r="V385" s="175" t="e">
        <f t="shared" si="479"/>
        <v>#VALUE!</v>
      </c>
      <c r="W385" s="175" t="e">
        <f t="shared" si="480"/>
        <v>#VALUE!</v>
      </c>
      <c r="X385" s="175" t="e">
        <f t="shared" si="481"/>
        <v>#VALUE!</v>
      </c>
      <c r="Y385" s="175" t="e">
        <f t="shared" si="482"/>
        <v>#VALUE!</v>
      </c>
      <c r="Z385" s="175" t="e">
        <f t="shared" si="483"/>
        <v>#VALUE!</v>
      </c>
      <c r="AA385" s="175" t="e">
        <f t="shared" si="484"/>
        <v>#VALUE!</v>
      </c>
      <c r="AB385" s="175" t="e">
        <f t="shared" si="485"/>
        <v>#VALUE!</v>
      </c>
      <c r="AC385" s="175" t="e">
        <f t="shared" si="486"/>
        <v>#VALUE!</v>
      </c>
      <c r="AD385" s="464" t="e">
        <f t="shared" si="487"/>
        <v>#VALUE!</v>
      </c>
      <c r="AE385" s="469">
        <f t="shared" si="459"/>
        <v>384</v>
      </c>
      <c r="AF385" s="169">
        <f t="shared" si="488"/>
        <v>0</v>
      </c>
    </row>
    <row r="386" spans="2:32" x14ac:dyDescent="0.35">
      <c r="B386" s="420">
        <f t="shared" si="445"/>
        <v>385</v>
      </c>
      <c r="C386" s="457" t="s">
        <v>290</v>
      </c>
      <c r="D386" s="175" t="s">
        <v>449</v>
      </c>
      <c r="E386" s="175" t="s">
        <v>449</v>
      </c>
      <c r="F386" s="175" t="s">
        <v>449</v>
      </c>
      <c r="G386" s="175" t="s">
        <v>449</v>
      </c>
      <c r="H386" s="175" t="s">
        <v>449</v>
      </c>
      <c r="I386" s="175" t="s">
        <v>449</v>
      </c>
      <c r="J386" s="175" t="s">
        <v>449</v>
      </c>
      <c r="K386" s="175" t="s">
        <v>449</v>
      </c>
      <c r="L386" s="175" t="s">
        <v>449</v>
      </c>
      <c r="M386" s="175" t="s">
        <v>449</v>
      </c>
      <c r="N386" s="175" t="s">
        <v>449</v>
      </c>
      <c r="O386" s="175" t="s">
        <v>449</v>
      </c>
      <c r="P386" s="166"/>
      <c r="Q386" s="469">
        <f t="shared" si="446"/>
        <v>385</v>
      </c>
      <c r="R386" s="457" t="s">
        <v>290</v>
      </c>
      <c r="S386" s="175" t="str">
        <f t="shared" si="476"/>
        <v>n/a</v>
      </c>
      <c r="T386" s="175" t="e">
        <f t="shared" si="477"/>
        <v>#VALUE!</v>
      </c>
      <c r="U386" s="175" t="e">
        <f t="shared" si="478"/>
        <v>#VALUE!</v>
      </c>
      <c r="V386" s="175" t="e">
        <f t="shared" si="479"/>
        <v>#VALUE!</v>
      </c>
      <c r="W386" s="175" t="e">
        <f t="shared" si="480"/>
        <v>#VALUE!</v>
      </c>
      <c r="X386" s="175" t="e">
        <f t="shared" si="481"/>
        <v>#VALUE!</v>
      </c>
      <c r="Y386" s="175" t="e">
        <f t="shared" si="482"/>
        <v>#VALUE!</v>
      </c>
      <c r="Z386" s="175" t="e">
        <f t="shared" si="483"/>
        <v>#VALUE!</v>
      </c>
      <c r="AA386" s="175" t="e">
        <f t="shared" si="484"/>
        <v>#VALUE!</v>
      </c>
      <c r="AB386" s="175" t="e">
        <f t="shared" si="485"/>
        <v>#VALUE!</v>
      </c>
      <c r="AC386" s="175" t="e">
        <f t="shared" si="486"/>
        <v>#VALUE!</v>
      </c>
      <c r="AD386" s="464" t="e">
        <f t="shared" si="487"/>
        <v>#VALUE!</v>
      </c>
      <c r="AE386" s="469">
        <f t="shared" si="459"/>
        <v>385</v>
      </c>
      <c r="AF386" s="169">
        <f t="shared" si="488"/>
        <v>0</v>
      </c>
    </row>
    <row r="387" spans="2:32" x14ac:dyDescent="0.35">
      <c r="B387" s="420">
        <f t="shared" si="445"/>
        <v>386</v>
      </c>
      <c r="C387" s="456"/>
      <c r="D387" s="168"/>
      <c r="E387" s="168"/>
      <c r="F387" s="168"/>
      <c r="G387" s="168"/>
      <c r="H387" s="168"/>
      <c r="I387" s="168"/>
      <c r="J387" s="168"/>
      <c r="K387" s="168"/>
      <c r="L387" s="168"/>
      <c r="M387" s="168"/>
      <c r="N387" s="168"/>
      <c r="O387" s="168"/>
      <c r="P387" s="164"/>
      <c r="Q387" s="469">
        <f t="shared" si="446"/>
        <v>386</v>
      </c>
      <c r="R387" s="476" t="s">
        <v>300</v>
      </c>
      <c r="S387" s="432" t="s">
        <v>132</v>
      </c>
      <c r="T387" s="432" t="s">
        <v>20</v>
      </c>
      <c r="U387" s="432" t="s">
        <v>21</v>
      </c>
      <c r="V387" s="432" t="s">
        <v>22</v>
      </c>
      <c r="W387" s="432" t="s">
        <v>23</v>
      </c>
      <c r="X387" s="432" t="s">
        <v>24</v>
      </c>
      <c r="Y387" s="432" t="s">
        <v>25</v>
      </c>
      <c r="Z387" s="432" t="s">
        <v>26</v>
      </c>
      <c r="AA387" s="432" t="s">
        <v>27</v>
      </c>
      <c r="AB387" s="432" t="s">
        <v>28</v>
      </c>
      <c r="AC387" s="432" t="s">
        <v>29</v>
      </c>
      <c r="AD387" s="460" t="s">
        <v>30</v>
      </c>
      <c r="AE387" s="469">
        <f t="shared" si="459"/>
        <v>386</v>
      </c>
      <c r="AF387" s="169"/>
    </row>
    <row r="388" spans="2:32" x14ac:dyDescent="0.35">
      <c r="B388" s="420">
        <f t="shared" si="445"/>
        <v>387</v>
      </c>
      <c r="C388" s="1071" t="s">
        <v>293</v>
      </c>
      <c r="D388" s="605">
        <f>D25/D5</f>
        <v>0.37075718015665798</v>
      </c>
      <c r="E388" s="605">
        <f t="shared" ref="E388:O388" si="489">E25/E5</f>
        <v>0.31627906976744186</v>
      </c>
      <c r="F388" s="605">
        <f t="shared" si="489"/>
        <v>0.33265306122448979</v>
      </c>
      <c r="G388" s="605">
        <f t="shared" si="489"/>
        <v>0.35648148148148145</v>
      </c>
      <c r="H388" s="605">
        <f t="shared" si="489"/>
        <v>0.37469586374695862</v>
      </c>
      <c r="I388" s="605">
        <f t="shared" si="489"/>
        <v>0.32250000000000001</v>
      </c>
      <c r="J388" s="605">
        <f t="shared" si="489"/>
        <v>0.28297362110311752</v>
      </c>
      <c r="K388" s="605">
        <f t="shared" si="489"/>
        <v>0.37534246575342467</v>
      </c>
      <c r="L388" s="605">
        <f t="shared" si="489"/>
        <v>0.33647058823529413</v>
      </c>
      <c r="M388" s="605">
        <f t="shared" si="489"/>
        <v>0.36021505376344087</v>
      </c>
      <c r="N388" s="605">
        <f t="shared" si="489"/>
        <v>0.30919220055710306</v>
      </c>
      <c r="O388" s="605">
        <f t="shared" si="489"/>
        <v>0.32085561497326204</v>
      </c>
      <c r="Q388" s="469">
        <f t="shared" si="446"/>
        <v>387</v>
      </c>
      <c r="R388" s="477" t="s">
        <v>293</v>
      </c>
      <c r="S388" s="605">
        <f t="shared" ref="S388:AD388" si="490">S25/S5</f>
        <v>0.37075718015665798</v>
      </c>
      <c r="T388" s="605">
        <f t="shared" si="490"/>
        <v>0.34194341943419432</v>
      </c>
      <c r="U388" s="605">
        <f t="shared" si="490"/>
        <v>0.33844973138910206</v>
      </c>
      <c r="V388" s="605">
        <f t="shared" si="490"/>
        <v>0.34293948126801155</v>
      </c>
      <c r="W388" s="605">
        <f>W25/W5</f>
        <v>0.34902143522833179</v>
      </c>
      <c r="X388" s="605">
        <f t="shared" si="490"/>
        <v>0.3448546739984289</v>
      </c>
      <c r="Y388" s="605">
        <f t="shared" si="490"/>
        <v>0.33614579817752277</v>
      </c>
      <c r="Z388" s="605">
        <f t="shared" si="490"/>
        <v>0.34044471153846156</v>
      </c>
      <c r="AA388" s="605">
        <f t="shared" si="490"/>
        <v>0.33999467092992275</v>
      </c>
      <c r="AB388" s="605">
        <f t="shared" si="490"/>
        <v>0.3418181818181818</v>
      </c>
      <c r="AC388" s="605">
        <f t="shared" si="490"/>
        <v>0.33920606601248887</v>
      </c>
      <c r="AD388" s="605">
        <f t="shared" si="490"/>
        <v>0.33779333058871963</v>
      </c>
      <c r="AE388" s="469">
        <f t="shared" si="459"/>
        <v>387</v>
      </c>
      <c r="AF388" s="478">
        <f>AF25/AF5</f>
        <v>0.33779333058871963</v>
      </c>
    </row>
    <row r="389" spans="2:32" x14ac:dyDescent="0.35">
      <c r="B389" s="420">
        <f t="shared" si="445"/>
        <v>388</v>
      </c>
      <c r="C389" s="1071" t="s">
        <v>294</v>
      </c>
      <c r="D389" s="605">
        <f>D71/D52</f>
        <v>0.39473684210526316</v>
      </c>
      <c r="E389" s="605">
        <f t="shared" ref="E389:O389" si="491">E71/E52</f>
        <v>0.25</v>
      </c>
      <c r="F389" s="605">
        <f t="shared" si="491"/>
        <v>0.32727272727272727</v>
      </c>
      <c r="G389" s="605">
        <f t="shared" si="491"/>
        <v>0.40740740740740738</v>
      </c>
      <c r="H389" s="605">
        <f t="shared" si="491"/>
        <v>0.30952380952380953</v>
      </c>
      <c r="I389" s="605">
        <f t="shared" si="491"/>
        <v>0.26530612244897961</v>
      </c>
      <c r="J389" s="605">
        <f t="shared" si="491"/>
        <v>0.36956521739130432</v>
      </c>
      <c r="K389" s="605">
        <f t="shared" si="491"/>
        <v>0.41176470588235292</v>
      </c>
      <c r="L389" s="605">
        <f t="shared" si="491"/>
        <v>0.39655172413793105</v>
      </c>
      <c r="M389" s="605">
        <f t="shared" si="491"/>
        <v>0.38095238095238093</v>
      </c>
      <c r="N389" s="605">
        <f t="shared" si="491"/>
        <v>0.25</v>
      </c>
      <c r="O389" s="605">
        <f t="shared" si="491"/>
        <v>0.2857142857142857</v>
      </c>
      <c r="Q389" s="469">
        <f t="shared" si="446"/>
        <v>388</v>
      </c>
      <c r="R389" s="477" t="s">
        <v>294</v>
      </c>
      <c r="S389" s="605">
        <f>S71/S52</f>
        <v>0.39473684210526316</v>
      </c>
      <c r="T389" s="605">
        <f t="shared" ref="T389:AF389" si="492">T71/T52</f>
        <v>0.31707317073170732</v>
      </c>
      <c r="U389" s="605">
        <f t="shared" si="492"/>
        <v>0.32116788321167883</v>
      </c>
      <c r="V389" s="605">
        <f t="shared" si="492"/>
        <v>0.34554973821989526</v>
      </c>
      <c r="W389" s="605">
        <f t="shared" si="492"/>
        <v>0.33905579399141633</v>
      </c>
      <c r="X389" s="605">
        <f t="shared" si="492"/>
        <v>0.32624113475177308</v>
      </c>
      <c r="Y389" s="605">
        <f t="shared" si="492"/>
        <v>0.33231707317073172</v>
      </c>
      <c r="Z389" s="605">
        <f t="shared" si="492"/>
        <v>0.3397790055248619</v>
      </c>
      <c r="AA389" s="605">
        <f t="shared" si="492"/>
        <v>0.34761904761904761</v>
      </c>
      <c r="AB389" s="605">
        <f t="shared" si="492"/>
        <v>0.35064935064935066</v>
      </c>
      <c r="AC389" s="605">
        <f t="shared" si="492"/>
        <v>0.34337349397590361</v>
      </c>
      <c r="AD389" s="605">
        <f t="shared" si="492"/>
        <v>0.33820840950639852</v>
      </c>
      <c r="AE389" s="469">
        <f t="shared" si="459"/>
        <v>388</v>
      </c>
      <c r="AF389" s="478">
        <f t="shared" si="492"/>
        <v>0.33820840950639852</v>
      </c>
    </row>
    <row r="390" spans="2:32" x14ac:dyDescent="0.35">
      <c r="B390" s="420">
        <f t="shared" si="445"/>
        <v>389</v>
      </c>
      <c r="C390" s="1071" t="s">
        <v>295</v>
      </c>
      <c r="D390" s="605">
        <f>D118/D99</f>
        <v>0.30357142857142855</v>
      </c>
      <c r="E390" s="605">
        <f t="shared" ref="E390:O390" si="493">E118/E99</f>
        <v>0.33333333333333331</v>
      </c>
      <c r="F390" s="605">
        <f t="shared" si="493"/>
        <v>0.32515337423312884</v>
      </c>
      <c r="G390" s="605">
        <f t="shared" si="493"/>
        <v>0.39534883720930231</v>
      </c>
      <c r="H390" s="605">
        <f t="shared" si="493"/>
        <v>0.38926174496644295</v>
      </c>
      <c r="I390" s="605">
        <f t="shared" si="493"/>
        <v>0.35606060606060608</v>
      </c>
      <c r="J390" s="605">
        <f t="shared" si="493"/>
        <v>0.34351145038167941</v>
      </c>
      <c r="K390" s="605">
        <f t="shared" si="493"/>
        <v>0.43846153846153846</v>
      </c>
      <c r="L390" s="605">
        <f t="shared" si="493"/>
        <v>0.38518518518518519</v>
      </c>
      <c r="M390" s="605">
        <f t="shared" si="493"/>
        <v>0.33333333333333331</v>
      </c>
      <c r="N390" s="605">
        <f t="shared" si="493"/>
        <v>0.35398230088495575</v>
      </c>
      <c r="O390" s="605">
        <f t="shared" si="493"/>
        <v>0.3983739837398374</v>
      </c>
      <c r="Q390" s="469">
        <f t="shared" si="446"/>
        <v>389</v>
      </c>
      <c r="R390" s="477" t="s">
        <v>295</v>
      </c>
      <c r="S390" s="605">
        <f>S118/S99</f>
        <v>0.30357142857142855</v>
      </c>
      <c r="T390" s="605">
        <f t="shared" ref="T390:AF390" si="494">T118/T99</f>
        <v>0.31932773109243695</v>
      </c>
      <c r="U390" s="605">
        <f t="shared" si="494"/>
        <v>0.32169576059850374</v>
      </c>
      <c r="V390" s="605">
        <f t="shared" si="494"/>
        <v>0.33962264150943394</v>
      </c>
      <c r="W390" s="605">
        <f t="shared" si="494"/>
        <v>0.35051546391752575</v>
      </c>
      <c r="X390" s="605">
        <f t="shared" si="494"/>
        <v>0.35141800246609123</v>
      </c>
      <c r="Y390" s="605">
        <f t="shared" si="494"/>
        <v>0.3503184713375796</v>
      </c>
      <c r="Z390" s="605">
        <f t="shared" si="494"/>
        <v>0.36100746268656714</v>
      </c>
      <c r="AA390" s="605">
        <f t="shared" si="494"/>
        <v>0.36371168185584091</v>
      </c>
      <c r="AB390" s="605">
        <f t="shared" si="494"/>
        <v>0.36084021005251316</v>
      </c>
      <c r="AC390" s="605">
        <f t="shared" si="494"/>
        <v>0.3603042876901798</v>
      </c>
      <c r="AD390" s="605">
        <f t="shared" si="494"/>
        <v>0.3632887189292543</v>
      </c>
      <c r="AE390" s="469">
        <f t="shared" si="459"/>
        <v>389</v>
      </c>
      <c r="AF390" s="478">
        <f t="shared" si="494"/>
        <v>0.3632887189292543</v>
      </c>
    </row>
    <row r="391" spans="2:32" x14ac:dyDescent="0.35">
      <c r="B391" s="420">
        <f t="shared" si="445"/>
        <v>390</v>
      </c>
      <c r="C391" s="1071" t="s">
        <v>296</v>
      </c>
      <c r="D391" s="605">
        <f>D165/D146</f>
        <v>0.36231884057971014</v>
      </c>
      <c r="E391" s="605">
        <f t="shared" ref="E391:O391" si="495">E165/E146</f>
        <v>0.44186046511627908</v>
      </c>
      <c r="F391" s="605">
        <f t="shared" si="495"/>
        <v>0.27631578947368424</v>
      </c>
      <c r="G391" s="605">
        <f t="shared" si="495"/>
        <v>0.39759036144578314</v>
      </c>
      <c r="H391" s="605">
        <f t="shared" si="495"/>
        <v>0.32</v>
      </c>
      <c r="I391" s="605">
        <f t="shared" si="495"/>
        <v>0.39344262295081966</v>
      </c>
      <c r="J391" s="605">
        <f t="shared" si="495"/>
        <v>0.30120481927710846</v>
      </c>
      <c r="K391" s="605">
        <f t="shared" si="495"/>
        <v>0.4</v>
      </c>
      <c r="L391" s="605">
        <f t="shared" si="495"/>
        <v>0.35526315789473684</v>
      </c>
      <c r="M391" s="605">
        <f t="shared" si="495"/>
        <v>0.484375</v>
      </c>
      <c r="N391" s="605">
        <f t="shared" si="495"/>
        <v>0.25423728813559321</v>
      </c>
      <c r="O391" s="605">
        <f t="shared" si="495"/>
        <v>0.265625</v>
      </c>
      <c r="Q391" s="469">
        <f t="shared" si="446"/>
        <v>390</v>
      </c>
      <c r="R391" s="477" t="s">
        <v>296</v>
      </c>
      <c r="S391" s="605">
        <f>S165/S146</f>
        <v>0.36231884057971014</v>
      </c>
      <c r="T391" s="605">
        <f t="shared" ref="T391:AF391" si="496">T165/T146</f>
        <v>0.40645161290322579</v>
      </c>
      <c r="U391" s="605">
        <f t="shared" si="496"/>
        <v>0.36363636363636365</v>
      </c>
      <c r="V391" s="605">
        <f t="shared" si="496"/>
        <v>0.37261146496815284</v>
      </c>
      <c r="W391" s="605">
        <f t="shared" si="496"/>
        <v>0.36246786632390743</v>
      </c>
      <c r="X391" s="605">
        <f t="shared" si="496"/>
        <v>0.36666666666666664</v>
      </c>
      <c r="Y391" s="605">
        <f t="shared" si="496"/>
        <v>0.35647279549718575</v>
      </c>
      <c r="Z391" s="605">
        <f t="shared" si="496"/>
        <v>0.36087689713322091</v>
      </c>
      <c r="AA391" s="605">
        <f t="shared" si="496"/>
        <v>0.36023916292974589</v>
      </c>
      <c r="AB391" s="605">
        <f t="shared" si="496"/>
        <v>0.37107776261937242</v>
      </c>
      <c r="AC391" s="605">
        <f t="shared" si="496"/>
        <v>0.36237373737373735</v>
      </c>
      <c r="AD391" s="605">
        <f t="shared" si="496"/>
        <v>0.35514018691588783</v>
      </c>
      <c r="AE391" s="469">
        <f t="shared" si="459"/>
        <v>390</v>
      </c>
      <c r="AF391" s="478">
        <f t="shared" si="496"/>
        <v>0.35514018691588783</v>
      </c>
    </row>
    <row r="392" spans="2:32" x14ac:dyDescent="0.35">
      <c r="B392" s="420">
        <f t="shared" si="445"/>
        <v>391</v>
      </c>
      <c r="C392" s="1071" t="s">
        <v>297</v>
      </c>
      <c r="D392" s="605">
        <f>D307/D287</f>
        <v>0.41463414634146339</v>
      </c>
      <c r="E392" s="605">
        <f t="shared" ref="E392:O392" si="497">E307/E287</f>
        <v>0.25862068965517243</v>
      </c>
      <c r="F392" s="605">
        <f t="shared" si="497"/>
        <v>0.36224489795918369</v>
      </c>
      <c r="G392" s="605">
        <f t="shared" si="497"/>
        <v>0.28915662650602408</v>
      </c>
      <c r="H392" s="605">
        <f t="shared" si="497"/>
        <v>0.40689655172413791</v>
      </c>
      <c r="I392" s="605">
        <f t="shared" si="497"/>
        <v>0.2848101265822785</v>
      </c>
      <c r="J392" s="605">
        <f t="shared" si="497"/>
        <v>0.19745222929936307</v>
      </c>
      <c r="K392" s="605">
        <f t="shared" si="497"/>
        <v>0.2978723404255319</v>
      </c>
      <c r="L392" s="605">
        <f t="shared" si="497"/>
        <v>0.26282051282051283</v>
      </c>
      <c r="M392" s="605">
        <f t="shared" si="497"/>
        <v>0.32142857142857145</v>
      </c>
      <c r="N392" s="605">
        <f t="shared" si="497"/>
        <v>0.31125827814569534</v>
      </c>
      <c r="O392" s="605">
        <f t="shared" si="497"/>
        <v>0.28985507246376813</v>
      </c>
      <c r="Q392" s="469">
        <f t="shared" si="446"/>
        <v>391</v>
      </c>
      <c r="R392" s="477" t="s">
        <v>297</v>
      </c>
      <c r="S392" s="605">
        <f>S307/S287</f>
        <v>0.41463414634146339</v>
      </c>
      <c r="T392" s="605">
        <f t="shared" ref="T392:AF392" si="498">T307/T287</f>
        <v>0.33431952662721892</v>
      </c>
      <c r="U392" s="605">
        <f t="shared" si="498"/>
        <v>0.34456928838951312</v>
      </c>
      <c r="V392" s="605">
        <f t="shared" si="498"/>
        <v>0.33142857142857141</v>
      </c>
      <c r="W392" s="605">
        <f t="shared" si="498"/>
        <v>0.34437869822485206</v>
      </c>
      <c r="X392" s="605">
        <f t="shared" si="498"/>
        <v>0.33499501495513462</v>
      </c>
      <c r="Y392" s="605">
        <f t="shared" si="498"/>
        <v>0.31637931034482758</v>
      </c>
      <c r="Z392" s="605">
        <f t="shared" si="498"/>
        <v>0.31437355880092238</v>
      </c>
      <c r="AA392" s="605">
        <f t="shared" si="498"/>
        <v>0.30885380919698008</v>
      </c>
      <c r="AB392" s="605">
        <f t="shared" si="498"/>
        <v>0.30995616781465246</v>
      </c>
      <c r="AC392" s="605">
        <f t="shared" si="498"/>
        <v>0.31006864988558352</v>
      </c>
      <c r="AD392" s="605">
        <f t="shared" si="498"/>
        <v>0.30858960763520676</v>
      </c>
      <c r="AE392" s="469">
        <f t="shared" si="459"/>
        <v>391</v>
      </c>
      <c r="AF392" s="478">
        <f t="shared" si="498"/>
        <v>0.30858960763520676</v>
      </c>
    </row>
    <row r="393" spans="2:32" x14ac:dyDescent="0.35">
      <c r="B393" s="420">
        <f t="shared" si="445"/>
        <v>392</v>
      </c>
      <c r="C393" s="1071" t="s">
        <v>301</v>
      </c>
      <c r="D393" s="605">
        <f>D211/D191</f>
        <v>0.38961038961038963</v>
      </c>
      <c r="E393" s="605">
        <f t="shared" ref="E393:O393" si="499">E211/E191</f>
        <v>0.21621621621621623</v>
      </c>
      <c r="F393" s="605">
        <f t="shared" si="499"/>
        <v>0.39175257731958762</v>
      </c>
      <c r="G393" s="605">
        <f t="shared" si="499"/>
        <v>0.30864197530864196</v>
      </c>
      <c r="H393" s="605">
        <f t="shared" si="499"/>
        <v>0.4050632911392405</v>
      </c>
      <c r="I393" s="605">
        <f t="shared" si="499"/>
        <v>0.32857142857142857</v>
      </c>
      <c r="J393" s="605">
        <f t="shared" si="499"/>
        <v>0.18055555555555555</v>
      </c>
      <c r="K393" s="605">
        <f t="shared" si="499"/>
        <v>0.2857142857142857</v>
      </c>
      <c r="L393" s="605">
        <f t="shared" si="499"/>
        <v>0.30434782608695654</v>
      </c>
      <c r="M393" s="605">
        <f t="shared" si="499"/>
        <v>0.44827586206896552</v>
      </c>
      <c r="N393" s="605">
        <f t="shared" si="499"/>
        <v>0.31325301204819278</v>
      </c>
      <c r="O393" s="605">
        <f t="shared" si="499"/>
        <v>0.24637681159420291</v>
      </c>
      <c r="Q393" s="469">
        <f t="shared" si="446"/>
        <v>392</v>
      </c>
      <c r="R393" s="477" t="s">
        <v>301</v>
      </c>
      <c r="S393" s="605">
        <f>S211/S191</f>
        <v>0.38961038961038963</v>
      </c>
      <c r="T393" s="605">
        <f t="shared" ref="T393:AF393" si="500">T211/T191</f>
        <v>0.30463576158940397</v>
      </c>
      <c r="U393" s="605">
        <f t="shared" si="500"/>
        <v>0.33870967741935482</v>
      </c>
      <c r="V393" s="605">
        <f t="shared" si="500"/>
        <v>0.33130699088145898</v>
      </c>
      <c r="W393" s="605">
        <f t="shared" si="500"/>
        <v>0.34558823529411764</v>
      </c>
      <c r="X393" s="605">
        <f t="shared" si="500"/>
        <v>0.34309623430962344</v>
      </c>
      <c r="Y393" s="605">
        <f t="shared" si="500"/>
        <v>0.32181818181818184</v>
      </c>
      <c r="Z393" s="605">
        <f t="shared" si="500"/>
        <v>0.31774193548387097</v>
      </c>
      <c r="AA393" s="605">
        <f t="shared" si="500"/>
        <v>0.31640058055152392</v>
      </c>
      <c r="AB393" s="605">
        <f t="shared" si="500"/>
        <v>0.32663989290495316</v>
      </c>
      <c r="AC393" s="605">
        <f t="shared" si="500"/>
        <v>0.3253012048192771</v>
      </c>
      <c r="AD393" s="605">
        <f t="shared" si="500"/>
        <v>0.3192436040044494</v>
      </c>
      <c r="AE393" s="469">
        <f t="shared" si="459"/>
        <v>392</v>
      </c>
      <c r="AF393" s="478">
        <f t="shared" si="500"/>
        <v>0.3192436040044494</v>
      </c>
    </row>
    <row r="394" spans="2:32" x14ac:dyDescent="0.35">
      <c r="B394" s="420">
        <f t="shared" si="445"/>
        <v>393</v>
      </c>
      <c r="C394" s="1071" t="s">
        <v>298</v>
      </c>
      <c r="D394" s="605">
        <f>D259/D239</f>
        <v>0.43678160919540232</v>
      </c>
      <c r="E394" s="605">
        <f t="shared" ref="E394:O394" si="501">E259/E239</f>
        <v>0.28999999999999998</v>
      </c>
      <c r="F394" s="605">
        <f t="shared" si="501"/>
        <v>0.33333333333333331</v>
      </c>
      <c r="G394" s="605">
        <f t="shared" si="501"/>
        <v>0.27058823529411763</v>
      </c>
      <c r="H394" s="605">
        <f t="shared" si="501"/>
        <v>0.40909090909090912</v>
      </c>
      <c r="I394" s="605">
        <f t="shared" si="501"/>
        <v>0.25</v>
      </c>
      <c r="J394" s="605">
        <f t="shared" si="501"/>
        <v>0.21176470588235294</v>
      </c>
      <c r="K394" s="605">
        <f t="shared" si="501"/>
        <v>0.30985915492957744</v>
      </c>
      <c r="L394" s="605">
        <f t="shared" si="501"/>
        <v>0.22988505747126436</v>
      </c>
      <c r="M394" s="605">
        <f t="shared" si="501"/>
        <v>0.23170731707317074</v>
      </c>
      <c r="N394" s="605">
        <f t="shared" si="501"/>
        <v>0.30882352941176472</v>
      </c>
      <c r="O394" s="605">
        <f t="shared" si="501"/>
        <v>0.33333333333333331</v>
      </c>
      <c r="Q394" s="469">
        <f t="shared" si="446"/>
        <v>393</v>
      </c>
      <c r="R394" s="477" t="s">
        <v>298</v>
      </c>
      <c r="S394" s="605">
        <f>S259/S239</f>
        <v>0.43678160919540232</v>
      </c>
      <c r="T394" s="605">
        <f t="shared" ref="T394:AF394" si="502">T259/T239</f>
        <v>0.35828877005347592</v>
      </c>
      <c r="U394" s="605">
        <f t="shared" si="502"/>
        <v>0.34965034965034963</v>
      </c>
      <c r="V394" s="605">
        <f t="shared" si="502"/>
        <v>0.33153638814016173</v>
      </c>
      <c r="W394" s="605">
        <f t="shared" si="502"/>
        <v>0.34324942791762014</v>
      </c>
      <c r="X394" s="605">
        <f t="shared" si="502"/>
        <v>0.32761904761904764</v>
      </c>
      <c r="Y394" s="605">
        <f t="shared" si="502"/>
        <v>0.31147540983606559</v>
      </c>
      <c r="Z394" s="605">
        <f t="shared" si="502"/>
        <v>0.31130690161527164</v>
      </c>
      <c r="AA394" s="605">
        <f t="shared" si="502"/>
        <v>0.30208333333333331</v>
      </c>
      <c r="AB394" s="605">
        <f t="shared" si="502"/>
        <v>0.29529411764705882</v>
      </c>
      <c r="AC394" s="605">
        <f t="shared" si="502"/>
        <v>0.29629629629629628</v>
      </c>
      <c r="AD394" s="605">
        <f t="shared" si="502"/>
        <v>0.29888551165146909</v>
      </c>
      <c r="AE394" s="469">
        <f t="shared" si="459"/>
        <v>393</v>
      </c>
      <c r="AF394" s="478">
        <f t="shared" si="502"/>
        <v>0.29888551165146909</v>
      </c>
    </row>
    <row r="395" spans="2:32" x14ac:dyDescent="0.35">
      <c r="B395" s="420">
        <f t="shared" si="445"/>
        <v>394</v>
      </c>
      <c r="C395" s="1072" t="s">
        <v>299</v>
      </c>
      <c r="D395" s="605">
        <f>D26/D6</f>
        <v>0.35831381733021078</v>
      </c>
      <c r="E395" s="605">
        <f t="shared" ref="E395:O395" si="503">E26/E6</f>
        <v>0.38697788697788699</v>
      </c>
      <c r="F395" s="605">
        <f t="shared" si="503"/>
        <v>0.30227272727272725</v>
      </c>
      <c r="G395" s="605">
        <f t="shared" si="503"/>
        <v>0.39285714285714285</v>
      </c>
      <c r="H395" s="605">
        <f>H26/H6</f>
        <v>0.36523929471032746</v>
      </c>
      <c r="I395" s="605">
        <f t="shared" si="503"/>
        <v>0.3447461629279811</v>
      </c>
      <c r="J395" s="605">
        <f t="shared" si="503"/>
        <v>0.35641316685584562</v>
      </c>
      <c r="K395" s="605">
        <f t="shared" si="503"/>
        <v>0.35446009389671362</v>
      </c>
      <c r="L395" s="605">
        <f t="shared" si="503"/>
        <v>0.36764705882352944</v>
      </c>
      <c r="M395" s="605">
        <f t="shared" si="503"/>
        <v>0.3728813559322034</v>
      </c>
      <c r="N395" s="605">
        <f t="shared" si="503"/>
        <v>0.3244228432563791</v>
      </c>
      <c r="O395" s="605">
        <f t="shared" si="503"/>
        <v>0.37735849056603776</v>
      </c>
      <c r="Q395" s="469">
        <f t="shared" si="446"/>
        <v>394</v>
      </c>
      <c r="R395" s="479" t="s">
        <v>299</v>
      </c>
      <c r="S395" s="605">
        <f>S26/S6</f>
        <v>0.35831381733021078</v>
      </c>
      <c r="T395" s="605">
        <f t="shared" ref="T395:AF395" si="504">T26/T6</f>
        <v>0.37230215827338131</v>
      </c>
      <c r="U395" s="605">
        <f t="shared" si="504"/>
        <v>0.34811616954474095</v>
      </c>
      <c r="V395" s="605">
        <f t="shared" si="504"/>
        <v>0.35920897284533648</v>
      </c>
      <c r="W395" s="605">
        <f t="shared" si="504"/>
        <v>0.36035389765662362</v>
      </c>
      <c r="X395" s="605">
        <f t="shared" si="504"/>
        <v>0.35772519387552199</v>
      </c>
      <c r="Y395" s="605">
        <f t="shared" si="504"/>
        <v>0.35752961082910323</v>
      </c>
      <c r="Z395" s="605">
        <f t="shared" si="504"/>
        <v>0.35714285714285715</v>
      </c>
      <c r="AA395" s="605">
        <f t="shared" si="504"/>
        <v>0.35827395091053049</v>
      </c>
      <c r="AB395" s="605">
        <f t="shared" si="504"/>
        <v>0.359709662065683</v>
      </c>
      <c r="AC395" s="605">
        <f t="shared" si="504"/>
        <v>0.35656226292402732</v>
      </c>
      <c r="AD395" s="605">
        <f t="shared" si="504"/>
        <v>0.35821193374575933</v>
      </c>
      <c r="AE395" s="469">
        <f t="shared" si="459"/>
        <v>394</v>
      </c>
      <c r="AF395" s="478">
        <f t="shared" si="504"/>
        <v>0.35821193374575933</v>
      </c>
    </row>
    <row r="396" spans="2:32" x14ac:dyDescent="0.35">
      <c r="B396" s="420">
        <f t="shared" si="445"/>
        <v>395</v>
      </c>
      <c r="C396" s="1072" t="s">
        <v>303</v>
      </c>
      <c r="D396" s="605">
        <f>D72/D53</f>
        <v>0.34883720930232559</v>
      </c>
      <c r="E396" s="605">
        <f t="shared" ref="E396:O396" si="505">E72/E53</f>
        <v>0.43529411764705883</v>
      </c>
      <c r="F396" s="605">
        <f t="shared" si="505"/>
        <v>0.31034482758620691</v>
      </c>
      <c r="G396" s="605">
        <f t="shared" si="505"/>
        <v>0.45783132530120479</v>
      </c>
      <c r="H396" s="605">
        <f t="shared" si="505"/>
        <v>0.37179487179487181</v>
      </c>
      <c r="I396" s="605">
        <f t="shared" si="505"/>
        <v>0.30434782608695654</v>
      </c>
      <c r="J396" s="605">
        <f t="shared" si="505"/>
        <v>0.3595505617977528</v>
      </c>
      <c r="K396" s="605">
        <f t="shared" si="505"/>
        <v>0.36</v>
      </c>
      <c r="L396" s="605">
        <f t="shared" si="505"/>
        <v>0.42666666666666669</v>
      </c>
      <c r="M396" s="605">
        <f t="shared" si="505"/>
        <v>0.4567901234567901</v>
      </c>
      <c r="N396" s="605">
        <f t="shared" si="505"/>
        <v>0.26744186046511625</v>
      </c>
      <c r="O396" s="605">
        <f t="shared" si="505"/>
        <v>0.39772727272727271</v>
      </c>
      <c r="Q396" s="469">
        <f t="shared" si="446"/>
        <v>395</v>
      </c>
      <c r="R396" s="479" t="s">
        <v>303</v>
      </c>
      <c r="S396" s="605">
        <f>S72/S53</f>
        <v>0.34883720930232559</v>
      </c>
      <c r="T396" s="605">
        <f t="shared" ref="T396:AF396" si="506">T72/T53</f>
        <v>0.391812865497076</v>
      </c>
      <c r="U396" s="605">
        <f t="shared" si="506"/>
        <v>0.36434108527131781</v>
      </c>
      <c r="V396" s="605">
        <f t="shared" si="506"/>
        <v>0.38709677419354838</v>
      </c>
      <c r="W396" s="605">
        <f t="shared" si="506"/>
        <v>0.38424821002386633</v>
      </c>
      <c r="X396" s="605">
        <f t="shared" si="506"/>
        <v>0.37295081967213117</v>
      </c>
      <c r="Y396" s="605">
        <f t="shared" si="506"/>
        <v>0.37088388214904677</v>
      </c>
      <c r="Z396" s="605">
        <f t="shared" si="506"/>
        <v>0.36927621861152143</v>
      </c>
      <c r="AA396" s="605">
        <f t="shared" si="506"/>
        <v>0.375</v>
      </c>
      <c r="AB396" s="605">
        <f t="shared" si="506"/>
        <v>0.38295318127250899</v>
      </c>
      <c r="AC396" s="605">
        <f t="shared" si="506"/>
        <v>0.37214363438520132</v>
      </c>
      <c r="AD396" s="605">
        <f t="shared" si="506"/>
        <v>0.3743793445878848</v>
      </c>
      <c r="AE396" s="469">
        <f t="shared" si="459"/>
        <v>395</v>
      </c>
      <c r="AF396" s="478">
        <f t="shared" si="506"/>
        <v>0.3743793445878848</v>
      </c>
    </row>
    <row r="397" spans="2:32" x14ac:dyDescent="0.35">
      <c r="B397" s="420">
        <f t="shared" si="445"/>
        <v>396</v>
      </c>
      <c r="C397" s="1072" t="s">
        <v>304</v>
      </c>
      <c r="D397" s="605">
        <f>D119/D100</f>
        <v>0.31506849315068491</v>
      </c>
      <c r="E397" s="605">
        <f t="shared" ref="E397:O397" si="507">E119/E100</f>
        <v>0.4</v>
      </c>
      <c r="F397" s="605">
        <f t="shared" si="507"/>
        <v>0.30612244897959184</v>
      </c>
      <c r="G397" s="605">
        <f t="shared" si="507"/>
        <v>0.375</v>
      </c>
      <c r="H397" s="605">
        <f t="shared" si="507"/>
        <v>0.39316239316239315</v>
      </c>
      <c r="I397" s="605">
        <f t="shared" si="507"/>
        <v>0.36603773584905658</v>
      </c>
      <c r="J397" s="605">
        <f t="shared" si="507"/>
        <v>0.37755102040816324</v>
      </c>
      <c r="K397" s="605">
        <f t="shared" si="507"/>
        <v>0.37603305785123969</v>
      </c>
      <c r="L397" s="605">
        <f t="shared" si="507"/>
        <v>0.40816326530612246</v>
      </c>
      <c r="M397" s="605">
        <f t="shared" si="507"/>
        <v>0.37959183673469388</v>
      </c>
      <c r="N397" s="605">
        <f t="shared" si="507"/>
        <v>0.33969465648854963</v>
      </c>
      <c r="O397" s="605">
        <f t="shared" si="507"/>
        <v>0.36966824644549762</v>
      </c>
      <c r="Q397" s="469">
        <f t="shared" si="446"/>
        <v>396</v>
      </c>
      <c r="R397" s="479" t="s">
        <v>304</v>
      </c>
      <c r="S397" s="605">
        <f>S119/S100</f>
        <v>0.31506849315068491</v>
      </c>
      <c r="T397" s="605">
        <f t="shared" ref="T397:AF397" si="508">T119/T100</f>
        <v>0.35424354243542433</v>
      </c>
      <c r="U397" s="605">
        <f t="shared" si="508"/>
        <v>0.33926302414231257</v>
      </c>
      <c r="V397" s="605">
        <f t="shared" si="508"/>
        <v>0.34844192634560905</v>
      </c>
      <c r="W397" s="605">
        <f t="shared" si="508"/>
        <v>0.35653518948182522</v>
      </c>
      <c r="X397" s="605">
        <f t="shared" si="508"/>
        <v>0.35815147625160459</v>
      </c>
      <c r="Y397" s="605">
        <f t="shared" si="508"/>
        <v>0.36123110151187904</v>
      </c>
      <c r="Z397" s="605">
        <f t="shared" si="508"/>
        <v>0.3629417382999045</v>
      </c>
      <c r="AA397" s="605">
        <f t="shared" si="508"/>
        <v>0.36767849508336897</v>
      </c>
      <c r="AB397" s="605">
        <f t="shared" si="508"/>
        <v>0.3688080495356037</v>
      </c>
      <c r="AC397" s="605">
        <f t="shared" si="508"/>
        <v>0.36612789880534086</v>
      </c>
      <c r="AD397" s="605">
        <f t="shared" si="508"/>
        <v>0.36637226038599935</v>
      </c>
      <c r="AE397" s="469">
        <f t="shared" si="459"/>
        <v>396</v>
      </c>
      <c r="AF397" s="478">
        <f t="shared" si="508"/>
        <v>0.36637226038599935</v>
      </c>
    </row>
    <row r="398" spans="2:32" x14ac:dyDescent="0.35">
      <c r="B398" s="420">
        <f t="shared" si="445"/>
        <v>397</v>
      </c>
      <c r="C398" s="1072" t="s">
        <v>305</v>
      </c>
      <c r="D398" s="605">
        <f>D166/D147</f>
        <v>0.38</v>
      </c>
      <c r="E398" s="605">
        <f t="shared" ref="E398:O398" si="509">E166/E147</f>
        <v>0.32768361581920902</v>
      </c>
      <c r="F398" s="605">
        <f t="shared" si="509"/>
        <v>0.28176795580110497</v>
      </c>
      <c r="G398" s="605">
        <f t="shared" si="509"/>
        <v>0.35714285714285715</v>
      </c>
      <c r="H398" s="605">
        <f t="shared" si="509"/>
        <v>0.35570469798657717</v>
      </c>
      <c r="I398" s="605">
        <f t="shared" si="509"/>
        <v>0.37820512820512819</v>
      </c>
      <c r="J398" s="605">
        <f t="shared" si="509"/>
        <v>0.35416666666666669</v>
      </c>
      <c r="K398" s="605">
        <f t="shared" si="509"/>
        <v>0.34090909090909088</v>
      </c>
      <c r="L398" s="605">
        <f t="shared" si="509"/>
        <v>0.32941176470588235</v>
      </c>
      <c r="M398" s="605">
        <f t="shared" si="509"/>
        <v>0.41007194244604317</v>
      </c>
      <c r="N398" s="605">
        <f t="shared" si="509"/>
        <v>0.39568345323741005</v>
      </c>
      <c r="O398" s="605">
        <f t="shared" si="509"/>
        <v>0.27167630057803466</v>
      </c>
      <c r="Q398" s="469">
        <f t="shared" si="446"/>
        <v>397</v>
      </c>
      <c r="R398" s="479" t="s">
        <v>305</v>
      </c>
      <c r="S398" s="605">
        <f>S166/S147</f>
        <v>0.38</v>
      </c>
      <c r="T398" s="605">
        <f t="shared" ref="T398:AF398" si="510">T166/T147</f>
        <v>0.35168195718654433</v>
      </c>
      <c r="U398" s="605">
        <f t="shared" si="510"/>
        <v>0.32677165354330706</v>
      </c>
      <c r="V398" s="605">
        <f t="shared" si="510"/>
        <v>0.33333333333333331</v>
      </c>
      <c r="W398" s="605">
        <f t="shared" si="510"/>
        <v>0.33751568381430364</v>
      </c>
      <c r="X398" s="605">
        <f t="shared" si="510"/>
        <v>0.34417628541448059</v>
      </c>
      <c r="Y398" s="605">
        <f t="shared" si="510"/>
        <v>0.3454876937101185</v>
      </c>
      <c r="Z398" s="605">
        <f t="shared" si="510"/>
        <v>0.3448546739984289</v>
      </c>
      <c r="AA398" s="605">
        <f t="shared" si="510"/>
        <v>0.34303534303534305</v>
      </c>
      <c r="AB398" s="605">
        <f t="shared" si="510"/>
        <v>0.34892541087231355</v>
      </c>
      <c r="AC398" s="605">
        <f t="shared" si="510"/>
        <v>0.35270191748983148</v>
      </c>
      <c r="AD398" s="605">
        <f t="shared" si="510"/>
        <v>0.34530095036958819</v>
      </c>
      <c r="AE398" s="469">
        <f t="shared" si="459"/>
        <v>397</v>
      </c>
      <c r="AF398" s="478">
        <f t="shared" si="510"/>
        <v>0.34530095036958819</v>
      </c>
    </row>
    <row r="399" spans="2:32" x14ac:dyDescent="0.35">
      <c r="B399" s="420">
        <f t="shared" si="445"/>
        <v>398</v>
      </c>
      <c r="C399" s="1072" t="s">
        <v>306</v>
      </c>
      <c r="D399" s="605">
        <f>D308/D288</f>
        <v>0.38957055214723929</v>
      </c>
      <c r="E399" s="605">
        <f t="shared" ref="E399:O399" si="511">E308/E288</f>
        <v>0.39735099337748342</v>
      </c>
      <c r="F399" s="605">
        <f t="shared" si="511"/>
        <v>0.30790190735694822</v>
      </c>
      <c r="G399" s="605">
        <f t="shared" si="511"/>
        <v>0.40579710144927539</v>
      </c>
      <c r="H399" s="605">
        <f t="shared" si="511"/>
        <v>0.34834834834834832</v>
      </c>
      <c r="I399" s="605">
        <f t="shared" si="511"/>
        <v>0.32212885154061627</v>
      </c>
      <c r="J399" s="605">
        <f t="shared" si="511"/>
        <v>0.33898305084745761</v>
      </c>
      <c r="K399" s="605">
        <f t="shared" si="511"/>
        <v>0.34431137724550898</v>
      </c>
      <c r="L399" s="605">
        <f t="shared" si="511"/>
        <v>0.34355828220858897</v>
      </c>
      <c r="M399" s="605">
        <f t="shared" si="511"/>
        <v>0.33518005540166207</v>
      </c>
      <c r="N399" s="605">
        <f t="shared" si="511"/>
        <v>0.29761904761904762</v>
      </c>
      <c r="O399" s="605">
        <f t="shared" si="511"/>
        <v>0.43343653250773995</v>
      </c>
      <c r="Q399" s="469">
        <f t="shared" si="446"/>
        <v>398</v>
      </c>
      <c r="R399" s="479" t="s">
        <v>306</v>
      </c>
      <c r="S399" s="605">
        <f>S308/S288</f>
        <v>0.38957055214723929</v>
      </c>
      <c r="T399" s="605">
        <f t="shared" ref="T399:AF399" si="512">T308/T288</f>
        <v>0.39331210191082805</v>
      </c>
      <c r="U399" s="605">
        <f t="shared" si="512"/>
        <v>0.36180904522613067</v>
      </c>
      <c r="V399" s="605">
        <f t="shared" si="512"/>
        <v>0.37313432835820898</v>
      </c>
      <c r="W399" s="605">
        <f t="shared" si="512"/>
        <v>0.3682008368200837</v>
      </c>
      <c r="X399" s="605">
        <f t="shared" si="512"/>
        <v>0.36009852216748767</v>
      </c>
      <c r="Y399" s="605">
        <f t="shared" si="512"/>
        <v>0.35696308724832215</v>
      </c>
      <c r="Z399" s="605">
        <f t="shared" si="512"/>
        <v>0.35540838852097129</v>
      </c>
      <c r="AA399" s="605">
        <f t="shared" si="512"/>
        <v>0.35413929040735875</v>
      </c>
      <c r="AB399" s="605">
        <f t="shared" si="512"/>
        <v>0.35212922173274597</v>
      </c>
      <c r="AC399" s="605">
        <f t="shared" si="512"/>
        <v>0.34723336006415395</v>
      </c>
      <c r="AD399" s="605">
        <f t="shared" si="512"/>
        <v>0.35408464566929132</v>
      </c>
      <c r="AE399" s="469">
        <f t="shared" si="459"/>
        <v>398</v>
      </c>
      <c r="AF399" s="478">
        <f t="shared" si="512"/>
        <v>0.35408464566929132</v>
      </c>
    </row>
    <row r="400" spans="2:32" x14ac:dyDescent="0.35">
      <c r="B400" s="420">
        <f t="shared" si="445"/>
        <v>399</v>
      </c>
      <c r="C400" s="1072" t="s">
        <v>307</v>
      </c>
      <c r="D400" s="605">
        <f>D212/D192</f>
        <v>0.47297297297297297</v>
      </c>
      <c r="E400" s="605">
        <f t="shared" ref="E400:O400" si="513">E212/E192</f>
        <v>0.40799999999999997</v>
      </c>
      <c r="F400" s="605">
        <f t="shared" si="513"/>
        <v>0.30635838150289019</v>
      </c>
      <c r="G400" s="605">
        <f t="shared" si="513"/>
        <v>0.41379310344827586</v>
      </c>
      <c r="H400" s="605">
        <f t="shared" si="513"/>
        <v>0.38513513513513514</v>
      </c>
      <c r="I400" s="605">
        <f t="shared" si="513"/>
        <v>0.29142857142857143</v>
      </c>
      <c r="J400" s="605">
        <f t="shared" si="513"/>
        <v>0.31976744186046513</v>
      </c>
      <c r="K400" s="605">
        <f t="shared" si="513"/>
        <v>0.3522012578616352</v>
      </c>
      <c r="L400" s="605">
        <f t="shared" si="513"/>
        <v>0.37654320987654322</v>
      </c>
      <c r="M400" s="605">
        <f t="shared" si="513"/>
        <v>0.3503184713375796</v>
      </c>
      <c r="N400" s="605">
        <f t="shared" si="513"/>
        <v>0.29936305732484075</v>
      </c>
      <c r="O400" s="605">
        <f t="shared" si="513"/>
        <v>0.45454545454545453</v>
      </c>
      <c r="Q400" s="469">
        <f t="shared" si="446"/>
        <v>399</v>
      </c>
      <c r="R400" s="479" t="s">
        <v>307</v>
      </c>
      <c r="S400" s="605">
        <f>S212/S192</f>
        <v>0.47297297297297297</v>
      </c>
      <c r="T400" s="605">
        <f t="shared" ref="T400:AF400" si="514">T212/T192</f>
        <v>0.4432234432234432</v>
      </c>
      <c r="U400" s="605">
        <f t="shared" si="514"/>
        <v>0.39013452914798208</v>
      </c>
      <c r="V400" s="605">
        <f t="shared" si="514"/>
        <v>0.39593908629441626</v>
      </c>
      <c r="W400" s="605">
        <f t="shared" si="514"/>
        <v>0.39377537212449254</v>
      </c>
      <c r="X400" s="605">
        <f t="shared" si="514"/>
        <v>0.37417943107221008</v>
      </c>
      <c r="Y400" s="605">
        <f t="shared" si="514"/>
        <v>0.36556169429097607</v>
      </c>
      <c r="Z400" s="605">
        <f t="shared" si="514"/>
        <v>0.363855421686747</v>
      </c>
      <c r="AA400" s="605">
        <f t="shared" si="514"/>
        <v>0.36531627576403697</v>
      </c>
      <c r="AB400" s="605">
        <f t="shared" si="514"/>
        <v>0.36381074168797956</v>
      </c>
      <c r="AC400" s="605">
        <f t="shared" si="514"/>
        <v>0.35793143521208598</v>
      </c>
      <c r="AD400" s="605">
        <f t="shared" si="514"/>
        <v>0.36534334763948501</v>
      </c>
      <c r="AE400" s="469">
        <f t="shared" si="459"/>
        <v>399</v>
      </c>
      <c r="AF400" s="478">
        <f t="shared" si="514"/>
        <v>0.36534334763948501</v>
      </c>
    </row>
    <row r="401" spans="2:32" x14ac:dyDescent="0.35">
      <c r="B401" s="420">
        <f t="shared" si="445"/>
        <v>400</v>
      </c>
      <c r="C401" s="1072" t="s">
        <v>308</v>
      </c>
      <c r="D401" s="605">
        <f>D260/D240</f>
        <v>0.3202247191011236</v>
      </c>
      <c r="E401" s="605">
        <f t="shared" ref="E401:O401" si="515">E260/E240</f>
        <v>0.38983050847457629</v>
      </c>
      <c r="F401" s="605">
        <f t="shared" si="515"/>
        <v>0.30927835051546393</v>
      </c>
      <c r="G401" s="605">
        <f t="shared" si="515"/>
        <v>0.4</v>
      </c>
      <c r="H401" s="605">
        <f t="shared" si="515"/>
        <v>0.31891891891891894</v>
      </c>
      <c r="I401" s="605">
        <f t="shared" si="515"/>
        <v>0.35164835164835168</v>
      </c>
      <c r="J401" s="605">
        <f t="shared" si="515"/>
        <v>0.35714285714285715</v>
      </c>
      <c r="K401" s="605">
        <f t="shared" si="515"/>
        <v>0.33714285714285713</v>
      </c>
      <c r="L401" s="605">
        <f t="shared" si="515"/>
        <v>0.31097560975609756</v>
      </c>
      <c r="M401" s="605">
        <f t="shared" si="515"/>
        <v>0.3235294117647059</v>
      </c>
      <c r="N401" s="605">
        <f t="shared" si="515"/>
        <v>0.29608938547486036</v>
      </c>
      <c r="O401" s="605">
        <f t="shared" si="515"/>
        <v>0.41666666666666669</v>
      </c>
      <c r="Q401" s="469">
        <f t="shared" si="446"/>
        <v>400</v>
      </c>
      <c r="R401" s="479" t="s">
        <v>308</v>
      </c>
      <c r="S401" s="605">
        <f>S260/S240</f>
        <v>0.3202247191011236</v>
      </c>
      <c r="T401" s="605">
        <f t="shared" ref="T401:AF401" si="516">T260/T240</f>
        <v>0.35492957746478876</v>
      </c>
      <c r="U401" s="605">
        <f t="shared" si="516"/>
        <v>0.33879781420765026</v>
      </c>
      <c r="V401" s="605">
        <f t="shared" si="516"/>
        <v>0.35514018691588783</v>
      </c>
      <c r="W401" s="605">
        <f t="shared" si="516"/>
        <v>0.34796573875803</v>
      </c>
      <c r="X401" s="605">
        <f t="shared" si="516"/>
        <v>0.34856630824372759</v>
      </c>
      <c r="Y401" s="605">
        <f t="shared" si="516"/>
        <v>0.34976887519260402</v>
      </c>
      <c r="Z401" s="605">
        <f t="shared" si="516"/>
        <v>0.34826883910386963</v>
      </c>
      <c r="AA401" s="605">
        <f t="shared" si="516"/>
        <v>0.34453268173488089</v>
      </c>
      <c r="AB401" s="605">
        <f t="shared" si="516"/>
        <v>0.34220532319391633</v>
      </c>
      <c r="AC401" s="605">
        <f t="shared" si="516"/>
        <v>0.33811881188118814</v>
      </c>
      <c r="AD401" s="605">
        <f t="shared" si="516"/>
        <v>0.34454545454545454</v>
      </c>
      <c r="AE401" s="469">
        <f t="shared" si="459"/>
        <v>400</v>
      </c>
      <c r="AF401" s="478">
        <f t="shared" si="516"/>
        <v>0.34454545454545454</v>
      </c>
    </row>
    <row r="402" spans="2:32" x14ac:dyDescent="0.35">
      <c r="B402" s="420">
        <f t="shared" si="445"/>
        <v>401</v>
      </c>
      <c r="C402" s="660" t="s">
        <v>366</v>
      </c>
      <c r="D402" s="168">
        <v>45017</v>
      </c>
      <c r="E402" s="168">
        <v>45047</v>
      </c>
      <c r="F402" s="168">
        <v>45078</v>
      </c>
      <c r="G402" s="168">
        <v>45108</v>
      </c>
      <c r="H402" s="168">
        <v>45139</v>
      </c>
      <c r="I402" s="168">
        <v>45170</v>
      </c>
      <c r="J402" s="168">
        <v>45200</v>
      </c>
      <c r="K402" s="168">
        <v>45231</v>
      </c>
      <c r="L402" s="168">
        <v>45261</v>
      </c>
      <c r="M402" s="168">
        <v>45292</v>
      </c>
      <c r="N402" s="168">
        <v>45323</v>
      </c>
      <c r="O402" s="168">
        <v>45352</v>
      </c>
      <c r="Q402" s="469">
        <f t="shared" si="446"/>
        <v>401</v>
      </c>
      <c r="R402" s="660" t="s">
        <v>366</v>
      </c>
      <c r="S402" s="432" t="s">
        <v>132</v>
      </c>
      <c r="T402" s="432" t="s">
        <v>20</v>
      </c>
      <c r="U402" s="432" t="s">
        <v>21</v>
      </c>
      <c r="V402" s="432" t="s">
        <v>22</v>
      </c>
      <c r="W402" s="432" t="s">
        <v>23</v>
      </c>
      <c r="X402" s="432" t="s">
        <v>24</v>
      </c>
      <c r="Y402" s="432" t="s">
        <v>25</v>
      </c>
      <c r="Z402" s="432" t="s">
        <v>26</v>
      </c>
      <c r="AA402" s="432" t="s">
        <v>27</v>
      </c>
      <c r="AB402" s="432" t="s">
        <v>28</v>
      </c>
      <c r="AC402" s="432" t="s">
        <v>29</v>
      </c>
      <c r="AD402" s="460" t="s">
        <v>30</v>
      </c>
      <c r="AE402" s="469">
        <f t="shared" si="459"/>
        <v>401</v>
      </c>
      <c r="AF402" s="478">
        <f t="shared" ref="AF402" si="517">AF261/AF241</f>
        <v>0.46762589928057552</v>
      </c>
    </row>
    <row r="403" spans="2:32" x14ac:dyDescent="0.35">
      <c r="B403" s="420">
        <f t="shared" si="445"/>
        <v>402</v>
      </c>
      <c r="C403" s="660" t="s">
        <v>365</v>
      </c>
      <c r="D403" s="621">
        <f>'[2]Rug - MOWP'!AX2</f>
        <v>3</v>
      </c>
      <c r="E403" s="621">
        <f>'[2]Rug - MOWP'!AY2</f>
        <v>5</v>
      </c>
      <c r="F403" s="621">
        <f>'[2]Rug - MOWP'!AZ2</f>
        <v>3</v>
      </c>
      <c r="G403" s="621">
        <f>'[2]Rug - MOWP'!BA2</f>
        <v>5</v>
      </c>
      <c r="H403" s="621">
        <f>'[2]Rug - MOWP'!BB2</f>
        <v>1</v>
      </c>
      <c r="I403" s="621">
        <f>'[2]Rug - MOWP'!BC2</f>
        <v>13</v>
      </c>
      <c r="J403" s="621">
        <f>'[2]Rug - MOWP'!BD2</f>
        <v>6</v>
      </c>
      <c r="K403" s="621">
        <f>'[2]Rug - MOWP'!BE2</f>
        <v>6</v>
      </c>
      <c r="L403" s="621">
        <f>'[2]Rug - MOWP'!BF2</f>
        <v>8</v>
      </c>
      <c r="M403" s="621">
        <f>'[2]Rug - MOWP'!BG2</f>
        <v>7</v>
      </c>
      <c r="N403" s="621">
        <f>'[2]Rug - MOWP'!BH2</f>
        <v>0</v>
      </c>
      <c r="O403" s="621">
        <f>'[2]Rug - MOWP'!BI2</f>
        <v>3</v>
      </c>
      <c r="Q403" s="469">
        <f t="shared" si="446"/>
        <v>402</v>
      </c>
      <c r="R403" s="660" t="s">
        <v>365</v>
      </c>
      <c r="S403" s="175">
        <f t="shared" ref="S403:S458" si="518">D403</f>
        <v>3</v>
      </c>
      <c r="T403" s="175">
        <f>S403+E403</f>
        <v>8</v>
      </c>
      <c r="U403" s="175">
        <f t="shared" ref="U403:AC403" si="519">T403+F403</f>
        <v>11</v>
      </c>
      <c r="V403" s="175">
        <f t="shared" si="519"/>
        <v>16</v>
      </c>
      <c r="W403" s="175">
        <f t="shared" si="519"/>
        <v>17</v>
      </c>
      <c r="X403" s="175">
        <f t="shared" si="519"/>
        <v>30</v>
      </c>
      <c r="Y403" s="175">
        <f t="shared" si="519"/>
        <v>36</v>
      </c>
      <c r="Z403" s="175">
        <f t="shared" si="519"/>
        <v>42</v>
      </c>
      <c r="AA403" s="175">
        <f t="shared" si="519"/>
        <v>50</v>
      </c>
      <c r="AB403" s="175">
        <f t="shared" si="519"/>
        <v>57</v>
      </c>
      <c r="AC403" s="175">
        <f t="shared" si="519"/>
        <v>57</v>
      </c>
      <c r="AD403" s="175">
        <f>AC403+O403</f>
        <v>60</v>
      </c>
      <c r="AE403" s="469">
        <f t="shared" si="459"/>
        <v>402</v>
      </c>
      <c r="AF403" s="169">
        <f>SUM(D403:O403)</f>
        <v>60</v>
      </c>
    </row>
    <row r="404" spans="2:32" ht="37" x14ac:dyDescent="0.35">
      <c r="B404" s="420">
        <f t="shared" si="445"/>
        <v>403</v>
      </c>
      <c r="C404" s="669" t="s">
        <v>373</v>
      </c>
      <c r="D404" s="168">
        <v>45017</v>
      </c>
      <c r="E404" s="168">
        <v>45047</v>
      </c>
      <c r="F404" s="168">
        <v>45078</v>
      </c>
      <c r="G404" s="168">
        <v>45108</v>
      </c>
      <c r="H404" s="168">
        <v>45139</v>
      </c>
      <c r="I404" s="168">
        <v>45170</v>
      </c>
      <c r="J404" s="168">
        <v>45200</v>
      </c>
      <c r="K404" s="168">
        <v>45231</v>
      </c>
      <c r="L404" s="168">
        <v>45261</v>
      </c>
      <c r="M404" s="168">
        <v>45292</v>
      </c>
      <c r="N404" s="168">
        <v>45323</v>
      </c>
      <c r="O404" s="168">
        <v>45352</v>
      </c>
      <c r="Q404" s="469">
        <f t="shared" si="446"/>
        <v>403</v>
      </c>
      <c r="R404" s="669" t="s">
        <v>373</v>
      </c>
      <c r="S404" s="432" t="s">
        <v>132</v>
      </c>
      <c r="T404" s="432" t="s">
        <v>20</v>
      </c>
      <c r="U404" s="432" t="s">
        <v>21</v>
      </c>
      <c r="V404" s="432" t="s">
        <v>22</v>
      </c>
      <c r="W404" s="432" t="s">
        <v>23</v>
      </c>
      <c r="X404" s="432" t="s">
        <v>24</v>
      </c>
      <c r="Y404" s="432" t="s">
        <v>25</v>
      </c>
      <c r="Z404" s="432" t="s">
        <v>26</v>
      </c>
      <c r="AA404" s="432" t="s">
        <v>27</v>
      </c>
      <c r="AB404" s="432" t="s">
        <v>28</v>
      </c>
      <c r="AC404" s="432" t="s">
        <v>29</v>
      </c>
      <c r="AD404" s="460" t="s">
        <v>30</v>
      </c>
      <c r="AE404" s="469">
        <f t="shared" si="459"/>
        <v>403</v>
      </c>
      <c r="AF404" s="169"/>
    </row>
    <row r="405" spans="2:32" x14ac:dyDescent="0.35">
      <c r="B405" s="420">
        <f t="shared" si="445"/>
        <v>404</v>
      </c>
      <c r="C405" s="661" t="s">
        <v>212</v>
      </c>
      <c r="D405" s="670">
        <f>'[2]Weapon Offences'!AX3</f>
        <v>2</v>
      </c>
      <c r="E405" s="670">
        <f>'[2]Weapon Offences'!AY3</f>
        <v>2</v>
      </c>
      <c r="F405" s="670">
        <f>'[2]Weapon Offences'!AZ3</f>
        <v>0</v>
      </c>
      <c r="G405" s="670">
        <f>'[2]Weapon Offences'!BA3</f>
        <v>1</v>
      </c>
      <c r="H405" s="670">
        <f>'[2]Weapon Offences'!BB3</f>
        <v>3</v>
      </c>
      <c r="I405" s="670">
        <f>'[2]Weapon Offences'!BC3</f>
        <v>1</v>
      </c>
      <c r="J405" s="670">
        <f>'[2]Weapon Offences'!BD3</f>
        <v>2</v>
      </c>
      <c r="K405" s="670">
        <f>'[2]Weapon Offences'!BE3</f>
        <v>2</v>
      </c>
      <c r="L405" s="670">
        <f>'[2]Weapon Offences'!BF3</f>
        <v>1</v>
      </c>
      <c r="M405" s="670">
        <f>'[2]Weapon Offences'!BG3</f>
        <v>3</v>
      </c>
      <c r="N405" s="670">
        <f>'[2]Weapon Offences'!BH3</f>
        <v>0</v>
      </c>
      <c r="O405" s="670">
        <f>'[2]Weapon Offences'!BI3</f>
        <v>2</v>
      </c>
      <c r="Q405" s="469">
        <f t="shared" si="446"/>
        <v>404</v>
      </c>
      <c r="R405" s="661" t="s">
        <v>212</v>
      </c>
      <c r="S405" s="175">
        <f t="shared" si="518"/>
        <v>2</v>
      </c>
      <c r="T405" s="175">
        <f t="shared" ref="T405:T414" si="520">S405+E405</f>
        <v>4</v>
      </c>
      <c r="U405" s="175">
        <f t="shared" ref="U405:U459" si="521">T405+F405</f>
        <v>4</v>
      </c>
      <c r="V405" s="175">
        <f t="shared" ref="V405:V459" si="522">U405+G405</f>
        <v>5</v>
      </c>
      <c r="W405" s="175">
        <f t="shared" ref="W405:W459" si="523">V405+H405</f>
        <v>8</v>
      </c>
      <c r="X405" s="175">
        <f t="shared" ref="X405:X459" si="524">W405+I405</f>
        <v>9</v>
      </c>
      <c r="Y405" s="175">
        <f t="shared" ref="Y405:Y459" si="525">X405+J405</f>
        <v>11</v>
      </c>
      <c r="Z405" s="175">
        <f t="shared" ref="Z405:Z459" si="526">Y405+K405</f>
        <v>13</v>
      </c>
      <c r="AA405" s="175">
        <f t="shared" ref="AA405:AA459" si="527">Z405+L405</f>
        <v>14</v>
      </c>
      <c r="AB405" s="175">
        <f t="shared" ref="AB405:AB459" si="528">AA405+M405</f>
        <v>17</v>
      </c>
      <c r="AC405" s="175">
        <f t="shared" ref="AC405:AC459" si="529">AB405+N405</f>
        <v>17</v>
      </c>
      <c r="AD405" s="175">
        <f t="shared" ref="AD405:AD459" si="530">AC405+O405</f>
        <v>19</v>
      </c>
      <c r="AE405" s="469">
        <f t="shared" si="459"/>
        <v>404</v>
      </c>
      <c r="AF405" s="169">
        <f t="shared" ref="AF405:AF459" si="531">SUM(D405:O405)</f>
        <v>19</v>
      </c>
    </row>
    <row r="406" spans="2:32" x14ac:dyDescent="0.35">
      <c r="B406" s="420">
        <f t="shared" si="445"/>
        <v>405</v>
      </c>
      <c r="C406" s="661" t="s">
        <v>213</v>
      </c>
      <c r="D406" s="670">
        <f>'[2]Weapon Offences'!AX4</f>
        <v>10</v>
      </c>
      <c r="E406" s="670">
        <f>'[2]Weapon Offences'!AY4</f>
        <v>3</v>
      </c>
      <c r="F406" s="670">
        <f>'[2]Weapon Offences'!AZ4</f>
        <v>8</v>
      </c>
      <c r="G406" s="670">
        <f>'[2]Weapon Offences'!BA4</f>
        <v>11</v>
      </c>
      <c r="H406" s="670">
        <f>'[2]Weapon Offences'!BB4</f>
        <v>6</v>
      </c>
      <c r="I406" s="670">
        <f>'[2]Weapon Offences'!BC4</f>
        <v>10</v>
      </c>
      <c r="J406" s="670">
        <f>'[2]Weapon Offences'!BD4</f>
        <v>5</v>
      </c>
      <c r="K406" s="670">
        <f>'[2]Weapon Offences'!BE4</f>
        <v>6</v>
      </c>
      <c r="L406" s="670">
        <f>'[2]Weapon Offences'!BF4</f>
        <v>9</v>
      </c>
      <c r="M406" s="670">
        <f>'[2]Weapon Offences'!BG4</f>
        <v>4</v>
      </c>
      <c r="N406" s="670">
        <f>'[2]Weapon Offences'!BH4</f>
        <v>7</v>
      </c>
      <c r="O406" s="670">
        <f>'[2]Weapon Offences'!BI4</f>
        <v>6</v>
      </c>
      <c r="Q406" s="469">
        <f t="shared" si="446"/>
        <v>405</v>
      </c>
      <c r="R406" s="661" t="s">
        <v>213</v>
      </c>
      <c r="S406" s="175">
        <f t="shared" si="518"/>
        <v>10</v>
      </c>
      <c r="T406" s="175">
        <f t="shared" si="520"/>
        <v>13</v>
      </c>
      <c r="U406" s="175">
        <f t="shared" si="521"/>
        <v>21</v>
      </c>
      <c r="V406" s="175">
        <f t="shared" si="522"/>
        <v>32</v>
      </c>
      <c r="W406" s="175">
        <f t="shared" si="523"/>
        <v>38</v>
      </c>
      <c r="X406" s="175">
        <f t="shared" si="524"/>
        <v>48</v>
      </c>
      <c r="Y406" s="175">
        <f t="shared" si="525"/>
        <v>53</v>
      </c>
      <c r="Z406" s="175">
        <f t="shared" si="526"/>
        <v>59</v>
      </c>
      <c r="AA406" s="175">
        <f t="shared" si="527"/>
        <v>68</v>
      </c>
      <c r="AB406" s="175">
        <f t="shared" si="528"/>
        <v>72</v>
      </c>
      <c r="AC406" s="175">
        <f t="shared" si="529"/>
        <v>79</v>
      </c>
      <c r="AD406" s="175">
        <f t="shared" si="530"/>
        <v>85</v>
      </c>
      <c r="AE406" s="469">
        <f t="shared" si="459"/>
        <v>405</v>
      </c>
      <c r="AF406" s="169">
        <f t="shared" si="531"/>
        <v>85</v>
      </c>
    </row>
    <row r="407" spans="2:32" x14ac:dyDescent="0.35">
      <c r="B407" s="420">
        <f t="shared" si="445"/>
        <v>406</v>
      </c>
      <c r="C407" s="661" t="s">
        <v>214</v>
      </c>
      <c r="D407" s="670">
        <f>'[2]Weapon Offences'!AX5</f>
        <v>0</v>
      </c>
      <c r="E407" s="670">
        <f>'[2]Weapon Offences'!AY5</f>
        <v>3</v>
      </c>
      <c r="F407" s="670">
        <f>'[2]Weapon Offences'!AZ5</f>
        <v>1</v>
      </c>
      <c r="G407" s="670">
        <f>'[2]Weapon Offences'!BA5</f>
        <v>2</v>
      </c>
      <c r="H407" s="670">
        <f>'[2]Weapon Offences'!BB5</f>
        <v>4</v>
      </c>
      <c r="I407" s="670">
        <f>'[2]Weapon Offences'!BC5</f>
        <v>1</v>
      </c>
      <c r="J407" s="670">
        <f>'[2]Weapon Offences'!BD5</f>
        <v>1</v>
      </c>
      <c r="K407" s="670">
        <f>'[2]Weapon Offences'!BE5</f>
        <v>2</v>
      </c>
      <c r="L407" s="670">
        <f>'[2]Weapon Offences'!BF5</f>
        <v>2</v>
      </c>
      <c r="M407" s="670">
        <f>'[2]Weapon Offences'!BG5</f>
        <v>4</v>
      </c>
      <c r="N407" s="670">
        <f>'[2]Weapon Offences'!BH5</f>
        <v>1</v>
      </c>
      <c r="O407" s="670">
        <f>'[2]Weapon Offences'!BI5</f>
        <v>5</v>
      </c>
      <c r="Q407" s="469">
        <f t="shared" si="446"/>
        <v>406</v>
      </c>
      <c r="R407" s="661" t="s">
        <v>214</v>
      </c>
      <c r="S407" s="175">
        <f t="shared" si="518"/>
        <v>0</v>
      </c>
      <c r="T407" s="175">
        <f t="shared" si="520"/>
        <v>3</v>
      </c>
      <c r="U407" s="175">
        <f t="shared" si="521"/>
        <v>4</v>
      </c>
      <c r="V407" s="175">
        <f t="shared" si="522"/>
        <v>6</v>
      </c>
      <c r="W407" s="175">
        <f t="shared" si="523"/>
        <v>10</v>
      </c>
      <c r="X407" s="175">
        <f t="shared" si="524"/>
        <v>11</v>
      </c>
      <c r="Y407" s="175">
        <f t="shared" si="525"/>
        <v>12</v>
      </c>
      <c r="Z407" s="175">
        <f t="shared" si="526"/>
        <v>14</v>
      </c>
      <c r="AA407" s="175">
        <f t="shared" si="527"/>
        <v>16</v>
      </c>
      <c r="AB407" s="175">
        <f t="shared" si="528"/>
        <v>20</v>
      </c>
      <c r="AC407" s="175">
        <f t="shared" si="529"/>
        <v>21</v>
      </c>
      <c r="AD407" s="175">
        <f t="shared" si="530"/>
        <v>26</v>
      </c>
      <c r="AE407" s="469">
        <f t="shared" si="459"/>
        <v>406</v>
      </c>
      <c r="AF407" s="169">
        <f t="shared" si="531"/>
        <v>26</v>
      </c>
    </row>
    <row r="408" spans="2:32" x14ac:dyDescent="0.35">
      <c r="B408" s="420">
        <f t="shared" si="445"/>
        <v>407</v>
      </c>
      <c r="C408" s="661" t="s">
        <v>146</v>
      </c>
      <c r="D408" s="670">
        <f>'[2]Weapon Offences'!AX6</f>
        <v>5</v>
      </c>
      <c r="E408" s="670">
        <f>'[2]Weapon Offences'!AY6</f>
        <v>3</v>
      </c>
      <c r="F408" s="670">
        <f>'[2]Weapon Offences'!AZ6</f>
        <v>3</v>
      </c>
      <c r="G408" s="670">
        <f>'[2]Weapon Offences'!BA6</f>
        <v>8</v>
      </c>
      <c r="H408" s="670">
        <f>'[2]Weapon Offences'!BB6</f>
        <v>0</v>
      </c>
      <c r="I408" s="670">
        <f>'[2]Weapon Offences'!BC6</f>
        <v>2</v>
      </c>
      <c r="J408" s="670">
        <f>'[2]Weapon Offences'!BD6</f>
        <v>1</v>
      </c>
      <c r="K408" s="670">
        <f>'[2]Weapon Offences'!BE6</f>
        <v>4</v>
      </c>
      <c r="L408" s="670">
        <f>'[2]Weapon Offences'!BF6</f>
        <v>4</v>
      </c>
      <c r="M408" s="670">
        <f>'[2]Weapon Offences'!BG6</f>
        <v>4</v>
      </c>
      <c r="N408" s="670">
        <f>'[2]Weapon Offences'!BH6</f>
        <v>5</v>
      </c>
      <c r="O408" s="670">
        <f>'[2]Weapon Offences'!BI6</f>
        <v>4</v>
      </c>
      <c r="Q408" s="469">
        <f t="shared" si="446"/>
        <v>407</v>
      </c>
      <c r="R408" s="661" t="s">
        <v>146</v>
      </c>
      <c r="S408" s="175">
        <f t="shared" si="518"/>
        <v>5</v>
      </c>
      <c r="T408" s="175">
        <f t="shared" si="520"/>
        <v>8</v>
      </c>
      <c r="U408" s="175">
        <f t="shared" si="521"/>
        <v>11</v>
      </c>
      <c r="V408" s="175">
        <f t="shared" si="522"/>
        <v>19</v>
      </c>
      <c r="W408" s="175">
        <f t="shared" si="523"/>
        <v>19</v>
      </c>
      <c r="X408" s="175">
        <f t="shared" si="524"/>
        <v>21</v>
      </c>
      <c r="Y408" s="175">
        <f t="shared" si="525"/>
        <v>22</v>
      </c>
      <c r="Z408" s="175">
        <f t="shared" si="526"/>
        <v>26</v>
      </c>
      <c r="AA408" s="175">
        <f t="shared" si="527"/>
        <v>30</v>
      </c>
      <c r="AB408" s="175">
        <f t="shared" si="528"/>
        <v>34</v>
      </c>
      <c r="AC408" s="175">
        <f t="shared" si="529"/>
        <v>39</v>
      </c>
      <c r="AD408" s="175">
        <f t="shared" si="530"/>
        <v>43</v>
      </c>
      <c r="AE408" s="469">
        <f t="shared" si="459"/>
        <v>407</v>
      </c>
      <c r="AF408" s="169">
        <f t="shared" si="531"/>
        <v>43</v>
      </c>
    </row>
    <row r="409" spans="2:32" x14ac:dyDescent="0.35">
      <c r="B409" s="420">
        <f t="shared" si="445"/>
        <v>408</v>
      </c>
      <c r="C409" s="661" t="s">
        <v>147</v>
      </c>
      <c r="D409" s="670">
        <f>'[2]Weapon Offences'!AX7</f>
        <v>3</v>
      </c>
      <c r="E409" s="670">
        <f>'[2]Weapon Offences'!AY7</f>
        <v>6</v>
      </c>
      <c r="F409" s="670">
        <f>'[2]Weapon Offences'!AZ7</f>
        <v>4</v>
      </c>
      <c r="G409" s="670">
        <f>'[2]Weapon Offences'!BA7</f>
        <v>6</v>
      </c>
      <c r="H409" s="670">
        <f>'[2]Weapon Offences'!BB7</f>
        <v>8</v>
      </c>
      <c r="I409" s="670">
        <f>'[2]Weapon Offences'!BC7</f>
        <v>5</v>
      </c>
      <c r="J409" s="670">
        <f>'[2]Weapon Offences'!BD7</f>
        <v>2</v>
      </c>
      <c r="K409" s="670">
        <f>'[2]Weapon Offences'!BE7</f>
        <v>7</v>
      </c>
      <c r="L409" s="670">
        <f>'[2]Weapon Offences'!BF7</f>
        <v>3</v>
      </c>
      <c r="M409" s="670">
        <f>'[2]Weapon Offences'!BG7</f>
        <v>6</v>
      </c>
      <c r="N409" s="670">
        <f>'[2]Weapon Offences'!BH7</f>
        <v>5</v>
      </c>
      <c r="O409" s="670">
        <f>'[2]Weapon Offences'!BI7</f>
        <v>1</v>
      </c>
      <c r="Q409" s="469">
        <f t="shared" si="446"/>
        <v>408</v>
      </c>
      <c r="R409" s="661" t="s">
        <v>147</v>
      </c>
      <c r="S409" s="175">
        <f t="shared" si="518"/>
        <v>3</v>
      </c>
      <c r="T409" s="175">
        <f t="shared" si="520"/>
        <v>9</v>
      </c>
      <c r="U409" s="175">
        <f t="shared" si="521"/>
        <v>13</v>
      </c>
      <c r="V409" s="175">
        <f t="shared" si="522"/>
        <v>19</v>
      </c>
      <c r="W409" s="175">
        <f t="shared" si="523"/>
        <v>27</v>
      </c>
      <c r="X409" s="175">
        <f t="shared" si="524"/>
        <v>32</v>
      </c>
      <c r="Y409" s="175">
        <f t="shared" si="525"/>
        <v>34</v>
      </c>
      <c r="Z409" s="175">
        <f t="shared" si="526"/>
        <v>41</v>
      </c>
      <c r="AA409" s="175">
        <f t="shared" si="527"/>
        <v>44</v>
      </c>
      <c r="AB409" s="175">
        <f t="shared" si="528"/>
        <v>50</v>
      </c>
      <c r="AC409" s="175">
        <f t="shared" si="529"/>
        <v>55</v>
      </c>
      <c r="AD409" s="175">
        <f t="shared" si="530"/>
        <v>56</v>
      </c>
      <c r="AE409" s="469">
        <f t="shared" si="459"/>
        <v>408</v>
      </c>
      <c r="AF409" s="169">
        <f t="shared" si="531"/>
        <v>56</v>
      </c>
    </row>
    <row r="410" spans="2:32" x14ac:dyDescent="0.35">
      <c r="B410" s="420">
        <f t="shared" si="445"/>
        <v>409</v>
      </c>
      <c r="C410" s="661" t="s">
        <v>62</v>
      </c>
      <c r="D410" s="670">
        <f>'[2]Weapon Offences'!AX8</f>
        <v>8</v>
      </c>
      <c r="E410" s="670">
        <f>'[2]Weapon Offences'!AY8</f>
        <v>9</v>
      </c>
      <c r="F410" s="670">
        <f>'[2]Weapon Offences'!AZ8</f>
        <v>7</v>
      </c>
      <c r="G410" s="670">
        <f>'[2]Weapon Offences'!BA8</f>
        <v>14</v>
      </c>
      <c r="H410" s="670">
        <f>'[2]Weapon Offences'!BB8</f>
        <v>8</v>
      </c>
      <c r="I410" s="670">
        <f>'[2]Weapon Offences'!BC8</f>
        <v>7</v>
      </c>
      <c r="J410" s="670">
        <f>'[2]Weapon Offences'!BD8</f>
        <v>3</v>
      </c>
      <c r="K410" s="670">
        <f>'[2]Weapon Offences'!BE8</f>
        <v>11</v>
      </c>
      <c r="L410" s="670">
        <f>'[2]Weapon Offences'!BF8</f>
        <v>7</v>
      </c>
      <c r="M410" s="670">
        <f>'[2]Weapon Offences'!BG8</f>
        <v>10</v>
      </c>
      <c r="N410" s="670">
        <f>'[2]Weapon Offences'!BH8</f>
        <v>10</v>
      </c>
      <c r="O410" s="670">
        <f>'[2]Weapon Offences'!BI8</f>
        <v>5</v>
      </c>
      <c r="Q410" s="469">
        <f t="shared" ref="Q410:Q473" si="532">Q409+1</f>
        <v>409</v>
      </c>
      <c r="R410" s="661" t="s">
        <v>62</v>
      </c>
      <c r="S410" s="175">
        <f t="shared" si="518"/>
        <v>8</v>
      </c>
      <c r="T410" s="175">
        <f t="shared" si="520"/>
        <v>17</v>
      </c>
      <c r="U410" s="175">
        <f t="shared" si="521"/>
        <v>24</v>
      </c>
      <c r="V410" s="175">
        <f t="shared" si="522"/>
        <v>38</v>
      </c>
      <c r="W410" s="175">
        <f t="shared" si="523"/>
        <v>46</v>
      </c>
      <c r="X410" s="175">
        <f t="shared" si="524"/>
        <v>53</v>
      </c>
      <c r="Y410" s="175">
        <f t="shared" si="525"/>
        <v>56</v>
      </c>
      <c r="Z410" s="175">
        <f t="shared" si="526"/>
        <v>67</v>
      </c>
      <c r="AA410" s="175">
        <f t="shared" si="527"/>
        <v>74</v>
      </c>
      <c r="AB410" s="175">
        <f t="shared" si="528"/>
        <v>84</v>
      </c>
      <c r="AC410" s="175">
        <f t="shared" si="529"/>
        <v>94</v>
      </c>
      <c r="AD410" s="175">
        <f t="shared" si="530"/>
        <v>99</v>
      </c>
      <c r="AE410" s="469">
        <f t="shared" ref="AE410:AE477" si="533">AE409+1</f>
        <v>409</v>
      </c>
      <c r="AF410" s="169">
        <f t="shared" si="531"/>
        <v>99</v>
      </c>
    </row>
    <row r="411" spans="2:32" x14ac:dyDescent="0.35">
      <c r="B411" s="420">
        <f t="shared" si="445"/>
        <v>410</v>
      </c>
      <c r="C411" s="661" t="s">
        <v>0</v>
      </c>
      <c r="D411" s="670">
        <f>'[2]Weapon Offences'!AX9</f>
        <v>20</v>
      </c>
      <c r="E411" s="670">
        <f>'[2]Weapon Offences'!AY9</f>
        <v>17</v>
      </c>
      <c r="F411" s="670">
        <f>'[2]Weapon Offences'!AZ9</f>
        <v>16</v>
      </c>
      <c r="G411" s="670">
        <f>'[2]Weapon Offences'!BA9</f>
        <v>28</v>
      </c>
      <c r="H411" s="670">
        <f>'[2]Weapon Offences'!BB9</f>
        <v>21</v>
      </c>
      <c r="I411" s="670">
        <f>'[2]Weapon Offences'!BC9</f>
        <v>19</v>
      </c>
      <c r="J411" s="670">
        <f>'[2]Weapon Offences'!BD9</f>
        <v>11</v>
      </c>
      <c r="K411" s="670">
        <f>'[2]Weapon Offences'!BE9</f>
        <v>21</v>
      </c>
      <c r="L411" s="670">
        <f>'[2]Weapon Offences'!BF9</f>
        <v>19</v>
      </c>
      <c r="M411" s="670">
        <f>'[2]Weapon Offences'!BG9</f>
        <v>21</v>
      </c>
      <c r="N411" s="670">
        <f>'[2]Weapon Offences'!BH9</f>
        <v>18</v>
      </c>
      <c r="O411" s="670">
        <f>'[2]Weapon Offences'!BI9</f>
        <v>18</v>
      </c>
      <c r="Q411" s="469">
        <f t="shared" si="532"/>
        <v>410</v>
      </c>
      <c r="R411" s="661" t="s">
        <v>0</v>
      </c>
      <c r="S411" s="175">
        <f t="shared" si="518"/>
        <v>20</v>
      </c>
      <c r="T411" s="175">
        <f t="shared" si="520"/>
        <v>37</v>
      </c>
      <c r="U411" s="175">
        <f t="shared" si="521"/>
        <v>53</v>
      </c>
      <c r="V411" s="175">
        <f t="shared" si="522"/>
        <v>81</v>
      </c>
      <c r="W411" s="175">
        <f t="shared" si="523"/>
        <v>102</v>
      </c>
      <c r="X411" s="175">
        <f t="shared" si="524"/>
        <v>121</v>
      </c>
      <c r="Y411" s="175">
        <f t="shared" si="525"/>
        <v>132</v>
      </c>
      <c r="Z411" s="175">
        <f t="shared" si="526"/>
        <v>153</v>
      </c>
      <c r="AA411" s="175">
        <f t="shared" si="527"/>
        <v>172</v>
      </c>
      <c r="AB411" s="175">
        <f t="shared" si="528"/>
        <v>193</v>
      </c>
      <c r="AC411" s="175">
        <f t="shared" si="529"/>
        <v>211</v>
      </c>
      <c r="AD411" s="175">
        <f t="shared" si="530"/>
        <v>229</v>
      </c>
      <c r="AE411" s="469">
        <f t="shared" si="533"/>
        <v>410</v>
      </c>
      <c r="AF411" s="169">
        <f t="shared" si="531"/>
        <v>229</v>
      </c>
    </row>
    <row r="412" spans="2:32" ht="18.5" x14ac:dyDescent="0.35">
      <c r="B412" s="420">
        <f t="shared" si="445"/>
        <v>411</v>
      </c>
      <c r="C412" s="668" t="s">
        <v>372</v>
      </c>
      <c r="D412" s="168">
        <v>45017</v>
      </c>
      <c r="E412" s="168">
        <v>45047</v>
      </c>
      <c r="F412" s="168">
        <v>45078</v>
      </c>
      <c r="G412" s="168">
        <v>45108</v>
      </c>
      <c r="H412" s="168">
        <v>45139</v>
      </c>
      <c r="I412" s="168">
        <v>45170</v>
      </c>
      <c r="J412" s="168">
        <v>45200</v>
      </c>
      <c r="K412" s="168">
        <v>45231</v>
      </c>
      <c r="L412" s="168">
        <v>45261</v>
      </c>
      <c r="M412" s="168">
        <v>45292</v>
      </c>
      <c r="N412" s="168">
        <v>45323</v>
      </c>
      <c r="O412" s="168">
        <v>45352</v>
      </c>
      <c r="Q412" s="469">
        <f t="shared" si="532"/>
        <v>411</v>
      </c>
      <c r="R412" s="668" t="s">
        <v>372</v>
      </c>
      <c r="S412" s="432" t="s">
        <v>132</v>
      </c>
      <c r="T412" s="432" t="s">
        <v>20</v>
      </c>
      <c r="U412" s="432" t="s">
        <v>21</v>
      </c>
      <c r="V412" s="432" t="s">
        <v>22</v>
      </c>
      <c r="W412" s="432" t="s">
        <v>23</v>
      </c>
      <c r="X412" s="432" t="s">
        <v>24</v>
      </c>
      <c r="Y412" s="432" t="s">
        <v>25</v>
      </c>
      <c r="Z412" s="432" t="s">
        <v>26</v>
      </c>
      <c r="AA412" s="432" t="s">
        <v>27</v>
      </c>
      <c r="AB412" s="432" t="s">
        <v>28</v>
      </c>
      <c r="AC412" s="432" t="s">
        <v>29</v>
      </c>
      <c r="AD412" s="460" t="s">
        <v>30</v>
      </c>
      <c r="AE412" s="469">
        <f t="shared" si="533"/>
        <v>411</v>
      </c>
      <c r="AF412" s="169"/>
    </row>
    <row r="413" spans="2:32" x14ac:dyDescent="0.35">
      <c r="B413" s="420">
        <f t="shared" si="445"/>
        <v>412</v>
      </c>
      <c r="C413" s="661" t="s">
        <v>212</v>
      </c>
      <c r="D413" s="671">
        <f>'[2]Weapon Offences'!AX11</f>
        <v>3</v>
      </c>
      <c r="E413" s="671">
        <f>'[2]Weapon Offences'!AY11</f>
        <v>2</v>
      </c>
      <c r="F413" s="671">
        <f>'[2]Weapon Offences'!AZ11</f>
        <v>8</v>
      </c>
      <c r="G413" s="671">
        <f>'[2]Weapon Offences'!BA11</f>
        <v>6</v>
      </c>
      <c r="H413" s="671">
        <f>'[2]Weapon Offences'!BB11</f>
        <v>3</v>
      </c>
      <c r="I413" s="671">
        <f>'[2]Weapon Offences'!BC11</f>
        <v>2</v>
      </c>
      <c r="J413" s="671">
        <f>'[2]Weapon Offences'!BD11</f>
        <v>1</v>
      </c>
      <c r="K413" s="671">
        <f>'[2]Weapon Offences'!BE11</f>
        <v>1</v>
      </c>
      <c r="L413" s="671">
        <f>'[2]Weapon Offences'!BF11</f>
        <v>1</v>
      </c>
      <c r="M413" s="671">
        <f>'[2]Weapon Offences'!BG11</f>
        <v>2</v>
      </c>
      <c r="N413" s="671">
        <f>'[2]Weapon Offences'!BH11</f>
        <v>5</v>
      </c>
      <c r="O413" s="671">
        <f>'[2]Weapon Offences'!BI11</f>
        <v>2</v>
      </c>
      <c r="Q413" s="469">
        <f t="shared" si="532"/>
        <v>412</v>
      </c>
      <c r="R413" s="661" t="s">
        <v>212</v>
      </c>
      <c r="S413" s="175">
        <f t="shared" si="518"/>
        <v>3</v>
      </c>
      <c r="T413" s="175">
        <f t="shared" si="520"/>
        <v>5</v>
      </c>
      <c r="U413" s="175">
        <f t="shared" si="521"/>
        <v>13</v>
      </c>
      <c r="V413" s="175">
        <f t="shared" si="522"/>
        <v>19</v>
      </c>
      <c r="W413" s="175">
        <f t="shared" si="523"/>
        <v>22</v>
      </c>
      <c r="X413" s="175">
        <f t="shared" si="524"/>
        <v>24</v>
      </c>
      <c r="Y413" s="175">
        <f t="shared" si="525"/>
        <v>25</v>
      </c>
      <c r="Z413" s="175">
        <f t="shared" si="526"/>
        <v>26</v>
      </c>
      <c r="AA413" s="175">
        <f t="shared" si="527"/>
        <v>27</v>
      </c>
      <c r="AB413" s="175">
        <f t="shared" si="528"/>
        <v>29</v>
      </c>
      <c r="AC413" s="175">
        <f t="shared" si="529"/>
        <v>34</v>
      </c>
      <c r="AD413" s="175">
        <f t="shared" si="530"/>
        <v>36</v>
      </c>
      <c r="AE413" s="469">
        <f t="shared" si="533"/>
        <v>412</v>
      </c>
      <c r="AF413" s="169">
        <f t="shared" si="531"/>
        <v>36</v>
      </c>
    </row>
    <row r="414" spans="2:32" x14ac:dyDescent="0.35">
      <c r="B414" s="420">
        <f t="shared" si="445"/>
        <v>413</v>
      </c>
      <c r="C414" s="661" t="s">
        <v>213</v>
      </c>
      <c r="D414" s="671">
        <f>'[2]Weapon Offences'!AX12</f>
        <v>10</v>
      </c>
      <c r="E414" s="671">
        <f>'[2]Weapon Offences'!AY12</f>
        <v>7</v>
      </c>
      <c r="F414" s="671">
        <f>'[2]Weapon Offences'!AZ12</f>
        <v>6</v>
      </c>
      <c r="G414" s="671">
        <f>'[2]Weapon Offences'!BA12</f>
        <v>5</v>
      </c>
      <c r="H414" s="671">
        <f>'[2]Weapon Offences'!BB12</f>
        <v>10</v>
      </c>
      <c r="I414" s="671">
        <f>'[2]Weapon Offences'!BC12</f>
        <v>8</v>
      </c>
      <c r="J414" s="671">
        <f>'[2]Weapon Offences'!BD12</f>
        <v>9</v>
      </c>
      <c r="K414" s="671">
        <f>'[2]Weapon Offences'!BE12</f>
        <v>7</v>
      </c>
      <c r="L414" s="671">
        <f>'[2]Weapon Offences'!BF12</f>
        <v>8</v>
      </c>
      <c r="M414" s="671">
        <f>'[2]Weapon Offences'!BG12</f>
        <v>8</v>
      </c>
      <c r="N414" s="671">
        <f>'[2]Weapon Offences'!BH12</f>
        <v>8</v>
      </c>
      <c r="O414" s="671">
        <f>'[2]Weapon Offences'!BI12</f>
        <v>8</v>
      </c>
      <c r="Q414" s="469">
        <f t="shared" si="532"/>
        <v>413</v>
      </c>
      <c r="R414" s="661" t="s">
        <v>213</v>
      </c>
      <c r="S414" s="175">
        <f t="shared" si="518"/>
        <v>10</v>
      </c>
      <c r="T414" s="175">
        <f t="shared" si="520"/>
        <v>17</v>
      </c>
      <c r="U414" s="175">
        <f t="shared" si="521"/>
        <v>23</v>
      </c>
      <c r="V414" s="175">
        <f t="shared" si="522"/>
        <v>28</v>
      </c>
      <c r="W414" s="175">
        <f t="shared" si="523"/>
        <v>38</v>
      </c>
      <c r="X414" s="175">
        <f t="shared" si="524"/>
        <v>46</v>
      </c>
      <c r="Y414" s="175">
        <f t="shared" si="525"/>
        <v>55</v>
      </c>
      <c r="Z414" s="175">
        <f t="shared" si="526"/>
        <v>62</v>
      </c>
      <c r="AA414" s="175">
        <f t="shared" si="527"/>
        <v>70</v>
      </c>
      <c r="AB414" s="175">
        <f t="shared" si="528"/>
        <v>78</v>
      </c>
      <c r="AC414" s="175">
        <f t="shared" si="529"/>
        <v>86</v>
      </c>
      <c r="AD414" s="175">
        <f t="shared" si="530"/>
        <v>94</v>
      </c>
      <c r="AE414" s="469">
        <f t="shared" si="533"/>
        <v>413</v>
      </c>
      <c r="AF414" s="169">
        <f t="shared" si="531"/>
        <v>94</v>
      </c>
    </row>
    <row r="415" spans="2:32" x14ac:dyDescent="0.35">
      <c r="B415" s="420">
        <f t="shared" si="445"/>
        <v>414</v>
      </c>
      <c r="C415" s="661" t="s">
        <v>214</v>
      </c>
      <c r="D415" s="671">
        <f>'[2]Weapon Offences'!AX13</f>
        <v>1</v>
      </c>
      <c r="E415" s="671">
        <f>'[2]Weapon Offences'!AY13</f>
        <v>8</v>
      </c>
      <c r="F415" s="671">
        <f>'[2]Weapon Offences'!AZ13</f>
        <v>10</v>
      </c>
      <c r="G415" s="671">
        <f>'[2]Weapon Offences'!BA13</f>
        <v>9</v>
      </c>
      <c r="H415" s="671">
        <f>'[2]Weapon Offences'!BB13</f>
        <v>3</v>
      </c>
      <c r="I415" s="671">
        <f>'[2]Weapon Offences'!BC13</f>
        <v>9</v>
      </c>
      <c r="J415" s="671">
        <f>'[2]Weapon Offences'!BD13</f>
        <v>3</v>
      </c>
      <c r="K415" s="671">
        <f>'[2]Weapon Offences'!BE13</f>
        <v>6</v>
      </c>
      <c r="L415" s="671">
        <f>'[2]Weapon Offences'!BF13</f>
        <v>4</v>
      </c>
      <c r="M415" s="671">
        <f>'[2]Weapon Offences'!BG13</f>
        <v>5</v>
      </c>
      <c r="N415" s="671">
        <f>'[2]Weapon Offences'!BH13</f>
        <v>2</v>
      </c>
      <c r="O415" s="671">
        <f>'[2]Weapon Offences'!BI13</f>
        <v>9</v>
      </c>
      <c r="Q415" s="469">
        <f t="shared" si="532"/>
        <v>414</v>
      </c>
      <c r="R415" s="661" t="s">
        <v>214</v>
      </c>
      <c r="S415" s="175">
        <f t="shared" si="518"/>
        <v>1</v>
      </c>
      <c r="T415" s="175">
        <f>S415+E415</f>
        <v>9</v>
      </c>
      <c r="U415" s="175">
        <f t="shared" si="521"/>
        <v>19</v>
      </c>
      <c r="V415" s="175">
        <f t="shared" si="522"/>
        <v>28</v>
      </c>
      <c r="W415" s="175">
        <f t="shared" si="523"/>
        <v>31</v>
      </c>
      <c r="X415" s="175">
        <f t="shared" si="524"/>
        <v>40</v>
      </c>
      <c r="Y415" s="175">
        <f t="shared" si="525"/>
        <v>43</v>
      </c>
      <c r="Z415" s="175">
        <f t="shared" si="526"/>
        <v>49</v>
      </c>
      <c r="AA415" s="175">
        <f t="shared" si="527"/>
        <v>53</v>
      </c>
      <c r="AB415" s="175">
        <f t="shared" si="528"/>
        <v>58</v>
      </c>
      <c r="AC415" s="175">
        <f t="shared" si="529"/>
        <v>60</v>
      </c>
      <c r="AD415" s="175">
        <f t="shared" si="530"/>
        <v>69</v>
      </c>
      <c r="AE415" s="469">
        <f t="shared" si="533"/>
        <v>414</v>
      </c>
      <c r="AF415" s="169">
        <f t="shared" si="531"/>
        <v>69</v>
      </c>
    </row>
    <row r="416" spans="2:32" x14ac:dyDescent="0.35">
      <c r="B416" s="420">
        <f t="shared" si="445"/>
        <v>415</v>
      </c>
      <c r="C416" s="661" t="s">
        <v>146</v>
      </c>
      <c r="D416" s="671">
        <f>'[2]Weapon Offences'!AX14</f>
        <v>4</v>
      </c>
      <c r="E416" s="671">
        <f>'[2]Weapon Offences'!AY14</f>
        <v>4</v>
      </c>
      <c r="F416" s="671">
        <f>'[2]Weapon Offences'!AZ14</f>
        <v>10</v>
      </c>
      <c r="G416" s="671">
        <f>'[2]Weapon Offences'!BA14</f>
        <v>6</v>
      </c>
      <c r="H416" s="671">
        <f>'[2]Weapon Offences'!BB14</f>
        <v>6</v>
      </c>
      <c r="I416" s="671">
        <f>'[2]Weapon Offences'!BC14</f>
        <v>5</v>
      </c>
      <c r="J416" s="671">
        <f>'[2]Weapon Offences'!BD14</f>
        <v>1</v>
      </c>
      <c r="K416" s="671">
        <f>'[2]Weapon Offences'!BE14</f>
        <v>3</v>
      </c>
      <c r="L416" s="671">
        <f>'[2]Weapon Offences'!BF14</f>
        <v>1</v>
      </c>
      <c r="M416" s="671">
        <f>'[2]Weapon Offences'!BG14</f>
        <v>3</v>
      </c>
      <c r="N416" s="671">
        <f>'[2]Weapon Offences'!BH14</f>
        <v>5</v>
      </c>
      <c r="O416" s="671">
        <f>'[2]Weapon Offences'!BI14</f>
        <v>3</v>
      </c>
      <c r="Q416" s="469">
        <f t="shared" si="532"/>
        <v>415</v>
      </c>
      <c r="R416" s="661" t="s">
        <v>146</v>
      </c>
      <c r="S416" s="175">
        <f t="shared" si="518"/>
        <v>4</v>
      </c>
      <c r="T416" s="175">
        <f t="shared" ref="T416:T459" si="534">S416+E416</f>
        <v>8</v>
      </c>
      <c r="U416" s="175">
        <f t="shared" si="521"/>
        <v>18</v>
      </c>
      <c r="V416" s="175">
        <f t="shared" si="522"/>
        <v>24</v>
      </c>
      <c r="W416" s="175">
        <f t="shared" si="523"/>
        <v>30</v>
      </c>
      <c r="X416" s="175">
        <f t="shared" si="524"/>
        <v>35</v>
      </c>
      <c r="Y416" s="175">
        <f t="shared" si="525"/>
        <v>36</v>
      </c>
      <c r="Z416" s="175">
        <f t="shared" si="526"/>
        <v>39</v>
      </c>
      <c r="AA416" s="175">
        <f t="shared" si="527"/>
        <v>40</v>
      </c>
      <c r="AB416" s="175">
        <f t="shared" si="528"/>
        <v>43</v>
      </c>
      <c r="AC416" s="175">
        <f t="shared" si="529"/>
        <v>48</v>
      </c>
      <c r="AD416" s="175">
        <f t="shared" si="530"/>
        <v>51</v>
      </c>
      <c r="AE416" s="469">
        <f t="shared" si="533"/>
        <v>415</v>
      </c>
      <c r="AF416" s="169">
        <f t="shared" si="531"/>
        <v>51</v>
      </c>
    </row>
    <row r="417" spans="2:32" x14ac:dyDescent="0.35">
      <c r="B417" s="420">
        <f t="shared" si="445"/>
        <v>416</v>
      </c>
      <c r="C417" s="661" t="s">
        <v>147</v>
      </c>
      <c r="D417" s="671">
        <f>'[2]Weapon Offences'!AX15</f>
        <v>4</v>
      </c>
      <c r="E417" s="671">
        <f>'[2]Weapon Offences'!AY15</f>
        <v>7</v>
      </c>
      <c r="F417" s="671">
        <f>'[2]Weapon Offences'!AZ15</f>
        <v>9</v>
      </c>
      <c r="G417" s="671">
        <f>'[2]Weapon Offences'!BA15</f>
        <v>6</v>
      </c>
      <c r="H417" s="671">
        <f>'[2]Weapon Offences'!BB15</f>
        <v>7</v>
      </c>
      <c r="I417" s="671">
        <f>'[2]Weapon Offences'!BC15</f>
        <v>7</v>
      </c>
      <c r="J417" s="671">
        <f>'[2]Weapon Offences'!BD15</f>
        <v>4</v>
      </c>
      <c r="K417" s="671">
        <f>'[2]Weapon Offences'!BE15</f>
        <v>2</v>
      </c>
      <c r="L417" s="671">
        <f>'[2]Weapon Offences'!BF15</f>
        <v>4</v>
      </c>
      <c r="M417" s="671">
        <f>'[2]Weapon Offences'!BG15</f>
        <v>6</v>
      </c>
      <c r="N417" s="671">
        <f>'[2]Weapon Offences'!BH15</f>
        <v>5</v>
      </c>
      <c r="O417" s="671">
        <f>'[2]Weapon Offences'!BI15</f>
        <v>3</v>
      </c>
      <c r="Q417" s="469">
        <f t="shared" si="532"/>
        <v>416</v>
      </c>
      <c r="R417" s="661" t="s">
        <v>147</v>
      </c>
      <c r="S417" s="175">
        <f t="shared" si="518"/>
        <v>4</v>
      </c>
      <c r="T417" s="175">
        <f t="shared" si="534"/>
        <v>11</v>
      </c>
      <c r="U417" s="175">
        <f t="shared" si="521"/>
        <v>20</v>
      </c>
      <c r="V417" s="175">
        <f t="shared" si="522"/>
        <v>26</v>
      </c>
      <c r="W417" s="175">
        <f t="shared" si="523"/>
        <v>33</v>
      </c>
      <c r="X417" s="175">
        <f t="shared" si="524"/>
        <v>40</v>
      </c>
      <c r="Y417" s="175">
        <f t="shared" si="525"/>
        <v>44</v>
      </c>
      <c r="Z417" s="175">
        <f t="shared" si="526"/>
        <v>46</v>
      </c>
      <c r="AA417" s="175">
        <f t="shared" si="527"/>
        <v>50</v>
      </c>
      <c r="AB417" s="175">
        <f t="shared" si="528"/>
        <v>56</v>
      </c>
      <c r="AC417" s="175">
        <f t="shared" si="529"/>
        <v>61</v>
      </c>
      <c r="AD417" s="175">
        <f t="shared" si="530"/>
        <v>64</v>
      </c>
      <c r="AE417" s="469">
        <f t="shared" si="533"/>
        <v>416</v>
      </c>
      <c r="AF417" s="169">
        <f t="shared" si="531"/>
        <v>64</v>
      </c>
    </row>
    <row r="418" spans="2:32" x14ac:dyDescent="0.35">
      <c r="B418" s="420">
        <f t="shared" ref="B418:B481" si="535">B417+1</f>
        <v>417</v>
      </c>
      <c r="C418" s="661" t="s">
        <v>62</v>
      </c>
      <c r="D418" s="671">
        <f>'[2]Weapon Offences'!AX16</f>
        <v>8</v>
      </c>
      <c r="E418" s="671">
        <f>'[2]Weapon Offences'!AY16</f>
        <v>11</v>
      </c>
      <c r="F418" s="671">
        <f>'[2]Weapon Offences'!AZ16</f>
        <v>19</v>
      </c>
      <c r="G418" s="671">
        <f>'[2]Weapon Offences'!BA16</f>
        <v>12</v>
      </c>
      <c r="H418" s="671">
        <f>'[2]Weapon Offences'!BB16</f>
        <v>13</v>
      </c>
      <c r="I418" s="671">
        <f>'[2]Weapon Offences'!BC16</f>
        <v>12</v>
      </c>
      <c r="J418" s="671">
        <f>'[2]Weapon Offences'!BD16</f>
        <v>5</v>
      </c>
      <c r="K418" s="671">
        <f>'[2]Weapon Offences'!BE16</f>
        <v>5</v>
      </c>
      <c r="L418" s="671">
        <f>'[2]Weapon Offences'!BF16</f>
        <v>5</v>
      </c>
      <c r="M418" s="671">
        <f>'[2]Weapon Offences'!BG16</f>
        <v>9</v>
      </c>
      <c r="N418" s="671">
        <f>'[2]Weapon Offences'!BH16</f>
        <v>10</v>
      </c>
      <c r="O418" s="671">
        <f>'[2]Weapon Offences'!BI16</f>
        <v>6</v>
      </c>
      <c r="Q418" s="469">
        <f t="shared" si="532"/>
        <v>417</v>
      </c>
      <c r="R418" s="661" t="s">
        <v>62</v>
      </c>
      <c r="S418" s="175">
        <f t="shared" si="518"/>
        <v>8</v>
      </c>
      <c r="T418" s="175">
        <f t="shared" si="534"/>
        <v>19</v>
      </c>
      <c r="U418" s="175">
        <f t="shared" si="521"/>
        <v>38</v>
      </c>
      <c r="V418" s="175">
        <f t="shared" si="522"/>
        <v>50</v>
      </c>
      <c r="W418" s="175">
        <f t="shared" si="523"/>
        <v>63</v>
      </c>
      <c r="X418" s="175">
        <f t="shared" si="524"/>
        <v>75</v>
      </c>
      <c r="Y418" s="175">
        <f t="shared" si="525"/>
        <v>80</v>
      </c>
      <c r="Z418" s="175">
        <f t="shared" si="526"/>
        <v>85</v>
      </c>
      <c r="AA418" s="175">
        <f t="shared" si="527"/>
        <v>90</v>
      </c>
      <c r="AB418" s="175">
        <f t="shared" si="528"/>
        <v>99</v>
      </c>
      <c r="AC418" s="175">
        <f t="shared" si="529"/>
        <v>109</v>
      </c>
      <c r="AD418" s="175">
        <f t="shared" si="530"/>
        <v>115</v>
      </c>
      <c r="AE418" s="469">
        <f t="shared" si="533"/>
        <v>417</v>
      </c>
      <c r="AF418" s="169">
        <f t="shared" si="531"/>
        <v>115</v>
      </c>
    </row>
    <row r="419" spans="2:32" x14ac:dyDescent="0.35">
      <c r="B419" s="420">
        <f t="shared" si="535"/>
        <v>418</v>
      </c>
      <c r="C419" s="661" t="s">
        <v>0</v>
      </c>
      <c r="D419" s="671">
        <f>'[2]Weapon Offences'!AX17</f>
        <v>22</v>
      </c>
      <c r="E419" s="671">
        <f>'[2]Weapon Offences'!AY17</f>
        <v>28</v>
      </c>
      <c r="F419" s="671">
        <f>'[2]Weapon Offences'!AZ17</f>
        <v>43</v>
      </c>
      <c r="G419" s="671">
        <f>'[2]Weapon Offences'!BA17</f>
        <v>32</v>
      </c>
      <c r="H419" s="671">
        <f>'[2]Weapon Offences'!BB17</f>
        <v>29</v>
      </c>
      <c r="I419" s="671">
        <f>'[2]Weapon Offences'!BC17</f>
        <v>31</v>
      </c>
      <c r="J419" s="671">
        <f>'[2]Weapon Offences'!BD17</f>
        <v>18</v>
      </c>
      <c r="K419" s="671">
        <f>'[2]Weapon Offences'!BE17</f>
        <v>19</v>
      </c>
      <c r="L419" s="671">
        <f>'[2]Weapon Offences'!BF17</f>
        <v>18</v>
      </c>
      <c r="M419" s="671">
        <f>'[2]Weapon Offences'!BG17</f>
        <v>24</v>
      </c>
      <c r="N419" s="671">
        <f>'[2]Weapon Offences'!BH17</f>
        <v>25</v>
      </c>
      <c r="O419" s="671">
        <f>'[2]Weapon Offences'!BI17</f>
        <v>25</v>
      </c>
      <c r="Q419" s="469">
        <f t="shared" si="532"/>
        <v>418</v>
      </c>
      <c r="R419" s="661" t="s">
        <v>0</v>
      </c>
      <c r="S419" s="175">
        <f t="shared" si="518"/>
        <v>22</v>
      </c>
      <c r="T419" s="175">
        <f t="shared" si="534"/>
        <v>50</v>
      </c>
      <c r="U419" s="175">
        <f t="shared" si="521"/>
        <v>93</v>
      </c>
      <c r="V419" s="175">
        <f t="shared" si="522"/>
        <v>125</v>
      </c>
      <c r="W419" s="175">
        <f t="shared" si="523"/>
        <v>154</v>
      </c>
      <c r="X419" s="175">
        <f t="shared" si="524"/>
        <v>185</v>
      </c>
      <c r="Y419" s="175">
        <f t="shared" si="525"/>
        <v>203</v>
      </c>
      <c r="Z419" s="175">
        <f t="shared" si="526"/>
        <v>222</v>
      </c>
      <c r="AA419" s="175">
        <f t="shared" si="527"/>
        <v>240</v>
      </c>
      <c r="AB419" s="175">
        <f t="shared" si="528"/>
        <v>264</v>
      </c>
      <c r="AC419" s="175">
        <f t="shared" si="529"/>
        <v>289</v>
      </c>
      <c r="AD419" s="175">
        <f t="shared" si="530"/>
        <v>314</v>
      </c>
      <c r="AE419" s="469">
        <f t="shared" si="533"/>
        <v>418</v>
      </c>
      <c r="AF419" s="169">
        <f t="shared" si="531"/>
        <v>314</v>
      </c>
    </row>
    <row r="420" spans="2:32" ht="37" x14ac:dyDescent="0.35">
      <c r="B420" s="420">
        <f t="shared" si="535"/>
        <v>419</v>
      </c>
      <c r="C420" s="667" t="s">
        <v>368</v>
      </c>
      <c r="D420" s="168">
        <v>45017</v>
      </c>
      <c r="E420" s="168">
        <v>45047</v>
      </c>
      <c r="F420" s="168">
        <v>45078</v>
      </c>
      <c r="G420" s="168">
        <v>45108</v>
      </c>
      <c r="H420" s="168">
        <v>45139</v>
      </c>
      <c r="I420" s="168">
        <v>45170</v>
      </c>
      <c r="J420" s="168">
        <v>45200</v>
      </c>
      <c r="K420" s="168">
        <v>45231</v>
      </c>
      <c r="L420" s="168">
        <v>45261</v>
      </c>
      <c r="M420" s="168">
        <v>45292</v>
      </c>
      <c r="N420" s="168">
        <v>45323</v>
      </c>
      <c r="O420" s="168">
        <v>45352</v>
      </c>
      <c r="Q420" s="469">
        <f t="shared" si="532"/>
        <v>419</v>
      </c>
      <c r="R420" s="667" t="s">
        <v>368</v>
      </c>
      <c r="S420" s="432" t="s">
        <v>132</v>
      </c>
      <c r="T420" s="432" t="s">
        <v>20</v>
      </c>
      <c r="U420" s="432" t="s">
        <v>21</v>
      </c>
      <c r="V420" s="432" t="s">
        <v>22</v>
      </c>
      <c r="W420" s="432" t="s">
        <v>23</v>
      </c>
      <c r="X420" s="432" t="s">
        <v>24</v>
      </c>
      <c r="Y420" s="432" t="s">
        <v>25</v>
      </c>
      <c r="Z420" s="432" t="s">
        <v>26</v>
      </c>
      <c r="AA420" s="432" t="s">
        <v>27</v>
      </c>
      <c r="AB420" s="432" t="s">
        <v>28</v>
      </c>
      <c r="AC420" s="432" t="s">
        <v>29</v>
      </c>
      <c r="AD420" s="460" t="s">
        <v>30</v>
      </c>
      <c r="AE420" s="469">
        <f t="shared" si="533"/>
        <v>419</v>
      </c>
      <c r="AF420" s="169"/>
    </row>
    <row r="421" spans="2:32" x14ac:dyDescent="0.35">
      <c r="B421" s="420">
        <f t="shared" si="535"/>
        <v>420</v>
      </c>
      <c r="C421" s="662" t="s">
        <v>212</v>
      </c>
      <c r="D421" s="672">
        <f>[2]Vulnerability!AX3</f>
        <v>0</v>
      </c>
      <c r="E421" s="672">
        <f>[2]Vulnerability!AY3</f>
        <v>0</v>
      </c>
      <c r="F421" s="672">
        <f>[2]Vulnerability!AZ3</f>
        <v>0</v>
      </c>
      <c r="G421" s="672">
        <f>[2]Vulnerability!BA3</f>
        <v>0</v>
      </c>
      <c r="H421" s="672">
        <f>[2]Vulnerability!BB3</f>
        <v>0</v>
      </c>
      <c r="I421" s="672">
        <f>[2]Vulnerability!BC3</f>
        <v>0</v>
      </c>
      <c r="J421" s="672">
        <f>[2]Vulnerability!BD3</f>
        <v>0</v>
      </c>
      <c r="K421" s="672">
        <f>[2]Vulnerability!BE3</f>
        <v>0</v>
      </c>
      <c r="L421" s="672">
        <f>[2]Vulnerability!BF3</f>
        <v>0</v>
      </c>
      <c r="M421" s="672">
        <f>[2]Vulnerability!BG3</f>
        <v>0</v>
      </c>
      <c r="N421" s="672">
        <f>[2]Vulnerability!BH3</f>
        <v>0</v>
      </c>
      <c r="O421" s="672">
        <f>[2]Vulnerability!BI3</f>
        <v>0</v>
      </c>
      <c r="Q421" s="469">
        <f t="shared" si="532"/>
        <v>420</v>
      </c>
      <c r="R421" s="662" t="s">
        <v>212</v>
      </c>
      <c r="S421" s="175">
        <f t="shared" si="518"/>
        <v>0</v>
      </c>
      <c r="T421" s="175">
        <f t="shared" si="534"/>
        <v>0</v>
      </c>
      <c r="U421" s="175">
        <f t="shared" si="521"/>
        <v>0</v>
      </c>
      <c r="V421" s="175">
        <f t="shared" si="522"/>
        <v>0</v>
      </c>
      <c r="W421" s="175">
        <f t="shared" si="523"/>
        <v>0</v>
      </c>
      <c r="X421" s="175">
        <f t="shared" si="524"/>
        <v>0</v>
      </c>
      <c r="Y421" s="175">
        <f t="shared" si="525"/>
        <v>0</v>
      </c>
      <c r="Z421" s="175">
        <f t="shared" si="526"/>
        <v>0</v>
      </c>
      <c r="AA421" s="175">
        <f t="shared" si="527"/>
        <v>0</v>
      </c>
      <c r="AB421" s="175">
        <f t="shared" si="528"/>
        <v>0</v>
      </c>
      <c r="AC421" s="175">
        <f t="shared" si="529"/>
        <v>0</v>
      </c>
      <c r="AD421" s="175">
        <f t="shared" si="530"/>
        <v>0</v>
      </c>
      <c r="AE421" s="469">
        <f t="shared" si="533"/>
        <v>420</v>
      </c>
      <c r="AF421" s="169">
        <f t="shared" si="531"/>
        <v>0</v>
      </c>
    </row>
    <row r="422" spans="2:32" x14ac:dyDescent="0.35">
      <c r="B422" s="420">
        <f t="shared" si="535"/>
        <v>421</v>
      </c>
      <c r="C422" s="662" t="s">
        <v>213</v>
      </c>
      <c r="D422" s="672">
        <f>[2]Vulnerability!AX4</f>
        <v>0</v>
      </c>
      <c r="E422" s="672">
        <f>[2]Vulnerability!AY4</f>
        <v>0</v>
      </c>
      <c r="F422" s="672">
        <f>[2]Vulnerability!AZ4</f>
        <v>0</v>
      </c>
      <c r="G422" s="672">
        <f>[2]Vulnerability!BA4</f>
        <v>0</v>
      </c>
      <c r="H422" s="672">
        <f>[2]Vulnerability!BB4</f>
        <v>0</v>
      </c>
      <c r="I422" s="672">
        <f>[2]Vulnerability!BC4</f>
        <v>0</v>
      </c>
      <c r="J422" s="672">
        <f>[2]Vulnerability!BD4</f>
        <v>0</v>
      </c>
      <c r="K422" s="672">
        <f>[2]Vulnerability!BE4</f>
        <v>0</v>
      </c>
      <c r="L422" s="672">
        <f>[2]Vulnerability!BF4</f>
        <v>0</v>
      </c>
      <c r="M422" s="672">
        <f>[2]Vulnerability!BG4</f>
        <v>0</v>
      </c>
      <c r="N422" s="672">
        <f>[2]Vulnerability!BH4</f>
        <v>0</v>
      </c>
      <c r="O422" s="672">
        <f>[2]Vulnerability!BI4</f>
        <v>0</v>
      </c>
      <c r="Q422" s="469">
        <f t="shared" si="532"/>
        <v>421</v>
      </c>
      <c r="R422" s="662" t="s">
        <v>213</v>
      </c>
      <c r="S422" s="175">
        <f t="shared" si="518"/>
        <v>0</v>
      </c>
      <c r="T422" s="175">
        <f t="shared" si="534"/>
        <v>0</v>
      </c>
      <c r="U422" s="175">
        <f t="shared" si="521"/>
        <v>0</v>
      </c>
      <c r="V422" s="175">
        <f t="shared" si="522"/>
        <v>0</v>
      </c>
      <c r="W422" s="175">
        <f t="shared" si="523"/>
        <v>0</v>
      </c>
      <c r="X422" s="175">
        <f t="shared" si="524"/>
        <v>0</v>
      </c>
      <c r="Y422" s="175">
        <f t="shared" si="525"/>
        <v>0</v>
      </c>
      <c r="Z422" s="175">
        <f t="shared" si="526"/>
        <v>0</v>
      </c>
      <c r="AA422" s="175">
        <f t="shared" si="527"/>
        <v>0</v>
      </c>
      <c r="AB422" s="175">
        <f t="shared" si="528"/>
        <v>0</v>
      </c>
      <c r="AC422" s="175">
        <f t="shared" si="529"/>
        <v>0</v>
      </c>
      <c r="AD422" s="175">
        <f t="shared" si="530"/>
        <v>0</v>
      </c>
      <c r="AE422" s="469">
        <f t="shared" si="533"/>
        <v>421</v>
      </c>
      <c r="AF422" s="169">
        <f t="shared" si="531"/>
        <v>0</v>
      </c>
    </row>
    <row r="423" spans="2:32" x14ac:dyDescent="0.35">
      <c r="B423" s="420">
        <f t="shared" si="535"/>
        <v>422</v>
      </c>
      <c r="C423" s="662" t="s">
        <v>214</v>
      </c>
      <c r="D423" s="672">
        <f>[2]Vulnerability!AX5</f>
        <v>0</v>
      </c>
      <c r="E423" s="672">
        <f>[2]Vulnerability!AY5</f>
        <v>0</v>
      </c>
      <c r="F423" s="672">
        <f>[2]Vulnerability!AZ5</f>
        <v>0</v>
      </c>
      <c r="G423" s="672">
        <f>[2]Vulnerability!BA5</f>
        <v>0</v>
      </c>
      <c r="H423" s="672">
        <f>[2]Vulnerability!BB5</f>
        <v>0</v>
      </c>
      <c r="I423" s="672">
        <f>[2]Vulnerability!BC5</f>
        <v>0</v>
      </c>
      <c r="J423" s="672">
        <f>[2]Vulnerability!BD5</f>
        <v>0</v>
      </c>
      <c r="K423" s="672">
        <f>[2]Vulnerability!BE5</f>
        <v>0</v>
      </c>
      <c r="L423" s="672">
        <f>[2]Vulnerability!BF5</f>
        <v>0</v>
      </c>
      <c r="M423" s="672">
        <f>[2]Vulnerability!BG5</f>
        <v>0</v>
      </c>
      <c r="N423" s="672">
        <f>[2]Vulnerability!BH5</f>
        <v>0</v>
      </c>
      <c r="O423" s="672">
        <f>[2]Vulnerability!BI5</f>
        <v>0</v>
      </c>
      <c r="Q423" s="469">
        <f t="shared" si="532"/>
        <v>422</v>
      </c>
      <c r="R423" s="662" t="s">
        <v>214</v>
      </c>
      <c r="S423" s="175">
        <f t="shared" si="518"/>
        <v>0</v>
      </c>
      <c r="T423" s="175">
        <f t="shared" si="534"/>
        <v>0</v>
      </c>
      <c r="U423" s="175">
        <f t="shared" si="521"/>
        <v>0</v>
      </c>
      <c r="V423" s="175">
        <f t="shared" si="522"/>
        <v>0</v>
      </c>
      <c r="W423" s="175">
        <f t="shared" si="523"/>
        <v>0</v>
      </c>
      <c r="X423" s="175">
        <f t="shared" si="524"/>
        <v>0</v>
      </c>
      <c r="Y423" s="175">
        <f t="shared" si="525"/>
        <v>0</v>
      </c>
      <c r="Z423" s="175">
        <f t="shared" si="526"/>
        <v>0</v>
      </c>
      <c r="AA423" s="175">
        <f t="shared" si="527"/>
        <v>0</v>
      </c>
      <c r="AB423" s="175">
        <f t="shared" si="528"/>
        <v>0</v>
      </c>
      <c r="AC423" s="175">
        <f t="shared" si="529"/>
        <v>0</v>
      </c>
      <c r="AD423" s="175">
        <f t="shared" si="530"/>
        <v>0</v>
      </c>
      <c r="AE423" s="469">
        <f t="shared" si="533"/>
        <v>422</v>
      </c>
      <c r="AF423" s="169">
        <f t="shared" si="531"/>
        <v>0</v>
      </c>
    </row>
    <row r="424" spans="2:32" x14ac:dyDescent="0.35">
      <c r="B424" s="420">
        <f t="shared" si="535"/>
        <v>423</v>
      </c>
      <c r="C424" s="662" t="s">
        <v>146</v>
      </c>
      <c r="D424" s="672">
        <f>[2]Vulnerability!AX6</f>
        <v>0</v>
      </c>
      <c r="E424" s="672">
        <f>[2]Vulnerability!AY6</f>
        <v>0</v>
      </c>
      <c r="F424" s="672">
        <f>[2]Vulnerability!AZ6</f>
        <v>0</v>
      </c>
      <c r="G424" s="672">
        <f>[2]Vulnerability!BA6</f>
        <v>0</v>
      </c>
      <c r="H424" s="672">
        <f>[2]Vulnerability!BB6</f>
        <v>0</v>
      </c>
      <c r="I424" s="672">
        <f>[2]Vulnerability!BC6</f>
        <v>0</v>
      </c>
      <c r="J424" s="672">
        <f>[2]Vulnerability!BD6</f>
        <v>0</v>
      </c>
      <c r="K424" s="672">
        <f>[2]Vulnerability!BE6</f>
        <v>0</v>
      </c>
      <c r="L424" s="672">
        <f>[2]Vulnerability!BF6</f>
        <v>0</v>
      </c>
      <c r="M424" s="672">
        <f>[2]Vulnerability!BG6</f>
        <v>0</v>
      </c>
      <c r="N424" s="672">
        <f>[2]Vulnerability!BH6</f>
        <v>0</v>
      </c>
      <c r="O424" s="672">
        <f>[2]Vulnerability!BI6</f>
        <v>0</v>
      </c>
      <c r="Q424" s="469">
        <f t="shared" si="532"/>
        <v>423</v>
      </c>
      <c r="R424" s="662" t="s">
        <v>146</v>
      </c>
      <c r="S424" s="175">
        <f t="shared" si="518"/>
        <v>0</v>
      </c>
      <c r="T424" s="175">
        <f t="shared" si="534"/>
        <v>0</v>
      </c>
      <c r="U424" s="175">
        <f t="shared" si="521"/>
        <v>0</v>
      </c>
      <c r="V424" s="175">
        <f t="shared" si="522"/>
        <v>0</v>
      </c>
      <c r="W424" s="175">
        <f t="shared" si="523"/>
        <v>0</v>
      </c>
      <c r="X424" s="175">
        <f t="shared" si="524"/>
        <v>0</v>
      </c>
      <c r="Y424" s="175">
        <f t="shared" si="525"/>
        <v>0</v>
      </c>
      <c r="Z424" s="175">
        <f t="shared" si="526"/>
        <v>0</v>
      </c>
      <c r="AA424" s="175">
        <f t="shared" si="527"/>
        <v>0</v>
      </c>
      <c r="AB424" s="175">
        <f t="shared" si="528"/>
        <v>0</v>
      </c>
      <c r="AC424" s="175">
        <f t="shared" si="529"/>
        <v>0</v>
      </c>
      <c r="AD424" s="175">
        <f t="shared" si="530"/>
        <v>0</v>
      </c>
      <c r="AE424" s="469">
        <f t="shared" si="533"/>
        <v>423</v>
      </c>
      <c r="AF424" s="169">
        <f t="shared" si="531"/>
        <v>0</v>
      </c>
    </row>
    <row r="425" spans="2:32" x14ac:dyDescent="0.35">
      <c r="B425" s="420">
        <f t="shared" si="535"/>
        <v>424</v>
      </c>
      <c r="C425" s="662" t="s">
        <v>147</v>
      </c>
      <c r="D425" s="672">
        <f>[2]Vulnerability!AX7</f>
        <v>0</v>
      </c>
      <c r="E425" s="672">
        <f>[2]Vulnerability!AY7</f>
        <v>0</v>
      </c>
      <c r="F425" s="672">
        <f>[2]Vulnerability!AZ7</f>
        <v>0</v>
      </c>
      <c r="G425" s="672">
        <f>[2]Vulnerability!BA7</f>
        <v>0</v>
      </c>
      <c r="H425" s="672">
        <f>[2]Vulnerability!BB7</f>
        <v>0</v>
      </c>
      <c r="I425" s="672">
        <f>[2]Vulnerability!BC7</f>
        <v>0</v>
      </c>
      <c r="J425" s="672">
        <f>[2]Vulnerability!BD7</f>
        <v>0</v>
      </c>
      <c r="K425" s="672">
        <f>[2]Vulnerability!BE7</f>
        <v>0</v>
      </c>
      <c r="L425" s="672">
        <f>[2]Vulnerability!BF7</f>
        <v>0</v>
      </c>
      <c r="M425" s="672">
        <f>[2]Vulnerability!BG7</f>
        <v>0</v>
      </c>
      <c r="N425" s="672">
        <f>[2]Vulnerability!BH7</f>
        <v>0</v>
      </c>
      <c r="O425" s="672">
        <f>[2]Vulnerability!BI7</f>
        <v>0</v>
      </c>
      <c r="Q425" s="469">
        <f t="shared" si="532"/>
        <v>424</v>
      </c>
      <c r="R425" s="662" t="s">
        <v>147</v>
      </c>
      <c r="S425" s="175">
        <f t="shared" si="518"/>
        <v>0</v>
      </c>
      <c r="T425" s="175">
        <f t="shared" si="534"/>
        <v>0</v>
      </c>
      <c r="U425" s="175">
        <f t="shared" si="521"/>
        <v>0</v>
      </c>
      <c r="V425" s="175">
        <f t="shared" si="522"/>
        <v>0</v>
      </c>
      <c r="W425" s="175">
        <f t="shared" si="523"/>
        <v>0</v>
      </c>
      <c r="X425" s="175">
        <f t="shared" si="524"/>
        <v>0</v>
      </c>
      <c r="Y425" s="175">
        <f t="shared" si="525"/>
        <v>0</v>
      </c>
      <c r="Z425" s="175">
        <f t="shared" si="526"/>
        <v>0</v>
      </c>
      <c r="AA425" s="175">
        <f t="shared" si="527"/>
        <v>0</v>
      </c>
      <c r="AB425" s="175">
        <f t="shared" si="528"/>
        <v>0</v>
      </c>
      <c r="AC425" s="175">
        <f t="shared" si="529"/>
        <v>0</v>
      </c>
      <c r="AD425" s="175">
        <f t="shared" si="530"/>
        <v>0</v>
      </c>
      <c r="AE425" s="469">
        <f t="shared" si="533"/>
        <v>424</v>
      </c>
      <c r="AF425" s="169">
        <f t="shared" si="531"/>
        <v>0</v>
      </c>
    </row>
    <row r="426" spans="2:32" x14ac:dyDescent="0.35">
      <c r="B426" s="420">
        <f t="shared" si="535"/>
        <v>425</v>
      </c>
      <c r="C426" s="662" t="s">
        <v>62</v>
      </c>
      <c r="D426" s="672">
        <f>[2]Vulnerability!AX8</f>
        <v>0</v>
      </c>
      <c r="E426" s="672">
        <f>[2]Vulnerability!AY8</f>
        <v>0</v>
      </c>
      <c r="F426" s="672">
        <f>[2]Vulnerability!AZ8</f>
        <v>0</v>
      </c>
      <c r="G426" s="672">
        <f>[2]Vulnerability!BA8</f>
        <v>0</v>
      </c>
      <c r="H426" s="672">
        <f>[2]Vulnerability!BB8</f>
        <v>0</v>
      </c>
      <c r="I426" s="672">
        <f>[2]Vulnerability!BC8</f>
        <v>0</v>
      </c>
      <c r="J426" s="672">
        <f>[2]Vulnerability!BD8</f>
        <v>0</v>
      </c>
      <c r="K426" s="672">
        <f>[2]Vulnerability!BE8</f>
        <v>0</v>
      </c>
      <c r="L426" s="672">
        <f>[2]Vulnerability!BF8</f>
        <v>0</v>
      </c>
      <c r="M426" s="672">
        <f>[2]Vulnerability!BG8</f>
        <v>0</v>
      </c>
      <c r="N426" s="672">
        <f>[2]Vulnerability!BH8</f>
        <v>0</v>
      </c>
      <c r="O426" s="672">
        <f>[2]Vulnerability!BI8</f>
        <v>0</v>
      </c>
      <c r="Q426" s="469">
        <f t="shared" si="532"/>
        <v>425</v>
      </c>
      <c r="R426" s="662" t="s">
        <v>62</v>
      </c>
      <c r="S426" s="175">
        <f t="shared" si="518"/>
        <v>0</v>
      </c>
      <c r="T426" s="175">
        <f t="shared" si="534"/>
        <v>0</v>
      </c>
      <c r="U426" s="175">
        <f t="shared" si="521"/>
        <v>0</v>
      </c>
      <c r="V426" s="175">
        <f t="shared" si="522"/>
        <v>0</v>
      </c>
      <c r="W426" s="175">
        <f t="shared" si="523"/>
        <v>0</v>
      </c>
      <c r="X426" s="175">
        <f t="shared" si="524"/>
        <v>0</v>
      </c>
      <c r="Y426" s="175">
        <f t="shared" si="525"/>
        <v>0</v>
      </c>
      <c r="Z426" s="175">
        <f t="shared" si="526"/>
        <v>0</v>
      </c>
      <c r="AA426" s="175">
        <f t="shared" si="527"/>
        <v>0</v>
      </c>
      <c r="AB426" s="175">
        <f t="shared" si="528"/>
        <v>0</v>
      </c>
      <c r="AC426" s="175">
        <f t="shared" si="529"/>
        <v>0</v>
      </c>
      <c r="AD426" s="175">
        <f t="shared" si="530"/>
        <v>0</v>
      </c>
      <c r="AE426" s="469">
        <f t="shared" si="533"/>
        <v>425</v>
      </c>
      <c r="AF426" s="169">
        <f t="shared" si="531"/>
        <v>0</v>
      </c>
    </row>
    <row r="427" spans="2:32" x14ac:dyDescent="0.35">
      <c r="B427" s="420">
        <f t="shared" si="535"/>
        <v>426</v>
      </c>
      <c r="C427" s="662" t="s">
        <v>0</v>
      </c>
      <c r="D427" s="672">
        <f>[2]Vulnerability!AX9</f>
        <v>0</v>
      </c>
      <c r="E427" s="672">
        <f>[2]Vulnerability!AY9</f>
        <v>0</v>
      </c>
      <c r="F427" s="672">
        <f>[2]Vulnerability!AZ9</f>
        <v>0</v>
      </c>
      <c r="G427" s="672">
        <f>[2]Vulnerability!BA9</f>
        <v>0</v>
      </c>
      <c r="H427" s="672">
        <f>[2]Vulnerability!BB9</f>
        <v>0</v>
      </c>
      <c r="I427" s="672">
        <f>[2]Vulnerability!BC9</f>
        <v>0</v>
      </c>
      <c r="J427" s="672">
        <f>[2]Vulnerability!BD9</f>
        <v>0</v>
      </c>
      <c r="K427" s="672">
        <f>[2]Vulnerability!BE9</f>
        <v>0</v>
      </c>
      <c r="L427" s="672">
        <f>[2]Vulnerability!BF9</f>
        <v>0</v>
      </c>
      <c r="M427" s="672">
        <f>[2]Vulnerability!BG9</f>
        <v>0</v>
      </c>
      <c r="N427" s="672">
        <f>[2]Vulnerability!BH9</f>
        <v>0</v>
      </c>
      <c r="O427" s="672">
        <f>[2]Vulnerability!BI9</f>
        <v>0</v>
      </c>
      <c r="Q427" s="469">
        <f t="shared" si="532"/>
        <v>426</v>
      </c>
      <c r="R427" s="662" t="s">
        <v>0</v>
      </c>
      <c r="S427" s="175">
        <f t="shared" si="518"/>
        <v>0</v>
      </c>
      <c r="T427" s="175">
        <f t="shared" si="534"/>
        <v>0</v>
      </c>
      <c r="U427" s="175">
        <f t="shared" si="521"/>
        <v>0</v>
      </c>
      <c r="V427" s="175">
        <f t="shared" si="522"/>
        <v>0</v>
      </c>
      <c r="W427" s="175">
        <f t="shared" si="523"/>
        <v>0</v>
      </c>
      <c r="X427" s="175">
        <f t="shared" si="524"/>
        <v>0</v>
      </c>
      <c r="Y427" s="175">
        <f t="shared" si="525"/>
        <v>0</v>
      </c>
      <c r="Z427" s="175">
        <f t="shared" si="526"/>
        <v>0</v>
      </c>
      <c r="AA427" s="175">
        <f t="shared" si="527"/>
        <v>0</v>
      </c>
      <c r="AB427" s="175">
        <f t="shared" si="528"/>
        <v>0</v>
      </c>
      <c r="AC427" s="175">
        <f t="shared" si="529"/>
        <v>0</v>
      </c>
      <c r="AD427" s="175">
        <f t="shared" si="530"/>
        <v>0</v>
      </c>
      <c r="AE427" s="469">
        <f t="shared" si="533"/>
        <v>426</v>
      </c>
      <c r="AF427" s="169">
        <f t="shared" si="531"/>
        <v>0</v>
      </c>
    </row>
    <row r="428" spans="2:32" ht="18.5" x14ac:dyDescent="0.35">
      <c r="B428" s="420">
        <f t="shared" si="535"/>
        <v>427</v>
      </c>
      <c r="C428" s="666" t="s">
        <v>367</v>
      </c>
      <c r="D428" s="168">
        <v>45017</v>
      </c>
      <c r="E428" s="168">
        <v>45047</v>
      </c>
      <c r="F428" s="168">
        <v>45078</v>
      </c>
      <c r="G428" s="168">
        <v>45108</v>
      </c>
      <c r="H428" s="168">
        <v>45139</v>
      </c>
      <c r="I428" s="168">
        <v>45170</v>
      </c>
      <c r="J428" s="168">
        <v>45200</v>
      </c>
      <c r="K428" s="168">
        <v>45231</v>
      </c>
      <c r="L428" s="168">
        <v>45261</v>
      </c>
      <c r="M428" s="168">
        <v>45292</v>
      </c>
      <c r="N428" s="168">
        <v>45323</v>
      </c>
      <c r="O428" s="168">
        <v>45352</v>
      </c>
      <c r="Q428" s="469">
        <f t="shared" si="532"/>
        <v>427</v>
      </c>
      <c r="R428" s="666" t="s">
        <v>367</v>
      </c>
      <c r="S428" s="432" t="s">
        <v>132</v>
      </c>
      <c r="T428" s="432" t="s">
        <v>20</v>
      </c>
      <c r="U428" s="432" t="s">
        <v>21</v>
      </c>
      <c r="V428" s="432" t="s">
        <v>22</v>
      </c>
      <c r="W428" s="432" t="s">
        <v>23</v>
      </c>
      <c r="X428" s="432" t="s">
        <v>24</v>
      </c>
      <c r="Y428" s="432" t="s">
        <v>25</v>
      </c>
      <c r="Z428" s="432" t="s">
        <v>26</v>
      </c>
      <c r="AA428" s="432" t="s">
        <v>27</v>
      </c>
      <c r="AB428" s="432" t="s">
        <v>28</v>
      </c>
      <c r="AC428" s="432" t="s">
        <v>29</v>
      </c>
      <c r="AD428" s="460" t="s">
        <v>30</v>
      </c>
      <c r="AE428" s="469">
        <f t="shared" si="533"/>
        <v>427</v>
      </c>
      <c r="AF428" s="169"/>
    </row>
    <row r="429" spans="2:32" x14ac:dyDescent="0.35">
      <c r="B429" s="420">
        <f t="shared" si="535"/>
        <v>428</v>
      </c>
      <c r="C429" s="662" t="s">
        <v>212</v>
      </c>
      <c r="D429" s="672">
        <f>[2]Vulnerability!AX11</f>
        <v>0</v>
      </c>
      <c r="E429" s="672">
        <f>[2]Vulnerability!AY11</f>
        <v>0</v>
      </c>
      <c r="F429" s="672">
        <f>[2]Vulnerability!AZ11</f>
        <v>0</v>
      </c>
      <c r="G429" s="672">
        <f>[2]Vulnerability!BA11</f>
        <v>0</v>
      </c>
      <c r="H429" s="672">
        <f>[2]Vulnerability!BB11</f>
        <v>0</v>
      </c>
      <c r="I429" s="672">
        <f>[2]Vulnerability!BC11</f>
        <v>0</v>
      </c>
      <c r="J429" s="672">
        <f>[2]Vulnerability!BD11</f>
        <v>0</v>
      </c>
      <c r="K429" s="672">
        <f>[2]Vulnerability!BE11</f>
        <v>0</v>
      </c>
      <c r="L429" s="672">
        <f>[2]Vulnerability!BF11</f>
        <v>0</v>
      </c>
      <c r="M429" s="672">
        <f>[2]Vulnerability!BG11</f>
        <v>0</v>
      </c>
      <c r="N429" s="672">
        <f>[2]Vulnerability!BH11</f>
        <v>0</v>
      </c>
      <c r="O429" s="672">
        <f>[2]Vulnerability!BI11</f>
        <v>0</v>
      </c>
      <c r="Q429" s="469">
        <f t="shared" si="532"/>
        <v>428</v>
      </c>
      <c r="R429" s="662" t="s">
        <v>212</v>
      </c>
      <c r="S429" s="175">
        <f t="shared" si="518"/>
        <v>0</v>
      </c>
      <c r="T429" s="175">
        <f t="shared" si="534"/>
        <v>0</v>
      </c>
      <c r="U429" s="175">
        <f t="shared" si="521"/>
        <v>0</v>
      </c>
      <c r="V429" s="175">
        <f t="shared" si="522"/>
        <v>0</v>
      </c>
      <c r="W429" s="175">
        <f t="shared" si="523"/>
        <v>0</v>
      </c>
      <c r="X429" s="175">
        <f t="shared" si="524"/>
        <v>0</v>
      </c>
      <c r="Y429" s="175">
        <f t="shared" si="525"/>
        <v>0</v>
      </c>
      <c r="Z429" s="175">
        <f t="shared" si="526"/>
        <v>0</v>
      </c>
      <c r="AA429" s="175">
        <f t="shared" si="527"/>
        <v>0</v>
      </c>
      <c r="AB429" s="175">
        <f t="shared" si="528"/>
        <v>0</v>
      </c>
      <c r="AC429" s="175">
        <f t="shared" si="529"/>
        <v>0</v>
      </c>
      <c r="AD429" s="175">
        <f t="shared" si="530"/>
        <v>0</v>
      </c>
      <c r="AE429" s="469">
        <f t="shared" si="533"/>
        <v>428</v>
      </c>
      <c r="AF429" s="169">
        <f t="shared" si="531"/>
        <v>0</v>
      </c>
    </row>
    <row r="430" spans="2:32" x14ac:dyDescent="0.35">
      <c r="B430" s="420">
        <f t="shared" si="535"/>
        <v>429</v>
      </c>
      <c r="C430" s="662" t="s">
        <v>213</v>
      </c>
      <c r="D430" s="672">
        <f>[2]Vulnerability!AX12</f>
        <v>0</v>
      </c>
      <c r="E430" s="672">
        <f>[2]Vulnerability!AY12</f>
        <v>0</v>
      </c>
      <c r="F430" s="672">
        <f>[2]Vulnerability!AZ12</f>
        <v>0</v>
      </c>
      <c r="G430" s="672">
        <f>[2]Vulnerability!BA12</f>
        <v>0</v>
      </c>
      <c r="H430" s="672">
        <f>[2]Vulnerability!BB12</f>
        <v>0</v>
      </c>
      <c r="I430" s="672">
        <f>[2]Vulnerability!BC12</f>
        <v>0</v>
      </c>
      <c r="J430" s="672">
        <f>[2]Vulnerability!BD12</f>
        <v>0</v>
      </c>
      <c r="K430" s="672">
        <f>[2]Vulnerability!BE12</f>
        <v>0</v>
      </c>
      <c r="L430" s="672">
        <f>[2]Vulnerability!BF12</f>
        <v>0</v>
      </c>
      <c r="M430" s="672">
        <f>[2]Vulnerability!BG12</f>
        <v>0</v>
      </c>
      <c r="N430" s="672">
        <f>[2]Vulnerability!BH12</f>
        <v>0</v>
      </c>
      <c r="O430" s="672">
        <f>[2]Vulnerability!BI12</f>
        <v>0</v>
      </c>
      <c r="Q430" s="469">
        <f t="shared" si="532"/>
        <v>429</v>
      </c>
      <c r="R430" s="662" t="s">
        <v>213</v>
      </c>
      <c r="S430" s="175">
        <f t="shared" si="518"/>
        <v>0</v>
      </c>
      <c r="T430" s="175">
        <f t="shared" si="534"/>
        <v>0</v>
      </c>
      <c r="U430" s="175">
        <f t="shared" si="521"/>
        <v>0</v>
      </c>
      <c r="V430" s="175">
        <f t="shared" si="522"/>
        <v>0</v>
      </c>
      <c r="W430" s="175">
        <f t="shared" si="523"/>
        <v>0</v>
      </c>
      <c r="X430" s="175">
        <f t="shared" si="524"/>
        <v>0</v>
      </c>
      <c r="Y430" s="175">
        <f t="shared" si="525"/>
        <v>0</v>
      </c>
      <c r="Z430" s="175">
        <f t="shared" si="526"/>
        <v>0</v>
      </c>
      <c r="AA430" s="175">
        <f t="shared" si="527"/>
        <v>0</v>
      </c>
      <c r="AB430" s="175">
        <f t="shared" si="528"/>
        <v>0</v>
      </c>
      <c r="AC430" s="175">
        <f t="shared" si="529"/>
        <v>0</v>
      </c>
      <c r="AD430" s="175">
        <f t="shared" si="530"/>
        <v>0</v>
      </c>
      <c r="AE430" s="469">
        <f t="shared" si="533"/>
        <v>429</v>
      </c>
      <c r="AF430" s="169">
        <f t="shared" si="531"/>
        <v>0</v>
      </c>
    </row>
    <row r="431" spans="2:32" x14ac:dyDescent="0.35">
      <c r="B431" s="420">
        <f t="shared" si="535"/>
        <v>430</v>
      </c>
      <c r="C431" s="662" t="s">
        <v>214</v>
      </c>
      <c r="D431" s="672">
        <f>[2]Vulnerability!AX13</f>
        <v>0</v>
      </c>
      <c r="E431" s="672">
        <f>[2]Vulnerability!AY13</f>
        <v>0</v>
      </c>
      <c r="F431" s="672">
        <f>[2]Vulnerability!AZ13</f>
        <v>0</v>
      </c>
      <c r="G431" s="672">
        <f>[2]Vulnerability!BA13</f>
        <v>0</v>
      </c>
      <c r="H431" s="672">
        <f>[2]Vulnerability!BB13</f>
        <v>0</v>
      </c>
      <c r="I431" s="672">
        <f>[2]Vulnerability!BC13</f>
        <v>0</v>
      </c>
      <c r="J431" s="672">
        <f>[2]Vulnerability!BD13</f>
        <v>0</v>
      </c>
      <c r="K431" s="672">
        <f>[2]Vulnerability!BE13</f>
        <v>0</v>
      </c>
      <c r="L431" s="672">
        <f>[2]Vulnerability!BF13</f>
        <v>0</v>
      </c>
      <c r="M431" s="672">
        <f>[2]Vulnerability!BG13</f>
        <v>0</v>
      </c>
      <c r="N431" s="672">
        <f>[2]Vulnerability!BH13</f>
        <v>0</v>
      </c>
      <c r="O431" s="672">
        <f>[2]Vulnerability!BI13</f>
        <v>0</v>
      </c>
      <c r="Q431" s="469">
        <f t="shared" si="532"/>
        <v>430</v>
      </c>
      <c r="R431" s="662" t="s">
        <v>214</v>
      </c>
      <c r="S431" s="175">
        <f t="shared" si="518"/>
        <v>0</v>
      </c>
      <c r="T431" s="175">
        <f t="shared" si="534"/>
        <v>0</v>
      </c>
      <c r="U431" s="175">
        <f t="shared" si="521"/>
        <v>0</v>
      </c>
      <c r="V431" s="175">
        <f t="shared" si="522"/>
        <v>0</v>
      </c>
      <c r="W431" s="175">
        <f t="shared" si="523"/>
        <v>0</v>
      </c>
      <c r="X431" s="175">
        <f t="shared" si="524"/>
        <v>0</v>
      </c>
      <c r="Y431" s="175">
        <f t="shared" si="525"/>
        <v>0</v>
      </c>
      <c r="Z431" s="175">
        <f t="shared" si="526"/>
        <v>0</v>
      </c>
      <c r="AA431" s="175">
        <f t="shared" si="527"/>
        <v>0</v>
      </c>
      <c r="AB431" s="175">
        <f t="shared" si="528"/>
        <v>0</v>
      </c>
      <c r="AC431" s="175">
        <f t="shared" si="529"/>
        <v>0</v>
      </c>
      <c r="AD431" s="175">
        <f t="shared" si="530"/>
        <v>0</v>
      </c>
      <c r="AE431" s="469">
        <f t="shared" si="533"/>
        <v>430</v>
      </c>
      <c r="AF431" s="169">
        <f t="shared" si="531"/>
        <v>0</v>
      </c>
    </row>
    <row r="432" spans="2:32" x14ac:dyDescent="0.35">
      <c r="B432" s="420">
        <f t="shared" si="535"/>
        <v>431</v>
      </c>
      <c r="C432" s="662" t="s">
        <v>146</v>
      </c>
      <c r="D432" s="672">
        <f>[2]Vulnerability!AX14</f>
        <v>0</v>
      </c>
      <c r="E432" s="672">
        <f>[2]Vulnerability!AY14</f>
        <v>0</v>
      </c>
      <c r="F432" s="672">
        <f>[2]Vulnerability!AZ14</f>
        <v>0</v>
      </c>
      <c r="G432" s="672">
        <f>[2]Vulnerability!BA14</f>
        <v>0</v>
      </c>
      <c r="H432" s="672">
        <f>[2]Vulnerability!BB14</f>
        <v>0</v>
      </c>
      <c r="I432" s="672">
        <f>[2]Vulnerability!BC14</f>
        <v>0</v>
      </c>
      <c r="J432" s="672">
        <f>[2]Vulnerability!BD14</f>
        <v>0</v>
      </c>
      <c r="K432" s="672">
        <f>[2]Vulnerability!BE14</f>
        <v>0</v>
      </c>
      <c r="L432" s="672">
        <f>[2]Vulnerability!BF14</f>
        <v>0</v>
      </c>
      <c r="M432" s="672">
        <f>[2]Vulnerability!BG14</f>
        <v>0</v>
      </c>
      <c r="N432" s="672">
        <f>[2]Vulnerability!BH14</f>
        <v>0</v>
      </c>
      <c r="O432" s="672">
        <f>[2]Vulnerability!BI14</f>
        <v>0</v>
      </c>
      <c r="Q432" s="469">
        <f t="shared" si="532"/>
        <v>431</v>
      </c>
      <c r="R432" s="662" t="s">
        <v>146</v>
      </c>
      <c r="S432" s="175">
        <f t="shared" si="518"/>
        <v>0</v>
      </c>
      <c r="T432" s="175">
        <f t="shared" si="534"/>
        <v>0</v>
      </c>
      <c r="U432" s="175">
        <f t="shared" si="521"/>
        <v>0</v>
      </c>
      <c r="V432" s="175">
        <f t="shared" si="522"/>
        <v>0</v>
      </c>
      <c r="W432" s="175">
        <f t="shared" si="523"/>
        <v>0</v>
      </c>
      <c r="X432" s="175">
        <f t="shared" si="524"/>
        <v>0</v>
      </c>
      <c r="Y432" s="175">
        <f t="shared" si="525"/>
        <v>0</v>
      </c>
      <c r="Z432" s="175">
        <f t="shared" si="526"/>
        <v>0</v>
      </c>
      <c r="AA432" s="175">
        <f t="shared" si="527"/>
        <v>0</v>
      </c>
      <c r="AB432" s="175">
        <f t="shared" si="528"/>
        <v>0</v>
      </c>
      <c r="AC432" s="175">
        <f t="shared" si="529"/>
        <v>0</v>
      </c>
      <c r="AD432" s="175">
        <f t="shared" si="530"/>
        <v>0</v>
      </c>
      <c r="AE432" s="469">
        <f t="shared" si="533"/>
        <v>431</v>
      </c>
      <c r="AF432" s="169">
        <f t="shared" si="531"/>
        <v>0</v>
      </c>
    </row>
    <row r="433" spans="2:32" x14ac:dyDescent="0.35">
      <c r="B433" s="420">
        <f t="shared" si="535"/>
        <v>432</v>
      </c>
      <c r="C433" s="662" t="s">
        <v>147</v>
      </c>
      <c r="D433" s="672">
        <f>[2]Vulnerability!AX15</f>
        <v>0</v>
      </c>
      <c r="E433" s="672">
        <f>[2]Vulnerability!AY15</f>
        <v>0</v>
      </c>
      <c r="F433" s="672">
        <f>[2]Vulnerability!AZ15</f>
        <v>0</v>
      </c>
      <c r="G433" s="672">
        <f>[2]Vulnerability!BA15</f>
        <v>0</v>
      </c>
      <c r="H433" s="672">
        <f>[2]Vulnerability!BB15</f>
        <v>0</v>
      </c>
      <c r="I433" s="672">
        <f>[2]Vulnerability!BC15</f>
        <v>0</v>
      </c>
      <c r="J433" s="672">
        <f>[2]Vulnerability!BD15</f>
        <v>0</v>
      </c>
      <c r="K433" s="672">
        <f>[2]Vulnerability!BE15</f>
        <v>0</v>
      </c>
      <c r="L433" s="672">
        <f>[2]Vulnerability!BF15</f>
        <v>0</v>
      </c>
      <c r="M433" s="672">
        <f>[2]Vulnerability!BG15</f>
        <v>0</v>
      </c>
      <c r="N433" s="672">
        <f>[2]Vulnerability!BH15</f>
        <v>0</v>
      </c>
      <c r="O433" s="672">
        <f>[2]Vulnerability!BI15</f>
        <v>0</v>
      </c>
      <c r="Q433" s="469">
        <f t="shared" si="532"/>
        <v>432</v>
      </c>
      <c r="R433" s="662" t="s">
        <v>147</v>
      </c>
      <c r="S433" s="175">
        <f t="shared" si="518"/>
        <v>0</v>
      </c>
      <c r="T433" s="175">
        <f t="shared" si="534"/>
        <v>0</v>
      </c>
      <c r="U433" s="175">
        <f t="shared" si="521"/>
        <v>0</v>
      </c>
      <c r="V433" s="175">
        <f t="shared" si="522"/>
        <v>0</v>
      </c>
      <c r="W433" s="175">
        <f t="shared" si="523"/>
        <v>0</v>
      </c>
      <c r="X433" s="175">
        <f t="shared" si="524"/>
        <v>0</v>
      </c>
      <c r="Y433" s="175">
        <f t="shared" si="525"/>
        <v>0</v>
      </c>
      <c r="Z433" s="175">
        <f t="shared" si="526"/>
        <v>0</v>
      </c>
      <c r="AA433" s="175">
        <f t="shared" si="527"/>
        <v>0</v>
      </c>
      <c r="AB433" s="175">
        <f t="shared" si="528"/>
        <v>0</v>
      </c>
      <c r="AC433" s="175">
        <f t="shared" si="529"/>
        <v>0</v>
      </c>
      <c r="AD433" s="175">
        <f t="shared" si="530"/>
        <v>0</v>
      </c>
      <c r="AE433" s="469">
        <f t="shared" si="533"/>
        <v>432</v>
      </c>
      <c r="AF433" s="169">
        <f t="shared" si="531"/>
        <v>0</v>
      </c>
    </row>
    <row r="434" spans="2:32" x14ac:dyDescent="0.35">
      <c r="B434" s="420">
        <f t="shared" si="535"/>
        <v>433</v>
      </c>
      <c r="C434" s="662" t="s">
        <v>62</v>
      </c>
      <c r="D434" s="672">
        <f>[2]Vulnerability!AX16</f>
        <v>0</v>
      </c>
      <c r="E434" s="672">
        <f>[2]Vulnerability!AY16</f>
        <v>0</v>
      </c>
      <c r="F434" s="672">
        <f>[2]Vulnerability!AZ16</f>
        <v>0</v>
      </c>
      <c r="G434" s="672">
        <f>[2]Vulnerability!BA16</f>
        <v>0</v>
      </c>
      <c r="H434" s="672">
        <f>[2]Vulnerability!BB16</f>
        <v>0</v>
      </c>
      <c r="I434" s="672">
        <f>[2]Vulnerability!BC16</f>
        <v>0</v>
      </c>
      <c r="J434" s="672">
        <f>[2]Vulnerability!BD16</f>
        <v>0</v>
      </c>
      <c r="K434" s="672">
        <f>[2]Vulnerability!BE16</f>
        <v>0</v>
      </c>
      <c r="L434" s="672">
        <f>[2]Vulnerability!BF16</f>
        <v>0</v>
      </c>
      <c r="M434" s="672">
        <f>[2]Vulnerability!BG16</f>
        <v>0</v>
      </c>
      <c r="N434" s="672">
        <f>[2]Vulnerability!BH16</f>
        <v>0</v>
      </c>
      <c r="O434" s="672">
        <f>[2]Vulnerability!BI16</f>
        <v>0</v>
      </c>
      <c r="Q434" s="469">
        <f t="shared" si="532"/>
        <v>433</v>
      </c>
      <c r="R434" s="662" t="s">
        <v>62</v>
      </c>
      <c r="S434" s="175">
        <f t="shared" si="518"/>
        <v>0</v>
      </c>
      <c r="T434" s="175">
        <f t="shared" si="534"/>
        <v>0</v>
      </c>
      <c r="U434" s="175">
        <f t="shared" si="521"/>
        <v>0</v>
      </c>
      <c r="V434" s="175">
        <f t="shared" si="522"/>
        <v>0</v>
      </c>
      <c r="W434" s="175">
        <f t="shared" si="523"/>
        <v>0</v>
      </c>
      <c r="X434" s="175">
        <f t="shared" si="524"/>
        <v>0</v>
      </c>
      <c r="Y434" s="175">
        <f t="shared" si="525"/>
        <v>0</v>
      </c>
      <c r="Z434" s="175">
        <f t="shared" si="526"/>
        <v>0</v>
      </c>
      <c r="AA434" s="175">
        <f t="shared" si="527"/>
        <v>0</v>
      </c>
      <c r="AB434" s="175">
        <f t="shared" si="528"/>
        <v>0</v>
      </c>
      <c r="AC434" s="175">
        <f t="shared" si="529"/>
        <v>0</v>
      </c>
      <c r="AD434" s="175">
        <f t="shared" si="530"/>
        <v>0</v>
      </c>
      <c r="AE434" s="469">
        <f t="shared" si="533"/>
        <v>433</v>
      </c>
      <c r="AF434" s="169">
        <f t="shared" si="531"/>
        <v>0</v>
      </c>
    </row>
    <row r="435" spans="2:32" x14ac:dyDescent="0.35">
      <c r="B435" s="420">
        <f t="shared" si="535"/>
        <v>434</v>
      </c>
      <c r="C435" s="662" t="s">
        <v>0</v>
      </c>
      <c r="D435" s="672">
        <f>[2]Vulnerability!AX17</f>
        <v>0</v>
      </c>
      <c r="E435" s="672">
        <f>[2]Vulnerability!AY17</f>
        <v>0</v>
      </c>
      <c r="F435" s="672">
        <f>[2]Vulnerability!AZ17</f>
        <v>0</v>
      </c>
      <c r="G435" s="672">
        <f>[2]Vulnerability!BA17</f>
        <v>0</v>
      </c>
      <c r="H435" s="672">
        <f>[2]Vulnerability!BB17</f>
        <v>0</v>
      </c>
      <c r="I435" s="672">
        <f>[2]Vulnerability!BC17</f>
        <v>0</v>
      </c>
      <c r="J435" s="672">
        <f>[2]Vulnerability!BD17</f>
        <v>0</v>
      </c>
      <c r="K435" s="672">
        <f>[2]Vulnerability!BE17</f>
        <v>0</v>
      </c>
      <c r="L435" s="672">
        <f>[2]Vulnerability!BF17</f>
        <v>0</v>
      </c>
      <c r="M435" s="672">
        <f>[2]Vulnerability!BG17</f>
        <v>0</v>
      </c>
      <c r="N435" s="672">
        <f>[2]Vulnerability!BH17</f>
        <v>0</v>
      </c>
      <c r="O435" s="672">
        <f>[2]Vulnerability!BI17</f>
        <v>0</v>
      </c>
      <c r="Q435" s="469">
        <f t="shared" si="532"/>
        <v>434</v>
      </c>
      <c r="R435" s="662" t="s">
        <v>0</v>
      </c>
      <c r="S435" s="175">
        <f t="shared" si="518"/>
        <v>0</v>
      </c>
      <c r="T435" s="175">
        <f t="shared" si="534"/>
        <v>0</v>
      </c>
      <c r="U435" s="175">
        <f t="shared" si="521"/>
        <v>0</v>
      </c>
      <c r="V435" s="175">
        <f t="shared" si="522"/>
        <v>0</v>
      </c>
      <c r="W435" s="175">
        <f t="shared" si="523"/>
        <v>0</v>
      </c>
      <c r="X435" s="175">
        <f t="shared" si="524"/>
        <v>0</v>
      </c>
      <c r="Y435" s="175">
        <f t="shared" si="525"/>
        <v>0</v>
      </c>
      <c r="Z435" s="175">
        <f t="shared" si="526"/>
        <v>0</v>
      </c>
      <c r="AA435" s="175">
        <f t="shared" si="527"/>
        <v>0</v>
      </c>
      <c r="AB435" s="175">
        <f t="shared" si="528"/>
        <v>0</v>
      </c>
      <c r="AC435" s="175">
        <f t="shared" si="529"/>
        <v>0</v>
      </c>
      <c r="AD435" s="175">
        <f t="shared" si="530"/>
        <v>0</v>
      </c>
      <c r="AE435" s="469">
        <f t="shared" si="533"/>
        <v>434</v>
      </c>
      <c r="AF435" s="169">
        <f t="shared" si="531"/>
        <v>0</v>
      </c>
    </row>
    <row r="436" spans="2:32" ht="37" x14ac:dyDescent="0.35">
      <c r="B436" s="420">
        <f t="shared" si="535"/>
        <v>435</v>
      </c>
      <c r="C436" s="673" t="s">
        <v>370</v>
      </c>
      <c r="D436" s="168">
        <v>45017</v>
      </c>
      <c r="E436" s="168">
        <v>45047</v>
      </c>
      <c r="F436" s="168">
        <v>45078</v>
      </c>
      <c r="G436" s="168">
        <v>45108</v>
      </c>
      <c r="H436" s="168">
        <v>45139</v>
      </c>
      <c r="I436" s="168">
        <v>45170</v>
      </c>
      <c r="J436" s="168">
        <v>45200</v>
      </c>
      <c r="K436" s="168">
        <v>45231</v>
      </c>
      <c r="L436" s="168">
        <v>45261</v>
      </c>
      <c r="M436" s="168">
        <v>45292</v>
      </c>
      <c r="N436" s="168">
        <v>45323</v>
      </c>
      <c r="O436" s="168">
        <v>45352</v>
      </c>
      <c r="Q436" s="469">
        <f t="shared" si="532"/>
        <v>435</v>
      </c>
      <c r="R436" s="673" t="s">
        <v>370</v>
      </c>
      <c r="S436" s="432" t="s">
        <v>132</v>
      </c>
      <c r="T436" s="432" t="s">
        <v>20</v>
      </c>
      <c r="U436" s="432" t="s">
        <v>21</v>
      </c>
      <c r="V436" s="432" t="s">
        <v>22</v>
      </c>
      <c r="W436" s="432" t="s">
        <v>23</v>
      </c>
      <c r="X436" s="432" t="s">
        <v>24</v>
      </c>
      <c r="Y436" s="432" t="s">
        <v>25</v>
      </c>
      <c r="Z436" s="432" t="s">
        <v>26</v>
      </c>
      <c r="AA436" s="432" t="s">
        <v>27</v>
      </c>
      <c r="AB436" s="432" t="s">
        <v>28</v>
      </c>
      <c r="AC436" s="432" t="s">
        <v>29</v>
      </c>
      <c r="AD436" s="460" t="s">
        <v>30</v>
      </c>
      <c r="AE436" s="469">
        <f t="shared" si="533"/>
        <v>435</v>
      </c>
      <c r="AF436" s="169"/>
    </row>
    <row r="437" spans="2:32" x14ac:dyDescent="0.35">
      <c r="B437" s="420">
        <f t="shared" si="535"/>
        <v>436</v>
      </c>
      <c r="C437" s="663" t="s">
        <v>212</v>
      </c>
      <c r="D437" s="674">
        <f>'[2]Drug Offences'!AX3</f>
        <v>5</v>
      </c>
      <c r="E437" s="674">
        <f>'[2]Drug Offences'!AY3</f>
        <v>4</v>
      </c>
      <c r="F437" s="674">
        <f>'[2]Drug Offences'!AZ3</f>
        <v>1</v>
      </c>
      <c r="G437" s="674">
        <f>'[2]Drug Offences'!BA3</f>
        <v>3</v>
      </c>
      <c r="H437" s="674">
        <f>'[2]Drug Offences'!BB3</f>
        <v>10</v>
      </c>
      <c r="I437" s="674">
        <f>'[2]Drug Offences'!BC3</f>
        <v>2</v>
      </c>
      <c r="J437" s="674">
        <f>'[2]Drug Offences'!BD3</f>
        <v>5</v>
      </c>
      <c r="K437" s="674">
        <f>'[2]Drug Offences'!BE3</f>
        <v>4</v>
      </c>
      <c r="L437" s="674">
        <f>'[2]Drug Offences'!BF3</f>
        <v>5</v>
      </c>
      <c r="M437" s="674">
        <f>'[2]Drug Offences'!BG3</f>
        <v>3</v>
      </c>
      <c r="N437" s="674">
        <f>'[2]Drug Offences'!BH3</f>
        <v>7</v>
      </c>
      <c r="O437" s="674">
        <f>'[2]Drug Offences'!BI3</f>
        <v>4</v>
      </c>
      <c r="Q437" s="469">
        <f t="shared" si="532"/>
        <v>436</v>
      </c>
      <c r="R437" s="663" t="s">
        <v>212</v>
      </c>
      <c r="S437" s="175">
        <f t="shared" si="518"/>
        <v>5</v>
      </c>
      <c r="T437" s="175">
        <f t="shared" si="534"/>
        <v>9</v>
      </c>
      <c r="U437" s="175">
        <f t="shared" si="521"/>
        <v>10</v>
      </c>
      <c r="V437" s="175">
        <f t="shared" si="522"/>
        <v>13</v>
      </c>
      <c r="W437" s="175">
        <f t="shared" si="523"/>
        <v>23</v>
      </c>
      <c r="X437" s="175">
        <f t="shared" si="524"/>
        <v>25</v>
      </c>
      <c r="Y437" s="175">
        <f t="shared" si="525"/>
        <v>30</v>
      </c>
      <c r="Z437" s="175">
        <f t="shared" si="526"/>
        <v>34</v>
      </c>
      <c r="AA437" s="175">
        <f t="shared" si="527"/>
        <v>39</v>
      </c>
      <c r="AB437" s="175">
        <f t="shared" si="528"/>
        <v>42</v>
      </c>
      <c r="AC437" s="175">
        <f t="shared" si="529"/>
        <v>49</v>
      </c>
      <c r="AD437" s="175">
        <f t="shared" si="530"/>
        <v>53</v>
      </c>
      <c r="AE437" s="469">
        <f t="shared" si="533"/>
        <v>436</v>
      </c>
      <c r="AF437" s="169">
        <f t="shared" si="531"/>
        <v>53</v>
      </c>
    </row>
    <row r="438" spans="2:32" x14ac:dyDescent="0.35">
      <c r="B438" s="420">
        <f t="shared" si="535"/>
        <v>437</v>
      </c>
      <c r="C438" s="663" t="s">
        <v>213</v>
      </c>
      <c r="D438" s="674">
        <f>'[2]Drug Offences'!AX4</f>
        <v>10</v>
      </c>
      <c r="E438" s="674">
        <f>'[2]Drug Offences'!AY4</f>
        <v>7</v>
      </c>
      <c r="F438" s="674">
        <f>'[2]Drug Offences'!AZ4</f>
        <v>12</v>
      </c>
      <c r="G438" s="674">
        <f>'[2]Drug Offences'!BA4</f>
        <v>12</v>
      </c>
      <c r="H438" s="674">
        <f>'[2]Drug Offences'!BB4</f>
        <v>10</v>
      </c>
      <c r="I438" s="674">
        <f>'[2]Drug Offences'!BC4</f>
        <v>7</v>
      </c>
      <c r="J438" s="674">
        <f>'[2]Drug Offences'!BD4</f>
        <v>7</v>
      </c>
      <c r="K438" s="674">
        <f>'[2]Drug Offences'!BE4</f>
        <v>5</v>
      </c>
      <c r="L438" s="674">
        <f>'[2]Drug Offences'!BF4</f>
        <v>6</v>
      </c>
      <c r="M438" s="674">
        <f>'[2]Drug Offences'!BG4</f>
        <v>12</v>
      </c>
      <c r="N438" s="674">
        <f>'[2]Drug Offences'!BH4</f>
        <v>13</v>
      </c>
      <c r="O438" s="674">
        <f>'[2]Drug Offences'!BI4</f>
        <v>14</v>
      </c>
      <c r="Q438" s="469">
        <f t="shared" si="532"/>
        <v>437</v>
      </c>
      <c r="R438" s="663" t="s">
        <v>213</v>
      </c>
      <c r="S438" s="175">
        <f t="shared" si="518"/>
        <v>10</v>
      </c>
      <c r="T438" s="175">
        <f t="shared" si="534"/>
        <v>17</v>
      </c>
      <c r="U438" s="175">
        <f t="shared" si="521"/>
        <v>29</v>
      </c>
      <c r="V438" s="175">
        <f t="shared" si="522"/>
        <v>41</v>
      </c>
      <c r="W438" s="175">
        <f t="shared" si="523"/>
        <v>51</v>
      </c>
      <c r="X438" s="175">
        <f t="shared" si="524"/>
        <v>58</v>
      </c>
      <c r="Y438" s="175">
        <f t="shared" si="525"/>
        <v>65</v>
      </c>
      <c r="Z438" s="175">
        <f t="shared" si="526"/>
        <v>70</v>
      </c>
      <c r="AA438" s="175">
        <f t="shared" si="527"/>
        <v>76</v>
      </c>
      <c r="AB438" s="175">
        <f t="shared" si="528"/>
        <v>88</v>
      </c>
      <c r="AC438" s="175">
        <f t="shared" si="529"/>
        <v>101</v>
      </c>
      <c r="AD438" s="175">
        <f t="shared" si="530"/>
        <v>115</v>
      </c>
      <c r="AE438" s="469">
        <f t="shared" si="533"/>
        <v>437</v>
      </c>
      <c r="AF438" s="169">
        <f t="shared" si="531"/>
        <v>115</v>
      </c>
    </row>
    <row r="439" spans="2:32" x14ac:dyDescent="0.35">
      <c r="B439" s="420">
        <f t="shared" si="535"/>
        <v>438</v>
      </c>
      <c r="C439" s="663" t="s">
        <v>214</v>
      </c>
      <c r="D439" s="674">
        <f>'[2]Drug Offences'!AX5</f>
        <v>7</v>
      </c>
      <c r="E439" s="674">
        <f>'[2]Drug Offences'!AY5</f>
        <v>11</v>
      </c>
      <c r="F439" s="674">
        <f>'[2]Drug Offences'!AZ5</f>
        <v>3</v>
      </c>
      <c r="G439" s="674">
        <f>'[2]Drug Offences'!BA5</f>
        <v>10</v>
      </c>
      <c r="H439" s="674">
        <f>'[2]Drug Offences'!BB5</f>
        <v>6</v>
      </c>
      <c r="I439" s="674">
        <f>'[2]Drug Offences'!BC5</f>
        <v>3</v>
      </c>
      <c r="J439" s="674">
        <f>'[2]Drug Offences'!BD5</f>
        <v>4</v>
      </c>
      <c r="K439" s="674">
        <f>'[2]Drug Offences'!BE5</f>
        <v>1</v>
      </c>
      <c r="L439" s="674">
        <f>'[2]Drug Offences'!BF5</f>
        <v>9</v>
      </c>
      <c r="M439" s="674">
        <f>'[2]Drug Offences'!BG5</f>
        <v>7</v>
      </c>
      <c r="N439" s="674">
        <f>'[2]Drug Offences'!BH5</f>
        <v>10</v>
      </c>
      <c r="O439" s="674">
        <f>'[2]Drug Offences'!BI5</f>
        <v>10</v>
      </c>
      <c r="Q439" s="469">
        <f t="shared" si="532"/>
        <v>438</v>
      </c>
      <c r="R439" s="663" t="s">
        <v>214</v>
      </c>
      <c r="S439" s="175">
        <f t="shared" si="518"/>
        <v>7</v>
      </c>
      <c r="T439" s="175">
        <f t="shared" si="534"/>
        <v>18</v>
      </c>
      <c r="U439" s="175">
        <f t="shared" si="521"/>
        <v>21</v>
      </c>
      <c r="V439" s="175">
        <f t="shared" si="522"/>
        <v>31</v>
      </c>
      <c r="W439" s="175">
        <f t="shared" si="523"/>
        <v>37</v>
      </c>
      <c r="X439" s="175">
        <f t="shared" si="524"/>
        <v>40</v>
      </c>
      <c r="Y439" s="175">
        <f t="shared" si="525"/>
        <v>44</v>
      </c>
      <c r="Z439" s="175">
        <f t="shared" si="526"/>
        <v>45</v>
      </c>
      <c r="AA439" s="175">
        <f t="shared" si="527"/>
        <v>54</v>
      </c>
      <c r="AB439" s="175">
        <f t="shared" si="528"/>
        <v>61</v>
      </c>
      <c r="AC439" s="175">
        <f t="shared" si="529"/>
        <v>71</v>
      </c>
      <c r="AD439" s="175">
        <f t="shared" si="530"/>
        <v>81</v>
      </c>
      <c r="AE439" s="469">
        <f t="shared" si="533"/>
        <v>438</v>
      </c>
      <c r="AF439" s="169">
        <f t="shared" si="531"/>
        <v>81</v>
      </c>
    </row>
    <row r="440" spans="2:32" x14ac:dyDescent="0.35">
      <c r="B440" s="420">
        <f t="shared" si="535"/>
        <v>439</v>
      </c>
      <c r="C440" s="663" t="s">
        <v>146</v>
      </c>
      <c r="D440" s="674">
        <f>'[2]Drug Offences'!AX6</f>
        <v>5</v>
      </c>
      <c r="E440" s="674">
        <f>'[2]Drug Offences'!AY6</f>
        <v>4</v>
      </c>
      <c r="F440" s="674">
        <f>'[2]Drug Offences'!AZ6</f>
        <v>5</v>
      </c>
      <c r="G440" s="674">
        <f>'[2]Drug Offences'!BA6</f>
        <v>3</v>
      </c>
      <c r="H440" s="674">
        <f>'[2]Drug Offences'!BB6</f>
        <v>7</v>
      </c>
      <c r="I440" s="674">
        <f>'[2]Drug Offences'!BC6</f>
        <v>2</v>
      </c>
      <c r="J440" s="674">
        <f>'[2]Drug Offences'!BD6</f>
        <v>8</v>
      </c>
      <c r="K440" s="674">
        <f>'[2]Drug Offences'!BE6</f>
        <v>3</v>
      </c>
      <c r="L440" s="674">
        <f>'[2]Drug Offences'!BF6</f>
        <v>4</v>
      </c>
      <c r="M440" s="674">
        <f>'[2]Drug Offences'!BG6</f>
        <v>5</v>
      </c>
      <c r="N440" s="674">
        <f>'[2]Drug Offences'!BH6</f>
        <v>3</v>
      </c>
      <c r="O440" s="674">
        <f>'[2]Drug Offences'!BI6</f>
        <v>8</v>
      </c>
      <c r="Q440" s="469">
        <f t="shared" si="532"/>
        <v>439</v>
      </c>
      <c r="R440" s="663" t="s">
        <v>146</v>
      </c>
      <c r="S440" s="175">
        <f t="shared" si="518"/>
        <v>5</v>
      </c>
      <c r="T440" s="175">
        <f t="shared" si="534"/>
        <v>9</v>
      </c>
      <c r="U440" s="175">
        <f t="shared" si="521"/>
        <v>14</v>
      </c>
      <c r="V440" s="175">
        <f t="shared" si="522"/>
        <v>17</v>
      </c>
      <c r="W440" s="175">
        <f t="shared" si="523"/>
        <v>24</v>
      </c>
      <c r="X440" s="175">
        <f t="shared" si="524"/>
        <v>26</v>
      </c>
      <c r="Y440" s="175">
        <f t="shared" si="525"/>
        <v>34</v>
      </c>
      <c r="Z440" s="175">
        <f t="shared" si="526"/>
        <v>37</v>
      </c>
      <c r="AA440" s="175">
        <f t="shared" si="527"/>
        <v>41</v>
      </c>
      <c r="AB440" s="175">
        <f t="shared" si="528"/>
        <v>46</v>
      </c>
      <c r="AC440" s="175">
        <f t="shared" si="529"/>
        <v>49</v>
      </c>
      <c r="AD440" s="175">
        <f t="shared" si="530"/>
        <v>57</v>
      </c>
      <c r="AE440" s="469">
        <f t="shared" si="533"/>
        <v>439</v>
      </c>
      <c r="AF440" s="169">
        <f t="shared" si="531"/>
        <v>57</v>
      </c>
    </row>
    <row r="441" spans="2:32" x14ac:dyDescent="0.35">
      <c r="B441" s="420">
        <f t="shared" si="535"/>
        <v>440</v>
      </c>
      <c r="C441" s="663" t="s">
        <v>147</v>
      </c>
      <c r="D441" s="674">
        <f>'[2]Drug Offences'!AX7</f>
        <v>8</v>
      </c>
      <c r="E441" s="674">
        <f>'[2]Drug Offences'!AY7</f>
        <v>11</v>
      </c>
      <c r="F441" s="674">
        <f>'[2]Drug Offences'!AZ7</f>
        <v>6</v>
      </c>
      <c r="G441" s="674">
        <f>'[2]Drug Offences'!BA7</f>
        <v>8</v>
      </c>
      <c r="H441" s="674">
        <f>'[2]Drug Offences'!BB7</f>
        <v>5</v>
      </c>
      <c r="I441" s="674">
        <f>'[2]Drug Offences'!BC7</f>
        <v>5</v>
      </c>
      <c r="J441" s="674">
        <f>'[2]Drug Offences'!BD7</f>
        <v>2</v>
      </c>
      <c r="K441" s="674">
        <f>'[2]Drug Offences'!BE7</f>
        <v>8</v>
      </c>
      <c r="L441" s="674">
        <f>'[2]Drug Offences'!BF7</f>
        <v>7</v>
      </c>
      <c r="M441" s="674">
        <f>'[2]Drug Offences'!BG7</f>
        <v>6</v>
      </c>
      <c r="N441" s="674">
        <f>'[2]Drug Offences'!BH7</f>
        <v>11</v>
      </c>
      <c r="O441" s="674">
        <f>'[2]Drug Offences'!BI7</f>
        <v>7</v>
      </c>
      <c r="Q441" s="469">
        <f t="shared" si="532"/>
        <v>440</v>
      </c>
      <c r="R441" s="663" t="s">
        <v>147</v>
      </c>
      <c r="S441" s="175">
        <f t="shared" si="518"/>
        <v>8</v>
      </c>
      <c r="T441" s="175">
        <f t="shared" si="534"/>
        <v>19</v>
      </c>
      <c r="U441" s="175">
        <f t="shared" si="521"/>
        <v>25</v>
      </c>
      <c r="V441" s="175">
        <f t="shared" si="522"/>
        <v>33</v>
      </c>
      <c r="W441" s="175">
        <f t="shared" si="523"/>
        <v>38</v>
      </c>
      <c r="X441" s="175">
        <f t="shared" si="524"/>
        <v>43</v>
      </c>
      <c r="Y441" s="175">
        <f t="shared" si="525"/>
        <v>45</v>
      </c>
      <c r="Z441" s="175">
        <f t="shared" si="526"/>
        <v>53</v>
      </c>
      <c r="AA441" s="175">
        <f t="shared" si="527"/>
        <v>60</v>
      </c>
      <c r="AB441" s="175">
        <f t="shared" si="528"/>
        <v>66</v>
      </c>
      <c r="AC441" s="175">
        <f t="shared" si="529"/>
        <v>77</v>
      </c>
      <c r="AD441" s="175">
        <f t="shared" si="530"/>
        <v>84</v>
      </c>
      <c r="AE441" s="469">
        <f t="shared" si="533"/>
        <v>440</v>
      </c>
      <c r="AF441" s="169">
        <f t="shared" si="531"/>
        <v>84</v>
      </c>
    </row>
    <row r="442" spans="2:32" x14ac:dyDescent="0.35">
      <c r="B442" s="420">
        <f t="shared" si="535"/>
        <v>441</v>
      </c>
      <c r="C442" s="663" t="s">
        <v>62</v>
      </c>
      <c r="D442" s="674">
        <f>'[2]Drug Offences'!AX8</f>
        <v>13</v>
      </c>
      <c r="E442" s="674">
        <f>'[2]Drug Offences'!AY8</f>
        <v>15</v>
      </c>
      <c r="F442" s="674">
        <f>'[2]Drug Offences'!AZ8</f>
        <v>11</v>
      </c>
      <c r="G442" s="674">
        <f>'[2]Drug Offences'!BA8</f>
        <v>11</v>
      </c>
      <c r="H442" s="674">
        <f>'[2]Drug Offences'!BB8</f>
        <v>12</v>
      </c>
      <c r="I442" s="674">
        <f>'[2]Drug Offences'!BC8</f>
        <v>7</v>
      </c>
      <c r="J442" s="674">
        <f>'[2]Drug Offences'!BD8</f>
        <v>10</v>
      </c>
      <c r="K442" s="674">
        <f>'[2]Drug Offences'!BE8</f>
        <v>11</v>
      </c>
      <c r="L442" s="674">
        <f>'[2]Drug Offences'!BF8</f>
        <v>11</v>
      </c>
      <c r="M442" s="674">
        <f>'[2]Drug Offences'!BG8</f>
        <v>11</v>
      </c>
      <c r="N442" s="674">
        <f>'[2]Drug Offences'!BH8</f>
        <v>14</v>
      </c>
      <c r="O442" s="674">
        <f>'[2]Drug Offences'!BI8</f>
        <v>15</v>
      </c>
      <c r="Q442" s="469">
        <f t="shared" si="532"/>
        <v>441</v>
      </c>
      <c r="R442" s="663" t="s">
        <v>62</v>
      </c>
      <c r="S442" s="175">
        <f t="shared" si="518"/>
        <v>13</v>
      </c>
      <c r="T442" s="175">
        <f t="shared" si="534"/>
        <v>28</v>
      </c>
      <c r="U442" s="175">
        <f t="shared" si="521"/>
        <v>39</v>
      </c>
      <c r="V442" s="175">
        <f t="shared" si="522"/>
        <v>50</v>
      </c>
      <c r="W442" s="175">
        <f t="shared" si="523"/>
        <v>62</v>
      </c>
      <c r="X442" s="175">
        <f t="shared" si="524"/>
        <v>69</v>
      </c>
      <c r="Y442" s="175">
        <f t="shared" si="525"/>
        <v>79</v>
      </c>
      <c r="Z442" s="175">
        <f t="shared" si="526"/>
        <v>90</v>
      </c>
      <c r="AA442" s="175">
        <f t="shared" si="527"/>
        <v>101</v>
      </c>
      <c r="AB442" s="175">
        <f t="shared" si="528"/>
        <v>112</v>
      </c>
      <c r="AC442" s="175">
        <f t="shared" si="529"/>
        <v>126</v>
      </c>
      <c r="AD442" s="175">
        <f t="shared" si="530"/>
        <v>141</v>
      </c>
      <c r="AE442" s="469">
        <f t="shared" si="533"/>
        <v>441</v>
      </c>
      <c r="AF442" s="169">
        <f t="shared" si="531"/>
        <v>141</v>
      </c>
    </row>
    <row r="443" spans="2:32" x14ac:dyDescent="0.35">
      <c r="B443" s="420">
        <f t="shared" si="535"/>
        <v>442</v>
      </c>
      <c r="C443" s="663" t="s">
        <v>0</v>
      </c>
      <c r="D443" s="674">
        <f>'[2]Drug Offences'!AX9</f>
        <v>35</v>
      </c>
      <c r="E443" s="674">
        <f>'[2]Drug Offences'!AY9</f>
        <v>37</v>
      </c>
      <c r="F443" s="674">
        <f>'[2]Drug Offences'!AZ9</f>
        <v>27</v>
      </c>
      <c r="G443" s="674">
        <f>'[2]Drug Offences'!BA9</f>
        <v>36</v>
      </c>
      <c r="H443" s="674">
        <f>'[2]Drug Offences'!BB9</f>
        <v>38</v>
      </c>
      <c r="I443" s="674">
        <f>'[2]Drug Offences'!BC9</f>
        <v>19</v>
      </c>
      <c r="J443" s="674">
        <f>'[2]Drug Offences'!BD9</f>
        <v>26</v>
      </c>
      <c r="K443" s="674">
        <f>'[2]Drug Offences'!BE9</f>
        <v>21</v>
      </c>
      <c r="L443" s="674">
        <f>'[2]Drug Offences'!BF9</f>
        <v>31</v>
      </c>
      <c r="M443" s="674">
        <f>'[2]Drug Offences'!BG9</f>
        <v>33</v>
      </c>
      <c r="N443" s="674">
        <f>'[2]Drug Offences'!BH9</f>
        <v>44</v>
      </c>
      <c r="O443" s="674">
        <f>'[2]Drug Offences'!BI9</f>
        <v>43</v>
      </c>
      <c r="Q443" s="469">
        <f t="shared" si="532"/>
        <v>442</v>
      </c>
      <c r="R443" s="663" t="s">
        <v>0</v>
      </c>
      <c r="S443" s="175">
        <f t="shared" si="518"/>
        <v>35</v>
      </c>
      <c r="T443" s="175">
        <f t="shared" si="534"/>
        <v>72</v>
      </c>
      <c r="U443" s="175">
        <f t="shared" si="521"/>
        <v>99</v>
      </c>
      <c r="V443" s="175">
        <f t="shared" si="522"/>
        <v>135</v>
      </c>
      <c r="W443" s="175">
        <f t="shared" si="523"/>
        <v>173</v>
      </c>
      <c r="X443" s="175">
        <f t="shared" si="524"/>
        <v>192</v>
      </c>
      <c r="Y443" s="175">
        <f t="shared" si="525"/>
        <v>218</v>
      </c>
      <c r="Z443" s="175">
        <f t="shared" si="526"/>
        <v>239</v>
      </c>
      <c r="AA443" s="175">
        <f t="shared" si="527"/>
        <v>270</v>
      </c>
      <c r="AB443" s="175">
        <f t="shared" si="528"/>
        <v>303</v>
      </c>
      <c r="AC443" s="175">
        <f t="shared" si="529"/>
        <v>347</v>
      </c>
      <c r="AD443" s="175">
        <f t="shared" si="530"/>
        <v>390</v>
      </c>
      <c r="AE443" s="469">
        <f t="shared" si="533"/>
        <v>442</v>
      </c>
      <c r="AF443" s="169">
        <f t="shared" si="531"/>
        <v>390</v>
      </c>
    </row>
    <row r="444" spans="2:32" ht="37" x14ac:dyDescent="0.35">
      <c r="B444" s="420">
        <f t="shared" si="535"/>
        <v>443</v>
      </c>
      <c r="C444" s="665" t="s">
        <v>371</v>
      </c>
      <c r="D444" s="168">
        <v>45017</v>
      </c>
      <c r="E444" s="168">
        <v>45047</v>
      </c>
      <c r="F444" s="168">
        <v>45078</v>
      </c>
      <c r="G444" s="168">
        <v>45108</v>
      </c>
      <c r="H444" s="168">
        <v>45139</v>
      </c>
      <c r="I444" s="168">
        <v>45170</v>
      </c>
      <c r="J444" s="168">
        <v>45200</v>
      </c>
      <c r="K444" s="168">
        <v>45231</v>
      </c>
      <c r="L444" s="168">
        <v>45261</v>
      </c>
      <c r="M444" s="168">
        <v>45292</v>
      </c>
      <c r="N444" s="168">
        <v>45323</v>
      </c>
      <c r="O444" s="168">
        <v>45352</v>
      </c>
      <c r="Q444" s="469">
        <f t="shared" si="532"/>
        <v>443</v>
      </c>
      <c r="R444" s="665" t="s">
        <v>371</v>
      </c>
      <c r="S444" s="432" t="s">
        <v>132</v>
      </c>
      <c r="T444" s="432" t="s">
        <v>20</v>
      </c>
      <c r="U444" s="432" t="s">
        <v>21</v>
      </c>
      <c r="V444" s="432" t="s">
        <v>22</v>
      </c>
      <c r="W444" s="432" t="s">
        <v>23</v>
      </c>
      <c r="X444" s="432" t="s">
        <v>24</v>
      </c>
      <c r="Y444" s="432" t="s">
        <v>25</v>
      </c>
      <c r="Z444" s="432" t="s">
        <v>26</v>
      </c>
      <c r="AA444" s="432" t="s">
        <v>27</v>
      </c>
      <c r="AB444" s="432" t="s">
        <v>28</v>
      </c>
      <c r="AC444" s="432" t="s">
        <v>29</v>
      </c>
      <c r="AD444" s="460" t="s">
        <v>30</v>
      </c>
      <c r="AE444" s="469">
        <f t="shared" si="533"/>
        <v>443</v>
      </c>
      <c r="AF444" s="169"/>
    </row>
    <row r="445" spans="2:32" x14ac:dyDescent="0.35">
      <c r="B445" s="420">
        <f t="shared" si="535"/>
        <v>444</v>
      </c>
      <c r="C445" s="663" t="s">
        <v>212</v>
      </c>
      <c r="D445" s="675">
        <f>'[2]Drug Offences'!AX11</f>
        <v>0</v>
      </c>
      <c r="E445" s="675">
        <f>'[2]Drug Offences'!AY11</f>
        <v>2</v>
      </c>
      <c r="F445" s="675">
        <f>'[2]Drug Offences'!AZ11</f>
        <v>0</v>
      </c>
      <c r="G445" s="675">
        <f>'[2]Drug Offences'!BA11</f>
        <v>1</v>
      </c>
      <c r="H445" s="675">
        <f>'[2]Drug Offences'!BB11</f>
        <v>1</v>
      </c>
      <c r="I445" s="675">
        <f>'[2]Drug Offences'!BC11</f>
        <v>1</v>
      </c>
      <c r="J445" s="675">
        <f>'[2]Drug Offences'!BD11</f>
        <v>1</v>
      </c>
      <c r="K445" s="675">
        <f>'[2]Drug Offences'!BE11</f>
        <v>1</v>
      </c>
      <c r="L445" s="675">
        <f>'[2]Drug Offences'!BF11</f>
        <v>3</v>
      </c>
      <c r="M445" s="675">
        <f>'[2]Drug Offences'!BG11</f>
        <v>2</v>
      </c>
      <c r="N445" s="675">
        <f>'[2]Drug Offences'!BH11</f>
        <v>3</v>
      </c>
      <c r="O445" s="675">
        <f>'[2]Drug Offences'!BI11</f>
        <v>3</v>
      </c>
      <c r="Q445" s="469">
        <f t="shared" si="532"/>
        <v>444</v>
      </c>
      <c r="R445" s="663" t="s">
        <v>212</v>
      </c>
      <c r="S445" s="175">
        <f t="shared" si="518"/>
        <v>0</v>
      </c>
      <c r="T445" s="175">
        <f t="shared" si="534"/>
        <v>2</v>
      </c>
      <c r="U445" s="175">
        <f t="shared" si="521"/>
        <v>2</v>
      </c>
      <c r="V445" s="175">
        <f t="shared" si="522"/>
        <v>3</v>
      </c>
      <c r="W445" s="175">
        <f t="shared" si="523"/>
        <v>4</v>
      </c>
      <c r="X445" s="175">
        <f t="shared" si="524"/>
        <v>5</v>
      </c>
      <c r="Y445" s="175">
        <f t="shared" si="525"/>
        <v>6</v>
      </c>
      <c r="Z445" s="175">
        <f t="shared" si="526"/>
        <v>7</v>
      </c>
      <c r="AA445" s="175">
        <f t="shared" si="527"/>
        <v>10</v>
      </c>
      <c r="AB445" s="175">
        <f t="shared" si="528"/>
        <v>12</v>
      </c>
      <c r="AC445" s="175">
        <f t="shared" si="529"/>
        <v>15</v>
      </c>
      <c r="AD445" s="175">
        <f t="shared" si="530"/>
        <v>18</v>
      </c>
      <c r="AE445" s="469">
        <f t="shared" si="533"/>
        <v>444</v>
      </c>
      <c r="AF445" s="169">
        <f t="shared" si="531"/>
        <v>18</v>
      </c>
    </row>
    <row r="446" spans="2:32" x14ac:dyDescent="0.35">
      <c r="B446" s="420">
        <f t="shared" si="535"/>
        <v>445</v>
      </c>
      <c r="C446" s="663" t="s">
        <v>213</v>
      </c>
      <c r="D446" s="675">
        <f>'[2]Drug Offences'!AX12</f>
        <v>5</v>
      </c>
      <c r="E446" s="675">
        <f>'[2]Drug Offences'!AY12</f>
        <v>4</v>
      </c>
      <c r="F446" s="675">
        <f>'[2]Drug Offences'!AZ12</f>
        <v>4</v>
      </c>
      <c r="G446" s="675">
        <f>'[2]Drug Offences'!BA12</f>
        <v>6</v>
      </c>
      <c r="H446" s="675">
        <f>'[2]Drug Offences'!BB12</f>
        <v>5</v>
      </c>
      <c r="I446" s="675">
        <f>'[2]Drug Offences'!BC12</f>
        <v>9</v>
      </c>
      <c r="J446" s="675">
        <f>'[2]Drug Offences'!BD12</f>
        <v>9</v>
      </c>
      <c r="K446" s="675">
        <f>'[2]Drug Offences'!BE12</f>
        <v>4</v>
      </c>
      <c r="L446" s="675">
        <f>'[2]Drug Offences'!BF12</f>
        <v>7</v>
      </c>
      <c r="M446" s="675">
        <f>'[2]Drug Offences'!BG12</f>
        <v>3</v>
      </c>
      <c r="N446" s="675">
        <f>'[2]Drug Offences'!BH12</f>
        <v>8</v>
      </c>
      <c r="O446" s="675">
        <f>'[2]Drug Offences'!BI12</f>
        <v>4</v>
      </c>
      <c r="Q446" s="469">
        <f t="shared" si="532"/>
        <v>445</v>
      </c>
      <c r="R446" s="663" t="s">
        <v>213</v>
      </c>
      <c r="S446" s="175">
        <f t="shared" si="518"/>
        <v>5</v>
      </c>
      <c r="T446" s="175">
        <f t="shared" si="534"/>
        <v>9</v>
      </c>
      <c r="U446" s="175">
        <f t="shared" si="521"/>
        <v>13</v>
      </c>
      <c r="V446" s="175">
        <f t="shared" si="522"/>
        <v>19</v>
      </c>
      <c r="W446" s="175">
        <f t="shared" si="523"/>
        <v>24</v>
      </c>
      <c r="X446" s="175">
        <f t="shared" si="524"/>
        <v>33</v>
      </c>
      <c r="Y446" s="175">
        <f t="shared" si="525"/>
        <v>42</v>
      </c>
      <c r="Z446" s="175">
        <f t="shared" si="526"/>
        <v>46</v>
      </c>
      <c r="AA446" s="175">
        <f t="shared" si="527"/>
        <v>53</v>
      </c>
      <c r="AB446" s="175">
        <f t="shared" si="528"/>
        <v>56</v>
      </c>
      <c r="AC446" s="175">
        <f t="shared" si="529"/>
        <v>64</v>
      </c>
      <c r="AD446" s="175">
        <f t="shared" si="530"/>
        <v>68</v>
      </c>
      <c r="AE446" s="469">
        <f t="shared" si="533"/>
        <v>445</v>
      </c>
      <c r="AF446" s="169">
        <f t="shared" si="531"/>
        <v>68</v>
      </c>
    </row>
    <row r="447" spans="2:32" x14ac:dyDescent="0.35">
      <c r="B447" s="420">
        <f t="shared" si="535"/>
        <v>446</v>
      </c>
      <c r="C447" s="663" t="s">
        <v>214</v>
      </c>
      <c r="D447" s="675">
        <f>'[2]Drug Offences'!AX13</f>
        <v>1</v>
      </c>
      <c r="E447" s="675">
        <f>'[2]Drug Offences'!AY13</f>
        <v>5</v>
      </c>
      <c r="F447" s="675">
        <f>'[2]Drug Offences'!AZ13</f>
        <v>3</v>
      </c>
      <c r="G447" s="675">
        <f>'[2]Drug Offences'!BA13</f>
        <v>3</v>
      </c>
      <c r="H447" s="675">
        <f>'[2]Drug Offences'!BB13</f>
        <v>3</v>
      </c>
      <c r="I447" s="675">
        <f>'[2]Drug Offences'!BC13</f>
        <v>1</v>
      </c>
      <c r="J447" s="675">
        <f>'[2]Drug Offences'!BD13</f>
        <v>3</v>
      </c>
      <c r="K447" s="675">
        <f>'[2]Drug Offences'!BE13</f>
        <v>4</v>
      </c>
      <c r="L447" s="675">
        <f>'[2]Drug Offences'!BF13</f>
        <v>5</v>
      </c>
      <c r="M447" s="675">
        <f>'[2]Drug Offences'!BG13</f>
        <v>5</v>
      </c>
      <c r="N447" s="675">
        <f>'[2]Drug Offences'!BH13</f>
        <v>4</v>
      </c>
      <c r="O447" s="675">
        <f>'[2]Drug Offences'!BI13</f>
        <v>5</v>
      </c>
      <c r="Q447" s="469">
        <f t="shared" si="532"/>
        <v>446</v>
      </c>
      <c r="R447" s="663" t="s">
        <v>214</v>
      </c>
      <c r="S447" s="175">
        <f t="shared" si="518"/>
        <v>1</v>
      </c>
      <c r="T447" s="175">
        <f t="shared" si="534"/>
        <v>6</v>
      </c>
      <c r="U447" s="175">
        <f t="shared" si="521"/>
        <v>9</v>
      </c>
      <c r="V447" s="175">
        <f t="shared" si="522"/>
        <v>12</v>
      </c>
      <c r="W447" s="175">
        <f t="shared" si="523"/>
        <v>15</v>
      </c>
      <c r="X447" s="175">
        <f t="shared" si="524"/>
        <v>16</v>
      </c>
      <c r="Y447" s="175">
        <f t="shared" si="525"/>
        <v>19</v>
      </c>
      <c r="Z447" s="175">
        <f t="shared" si="526"/>
        <v>23</v>
      </c>
      <c r="AA447" s="175">
        <f t="shared" si="527"/>
        <v>28</v>
      </c>
      <c r="AB447" s="175">
        <f t="shared" si="528"/>
        <v>33</v>
      </c>
      <c r="AC447" s="175">
        <f t="shared" si="529"/>
        <v>37</v>
      </c>
      <c r="AD447" s="175">
        <f t="shared" si="530"/>
        <v>42</v>
      </c>
      <c r="AE447" s="469">
        <f t="shared" si="533"/>
        <v>446</v>
      </c>
      <c r="AF447" s="169">
        <f t="shared" si="531"/>
        <v>42</v>
      </c>
    </row>
    <row r="448" spans="2:32" x14ac:dyDescent="0.35">
      <c r="B448" s="420">
        <f t="shared" si="535"/>
        <v>447</v>
      </c>
      <c r="C448" s="663" t="s">
        <v>146</v>
      </c>
      <c r="D448" s="675">
        <f>'[2]Drug Offences'!AX14</f>
        <v>1</v>
      </c>
      <c r="E448" s="675">
        <f>'[2]Drug Offences'!AY14</f>
        <v>5</v>
      </c>
      <c r="F448" s="675">
        <f>'[2]Drug Offences'!AZ14</f>
        <v>1</v>
      </c>
      <c r="G448" s="675">
        <f>'[2]Drug Offences'!BA14</f>
        <v>1</v>
      </c>
      <c r="H448" s="675">
        <f>'[2]Drug Offences'!BB14</f>
        <v>2</v>
      </c>
      <c r="I448" s="675">
        <f>'[2]Drug Offences'!BC14</f>
        <v>5</v>
      </c>
      <c r="J448" s="675">
        <f>'[2]Drug Offences'!BD14</f>
        <v>1</v>
      </c>
      <c r="K448" s="675">
        <f>'[2]Drug Offences'!BE14</f>
        <v>3</v>
      </c>
      <c r="L448" s="675">
        <f>'[2]Drug Offences'!BF14</f>
        <v>1</v>
      </c>
      <c r="M448" s="675">
        <f>'[2]Drug Offences'!BG14</f>
        <v>5</v>
      </c>
      <c r="N448" s="675">
        <f>'[2]Drug Offences'!BH14</f>
        <v>3</v>
      </c>
      <c r="O448" s="675">
        <f>'[2]Drug Offences'!BI14</f>
        <v>1</v>
      </c>
      <c r="Q448" s="469">
        <f t="shared" si="532"/>
        <v>447</v>
      </c>
      <c r="R448" s="663" t="s">
        <v>146</v>
      </c>
      <c r="S448" s="175">
        <f t="shared" si="518"/>
        <v>1</v>
      </c>
      <c r="T448" s="175">
        <f t="shared" si="534"/>
        <v>6</v>
      </c>
      <c r="U448" s="175">
        <f t="shared" si="521"/>
        <v>7</v>
      </c>
      <c r="V448" s="175">
        <f t="shared" si="522"/>
        <v>8</v>
      </c>
      <c r="W448" s="175">
        <f t="shared" si="523"/>
        <v>10</v>
      </c>
      <c r="X448" s="175">
        <f t="shared" si="524"/>
        <v>15</v>
      </c>
      <c r="Y448" s="175">
        <f t="shared" si="525"/>
        <v>16</v>
      </c>
      <c r="Z448" s="175">
        <f t="shared" si="526"/>
        <v>19</v>
      </c>
      <c r="AA448" s="175">
        <f t="shared" si="527"/>
        <v>20</v>
      </c>
      <c r="AB448" s="175">
        <f t="shared" si="528"/>
        <v>25</v>
      </c>
      <c r="AC448" s="175">
        <f t="shared" si="529"/>
        <v>28</v>
      </c>
      <c r="AD448" s="175">
        <f t="shared" si="530"/>
        <v>29</v>
      </c>
      <c r="AE448" s="469">
        <f t="shared" si="533"/>
        <v>447</v>
      </c>
      <c r="AF448" s="169">
        <f t="shared" si="531"/>
        <v>29</v>
      </c>
    </row>
    <row r="449" spans="2:32" x14ac:dyDescent="0.35">
      <c r="B449" s="420">
        <f t="shared" si="535"/>
        <v>448</v>
      </c>
      <c r="C449" s="663" t="s">
        <v>147</v>
      </c>
      <c r="D449" s="675">
        <f>'[2]Drug Offences'!AX15</f>
        <v>2</v>
      </c>
      <c r="E449" s="675">
        <f>'[2]Drug Offences'!AY15</f>
        <v>4</v>
      </c>
      <c r="F449" s="675">
        <f>'[2]Drug Offences'!AZ15</f>
        <v>4</v>
      </c>
      <c r="G449" s="675">
        <f>'[2]Drug Offences'!BA15</f>
        <v>2</v>
      </c>
      <c r="H449" s="675">
        <f>'[2]Drug Offences'!BB15</f>
        <v>5</v>
      </c>
      <c r="I449" s="675">
        <f>'[2]Drug Offences'!BC15</f>
        <v>2</v>
      </c>
      <c r="J449" s="675">
        <f>'[2]Drug Offences'!BD15</f>
        <v>3</v>
      </c>
      <c r="K449" s="675">
        <f>'[2]Drug Offences'!BE15</f>
        <v>2</v>
      </c>
      <c r="L449" s="675">
        <f>'[2]Drug Offences'!BF15</f>
        <v>8</v>
      </c>
      <c r="M449" s="675">
        <f>'[2]Drug Offences'!BG15</f>
        <v>2</v>
      </c>
      <c r="N449" s="675">
        <f>'[2]Drug Offences'!BH15</f>
        <v>3</v>
      </c>
      <c r="O449" s="675">
        <f>'[2]Drug Offences'!BI15</f>
        <v>3</v>
      </c>
      <c r="Q449" s="469">
        <f t="shared" si="532"/>
        <v>448</v>
      </c>
      <c r="R449" s="663" t="s">
        <v>147</v>
      </c>
      <c r="S449" s="175">
        <f t="shared" si="518"/>
        <v>2</v>
      </c>
      <c r="T449" s="175">
        <f t="shared" si="534"/>
        <v>6</v>
      </c>
      <c r="U449" s="175">
        <f t="shared" si="521"/>
        <v>10</v>
      </c>
      <c r="V449" s="175">
        <f t="shared" si="522"/>
        <v>12</v>
      </c>
      <c r="W449" s="175">
        <f t="shared" si="523"/>
        <v>17</v>
      </c>
      <c r="X449" s="175">
        <f t="shared" si="524"/>
        <v>19</v>
      </c>
      <c r="Y449" s="175">
        <f t="shared" si="525"/>
        <v>22</v>
      </c>
      <c r="Z449" s="175">
        <f t="shared" si="526"/>
        <v>24</v>
      </c>
      <c r="AA449" s="175">
        <f t="shared" si="527"/>
        <v>32</v>
      </c>
      <c r="AB449" s="175">
        <f t="shared" si="528"/>
        <v>34</v>
      </c>
      <c r="AC449" s="175">
        <f t="shared" si="529"/>
        <v>37</v>
      </c>
      <c r="AD449" s="175">
        <f t="shared" si="530"/>
        <v>40</v>
      </c>
      <c r="AE449" s="469">
        <f t="shared" si="533"/>
        <v>448</v>
      </c>
      <c r="AF449" s="169">
        <f t="shared" si="531"/>
        <v>40</v>
      </c>
    </row>
    <row r="450" spans="2:32" x14ac:dyDescent="0.35">
      <c r="B450" s="420">
        <f t="shared" si="535"/>
        <v>449</v>
      </c>
      <c r="C450" s="663" t="s">
        <v>62</v>
      </c>
      <c r="D450" s="675">
        <f>'[2]Drug Offences'!AX16</f>
        <v>3</v>
      </c>
      <c r="E450" s="675">
        <f>'[2]Drug Offences'!AY16</f>
        <v>9</v>
      </c>
      <c r="F450" s="675">
        <f>'[2]Drug Offences'!AZ16</f>
        <v>5</v>
      </c>
      <c r="G450" s="675">
        <f>'[2]Drug Offences'!BA16</f>
        <v>3</v>
      </c>
      <c r="H450" s="675">
        <f>'[2]Drug Offences'!BB16</f>
        <v>7</v>
      </c>
      <c r="I450" s="675">
        <f>'[2]Drug Offences'!BC16</f>
        <v>7</v>
      </c>
      <c r="J450" s="675">
        <f>'[2]Drug Offences'!BD16</f>
        <v>4</v>
      </c>
      <c r="K450" s="675">
        <f>'[2]Drug Offences'!BE16</f>
        <v>5</v>
      </c>
      <c r="L450" s="675">
        <f>'[2]Drug Offences'!BF16</f>
        <v>9</v>
      </c>
      <c r="M450" s="675">
        <f>'[2]Drug Offences'!BG16</f>
        <v>7</v>
      </c>
      <c r="N450" s="675">
        <f>'[2]Drug Offences'!BH16</f>
        <v>6</v>
      </c>
      <c r="O450" s="675">
        <f>'[2]Drug Offences'!BI16</f>
        <v>4</v>
      </c>
      <c r="Q450" s="469">
        <f t="shared" si="532"/>
        <v>449</v>
      </c>
      <c r="R450" s="663" t="s">
        <v>62</v>
      </c>
      <c r="S450" s="175">
        <f t="shared" si="518"/>
        <v>3</v>
      </c>
      <c r="T450" s="175">
        <f t="shared" si="534"/>
        <v>12</v>
      </c>
      <c r="U450" s="175">
        <f t="shared" si="521"/>
        <v>17</v>
      </c>
      <c r="V450" s="175">
        <f t="shared" si="522"/>
        <v>20</v>
      </c>
      <c r="W450" s="175">
        <f t="shared" si="523"/>
        <v>27</v>
      </c>
      <c r="X450" s="175">
        <f t="shared" si="524"/>
        <v>34</v>
      </c>
      <c r="Y450" s="175">
        <f t="shared" si="525"/>
        <v>38</v>
      </c>
      <c r="Z450" s="175">
        <f t="shared" si="526"/>
        <v>43</v>
      </c>
      <c r="AA450" s="175">
        <f t="shared" si="527"/>
        <v>52</v>
      </c>
      <c r="AB450" s="175">
        <f t="shared" si="528"/>
        <v>59</v>
      </c>
      <c r="AC450" s="175">
        <f t="shared" si="529"/>
        <v>65</v>
      </c>
      <c r="AD450" s="175">
        <f t="shared" si="530"/>
        <v>69</v>
      </c>
      <c r="AE450" s="469">
        <f t="shared" si="533"/>
        <v>449</v>
      </c>
      <c r="AF450" s="169">
        <f t="shared" si="531"/>
        <v>69</v>
      </c>
    </row>
    <row r="451" spans="2:32" x14ac:dyDescent="0.35">
      <c r="B451" s="420">
        <f t="shared" si="535"/>
        <v>450</v>
      </c>
      <c r="C451" s="663" t="s">
        <v>0</v>
      </c>
      <c r="D451" s="675">
        <f>'[2]Drug Offences'!AX17</f>
        <v>9</v>
      </c>
      <c r="E451" s="675">
        <f>'[2]Drug Offences'!AY17</f>
        <v>20</v>
      </c>
      <c r="F451" s="675">
        <f>'[2]Drug Offences'!AZ17</f>
        <v>12</v>
      </c>
      <c r="G451" s="675">
        <f>'[2]Drug Offences'!BA17</f>
        <v>13</v>
      </c>
      <c r="H451" s="675">
        <f>'[2]Drug Offences'!BB17</f>
        <v>16</v>
      </c>
      <c r="I451" s="675">
        <f>'[2]Drug Offences'!BC17</f>
        <v>18</v>
      </c>
      <c r="J451" s="675">
        <f>'[2]Drug Offences'!BD17</f>
        <v>17</v>
      </c>
      <c r="K451" s="675">
        <f>'[2]Drug Offences'!BE17</f>
        <v>14</v>
      </c>
      <c r="L451" s="675">
        <f>'[2]Drug Offences'!BF17</f>
        <v>24</v>
      </c>
      <c r="M451" s="675">
        <f>'[2]Drug Offences'!BG17</f>
        <v>17</v>
      </c>
      <c r="N451" s="675">
        <f>'[2]Drug Offences'!BH17</f>
        <v>21</v>
      </c>
      <c r="O451" s="675">
        <f>'[2]Drug Offences'!BI17</f>
        <v>16</v>
      </c>
      <c r="Q451" s="469">
        <f t="shared" si="532"/>
        <v>450</v>
      </c>
      <c r="R451" s="663" t="s">
        <v>0</v>
      </c>
      <c r="S451" s="175">
        <f t="shared" si="518"/>
        <v>9</v>
      </c>
      <c r="T451" s="175">
        <f t="shared" si="534"/>
        <v>29</v>
      </c>
      <c r="U451" s="175">
        <f t="shared" si="521"/>
        <v>41</v>
      </c>
      <c r="V451" s="175">
        <f t="shared" si="522"/>
        <v>54</v>
      </c>
      <c r="W451" s="175">
        <f t="shared" si="523"/>
        <v>70</v>
      </c>
      <c r="X451" s="175">
        <f t="shared" si="524"/>
        <v>88</v>
      </c>
      <c r="Y451" s="175">
        <f t="shared" si="525"/>
        <v>105</v>
      </c>
      <c r="Z451" s="175">
        <f t="shared" si="526"/>
        <v>119</v>
      </c>
      <c r="AA451" s="175">
        <f t="shared" si="527"/>
        <v>143</v>
      </c>
      <c r="AB451" s="175">
        <f t="shared" si="528"/>
        <v>160</v>
      </c>
      <c r="AC451" s="175">
        <f t="shared" si="529"/>
        <v>181</v>
      </c>
      <c r="AD451" s="175">
        <f t="shared" si="530"/>
        <v>197</v>
      </c>
      <c r="AE451" s="469">
        <f t="shared" si="533"/>
        <v>450</v>
      </c>
      <c r="AF451" s="169">
        <f t="shared" si="531"/>
        <v>197</v>
      </c>
    </row>
    <row r="452" spans="2:32" ht="18.5" x14ac:dyDescent="0.35">
      <c r="B452" s="420">
        <f t="shared" si="535"/>
        <v>451</v>
      </c>
      <c r="C452" s="664" t="s">
        <v>369</v>
      </c>
      <c r="D452" s="168">
        <v>45017</v>
      </c>
      <c r="E452" s="168">
        <v>45047</v>
      </c>
      <c r="F452" s="168">
        <v>45078</v>
      </c>
      <c r="G452" s="168">
        <v>45108</v>
      </c>
      <c r="H452" s="168">
        <v>45139</v>
      </c>
      <c r="I452" s="168">
        <v>45170</v>
      </c>
      <c r="J452" s="168">
        <v>45200</v>
      </c>
      <c r="K452" s="168">
        <v>45231</v>
      </c>
      <c r="L452" s="168">
        <v>45261</v>
      </c>
      <c r="M452" s="168">
        <v>45292</v>
      </c>
      <c r="N452" s="168">
        <v>45323</v>
      </c>
      <c r="O452" s="168">
        <v>45352</v>
      </c>
      <c r="Q452" s="469">
        <f t="shared" si="532"/>
        <v>451</v>
      </c>
      <c r="R452" s="664" t="s">
        <v>369</v>
      </c>
      <c r="S452" s="432" t="s">
        <v>132</v>
      </c>
      <c r="T452" s="432" t="s">
        <v>20</v>
      </c>
      <c r="U452" s="432" t="s">
        <v>21</v>
      </c>
      <c r="V452" s="432" t="s">
        <v>22</v>
      </c>
      <c r="W452" s="432" t="s">
        <v>23</v>
      </c>
      <c r="X452" s="432" t="s">
        <v>24</v>
      </c>
      <c r="Y452" s="432" t="s">
        <v>25</v>
      </c>
      <c r="Z452" s="432" t="s">
        <v>26</v>
      </c>
      <c r="AA452" s="432" t="s">
        <v>27</v>
      </c>
      <c r="AB452" s="432" t="s">
        <v>28</v>
      </c>
      <c r="AC452" s="432" t="s">
        <v>29</v>
      </c>
      <c r="AD452" s="460" t="s">
        <v>30</v>
      </c>
      <c r="AE452" s="469">
        <f t="shared" si="533"/>
        <v>451</v>
      </c>
      <c r="AF452" s="169"/>
    </row>
    <row r="453" spans="2:32" x14ac:dyDescent="0.35">
      <c r="B453" s="420">
        <f t="shared" si="535"/>
        <v>452</v>
      </c>
      <c r="C453" s="663" t="s">
        <v>212</v>
      </c>
      <c r="D453" s="675">
        <f>'[2]Drug Offences'!AX19</f>
        <v>3</v>
      </c>
      <c r="E453" s="675">
        <f>'[2]Drug Offences'!AY19</f>
        <v>4</v>
      </c>
      <c r="F453" s="675">
        <f>'[2]Drug Offences'!AZ19</f>
        <v>3</v>
      </c>
      <c r="G453" s="675">
        <f>'[2]Drug Offences'!BA19</f>
        <v>7</v>
      </c>
      <c r="H453" s="675">
        <f>'[2]Drug Offences'!BB19</f>
        <v>6</v>
      </c>
      <c r="I453" s="675">
        <f>'[2]Drug Offences'!BC19</f>
        <v>13</v>
      </c>
      <c r="J453" s="675">
        <f>'[2]Drug Offences'!BD19</f>
        <v>6</v>
      </c>
      <c r="K453" s="675">
        <f>'[2]Drug Offences'!BE19</f>
        <v>3</v>
      </c>
      <c r="L453" s="675">
        <f>'[2]Drug Offences'!BF19</f>
        <v>2</v>
      </c>
      <c r="M453" s="675">
        <f>'[2]Drug Offences'!BG19</f>
        <v>4</v>
      </c>
      <c r="N453" s="675">
        <f>'[2]Drug Offences'!BH19</f>
        <v>4</v>
      </c>
      <c r="O453" s="675">
        <f>'[2]Drug Offences'!BI19</f>
        <v>2</v>
      </c>
      <c r="Q453" s="469">
        <f t="shared" si="532"/>
        <v>452</v>
      </c>
      <c r="R453" s="663" t="s">
        <v>212</v>
      </c>
      <c r="S453" s="175">
        <f t="shared" si="518"/>
        <v>3</v>
      </c>
      <c r="T453" s="175">
        <f t="shared" si="534"/>
        <v>7</v>
      </c>
      <c r="U453" s="175">
        <f t="shared" si="521"/>
        <v>10</v>
      </c>
      <c r="V453" s="175">
        <f t="shared" si="522"/>
        <v>17</v>
      </c>
      <c r="W453" s="175">
        <f t="shared" si="523"/>
        <v>23</v>
      </c>
      <c r="X453" s="175">
        <f t="shared" si="524"/>
        <v>36</v>
      </c>
      <c r="Y453" s="175">
        <f t="shared" si="525"/>
        <v>42</v>
      </c>
      <c r="Z453" s="175">
        <f t="shared" si="526"/>
        <v>45</v>
      </c>
      <c r="AA453" s="175">
        <f t="shared" si="527"/>
        <v>47</v>
      </c>
      <c r="AB453" s="175">
        <f t="shared" si="528"/>
        <v>51</v>
      </c>
      <c r="AC453" s="175">
        <f t="shared" si="529"/>
        <v>55</v>
      </c>
      <c r="AD453" s="175">
        <f t="shared" si="530"/>
        <v>57</v>
      </c>
      <c r="AE453" s="469">
        <f t="shared" si="533"/>
        <v>452</v>
      </c>
      <c r="AF453" s="169">
        <f t="shared" si="531"/>
        <v>57</v>
      </c>
    </row>
    <row r="454" spans="2:32" x14ac:dyDescent="0.35">
      <c r="B454" s="420">
        <f t="shared" si="535"/>
        <v>453</v>
      </c>
      <c r="C454" s="663" t="s">
        <v>213</v>
      </c>
      <c r="D454" s="675">
        <f>'[2]Drug Offences'!AX20</f>
        <v>10</v>
      </c>
      <c r="E454" s="675">
        <f>'[2]Drug Offences'!AY20</f>
        <v>7</v>
      </c>
      <c r="F454" s="675">
        <f>'[2]Drug Offences'!AZ20</f>
        <v>6</v>
      </c>
      <c r="G454" s="675">
        <f>'[2]Drug Offences'!BA20</f>
        <v>9</v>
      </c>
      <c r="H454" s="675">
        <f>'[2]Drug Offences'!BB20</f>
        <v>10</v>
      </c>
      <c r="I454" s="675">
        <f>'[2]Drug Offences'!BC20</f>
        <v>8</v>
      </c>
      <c r="J454" s="675">
        <f>'[2]Drug Offences'!BD20</f>
        <v>18</v>
      </c>
      <c r="K454" s="675">
        <f>'[2]Drug Offences'!BE20</f>
        <v>8</v>
      </c>
      <c r="L454" s="675">
        <f>'[2]Drug Offences'!BF20</f>
        <v>5</v>
      </c>
      <c r="M454" s="675">
        <f>'[2]Drug Offences'!BG20</f>
        <v>13</v>
      </c>
      <c r="N454" s="675">
        <f>'[2]Drug Offences'!BH20</f>
        <v>9</v>
      </c>
      <c r="O454" s="675">
        <f>'[2]Drug Offences'!BI20</f>
        <v>13</v>
      </c>
      <c r="Q454" s="469">
        <f t="shared" si="532"/>
        <v>453</v>
      </c>
      <c r="R454" s="663" t="s">
        <v>213</v>
      </c>
      <c r="S454" s="175">
        <f t="shared" si="518"/>
        <v>10</v>
      </c>
      <c r="T454" s="175">
        <f t="shared" si="534"/>
        <v>17</v>
      </c>
      <c r="U454" s="175">
        <f t="shared" si="521"/>
        <v>23</v>
      </c>
      <c r="V454" s="175">
        <f t="shared" si="522"/>
        <v>32</v>
      </c>
      <c r="W454" s="175">
        <f t="shared" si="523"/>
        <v>42</v>
      </c>
      <c r="X454" s="175">
        <f t="shared" si="524"/>
        <v>50</v>
      </c>
      <c r="Y454" s="175">
        <f t="shared" si="525"/>
        <v>68</v>
      </c>
      <c r="Z454" s="175">
        <f t="shared" si="526"/>
        <v>76</v>
      </c>
      <c r="AA454" s="175">
        <f t="shared" si="527"/>
        <v>81</v>
      </c>
      <c r="AB454" s="175">
        <f t="shared" si="528"/>
        <v>94</v>
      </c>
      <c r="AC454" s="175">
        <f t="shared" si="529"/>
        <v>103</v>
      </c>
      <c r="AD454" s="175">
        <f t="shared" si="530"/>
        <v>116</v>
      </c>
      <c r="AE454" s="469">
        <f t="shared" si="533"/>
        <v>453</v>
      </c>
      <c r="AF454" s="169">
        <f t="shared" si="531"/>
        <v>116</v>
      </c>
    </row>
    <row r="455" spans="2:32" x14ac:dyDescent="0.35">
      <c r="B455" s="420">
        <f t="shared" si="535"/>
        <v>454</v>
      </c>
      <c r="C455" s="663" t="s">
        <v>214</v>
      </c>
      <c r="D455" s="675">
        <f>'[2]Drug Offences'!AX21</f>
        <v>7</v>
      </c>
      <c r="E455" s="675">
        <f>'[2]Drug Offences'!AY21</f>
        <v>11</v>
      </c>
      <c r="F455" s="675">
        <f>'[2]Drug Offences'!AZ21</f>
        <v>10</v>
      </c>
      <c r="G455" s="675">
        <f>'[2]Drug Offences'!BA21</f>
        <v>14</v>
      </c>
      <c r="H455" s="675">
        <f>'[2]Drug Offences'!BB21</f>
        <v>14</v>
      </c>
      <c r="I455" s="675">
        <f>'[2]Drug Offences'!BC21</f>
        <v>16</v>
      </c>
      <c r="J455" s="675">
        <f>'[2]Drug Offences'!BD21</f>
        <v>11</v>
      </c>
      <c r="K455" s="675">
        <f>'[2]Drug Offences'!BE21</f>
        <v>6</v>
      </c>
      <c r="L455" s="675">
        <f>'[2]Drug Offences'!BF21</f>
        <v>8</v>
      </c>
      <c r="M455" s="675">
        <f>'[2]Drug Offences'!BG21</f>
        <v>9</v>
      </c>
      <c r="N455" s="675">
        <f>'[2]Drug Offences'!BH21</f>
        <v>5</v>
      </c>
      <c r="O455" s="675">
        <f>'[2]Drug Offences'!BI21</f>
        <v>12</v>
      </c>
      <c r="Q455" s="469">
        <f t="shared" si="532"/>
        <v>454</v>
      </c>
      <c r="R455" s="663" t="s">
        <v>214</v>
      </c>
      <c r="S455" s="175">
        <f t="shared" si="518"/>
        <v>7</v>
      </c>
      <c r="T455" s="175">
        <f t="shared" si="534"/>
        <v>18</v>
      </c>
      <c r="U455" s="175">
        <f t="shared" si="521"/>
        <v>28</v>
      </c>
      <c r="V455" s="175">
        <f t="shared" si="522"/>
        <v>42</v>
      </c>
      <c r="W455" s="175">
        <f t="shared" si="523"/>
        <v>56</v>
      </c>
      <c r="X455" s="175">
        <f t="shared" si="524"/>
        <v>72</v>
      </c>
      <c r="Y455" s="175">
        <f t="shared" si="525"/>
        <v>83</v>
      </c>
      <c r="Z455" s="175">
        <f t="shared" si="526"/>
        <v>89</v>
      </c>
      <c r="AA455" s="175">
        <f t="shared" si="527"/>
        <v>97</v>
      </c>
      <c r="AB455" s="175">
        <f t="shared" si="528"/>
        <v>106</v>
      </c>
      <c r="AC455" s="175">
        <f t="shared" si="529"/>
        <v>111</v>
      </c>
      <c r="AD455" s="175">
        <f t="shared" si="530"/>
        <v>123</v>
      </c>
      <c r="AE455" s="469">
        <f t="shared" si="533"/>
        <v>454</v>
      </c>
      <c r="AF455" s="169">
        <f t="shared" si="531"/>
        <v>123</v>
      </c>
    </row>
    <row r="456" spans="2:32" x14ac:dyDescent="0.35">
      <c r="B456" s="420">
        <f t="shared" si="535"/>
        <v>455</v>
      </c>
      <c r="C456" s="663" t="s">
        <v>146</v>
      </c>
      <c r="D456" s="675">
        <f>'[2]Drug Offences'!AX22</f>
        <v>4</v>
      </c>
      <c r="E456" s="675">
        <f>'[2]Drug Offences'!AY22</f>
        <v>5</v>
      </c>
      <c r="F456" s="675">
        <f>'[2]Drug Offences'!AZ22</f>
        <v>7</v>
      </c>
      <c r="G456" s="675">
        <f>'[2]Drug Offences'!BA22</f>
        <v>8</v>
      </c>
      <c r="H456" s="675">
        <f>'[2]Drug Offences'!BB22</f>
        <v>8</v>
      </c>
      <c r="I456" s="675">
        <f>'[2]Drug Offences'!BC22</f>
        <v>5</v>
      </c>
      <c r="J456" s="675">
        <f>'[2]Drug Offences'!BD22</f>
        <v>5</v>
      </c>
      <c r="K456" s="675">
        <f>'[2]Drug Offences'!BE22</f>
        <v>6</v>
      </c>
      <c r="L456" s="675">
        <f>'[2]Drug Offences'!BF22</f>
        <v>5</v>
      </c>
      <c r="M456" s="675">
        <f>'[2]Drug Offences'!BG22</f>
        <v>7</v>
      </c>
      <c r="N456" s="675">
        <f>'[2]Drug Offences'!BH22</f>
        <v>4</v>
      </c>
      <c r="O456" s="675">
        <f>'[2]Drug Offences'!BI22</f>
        <v>7</v>
      </c>
      <c r="Q456" s="469">
        <f t="shared" si="532"/>
        <v>455</v>
      </c>
      <c r="R456" s="663" t="s">
        <v>146</v>
      </c>
      <c r="S456" s="175">
        <f t="shared" si="518"/>
        <v>4</v>
      </c>
      <c r="T456" s="175">
        <f t="shared" si="534"/>
        <v>9</v>
      </c>
      <c r="U456" s="175">
        <f t="shared" si="521"/>
        <v>16</v>
      </c>
      <c r="V456" s="175">
        <f t="shared" si="522"/>
        <v>24</v>
      </c>
      <c r="W456" s="175">
        <f t="shared" si="523"/>
        <v>32</v>
      </c>
      <c r="X456" s="175">
        <f t="shared" si="524"/>
        <v>37</v>
      </c>
      <c r="Y456" s="175">
        <f t="shared" si="525"/>
        <v>42</v>
      </c>
      <c r="Z456" s="175">
        <f t="shared" si="526"/>
        <v>48</v>
      </c>
      <c r="AA456" s="175">
        <f t="shared" si="527"/>
        <v>53</v>
      </c>
      <c r="AB456" s="175">
        <f t="shared" si="528"/>
        <v>60</v>
      </c>
      <c r="AC456" s="175">
        <f t="shared" si="529"/>
        <v>64</v>
      </c>
      <c r="AD456" s="175">
        <f t="shared" si="530"/>
        <v>71</v>
      </c>
      <c r="AE456" s="469">
        <f t="shared" si="533"/>
        <v>455</v>
      </c>
      <c r="AF456" s="169">
        <f t="shared" si="531"/>
        <v>71</v>
      </c>
    </row>
    <row r="457" spans="2:32" x14ac:dyDescent="0.35">
      <c r="B457" s="420">
        <f t="shared" si="535"/>
        <v>456</v>
      </c>
      <c r="C457" s="663" t="s">
        <v>147</v>
      </c>
      <c r="D457" s="675">
        <f>'[2]Drug Offences'!AX23</f>
        <v>9</v>
      </c>
      <c r="E457" s="675">
        <f>'[2]Drug Offences'!AY23</f>
        <v>8</v>
      </c>
      <c r="F457" s="675">
        <f>'[2]Drug Offences'!AZ23</f>
        <v>10</v>
      </c>
      <c r="G457" s="675">
        <f>'[2]Drug Offences'!BA23</f>
        <v>8</v>
      </c>
      <c r="H457" s="675">
        <f>'[2]Drug Offences'!BB23</f>
        <v>8</v>
      </c>
      <c r="I457" s="675">
        <f>'[2]Drug Offences'!BC23</f>
        <v>10</v>
      </c>
      <c r="J457" s="675">
        <f>'[2]Drug Offences'!BD23</f>
        <v>12</v>
      </c>
      <c r="K457" s="675">
        <f>'[2]Drug Offences'!BE23</f>
        <v>8</v>
      </c>
      <c r="L457" s="675">
        <f>'[2]Drug Offences'!BF23</f>
        <v>6</v>
      </c>
      <c r="M457" s="675">
        <f>'[2]Drug Offences'!BG23</f>
        <v>4</v>
      </c>
      <c r="N457" s="675">
        <f>'[2]Drug Offences'!BH23</f>
        <v>11</v>
      </c>
      <c r="O457" s="675">
        <f>'[2]Drug Offences'!BI23</f>
        <v>7</v>
      </c>
      <c r="Q457" s="469">
        <f t="shared" si="532"/>
        <v>456</v>
      </c>
      <c r="R457" s="663" t="s">
        <v>147</v>
      </c>
      <c r="S457" s="175">
        <f t="shared" si="518"/>
        <v>9</v>
      </c>
      <c r="T457" s="175">
        <f t="shared" si="534"/>
        <v>17</v>
      </c>
      <c r="U457" s="175">
        <f t="shared" si="521"/>
        <v>27</v>
      </c>
      <c r="V457" s="175">
        <f t="shared" si="522"/>
        <v>35</v>
      </c>
      <c r="W457" s="175">
        <f t="shared" si="523"/>
        <v>43</v>
      </c>
      <c r="X457" s="175">
        <f t="shared" si="524"/>
        <v>53</v>
      </c>
      <c r="Y457" s="175">
        <f t="shared" si="525"/>
        <v>65</v>
      </c>
      <c r="Z457" s="175">
        <f t="shared" si="526"/>
        <v>73</v>
      </c>
      <c r="AA457" s="175">
        <f t="shared" si="527"/>
        <v>79</v>
      </c>
      <c r="AB457" s="175">
        <f t="shared" si="528"/>
        <v>83</v>
      </c>
      <c r="AC457" s="175">
        <f t="shared" si="529"/>
        <v>94</v>
      </c>
      <c r="AD457" s="175">
        <f t="shared" si="530"/>
        <v>101</v>
      </c>
      <c r="AE457" s="469">
        <f t="shared" si="533"/>
        <v>456</v>
      </c>
      <c r="AF457" s="169">
        <f t="shared" si="531"/>
        <v>101</v>
      </c>
    </row>
    <row r="458" spans="2:32" x14ac:dyDescent="0.35">
      <c r="B458" s="420">
        <f t="shared" si="535"/>
        <v>457</v>
      </c>
      <c r="C458" s="663" t="s">
        <v>62</v>
      </c>
      <c r="D458" s="675">
        <f>'[2]Drug Offences'!AX24</f>
        <v>13</v>
      </c>
      <c r="E458" s="675">
        <f>'[2]Drug Offences'!AY24</f>
        <v>13</v>
      </c>
      <c r="F458" s="675">
        <f>'[2]Drug Offences'!AZ24</f>
        <v>17</v>
      </c>
      <c r="G458" s="675">
        <f>'[2]Drug Offences'!BA24</f>
        <v>16</v>
      </c>
      <c r="H458" s="675">
        <f>'[2]Drug Offences'!BB24</f>
        <v>16</v>
      </c>
      <c r="I458" s="675">
        <f>'[2]Drug Offences'!BC24</f>
        <v>15</v>
      </c>
      <c r="J458" s="675">
        <f>'[2]Drug Offences'!BD24</f>
        <v>17</v>
      </c>
      <c r="K458" s="675">
        <f>'[2]Drug Offences'!BE24</f>
        <v>14</v>
      </c>
      <c r="L458" s="675">
        <f>'[2]Drug Offences'!BF24</f>
        <v>11</v>
      </c>
      <c r="M458" s="675">
        <f>'[2]Drug Offences'!BG24</f>
        <v>11</v>
      </c>
      <c r="N458" s="675">
        <f>'[2]Drug Offences'!BH24</f>
        <v>15</v>
      </c>
      <c r="O458" s="675">
        <f>'[2]Drug Offences'!BI24</f>
        <v>14</v>
      </c>
      <c r="Q458" s="469">
        <f t="shared" si="532"/>
        <v>457</v>
      </c>
      <c r="R458" s="663" t="s">
        <v>62</v>
      </c>
      <c r="S458" s="175">
        <f t="shared" si="518"/>
        <v>13</v>
      </c>
      <c r="T458" s="175">
        <f t="shared" si="534"/>
        <v>26</v>
      </c>
      <c r="U458" s="175">
        <f t="shared" si="521"/>
        <v>43</v>
      </c>
      <c r="V458" s="175">
        <f t="shared" si="522"/>
        <v>59</v>
      </c>
      <c r="W458" s="175">
        <f t="shared" si="523"/>
        <v>75</v>
      </c>
      <c r="X458" s="175">
        <f t="shared" si="524"/>
        <v>90</v>
      </c>
      <c r="Y458" s="175">
        <f t="shared" si="525"/>
        <v>107</v>
      </c>
      <c r="Z458" s="175">
        <f t="shared" si="526"/>
        <v>121</v>
      </c>
      <c r="AA458" s="175">
        <f t="shared" si="527"/>
        <v>132</v>
      </c>
      <c r="AB458" s="175">
        <f t="shared" si="528"/>
        <v>143</v>
      </c>
      <c r="AC458" s="175">
        <f t="shared" si="529"/>
        <v>158</v>
      </c>
      <c r="AD458" s="175">
        <f t="shared" si="530"/>
        <v>172</v>
      </c>
      <c r="AE458" s="469">
        <f t="shared" si="533"/>
        <v>457</v>
      </c>
      <c r="AF458" s="169">
        <f t="shared" si="531"/>
        <v>172</v>
      </c>
    </row>
    <row r="459" spans="2:32" x14ac:dyDescent="0.35">
      <c r="B459" s="420">
        <f t="shared" si="535"/>
        <v>458</v>
      </c>
      <c r="C459" s="663" t="s">
        <v>0</v>
      </c>
      <c r="D459" s="675">
        <f>'[2]Drug Offences'!AX25</f>
        <v>33</v>
      </c>
      <c r="E459" s="675">
        <f>'[2]Drug Offences'!AY25</f>
        <v>35</v>
      </c>
      <c r="F459" s="675">
        <f>'[2]Drug Offences'!AZ25</f>
        <v>36</v>
      </c>
      <c r="G459" s="675">
        <f>'[2]Drug Offences'!BA25</f>
        <v>46</v>
      </c>
      <c r="H459" s="675">
        <f>'[2]Drug Offences'!BB25</f>
        <v>46</v>
      </c>
      <c r="I459" s="675">
        <f>'[2]Drug Offences'!BC25</f>
        <v>52</v>
      </c>
      <c r="J459" s="675">
        <f>'[2]Drug Offences'!BD25</f>
        <v>52</v>
      </c>
      <c r="K459" s="675">
        <f>'[2]Drug Offences'!BE25</f>
        <v>31</v>
      </c>
      <c r="L459" s="675">
        <f>'[2]Drug Offences'!BF25</f>
        <v>26</v>
      </c>
      <c r="M459" s="675">
        <f>'[2]Drug Offences'!BG25</f>
        <v>37</v>
      </c>
      <c r="N459" s="675">
        <f>'[2]Drug Offences'!BH25</f>
        <v>33</v>
      </c>
      <c r="O459" s="675">
        <f>'[2]Drug Offences'!BI25</f>
        <v>41</v>
      </c>
      <c r="Q459" s="469">
        <f t="shared" si="532"/>
        <v>458</v>
      </c>
      <c r="R459" s="663" t="s">
        <v>0</v>
      </c>
      <c r="S459" s="175">
        <f>D459</f>
        <v>33</v>
      </c>
      <c r="T459" s="175">
        <f t="shared" si="534"/>
        <v>68</v>
      </c>
      <c r="U459" s="175">
        <f t="shared" si="521"/>
        <v>104</v>
      </c>
      <c r="V459" s="175">
        <f t="shared" si="522"/>
        <v>150</v>
      </c>
      <c r="W459" s="175">
        <f t="shared" si="523"/>
        <v>196</v>
      </c>
      <c r="X459" s="175">
        <f t="shared" si="524"/>
        <v>248</v>
      </c>
      <c r="Y459" s="175">
        <f t="shared" si="525"/>
        <v>300</v>
      </c>
      <c r="Z459" s="175">
        <f t="shared" si="526"/>
        <v>331</v>
      </c>
      <c r="AA459" s="175">
        <f t="shared" si="527"/>
        <v>357</v>
      </c>
      <c r="AB459" s="175">
        <f t="shared" si="528"/>
        <v>394</v>
      </c>
      <c r="AC459" s="175">
        <f t="shared" si="529"/>
        <v>427</v>
      </c>
      <c r="AD459" s="175">
        <f t="shared" si="530"/>
        <v>468</v>
      </c>
      <c r="AE459" s="469">
        <f t="shared" si="533"/>
        <v>458</v>
      </c>
      <c r="AF459" s="169">
        <f t="shared" si="531"/>
        <v>468</v>
      </c>
    </row>
    <row r="460" spans="2:32" x14ac:dyDescent="0.35">
      <c r="B460" s="420">
        <f t="shared" si="535"/>
        <v>459</v>
      </c>
      <c r="C460" s="37" t="s">
        <v>427</v>
      </c>
      <c r="D460" s="423">
        <f>'[2]VAP Knife Crime'!AX25</f>
        <v>1</v>
      </c>
      <c r="E460" s="423">
        <f>'[2]VAP Knife Crime'!AY25</f>
        <v>1</v>
      </c>
      <c r="F460" s="423">
        <f>'[2]VAP Knife Crime'!AZ25</f>
        <v>1</v>
      </c>
      <c r="G460" s="423">
        <f>'[2]VAP Knife Crime'!BA25</f>
        <v>3</v>
      </c>
      <c r="H460" s="423">
        <f>'[2]VAP Knife Crime'!BB25</f>
        <v>0</v>
      </c>
      <c r="I460" s="423">
        <f>'[2]VAP Knife Crime'!BC25</f>
        <v>0</v>
      </c>
      <c r="J460" s="423">
        <f>'[2]VAP Knife Crime'!BD25</f>
        <v>1</v>
      </c>
      <c r="K460" s="423">
        <f>'[2]VAP Knife Crime'!BE25</f>
        <v>1</v>
      </c>
      <c r="L460" s="423">
        <f>'[2]VAP Knife Crime'!BF25</f>
        <v>1</v>
      </c>
      <c r="M460" s="423">
        <f>'[2]VAP Knife Crime'!BG25</f>
        <v>0</v>
      </c>
      <c r="N460" s="423">
        <f>'[2]VAP Knife Crime'!BH25</f>
        <v>0</v>
      </c>
      <c r="O460" s="423">
        <f>'[2]VAP Knife Crime'!BI25</f>
        <v>0</v>
      </c>
      <c r="Q460" s="469">
        <f t="shared" si="532"/>
        <v>459</v>
      </c>
      <c r="R460" s="37" t="s">
        <v>427</v>
      </c>
      <c r="S460" s="175">
        <f t="shared" ref="S460:S472" si="536">D460</f>
        <v>1</v>
      </c>
      <c r="T460" s="175">
        <f t="shared" ref="T460:T472" si="537">S460+E460</f>
        <v>2</v>
      </c>
      <c r="U460" s="175">
        <f t="shared" ref="U460:U472" si="538">T460+F460</f>
        <v>3</v>
      </c>
      <c r="V460" s="175">
        <f t="shared" ref="V460:V472" si="539">U460+G460</f>
        <v>6</v>
      </c>
      <c r="W460" s="175">
        <f t="shared" ref="W460:W472" si="540">V460+H460</f>
        <v>6</v>
      </c>
      <c r="X460" s="175">
        <f t="shared" ref="X460:X472" si="541">W460+I460</f>
        <v>6</v>
      </c>
      <c r="Y460" s="175">
        <f t="shared" ref="Y460:Y472" si="542">X460+J460</f>
        <v>7</v>
      </c>
      <c r="Z460" s="175">
        <f t="shared" ref="Z460:Z472" si="543">Y460+K460</f>
        <v>8</v>
      </c>
      <c r="AA460" s="175">
        <f t="shared" ref="AA460:AA472" si="544">Z460+L460</f>
        <v>9</v>
      </c>
      <c r="AB460" s="175">
        <f t="shared" ref="AB460:AB472" si="545">AA460+M460</f>
        <v>9</v>
      </c>
      <c r="AC460" s="175">
        <f t="shared" ref="AC460:AC472" si="546">AB460+N460</f>
        <v>9</v>
      </c>
      <c r="AD460" s="175">
        <f t="shared" ref="AD460:AD472" si="547">AC460+O460</f>
        <v>9</v>
      </c>
      <c r="AE460" s="469">
        <f t="shared" si="533"/>
        <v>459</v>
      </c>
      <c r="AF460" s="169">
        <f t="shared" ref="AF460:AF472" si="548">SUM(D460:O460)</f>
        <v>9</v>
      </c>
    </row>
    <row r="461" spans="2:32" x14ac:dyDescent="0.35">
      <c r="B461" s="420">
        <f t="shared" si="535"/>
        <v>460</v>
      </c>
      <c r="C461" s="928" t="s">
        <v>444</v>
      </c>
      <c r="D461" s="168">
        <v>45017</v>
      </c>
      <c r="E461" s="168">
        <v>45047</v>
      </c>
      <c r="F461" s="168">
        <v>45078</v>
      </c>
      <c r="G461" s="168">
        <v>45108</v>
      </c>
      <c r="H461" s="168">
        <v>45139</v>
      </c>
      <c r="I461" s="168">
        <v>45170</v>
      </c>
      <c r="J461" s="168">
        <v>45200</v>
      </c>
      <c r="K461" s="168">
        <v>45231</v>
      </c>
      <c r="L461" s="168">
        <v>45261</v>
      </c>
      <c r="M461" s="168">
        <v>45292</v>
      </c>
      <c r="N461" s="168">
        <v>45323</v>
      </c>
      <c r="O461" s="168">
        <v>45352</v>
      </c>
      <c r="Q461" s="469">
        <f t="shared" si="532"/>
        <v>460</v>
      </c>
      <c r="R461" s="928" t="s">
        <v>444</v>
      </c>
      <c r="S461" s="432" t="s">
        <v>19</v>
      </c>
      <c r="T461" s="432" t="s">
        <v>20</v>
      </c>
      <c r="U461" s="432" t="s">
        <v>21</v>
      </c>
      <c r="V461" s="432" t="s">
        <v>22</v>
      </c>
      <c r="W461" s="432" t="s">
        <v>23</v>
      </c>
      <c r="X461" s="432" t="s">
        <v>24</v>
      </c>
      <c r="Y461" s="432" t="s">
        <v>25</v>
      </c>
      <c r="Z461" s="432" t="s">
        <v>26</v>
      </c>
      <c r="AA461" s="432" t="s">
        <v>27</v>
      </c>
      <c r="AB461" s="432" t="s">
        <v>28</v>
      </c>
      <c r="AC461" s="432" t="s">
        <v>29</v>
      </c>
      <c r="AD461" s="460" t="s">
        <v>30</v>
      </c>
      <c r="AE461" s="469">
        <f t="shared" si="533"/>
        <v>460</v>
      </c>
      <c r="AF461" s="169">
        <f t="shared" si="548"/>
        <v>542218</v>
      </c>
    </row>
    <row r="462" spans="2:32" x14ac:dyDescent="0.35">
      <c r="B462" s="420">
        <f t="shared" si="535"/>
        <v>461</v>
      </c>
      <c r="C462" s="823" t="s">
        <v>429</v>
      </c>
      <c r="D462" s="162">
        <f>'[2]Hate Crime Types'!Z2</f>
        <v>60</v>
      </c>
      <c r="E462" s="162">
        <f>'[2]Hate Crime Types'!AA2</f>
        <v>49</v>
      </c>
      <c r="F462" s="162">
        <f>'[2]Hate Crime Types'!AB2</f>
        <v>52</v>
      </c>
      <c r="G462" s="162">
        <f>'[2]Hate Crime Types'!AC2</f>
        <v>70</v>
      </c>
      <c r="H462" s="162">
        <f>'[2]Hate Crime Types'!AD2</f>
        <v>57</v>
      </c>
      <c r="I462" s="162">
        <f>'[2]Hate Crime Types'!AE2</f>
        <v>56</v>
      </c>
      <c r="J462" s="162">
        <f>'[2]Hate Crime Types'!AF2</f>
        <v>60</v>
      </c>
      <c r="K462" s="162">
        <f>'[2]Hate Crime Types'!AG2</f>
        <v>56</v>
      </c>
      <c r="L462" s="162">
        <f>'[2]Hate Crime Types'!AH2</f>
        <v>44</v>
      </c>
      <c r="M462" s="162">
        <f>'[2]Hate Crime Types'!AI2</f>
        <v>37</v>
      </c>
      <c r="N462" s="162">
        <f>'[2]Hate Crime Types'!AJ2</f>
        <v>46</v>
      </c>
      <c r="O462" s="162">
        <f>'[2]Hate Crime Types'!AK2</f>
        <v>50</v>
      </c>
      <c r="Q462" s="469">
        <f t="shared" si="532"/>
        <v>461</v>
      </c>
      <c r="R462" s="823" t="s">
        <v>429</v>
      </c>
      <c r="S462" s="175">
        <f t="shared" si="536"/>
        <v>60</v>
      </c>
      <c r="T462" s="175">
        <f t="shared" si="537"/>
        <v>109</v>
      </c>
      <c r="U462" s="175">
        <f t="shared" si="538"/>
        <v>161</v>
      </c>
      <c r="V462" s="175">
        <f t="shared" si="539"/>
        <v>231</v>
      </c>
      <c r="W462" s="175">
        <f t="shared" si="540"/>
        <v>288</v>
      </c>
      <c r="X462" s="175">
        <f t="shared" si="541"/>
        <v>344</v>
      </c>
      <c r="Y462" s="175">
        <f t="shared" si="542"/>
        <v>404</v>
      </c>
      <c r="Z462" s="175">
        <f t="shared" si="543"/>
        <v>460</v>
      </c>
      <c r="AA462" s="175">
        <f t="shared" si="544"/>
        <v>504</v>
      </c>
      <c r="AB462" s="175">
        <f t="shared" si="545"/>
        <v>541</v>
      </c>
      <c r="AC462" s="175">
        <f t="shared" si="546"/>
        <v>587</v>
      </c>
      <c r="AD462" s="175">
        <f t="shared" si="547"/>
        <v>637</v>
      </c>
      <c r="AE462" s="469">
        <f t="shared" si="533"/>
        <v>461</v>
      </c>
      <c r="AF462" s="169">
        <f t="shared" si="548"/>
        <v>637</v>
      </c>
    </row>
    <row r="463" spans="2:32" x14ac:dyDescent="0.35">
      <c r="B463" s="420">
        <f t="shared" si="535"/>
        <v>462</v>
      </c>
      <c r="C463" s="823" t="s">
        <v>430</v>
      </c>
      <c r="D463" s="162">
        <f>'[2]Hate Crime Types'!Z3</f>
        <v>16</v>
      </c>
      <c r="E463" s="162">
        <f>'[2]Hate Crime Types'!AA3</f>
        <v>7</v>
      </c>
      <c r="F463" s="162">
        <f>'[2]Hate Crime Types'!AB3</f>
        <v>9</v>
      </c>
      <c r="G463" s="162">
        <f>'[2]Hate Crime Types'!AC3</f>
        <v>8</v>
      </c>
      <c r="H463" s="162">
        <f>'[2]Hate Crime Types'!AD3</f>
        <v>15</v>
      </c>
      <c r="I463" s="162">
        <f>'[2]Hate Crime Types'!AE3</f>
        <v>15</v>
      </c>
      <c r="J463" s="162">
        <f>'[2]Hate Crime Types'!AF3</f>
        <v>21</v>
      </c>
      <c r="K463" s="162">
        <f>'[2]Hate Crime Types'!AG3</f>
        <v>22</v>
      </c>
      <c r="L463" s="162">
        <f>'[2]Hate Crime Types'!AH3</f>
        <v>6</v>
      </c>
      <c r="M463" s="162">
        <f>'[2]Hate Crime Types'!AI3</f>
        <v>12</v>
      </c>
      <c r="N463" s="162">
        <f>'[2]Hate Crime Types'!AJ3</f>
        <v>20</v>
      </c>
      <c r="O463" s="162">
        <f>'[2]Hate Crime Types'!AK3</f>
        <v>14</v>
      </c>
      <c r="Q463" s="469">
        <f t="shared" si="532"/>
        <v>462</v>
      </c>
      <c r="R463" s="823" t="s">
        <v>430</v>
      </c>
      <c r="S463" s="175">
        <f t="shared" si="536"/>
        <v>16</v>
      </c>
      <c r="T463" s="175">
        <f t="shared" si="537"/>
        <v>23</v>
      </c>
      <c r="U463" s="175">
        <f t="shared" si="538"/>
        <v>32</v>
      </c>
      <c r="V463" s="175">
        <f t="shared" si="539"/>
        <v>40</v>
      </c>
      <c r="W463" s="175">
        <f t="shared" si="540"/>
        <v>55</v>
      </c>
      <c r="X463" s="175">
        <f t="shared" si="541"/>
        <v>70</v>
      </c>
      <c r="Y463" s="175">
        <f t="shared" si="542"/>
        <v>91</v>
      </c>
      <c r="Z463" s="175">
        <f t="shared" si="543"/>
        <v>113</v>
      </c>
      <c r="AA463" s="175">
        <f t="shared" si="544"/>
        <v>119</v>
      </c>
      <c r="AB463" s="175">
        <f t="shared" si="545"/>
        <v>131</v>
      </c>
      <c r="AC463" s="175">
        <f t="shared" si="546"/>
        <v>151</v>
      </c>
      <c r="AD463" s="175">
        <f t="shared" si="547"/>
        <v>165</v>
      </c>
      <c r="AE463" s="469">
        <f t="shared" si="533"/>
        <v>462</v>
      </c>
      <c r="AF463" s="169">
        <f t="shared" si="548"/>
        <v>165</v>
      </c>
    </row>
    <row r="464" spans="2:32" x14ac:dyDescent="0.35">
      <c r="B464" s="420">
        <f t="shared" si="535"/>
        <v>463</v>
      </c>
      <c r="C464" s="823" t="s">
        <v>431</v>
      </c>
      <c r="D464" s="162">
        <f>'[2]Hate Crime Types'!Z4</f>
        <v>14</v>
      </c>
      <c r="E464" s="162">
        <f>'[2]Hate Crime Types'!AA4</f>
        <v>10</v>
      </c>
      <c r="F464" s="162">
        <f>'[2]Hate Crime Types'!AB4</f>
        <v>10</v>
      </c>
      <c r="G464" s="162">
        <f>'[2]Hate Crime Types'!AC4</f>
        <v>11</v>
      </c>
      <c r="H464" s="162">
        <f>'[2]Hate Crime Types'!AD4</f>
        <v>5</v>
      </c>
      <c r="I464" s="162">
        <f>'[2]Hate Crime Types'!AE4</f>
        <v>8</v>
      </c>
      <c r="J464" s="162">
        <f>'[2]Hate Crime Types'!AF4</f>
        <v>10</v>
      </c>
      <c r="K464" s="162">
        <f>'[2]Hate Crime Types'!AG4</f>
        <v>5</v>
      </c>
      <c r="L464" s="162">
        <f>'[2]Hate Crime Types'!AH4</f>
        <v>5</v>
      </c>
      <c r="M464" s="162">
        <f>'[2]Hate Crime Types'!AI4</f>
        <v>2</v>
      </c>
      <c r="N464" s="162">
        <f>'[2]Hate Crime Types'!AJ4</f>
        <v>10</v>
      </c>
      <c r="O464" s="162">
        <f>'[2]Hate Crime Types'!AK4</f>
        <v>8</v>
      </c>
      <c r="Q464" s="469">
        <f t="shared" si="532"/>
        <v>463</v>
      </c>
      <c r="R464" s="823" t="s">
        <v>431</v>
      </c>
      <c r="S464" s="175">
        <f t="shared" si="536"/>
        <v>14</v>
      </c>
      <c r="T464" s="175">
        <f t="shared" si="537"/>
        <v>24</v>
      </c>
      <c r="U464" s="175">
        <f t="shared" si="538"/>
        <v>34</v>
      </c>
      <c r="V464" s="175">
        <f t="shared" si="539"/>
        <v>45</v>
      </c>
      <c r="W464" s="175">
        <f t="shared" si="540"/>
        <v>50</v>
      </c>
      <c r="X464" s="175">
        <f t="shared" si="541"/>
        <v>58</v>
      </c>
      <c r="Y464" s="175">
        <f t="shared" si="542"/>
        <v>68</v>
      </c>
      <c r="Z464" s="175">
        <f t="shared" si="543"/>
        <v>73</v>
      </c>
      <c r="AA464" s="175">
        <f t="shared" si="544"/>
        <v>78</v>
      </c>
      <c r="AB464" s="175">
        <f t="shared" si="545"/>
        <v>80</v>
      </c>
      <c r="AC464" s="175">
        <f t="shared" si="546"/>
        <v>90</v>
      </c>
      <c r="AD464" s="175">
        <f t="shared" si="547"/>
        <v>98</v>
      </c>
      <c r="AE464" s="469">
        <f t="shared" si="533"/>
        <v>463</v>
      </c>
      <c r="AF464" s="169">
        <f t="shared" si="548"/>
        <v>98</v>
      </c>
    </row>
    <row r="465" spans="2:32" x14ac:dyDescent="0.35">
      <c r="B465" s="420">
        <f t="shared" si="535"/>
        <v>464</v>
      </c>
      <c r="C465" s="823" t="s">
        <v>432</v>
      </c>
      <c r="D465" s="162">
        <f>'[2]Hate Crime Types'!Z5</f>
        <v>1</v>
      </c>
      <c r="E465" s="162">
        <f>'[2]Hate Crime Types'!AA5</f>
        <v>4</v>
      </c>
      <c r="F465" s="162">
        <f>'[2]Hate Crime Types'!AB5</f>
        <v>3</v>
      </c>
      <c r="G465" s="162">
        <f>'[2]Hate Crime Types'!AC5</f>
        <v>3</v>
      </c>
      <c r="H465" s="162">
        <f>'[2]Hate Crime Types'!AD5</f>
        <v>4</v>
      </c>
      <c r="I465" s="162">
        <f>'[2]Hate Crime Types'!AE5</f>
        <v>5</v>
      </c>
      <c r="J465" s="162">
        <f>'[2]Hate Crime Types'!AF5</f>
        <v>4</v>
      </c>
      <c r="K465" s="162">
        <f>'[2]Hate Crime Types'!AG5</f>
        <v>1</v>
      </c>
      <c r="L465" s="162">
        <f>'[2]Hate Crime Types'!AH5</f>
        <v>2</v>
      </c>
      <c r="M465" s="162">
        <f>'[2]Hate Crime Types'!AI5</f>
        <v>3</v>
      </c>
      <c r="N465" s="162">
        <f>'[2]Hate Crime Types'!AJ5</f>
        <v>3</v>
      </c>
      <c r="O465" s="162">
        <f>'[2]Hate Crime Types'!AK5</f>
        <v>0</v>
      </c>
      <c r="Q465" s="469">
        <f t="shared" si="532"/>
        <v>464</v>
      </c>
      <c r="R465" s="823" t="s">
        <v>432</v>
      </c>
      <c r="S465" s="175">
        <f t="shared" si="536"/>
        <v>1</v>
      </c>
      <c r="T465" s="175">
        <f t="shared" si="537"/>
        <v>5</v>
      </c>
      <c r="U465" s="175">
        <f t="shared" si="538"/>
        <v>8</v>
      </c>
      <c r="V465" s="175">
        <f t="shared" si="539"/>
        <v>11</v>
      </c>
      <c r="W465" s="175">
        <f t="shared" si="540"/>
        <v>15</v>
      </c>
      <c r="X465" s="175">
        <f t="shared" si="541"/>
        <v>20</v>
      </c>
      <c r="Y465" s="175">
        <f t="shared" si="542"/>
        <v>24</v>
      </c>
      <c r="Z465" s="175">
        <f t="shared" si="543"/>
        <v>25</v>
      </c>
      <c r="AA465" s="175">
        <f t="shared" si="544"/>
        <v>27</v>
      </c>
      <c r="AB465" s="175">
        <f t="shared" si="545"/>
        <v>30</v>
      </c>
      <c r="AC465" s="175">
        <f t="shared" si="546"/>
        <v>33</v>
      </c>
      <c r="AD465" s="175">
        <f t="shared" si="547"/>
        <v>33</v>
      </c>
      <c r="AE465" s="469">
        <f t="shared" si="533"/>
        <v>464</v>
      </c>
      <c r="AF465" s="169">
        <f t="shared" si="548"/>
        <v>33</v>
      </c>
    </row>
    <row r="466" spans="2:32" x14ac:dyDescent="0.35">
      <c r="B466" s="420">
        <f t="shared" si="535"/>
        <v>465</v>
      </c>
      <c r="C466" s="824" t="s">
        <v>433</v>
      </c>
      <c r="D466" s="162">
        <f>'[2]Hate Crime Types'!Z6</f>
        <v>0</v>
      </c>
      <c r="E466" s="162">
        <f>'[2]Hate Crime Types'!AA6</f>
        <v>0</v>
      </c>
      <c r="F466" s="162">
        <f>'[2]Hate Crime Types'!AB6</f>
        <v>0</v>
      </c>
      <c r="G466" s="162">
        <f>'[2]Hate Crime Types'!AC6</f>
        <v>0</v>
      </c>
      <c r="H466" s="162">
        <f>'[2]Hate Crime Types'!AD6</f>
        <v>0</v>
      </c>
      <c r="I466" s="162">
        <f>'[2]Hate Crime Types'!AE6</f>
        <v>0</v>
      </c>
      <c r="J466" s="162">
        <f>'[2]Hate Crime Types'!AF6</f>
        <v>0</v>
      </c>
      <c r="K466" s="162">
        <f>'[2]Hate Crime Types'!AG6</f>
        <v>0</v>
      </c>
      <c r="L466" s="162">
        <f>'[2]Hate Crime Types'!AH6</f>
        <v>0</v>
      </c>
      <c r="M466" s="162">
        <f>'[2]Hate Crime Types'!AI6</f>
        <v>0</v>
      </c>
      <c r="N466" s="162">
        <f>'[2]Hate Crime Types'!AJ6</f>
        <v>0</v>
      </c>
      <c r="O466" s="162">
        <f>'[2]Hate Crime Types'!AK6</f>
        <v>0</v>
      </c>
      <c r="Q466" s="469">
        <f t="shared" si="532"/>
        <v>465</v>
      </c>
      <c r="R466" s="824" t="s">
        <v>433</v>
      </c>
      <c r="S466" s="175">
        <f t="shared" si="536"/>
        <v>0</v>
      </c>
      <c r="T466" s="175">
        <f t="shared" si="537"/>
        <v>0</v>
      </c>
      <c r="U466" s="175">
        <f t="shared" si="538"/>
        <v>0</v>
      </c>
      <c r="V466" s="175">
        <f t="shared" si="539"/>
        <v>0</v>
      </c>
      <c r="W466" s="175">
        <f t="shared" si="540"/>
        <v>0</v>
      </c>
      <c r="X466" s="175">
        <f t="shared" si="541"/>
        <v>0</v>
      </c>
      <c r="Y466" s="175">
        <f t="shared" si="542"/>
        <v>0</v>
      </c>
      <c r="Z466" s="175">
        <f t="shared" si="543"/>
        <v>0</v>
      </c>
      <c r="AA466" s="175">
        <f t="shared" si="544"/>
        <v>0</v>
      </c>
      <c r="AB466" s="175">
        <f t="shared" si="545"/>
        <v>0</v>
      </c>
      <c r="AC466" s="175">
        <f t="shared" si="546"/>
        <v>0</v>
      </c>
      <c r="AD466" s="175">
        <f t="shared" si="547"/>
        <v>0</v>
      </c>
      <c r="AE466" s="469">
        <f t="shared" si="533"/>
        <v>465</v>
      </c>
      <c r="AF466" s="169">
        <f t="shared" si="548"/>
        <v>0</v>
      </c>
    </row>
    <row r="467" spans="2:32" x14ac:dyDescent="0.35">
      <c r="B467" s="420">
        <f t="shared" si="535"/>
        <v>466</v>
      </c>
      <c r="C467" s="824" t="s">
        <v>434</v>
      </c>
      <c r="D467" s="162">
        <f>'[2]Hate Crime Types'!Z7</f>
        <v>4</v>
      </c>
      <c r="E467" s="162">
        <f>'[2]Hate Crime Types'!AA7</f>
        <v>4</v>
      </c>
      <c r="F467" s="162">
        <f>'[2]Hate Crime Types'!AB7</f>
        <v>4</v>
      </c>
      <c r="G467" s="162">
        <f>'[2]Hate Crime Types'!AC7</f>
        <v>4</v>
      </c>
      <c r="H467" s="162">
        <f>'[2]Hate Crime Types'!AD7</f>
        <v>2</v>
      </c>
      <c r="I467" s="162">
        <f>'[2]Hate Crime Types'!AE7</f>
        <v>1</v>
      </c>
      <c r="J467" s="162">
        <f>'[2]Hate Crime Types'!AF7</f>
        <v>1</v>
      </c>
      <c r="K467" s="162">
        <f>'[2]Hate Crime Types'!AG7</f>
        <v>3</v>
      </c>
      <c r="L467" s="162">
        <f>'[2]Hate Crime Types'!AH7</f>
        <v>4</v>
      </c>
      <c r="M467" s="162">
        <f>'[2]Hate Crime Types'!AI7</f>
        <v>4</v>
      </c>
      <c r="N467" s="162">
        <f>'[2]Hate Crime Types'!AJ7</f>
        <v>5</v>
      </c>
      <c r="O467" s="162">
        <f>'[2]Hate Crime Types'!AK7</f>
        <v>5</v>
      </c>
      <c r="Q467" s="469">
        <f t="shared" si="532"/>
        <v>466</v>
      </c>
      <c r="R467" s="824" t="s">
        <v>434</v>
      </c>
      <c r="S467" s="175">
        <f t="shared" si="536"/>
        <v>4</v>
      </c>
      <c r="T467" s="175">
        <f t="shared" si="537"/>
        <v>8</v>
      </c>
      <c r="U467" s="175">
        <f t="shared" si="538"/>
        <v>12</v>
      </c>
      <c r="V467" s="175">
        <f t="shared" si="539"/>
        <v>16</v>
      </c>
      <c r="W467" s="175">
        <f t="shared" si="540"/>
        <v>18</v>
      </c>
      <c r="X467" s="175">
        <f t="shared" si="541"/>
        <v>19</v>
      </c>
      <c r="Y467" s="175">
        <f t="shared" si="542"/>
        <v>20</v>
      </c>
      <c r="Z467" s="175">
        <f t="shared" si="543"/>
        <v>23</v>
      </c>
      <c r="AA467" s="175">
        <f t="shared" si="544"/>
        <v>27</v>
      </c>
      <c r="AB467" s="175">
        <f t="shared" si="545"/>
        <v>31</v>
      </c>
      <c r="AC467" s="175">
        <f t="shared" si="546"/>
        <v>36</v>
      </c>
      <c r="AD467" s="175">
        <f t="shared" si="547"/>
        <v>41</v>
      </c>
      <c r="AE467" s="469">
        <f t="shared" si="533"/>
        <v>466</v>
      </c>
      <c r="AF467" s="169">
        <f t="shared" si="548"/>
        <v>41</v>
      </c>
    </row>
    <row r="468" spans="2:32" x14ac:dyDescent="0.35">
      <c r="B468" s="420">
        <f t="shared" si="535"/>
        <v>467</v>
      </c>
      <c r="C468" s="1073" t="s">
        <v>496</v>
      </c>
      <c r="D468" s="168">
        <v>45017</v>
      </c>
      <c r="E468" s="168">
        <v>45047</v>
      </c>
      <c r="F468" s="168">
        <v>45078</v>
      </c>
      <c r="G468" s="168">
        <v>45108</v>
      </c>
      <c r="H468" s="168">
        <v>45139</v>
      </c>
      <c r="I468" s="168">
        <v>45170</v>
      </c>
      <c r="J468" s="168">
        <v>45200</v>
      </c>
      <c r="K468" s="168">
        <v>45231</v>
      </c>
      <c r="L468" s="168">
        <v>45261</v>
      </c>
      <c r="M468" s="168">
        <v>45292</v>
      </c>
      <c r="N468" s="168">
        <v>45323</v>
      </c>
      <c r="O468" s="168">
        <v>45352</v>
      </c>
      <c r="Q468" s="469">
        <f t="shared" si="532"/>
        <v>467</v>
      </c>
      <c r="R468" s="1073" t="s">
        <v>440</v>
      </c>
      <c r="S468" s="432" t="s">
        <v>19</v>
      </c>
      <c r="T468" s="432" t="s">
        <v>20</v>
      </c>
      <c r="U468" s="432" t="s">
        <v>21</v>
      </c>
      <c r="V468" s="432" t="s">
        <v>22</v>
      </c>
      <c r="W468" s="432" t="s">
        <v>23</v>
      </c>
      <c r="X468" s="432" t="s">
        <v>24</v>
      </c>
      <c r="Y468" s="432" t="s">
        <v>25</v>
      </c>
      <c r="Z468" s="432" t="s">
        <v>26</v>
      </c>
      <c r="AA468" s="432" t="s">
        <v>27</v>
      </c>
      <c r="AB468" s="432" t="s">
        <v>28</v>
      </c>
      <c r="AC468" s="432" t="s">
        <v>29</v>
      </c>
      <c r="AD468" s="460" t="s">
        <v>30</v>
      </c>
      <c r="AE468" s="469">
        <f t="shared" si="533"/>
        <v>467</v>
      </c>
      <c r="AF468" s="169">
        <f t="shared" si="548"/>
        <v>542218</v>
      </c>
    </row>
    <row r="469" spans="2:32" x14ac:dyDescent="0.35">
      <c r="B469" s="420">
        <f t="shared" si="535"/>
        <v>468</v>
      </c>
      <c r="C469" s="1074" t="s">
        <v>445</v>
      </c>
      <c r="Q469" s="469">
        <f t="shared" si="532"/>
        <v>468</v>
      </c>
      <c r="R469" s="1074" t="s">
        <v>445</v>
      </c>
      <c r="S469" s="175">
        <f t="shared" si="536"/>
        <v>0</v>
      </c>
      <c r="T469" s="175">
        <f t="shared" si="537"/>
        <v>0</v>
      </c>
      <c r="U469" s="175">
        <f t="shared" si="538"/>
        <v>0</v>
      </c>
      <c r="V469" s="175">
        <f t="shared" si="539"/>
        <v>0</v>
      </c>
      <c r="W469" s="175">
        <f t="shared" si="540"/>
        <v>0</v>
      </c>
      <c r="X469" s="175">
        <f t="shared" si="541"/>
        <v>0</v>
      </c>
      <c r="Y469" s="175">
        <f t="shared" si="542"/>
        <v>0</v>
      </c>
      <c r="Z469" s="175">
        <f t="shared" si="543"/>
        <v>0</v>
      </c>
      <c r="AA469" s="175">
        <f t="shared" si="544"/>
        <v>0</v>
      </c>
      <c r="AB469" s="175">
        <f t="shared" si="545"/>
        <v>0</v>
      </c>
      <c r="AC469" s="175">
        <f t="shared" si="546"/>
        <v>0</v>
      </c>
      <c r="AD469" s="175">
        <f t="shared" si="547"/>
        <v>0</v>
      </c>
      <c r="AE469" s="469">
        <f t="shared" si="533"/>
        <v>468</v>
      </c>
      <c r="AF469" s="169">
        <f t="shared" si="548"/>
        <v>0</v>
      </c>
    </row>
    <row r="470" spans="2:32" x14ac:dyDescent="0.35">
      <c r="B470" s="420">
        <f t="shared" si="535"/>
        <v>469</v>
      </c>
      <c r="C470" s="1074" t="s">
        <v>446</v>
      </c>
      <c r="Q470" s="469">
        <f t="shared" si="532"/>
        <v>469</v>
      </c>
      <c r="R470" s="1074" t="s">
        <v>446</v>
      </c>
      <c r="S470" s="175">
        <f t="shared" si="536"/>
        <v>0</v>
      </c>
      <c r="T470" s="175">
        <f t="shared" si="537"/>
        <v>0</v>
      </c>
      <c r="U470" s="175">
        <f t="shared" si="538"/>
        <v>0</v>
      </c>
      <c r="V470" s="175">
        <f t="shared" si="539"/>
        <v>0</v>
      </c>
      <c r="W470" s="175">
        <f t="shared" si="540"/>
        <v>0</v>
      </c>
      <c r="X470" s="175">
        <f t="shared" si="541"/>
        <v>0</v>
      </c>
      <c r="Y470" s="175">
        <f t="shared" si="542"/>
        <v>0</v>
      </c>
      <c r="Z470" s="175">
        <f t="shared" si="543"/>
        <v>0</v>
      </c>
      <c r="AA470" s="175">
        <f t="shared" si="544"/>
        <v>0</v>
      </c>
      <c r="AB470" s="175">
        <f t="shared" si="545"/>
        <v>0</v>
      </c>
      <c r="AC470" s="175">
        <f t="shared" si="546"/>
        <v>0</v>
      </c>
      <c r="AD470" s="175">
        <f t="shared" si="547"/>
        <v>0</v>
      </c>
      <c r="AE470" s="469">
        <f t="shared" si="533"/>
        <v>469</v>
      </c>
      <c r="AF470" s="169">
        <f t="shared" si="548"/>
        <v>0</v>
      </c>
    </row>
    <row r="471" spans="2:32" x14ac:dyDescent="0.35">
      <c r="B471" s="420">
        <f t="shared" si="535"/>
        <v>470</v>
      </c>
      <c r="C471" s="929" t="s">
        <v>447</v>
      </c>
      <c r="D471" s="168">
        <v>45017</v>
      </c>
      <c r="E471" s="168">
        <v>45047</v>
      </c>
      <c r="F471" s="168">
        <v>45078</v>
      </c>
      <c r="G471" s="168">
        <v>45108</v>
      </c>
      <c r="H471" s="168">
        <v>45139</v>
      </c>
      <c r="I471" s="168">
        <v>45170</v>
      </c>
      <c r="J471" s="168">
        <v>45200</v>
      </c>
      <c r="K471" s="168">
        <v>45231</v>
      </c>
      <c r="L471" s="168">
        <v>45261</v>
      </c>
      <c r="M471" s="168">
        <v>45292</v>
      </c>
      <c r="N471" s="168">
        <v>45323</v>
      </c>
      <c r="O471" s="168">
        <v>45352</v>
      </c>
      <c r="Q471" s="469">
        <f t="shared" si="532"/>
        <v>470</v>
      </c>
      <c r="R471" s="929" t="s">
        <v>447</v>
      </c>
      <c r="S471" s="432" t="s">
        <v>19</v>
      </c>
      <c r="T471" s="432" t="s">
        <v>20</v>
      </c>
      <c r="U471" s="432" t="s">
        <v>21</v>
      </c>
      <c r="V471" s="432" t="s">
        <v>22</v>
      </c>
      <c r="W471" s="432" t="s">
        <v>23</v>
      </c>
      <c r="X471" s="432" t="s">
        <v>24</v>
      </c>
      <c r="Y471" s="432" t="s">
        <v>25</v>
      </c>
      <c r="Z471" s="432" t="s">
        <v>26</v>
      </c>
      <c r="AA471" s="432" t="s">
        <v>27</v>
      </c>
      <c r="AB471" s="432" t="s">
        <v>28</v>
      </c>
      <c r="AC471" s="432" t="s">
        <v>29</v>
      </c>
      <c r="AD471" s="460" t="s">
        <v>30</v>
      </c>
      <c r="AE471" s="469">
        <f t="shared" si="533"/>
        <v>470</v>
      </c>
      <c r="AF471" s="169">
        <f t="shared" si="548"/>
        <v>542218</v>
      </c>
    </row>
    <row r="472" spans="2:32" x14ac:dyDescent="0.35">
      <c r="B472" s="420">
        <f t="shared" si="535"/>
        <v>471</v>
      </c>
      <c r="C472" s="929" t="s">
        <v>448</v>
      </c>
      <c r="D472" s="162">
        <f>[2]StreetSafe!Z2</f>
        <v>0</v>
      </c>
      <c r="E472" s="162">
        <f>[2]StreetSafe!AA2</f>
        <v>0</v>
      </c>
      <c r="F472" s="162">
        <f>[2]StreetSafe!AB2</f>
        <v>1</v>
      </c>
      <c r="G472" s="162">
        <f>[2]StreetSafe!AC2</f>
        <v>14</v>
      </c>
      <c r="H472" s="162">
        <f>[2]StreetSafe!AD2</f>
        <v>2</v>
      </c>
      <c r="I472" s="162">
        <f>[2]StreetSafe!AE2</f>
        <v>0</v>
      </c>
      <c r="J472" s="162">
        <f>[2]StreetSafe!AF2</f>
        <v>0</v>
      </c>
      <c r="K472" s="162">
        <f>[2]StreetSafe!AG2</f>
        <v>2</v>
      </c>
      <c r="L472" s="162">
        <f>[2]StreetSafe!AH2</f>
        <v>11</v>
      </c>
      <c r="M472" s="162">
        <f>[2]StreetSafe!AI2</f>
        <v>3</v>
      </c>
      <c r="N472" s="162">
        <f>[2]StreetSafe!AJ2</f>
        <v>2</v>
      </c>
      <c r="O472" s="162">
        <f>[2]StreetSafe!AK2</f>
        <v>1</v>
      </c>
      <c r="Q472" s="469">
        <f t="shared" si="532"/>
        <v>471</v>
      </c>
      <c r="R472" s="929" t="s">
        <v>448</v>
      </c>
      <c r="S472" s="175">
        <f t="shared" si="536"/>
        <v>0</v>
      </c>
      <c r="T472" s="175">
        <f t="shared" si="537"/>
        <v>0</v>
      </c>
      <c r="U472" s="175">
        <f t="shared" si="538"/>
        <v>1</v>
      </c>
      <c r="V472" s="175">
        <f t="shared" si="539"/>
        <v>15</v>
      </c>
      <c r="W472" s="175">
        <f t="shared" si="540"/>
        <v>17</v>
      </c>
      <c r="X472" s="175">
        <f t="shared" si="541"/>
        <v>17</v>
      </c>
      <c r="Y472" s="175">
        <f t="shared" si="542"/>
        <v>17</v>
      </c>
      <c r="Z472" s="175">
        <f t="shared" si="543"/>
        <v>19</v>
      </c>
      <c r="AA472" s="175">
        <f t="shared" si="544"/>
        <v>30</v>
      </c>
      <c r="AB472" s="175">
        <f t="shared" si="545"/>
        <v>33</v>
      </c>
      <c r="AC472" s="175">
        <f t="shared" si="546"/>
        <v>35</v>
      </c>
      <c r="AD472" s="175">
        <f t="shared" si="547"/>
        <v>36</v>
      </c>
      <c r="AE472" s="469">
        <f t="shared" si="533"/>
        <v>471</v>
      </c>
      <c r="AF472" s="169">
        <f t="shared" si="548"/>
        <v>36</v>
      </c>
    </row>
    <row r="473" spans="2:32" x14ac:dyDescent="0.35">
      <c r="B473" s="420">
        <f t="shared" si="535"/>
        <v>472</v>
      </c>
      <c r="C473" s="939" t="s">
        <v>450</v>
      </c>
      <c r="D473" s="162">
        <f>'[2]Hate Crime Types'!Z10</f>
        <v>3</v>
      </c>
      <c r="E473" s="162">
        <f>'[2]Hate Crime Types'!AA10</f>
        <v>10</v>
      </c>
      <c r="F473" s="162">
        <f>'[2]Hate Crime Types'!AB10</f>
        <v>16</v>
      </c>
      <c r="G473" s="162">
        <f>'[2]Hate Crime Types'!AC10</f>
        <v>11</v>
      </c>
      <c r="H473" s="162">
        <f>'[2]Hate Crime Types'!AD10</f>
        <v>0</v>
      </c>
      <c r="I473" s="162">
        <f>'[2]Hate Crime Types'!AE10</f>
        <v>4</v>
      </c>
      <c r="J473" s="162">
        <f>'[2]Hate Crime Types'!AF10</f>
        <v>8</v>
      </c>
      <c r="K473" s="162">
        <f>'[2]Hate Crime Types'!AG10</f>
        <v>15</v>
      </c>
      <c r="L473" s="162">
        <f>'[2]Hate Crime Types'!AH10</f>
        <v>13</v>
      </c>
      <c r="M473" s="162">
        <f>'[2]Hate Crime Types'!AI10</f>
        <v>19</v>
      </c>
      <c r="N473" s="162">
        <f>'[2]Hate Crime Types'!AJ10</f>
        <v>11</v>
      </c>
      <c r="O473" s="162">
        <f>'[2]Hate Crime Types'!AK10</f>
        <v>13</v>
      </c>
      <c r="Q473" s="469">
        <f t="shared" si="532"/>
        <v>472</v>
      </c>
      <c r="R473" s="64" t="s">
        <v>450</v>
      </c>
      <c r="S473" s="175">
        <f t="shared" ref="S473" si="549">D473</f>
        <v>3</v>
      </c>
      <c r="T473" s="175">
        <f t="shared" ref="T473" si="550">S473+E473</f>
        <v>13</v>
      </c>
      <c r="U473" s="175">
        <f t="shared" ref="U473" si="551">T473+F473</f>
        <v>29</v>
      </c>
      <c r="V473" s="175">
        <f t="shared" ref="V473" si="552">U473+G473</f>
        <v>40</v>
      </c>
      <c r="W473" s="175">
        <f t="shared" ref="W473" si="553">V473+H473</f>
        <v>40</v>
      </c>
      <c r="X473" s="175">
        <f t="shared" ref="X473" si="554">W473+I473</f>
        <v>44</v>
      </c>
      <c r="Y473" s="175">
        <f t="shared" ref="Y473" si="555">X473+J473</f>
        <v>52</v>
      </c>
      <c r="Z473" s="175">
        <f t="shared" ref="Z473" si="556">Y473+K473</f>
        <v>67</v>
      </c>
      <c r="AA473" s="175">
        <f t="shared" ref="AA473" si="557">Z473+L473</f>
        <v>80</v>
      </c>
      <c r="AB473" s="175">
        <f t="shared" ref="AB473" si="558">AA473+M473</f>
        <v>99</v>
      </c>
      <c r="AC473" s="175">
        <f t="shared" ref="AC473" si="559">AB473+N473</f>
        <v>110</v>
      </c>
      <c r="AD473" s="175">
        <f t="shared" ref="AD473" si="560">AC473+O473</f>
        <v>123</v>
      </c>
      <c r="AE473" s="469">
        <f t="shared" si="533"/>
        <v>472</v>
      </c>
      <c r="AF473" s="169">
        <f t="shared" ref="AF473" si="561">SUM(D473:O473)</f>
        <v>123</v>
      </c>
    </row>
    <row r="474" spans="2:32" x14ac:dyDescent="0.35">
      <c r="B474" s="420">
        <f t="shared" si="535"/>
        <v>473</v>
      </c>
      <c r="C474" s="1075" t="s">
        <v>456</v>
      </c>
      <c r="D474" s="162" t="str">
        <f>[2]KPIs!N2</f>
        <v xml:space="preserve"> - </v>
      </c>
      <c r="E474" s="162" t="str">
        <f>[2]KPIs!O2</f>
        <v xml:space="preserve"> - </v>
      </c>
      <c r="F474" s="1032">
        <f>[2]KPIs!P2</f>
        <v>0.99</v>
      </c>
      <c r="G474" s="1032" t="str">
        <f>[2]KPIs!Q2</f>
        <v xml:space="preserve"> - </v>
      </c>
      <c r="H474" s="1032" t="str">
        <f>[2]KPIs!R2</f>
        <v xml:space="preserve"> - </v>
      </c>
      <c r="I474" s="1032">
        <f>[2]KPIs!S2</f>
        <v>0.99</v>
      </c>
      <c r="J474" s="1032" t="str">
        <f>[2]KPIs!T2</f>
        <v xml:space="preserve"> - </v>
      </c>
      <c r="K474" s="1032" t="str">
        <f>[2]KPIs!U2</f>
        <v xml:space="preserve"> - </v>
      </c>
      <c r="L474" s="1032">
        <f>[2]KPIs!V2</f>
        <v>0.99</v>
      </c>
      <c r="M474" s="1032" t="str">
        <f>[2]KPIs!W2</f>
        <v xml:space="preserve"> - </v>
      </c>
      <c r="N474" s="1032" t="str">
        <f>[2]KPIs!X2</f>
        <v xml:space="preserve"> - </v>
      </c>
      <c r="O474" s="1032">
        <f>[2]KPIs!Y2</f>
        <v>0.99</v>
      </c>
      <c r="Q474" s="469">
        <f t="shared" ref="Q474:Q483" si="562">Q473+1</f>
        <v>473</v>
      </c>
      <c r="R474" s="1075" t="s">
        <v>456</v>
      </c>
      <c r="S474" s="175" t="str">
        <f t="shared" ref="S474:T474" si="563">D474</f>
        <v xml:space="preserve"> - </v>
      </c>
      <c r="T474" s="175" t="str">
        <f t="shared" si="563"/>
        <v xml:space="preserve"> - </v>
      </c>
      <c r="U474" s="1064">
        <f>F474</f>
        <v>0.99</v>
      </c>
      <c r="V474" s="1064" t="str">
        <f t="shared" ref="V474:AC474" si="564">G474</f>
        <v xml:space="preserve"> - </v>
      </c>
      <c r="W474" s="1064" t="str">
        <f t="shared" si="564"/>
        <v xml:space="preserve"> - </v>
      </c>
      <c r="X474" s="1064">
        <f>(U474+I474)/2</f>
        <v>0.99</v>
      </c>
      <c r="Y474" s="1064" t="str">
        <f t="shared" si="564"/>
        <v xml:space="preserve"> - </v>
      </c>
      <c r="Z474" s="1064" t="str">
        <f t="shared" si="564"/>
        <v xml:space="preserve"> - </v>
      </c>
      <c r="AA474" s="1064">
        <f>(X474+L474)/2</f>
        <v>0.99</v>
      </c>
      <c r="AB474" s="1064" t="str">
        <f t="shared" si="564"/>
        <v xml:space="preserve"> - </v>
      </c>
      <c r="AC474" s="1064" t="str">
        <f t="shared" si="564"/>
        <v xml:space="preserve"> - </v>
      </c>
      <c r="AD474" s="1064">
        <f>AVERAGE(D474:O474)</f>
        <v>0.99</v>
      </c>
      <c r="AE474" s="469">
        <f t="shared" si="533"/>
        <v>473</v>
      </c>
      <c r="AF474" s="1065">
        <f>(F474+I474+L474+O474)/4</f>
        <v>0.99</v>
      </c>
    </row>
    <row r="475" spans="2:32" x14ac:dyDescent="0.35">
      <c r="B475" s="420">
        <f t="shared" si="535"/>
        <v>474</v>
      </c>
      <c r="C475" s="926" t="s">
        <v>461</v>
      </c>
      <c r="D475" s="162" t="str">
        <f>[2]KPIs!N3</f>
        <v xml:space="preserve"> - </v>
      </c>
      <c r="E475" s="162" t="str">
        <f>[2]KPIs!O3</f>
        <v xml:space="preserve"> - </v>
      </c>
      <c r="F475" s="162">
        <f>[2]KPIs!P3</f>
        <v>330</v>
      </c>
      <c r="G475" s="162" t="str">
        <f>[2]KPIs!Q3</f>
        <v xml:space="preserve"> - </v>
      </c>
      <c r="H475" s="162" t="str">
        <f>[2]KPIs!R3</f>
        <v xml:space="preserve"> - </v>
      </c>
      <c r="I475" s="162">
        <f>[2]KPIs!S3</f>
        <v>93</v>
      </c>
      <c r="J475" s="162" t="str">
        <f>[2]KPIs!T3</f>
        <v xml:space="preserve"> - </v>
      </c>
      <c r="K475" s="162" t="str">
        <f>[2]KPIs!U3</f>
        <v xml:space="preserve"> - </v>
      </c>
      <c r="L475" s="162">
        <f>[2]KPIs!V3</f>
        <v>118</v>
      </c>
      <c r="M475" s="162" t="str">
        <f>[2]KPIs!W3</f>
        <v xml:space="preserve"> - </v>
      </c>
      <c r="N475" s="162" t="str">
        <f>[2]KPIs!X3</f>
        <v xml:space="preserve"> - </v>
      </c>
      <c r="O475" s="162">
        <f>[2]KPIs!Y3</f>
        <v>146</v>
      </c>
      <c r="Q475" s="469">
        <f t="shared" si="562"/>
        <v>474</v>
      </c>
      <c r="R475" s="926" t="s">
        <v>461</v>
      </c>
      <c r="S475" s="175" t="str">
        <f t="shared" ref="S475:T476" si="565">D475</f>
        <v xml:space="preserve"> - </v>
      </c>
      <c r="T475" s="175" t="str">
        <f t="shared" si="565"/>
        <v xml:space="preserve"> - </v>
      </c>
      <c r="U475" s="708">
        <f>F475</f>
        <v>330</v>
      </c>
      <c r="V475" s="708" t="str">
        <f t="shared" ref="V475:V476" si="566">G475</f>
        <v xml:space="preserve"> - </v>
      </c>
      <c r="W475" s="708" t="str">
        <f t="shared" ref="W475:W476" si="567">H475</f>
        <v xml:space="preserve"> - </v>
      </c>
      <c r="X475" s="708">
        <f>U475+I475</f>
        <v>423</v>
      </c>
      <c r="Y475" s="708" t="str">
        <f t="shared" ref="Y475:Y476" si="568">J475</f>
        <v xml:space="preserve"> - </v>
      </c>
      <c r="Z475" s="708" t="str">
        <f t="shared" ref="Z475:Z476" si="569">K475</f>
        <v xml:space="preserve"> - </v>
      </c>
      <c r="AA475" s="708">
        <f>X475+L475</f>
        <v>541</v>
      </c>
      <c r="AB475" s="708" t="str">
        <f t="shared" ref="AB475:AB476" si="570">M475</f>
        <v xml:space="preserve"> - </v>
      </c>
      <c r="AC475" s="708" t="str">
        <f t="shared" ref="AC475:AC476" si="571">N475</f>
        <v xml:space="preserve"> - </v>
      </c>
      <c r="AD475" s="708">
        <f>AA475+O475</f>
        <v>687</v>
      </c>
      <c r="AE475" s="469">
        <f t="shared" si="533"/>
        <v>474</v>
      </c>
      <c r="AF475" s="169">
        <f t="shared" ref="AF475" si="572">SUM(D475:O475)</f>
        <v>687</v>
      </c>
    </row>
    <row r="476" spans="2:32" ht="108.5" x14ac:dyDescent="0.35">
      <c r="B476" s="420">
        <f t="shared" si="535"/>
        <v>475</v>
      </c>
      <c r="C476" s="1031" t="s">
        <v>462</v>
      </c>
      <c r="D476" s="162" t="str">
        <f>[2]KPIs!N4</f>
        <v xml:space="preserve"> - </v>
      </c>
      <c r="E476" s="162" t="str">
        <f>[2]KPIs!O4</f>
        <v xml:space="preserve"> - </v>
      </c>
      <c r="F476" s="1032">
        <f>[2]KPIs!P4</f>
        <v>1</v>
      </c>
      <c r="G476" s="1032" t="str">
        <f>[2]KPIs!Q4</f>
        <v xml:space="preserve"> - </v>
      </c>
      <c r="H476" s="1032" t="str">
        <f>[2]KPIs!R4</f>
        <v xml:space="preserve"> - </v>
      </c>
      <c r="I476" s="1032">
        <f>[2]KPIs!S4</f>
        <v>0.99</v>
      </c>
      <c r="J476" s="1032" t="str">
        <f>[2]KPIs!T4</f>
        <v xml:space="preserve"> - </v>
      </c>
      <c r="K476" s="1032" t="str">
        <f>[2]KPIs!U4</f>
        <v xml:space="preserve"> - </v>
      </c>
      <c r="L476" s="1032">
        <f>[2]KPIs!V4</f>
        <v>1</v>
      </c>
      <c r="M476" s="1032" t="str">
        <f>[2]KPIs!W4</f>
        <v xml:space="preserve"> - </v>
      </c>
      <c r="N476" s="1032" t="str">
        <f>[2]KPIs!X4</f>
        <v xml:space="preserve"> - </v>
      </c>
      <c r="O476" s="1032">
        <f>[2]KPIs!Y4</f>
        <v>0.99</v>
      </c>
      <c r="Q476" s="469">
        <f t="shared" si="562"/>
        <v>475</v>
      </c>
      <c r="R476" s="1031" t="s">
        <v>462</v>
      </c>
      <c r="S476" s="175" t="str">
        <f t="shared" si="565"/>
        <v xml:space="preserve"> - </v>
      </c>
      <c r="T476" s="175" t="str">
        <f t="shared" si="565"/>
        <v xml:space="preserve"> - </v>
      </c>
      <c r="U476" s="1064">
        <f>F476</f>
        <v>1</v>
      </c>
      <c r="V476" s="1064" t="str">
        <f t="shared" si="566"/>
        <v xml:space="preserve"> - </v>
      </c>
      <c r="W476" s="1064" t="str">
        <f t="shared" si="567"/>
        <v xml:space="preserve"> - </v>
      </c>
      <c r="X476" s="1064">
        <f>(U476+I476)/2</f>
        <v>0.995</v>
      </c>
      <c r="Y476" s="1064" t="str">
        <f t="shared" si="568"/>
        <v xml:space="preserve"> - </v>
      </c>
      <c r="Z476" s="1064" t="str">
        <f t="shared" si="569"/>
        <v xml:space="preserve"> - </v>
      </c>
      <c r="AA476" s="1064">
        <f>(X476+L476)/2</f>
        <v>0.99750000000000005</v>
      </c>
      <c r="AB476" s="1064" t="str">
        <f t="shared" si="570"/>
        <v xml:space="preserve"> - </v>
      </c>
      <c r="AC476" s="1064" t="str">
        <f t="shared" si="571"/>
        <v xml:space="preserve"> - </v>
      </c>
      <c r="AD476" s="1064">
        <f>AVERAGE(D476:O476)</f>
        <v>0.99500000000000011</v>
      </c>
      <c r="AE476" s="469">
        <f t="shared" si="533"/>
        <v>475</v>
      </c>
      <c r="AF476" s="1065">
        <f>(F476+I476+L476+O476)/4</f>
        <v>0.99500000000000011</v>
      </c>
    </row>
    <row r="477" spans="2:32" ht="31" x14ac:dyDescent="0.35">
      <c r="B477" s="420">
        <f t="shared" si="535"/>
        <v>476</v>
      </c>
      <c r="C477" s="1083" t="s">
        <v>520</v>
      </c>
      <c r="D477" s="168">
        <v>45017</v>
      </c>
      <c r="E477" s="168">
        <v>45047</v>
      </c>
      <c r="F477" s="168">
        <v>45078</v>
      </c>
      <c r="G477" s="168">
        <v>45108</v>
      </c>
      <c r="H477" s="168">
        <v>45139</v>
      </c>
      <c r="I477" s="168">
        <v>45170</v>
      </c>
      <c r="J477" s="168">
        <v>45200</v>
      </c>
      <c r="K477" s="168">
        <v>45231</v>
      </c>
      <c r="L477" s="168">
        <v>45261</v>
      </c>
      <c r="M477" s="168">
        <v>45292</v>
      </c>
      <c r="N477" s="168">
        <v>45323</v>
      </c>
      <c r="O477" s="168">
        <v>45352</v>
      </c>
      <c r="Q477" s="469">
        <f t="shared" si="562"/>
        <v>476</v>
      </c>
      <c r="R477" s="1083" t="s">
        <v>520</v>
      </c>
      <c r="S477" s="432" t="s">
        <v>19</v>
      </c>
      <c r="T477" s="432" t="s">
        <v>20</v>
      </c>
      <c r="U477" s="432" t="s">
        <v>21</v>
      </c>
      <c r="V477" s="432" t="s">
        <v>22</v>
      </c>
      <c r="W477" s="432" t="s">
        <v>23</v>
      </c>
      <c r="X477" s="432" t="s">
        <v>24</v>
      </c>
      <c r="Y477" s="432" t="s">
        <v>25</v>
      </c>
      <c r="Z477" s="432" t="s">
        <v>26</v>
      </c>
      <c r="AA477" s="432" t="s">
        <v>27</v>
      </c>
      <c r="AB477" s="432" t="s">
        <v>28</v>
      </c>
      <c r="AC477" s="432" t="s">
        <v>29</v>
      </c>
      <c r="AD477" s="460" t="s">
        <v>30</v>
      </c>
      <c r="AE477" s="469">
        <f t="shared" si="533"/>
        <v>476</v>
      </c>
    </row>
    <row r="478" spans="2:32" x14ac:dyDescent="0.35">
      <c r="B478" s="420">
        <f t="shared" si="535"/>
        <v>477</v>
      </c>
      <c r="C478" s="785" t="s">
        <v>212</v>
      </c>
      <c r="D478" s="162">
        <f>'[2]VAP Knife Crime'!AX26</f>
        <v>2</v>
      </c>
      <c r="E478" s="162">
        <f>'[2]VAP Knife Crime'!AY26</f>
        <v>0</v>
      </c>
      <c r="F478" s="162">
        <f>'[2]VAP Knife Crime'!AZ26</f>
        <v>2</v>
      </c>
      <c r="G478" s="162">
        <f>'[2]VAP Knife Crime'!BA26</f>
        <v>0</v>
      </c>
      <c r="H478" s="162">
        <f>'[2]VAP Knife Crime'!BB26</f>
        <v>1</v>
      </c>
      <c r="I478" s="162">
        <f>'[2]VAP Knife Crime'!BC26</f>
        <v>0</v>
      </c>
      <c r="J478" s="162">
        <f>'[2]VAP Knife Crime'!BD26</f>
        <v>0</v>
      </c>
      <c r="K478" s="162">
        <f>'[2]VAP Knife Crime'!BE26</f>
        <v>1</v>
      </c>
      <c r="L478" s="162">
        <f>'[2]VAP Knife Crime'!BF26</f>
        <v>0</v>
      </c>
      <c r="M478" s="162">
        <f>'[2]VAP Knife Crime'!BG26</f>
        <v>0</v>
      </c>
      <c r="N478" s="162">
        <f>'[2]VAP Knife Crime'!BH26</f>
        <v>0</v>
      </c>
      <c r="O478" s="162">
        <f>'[2]VAP Knife Crime'!BI26</f>
        <v>0</v>
      </c>
      <c r="Q478" s="469">
        <f t="shared" si="562"/>
        <v>477</v>
      </c>
      <c r="R478" s="785" t="s">
        <v>212</v>
      </c>
      <c r="S478" s="175">
        <f t="shared" ref="S478" si="573">D478</f>
        <v>2</v>
      </c>
      <c r="T478" s="175">
        <f t="shared" ref="T478" si="574">S478+E478</f>
        <v>2</v>
      </c>
      <c r="U478" s="175">
        <f t="shared" ref="U478" si="575">T478+F478</f>
        <v>4</v>
      </c>
      <c r="V478" s="175">
        <f t="shared" ref="V478" si="576">U478+G478</f>
        <v>4</v>
      </c>
      <c r="W478" s="175">
        <f t="shared" ref="W478" si="577">V478+H478</f>
        <v>5</v>
      </c>
      <c r="X478" s="175">
        <f t="shared" ref="X478" si="578">W478+I478</f>
        <v>5</v>
      </c>
      <c r="Y478" s="175">
        <f t="shared" ref="Y478" si="579">X478+J478</f>
        <v>5</v>
      </c>
      <c r="Z478" s="175">
        <f t="shared" ref="Z478" si="580">Y478+K478</f>
        <v>6</v>
      </c>
      <c r="AA478" s="175">
        <f t="shared" ref="AA478" si="581">Z478+L478</f>
        <v>6</v>
      </c>
      <c r="AB478" s="175">
        <f t="shared" ref="AB478" si="582">AA478+M478</f>
        <v>6</v>
      </c>
      <c r="AC478" s="175">
        <f t="shared" ref="AC478" si="583">AB478+N478</f>
        <v>6</v>
      </c>
      <c r="AD478" s="175">
        <f t="shared" ref="AD478" si="584">AC478+O478</f>
        <v>6</v>
      </c>
      <c r="AE478" s="469">
        <f t="shared" ref="AE478:AE483" si="585">AE477+1</f>
        <v>477</v>
      </c>
      <c r="AF478" s="169">
        <f t="shared" ref="AF478:AF483" si="586">SUM(D478:O478)</f>
        <v>6</v>
      </c>
    </row>
    <row r="479" spans="2:32" x14ac:dyDescent="0.35">
      <c r="B479" s="420">
        <f t="shared" si="535"/>
        <v>478</v>
      </c>
      <c r="C479" s="785" t="s">
        <v>213</v>
      </c>
      <c r="D479" s="162">
        <f>'[2]VAP Knife Crime'!AX27</f>
        <v>0</v>
      </c>
      <c r="E479" s="162">
        <f>'[2]VAP Knife Crime'!AY27</f>
        <v>3</v>
      </c>
      <c r="F479" s="162">
        <f>'[2]VAP Knife Crime'!AZ27</f>
        <v>0</v>
      </c>
      <c r="G479" s="162">
        <f>'[2]VAP Knife Crime'!BA27</f>
        <v>3</v>
      </c>
      <c r="H479" s="162">
        <f>'[2]VAP Knife Crime'!BB27</f>
        <v>1</v>
      </c>
      <c r="I479" s="162">
        <f>'[2]VAP Knife Crime'!BC27</f>
        <v>3</v>
      </c>
      <c r="J479" s="162">
        <f>'[2]VAP Knife Crime'!BD27</f>
        <v>0</v>
      </c>
      <c r="K479" s="162">
        <f>'[2]VAP Knife Crime'!BE27</f>
        <v>13</v>
      </c>
      <c r="L479" s="162">
        <f>'[2]VAP Knife Crime'!BF27</f>
        <v>0</v>
      </c>
      <c r="M479" s="162">
        <f>'[2]VAP Knife Crime'!BG27</f>
        <v>1</v>
      </c>
      <c r="N479" s="162">
        <f>'[2]VAP Knife Crime'!BH27</f>
        <v>1</v>
      </c>
      <c r="O479" s="162">
        <f>'[2]VAP Knife Crime'!BI27</f>
        <v>0</v>
      </c>
      <c r="Q479" s="469">
        <f t="shared" si="562"/>
        <v>478</v>
      </c>
      <c r="R479" s="785" t="s">
        <v>213</v>
      </c>
      <c r="S479" s="175">
        <f t="shared" ref="S479:S482" si="587">D479</f>
        <v>0</v>
      </c>
      <c r="T479" s="175">
        <f t="shared" ref="T479:T482" si="588">S479+E479</f>
        <v>3</v>
      </c>
      <c r="U479" s="175">
        <f t="shared" ref="U479:U482" si="589">T479+F479</f>
        <v>3</v>
      </c>
      <c r="V479" s="175">
        <f t="shared" ref="V479:V482" si="590">U479+G479</f>
        <v>6</v>
      </c>
      <c r="W479" s="175">
        <f t="shared" ref="W479:W482" si="591">V479+H479</f>
        <v>7</v>
      </c>
      <c r="X479" s="175">
        <f t="shared" ref="X479:X482" si="592">W479+I479</f>
        <v>10</v>
      </c>
      <c r="Y479" s="175">
        <f t="shared" ref="Y479:Y482" si="593">X479+J479</f>
        <v>10</v>
      </c>
      <c r="Z479" s="175">
        <f t="shared" ref="Z479:Z482" si="594">Y479+K479</f>
        <v>23</v>
      </c>
      <c r="AA479" s="175">
        <f t="shared" ref="AA479:AA482" si="595">Z479+L479</f>
        <v>23</v>
      </c>
      <c r="AB479" s="175">
        <f t="shared" ref="AB479:AB482" si="596">AA479+M479</f>
        <v>24</v>
      </c>
      <c r="AC479" s="175">
        <f t="shared" ref="AC479:AC482" si="597">AB479+N479</f>
        <v>25</v>
      </c>
      <c r="AD479" s="175">
        <f t="shared" ref="AD479:AD482" si="598">AC479+O479</f>
        <v>25</v>
      </c>
      <c r="AE479" s="469">
        <f t="shared" si="585"/>
        <v>478</v>
      </c>
      <c r="AF479" s="169">
        <f t="shared" si="586"/>
        <v>25</v>
      </c>
    </row>
    <row r="480" spans="2:32" x14ac:dyDescent="0.35">
      <c r="B480" s="420">
        <f t="shared" si="535"/>
        <v>479</v>
      </c>
      <c r="C480" s="785" t="s">
        <v>146</v>
      </c>
      <c r="D480" s="162">
        <f>'[2]VAP Knife Crime'!AX28</f>
        <v>0</v>
      </c>
      <c r="E480" s="162">
        <f>'[2]VAP Knife Crime'!AY28</f>
        <v>0</v>
      </c>
      <c r="F480" s="162">
        <f>'[2]VAP Knife Crime'!AZ28</f>
        <v>1</v>
      </c>
      <c r="G480" s="162">
        <f>'[2]VAP Knife Crime'!BA28</f>
        <v>0</v>
      </c>
      <c r="H480" s="162">
        <f>'[2]VAP Knife Crime'!BB28</f>
        <v>0</v>
      </c>
      <c r="I480" s="162">
        <f>'[2]VAP Knife Crime'!BC28</f>
        <v>0</v>
      </c>
      <c r="J480" s="162">
        <f>'[2]VAP Knife Crime'!BD28</f>
        <v>0</v>
      </c>
      <c r="K480" s="162">
        <f>'[2]VAP Knife Crime'!BE28</f>
        <v>1</v>
      </c>
      <c r="L480" s="162">
        <f>'[2]VAP Knife Crime'!BF28</f>
        <v>1</v>
      </c>
      <c r="M480" s="162">
        <f>'[2]VAP Knife Crime'!BG28</f>
        <v>1</v>
      </c>
      <c r="N480" s="162">
        <f>'[2]VAP Knife Crime'!BH28</f>
        <v>1</v>
      </c>
      <c r="O480" s="162">
        <f>'[2]VAP Knife Crime'!BI28</f>
        <v>0</v>
      </c>
      <c r="Q480" s="469">
        <f t="shared" si="562"/>
        <v>479</v>
      </c>
      <c r="R480" s="785" t="s">
        <v>146</v>
      </c>
      <c r="S480" s="175">
        <f t="shared" si="587"/>
        <v>0</v>
      </c>
      <c r="T480" s="175">
        <f t="shared" si="588"/>
        <v>0</v>
      </c>
      <c r="U480" s="175">
        <f t="shared" si="589"/>
        <v>1</v>
      </c>
      <c r="V480" s="175">
        <f t="shared" si="590"/>
        <v>1</v>
      </c>
      <c r="W480" s="175">
        <f t="shared" si="591"/>
        <v>1</v>
      </c>
      <c r="X480" s="175">
        <f t="shared" si="592"/>
        <v>1</v>
      </c>
      <c r="Y480" s="175">
        <f t="shared" si="593"/>
        <v>1</v>
      </c>
      <c r="Z480" s="175">
        <f t="shared" si="594"/>
        <v>2</v>
      </c>
      <c r="AA480" s="175">
        <f t="shared" si="595"/>
        <v>3</v>
      </c>
      <c r="AB480" s="175">
        <f t="shared" si="596"/>
        <v>4</v>
      </c>
      <c r="AC480" s="175">
        <f t="shared" si="597"/>
        <v>5</v>
      </c>
      <c r="AD480" s="175">
        <f t="shared" si="598"/>
        <v>5</v>
      </c>
      <c r="AE480" s="469">
        <f t="shared" si="585"/>
        <v>479</v>
      </c>
      <c r="AF480" s="169">
        <f t="shared" si="586"/>
        <v>5</v>
      </c>
    </row>
    <row r="481" spans="2:32" x14ac:dyDescent="0.35">
      <c r="B481" s="420">
        <f t="shared" si="535"/>
        <v>480</v>
      </c>
      <c r="C481" s="785" t="s">
        <v>147</v>
      </c>
      <c r="D481" s="162">
        <f>'[2]VAP Knife Crime'!AX29</f>
        <v>1</v>
      </c>
      <c r="E481" s="162">
        <f>'[2]VAP Knife Crime'!AY29</f>
        <v>2</v>
      </c>
      <c r="F481" s="162">
        <f>'[2]VAP Knife Crime'!AZ29</f>
        <v>5</v>
      </c>
      <c r="G481" s="162">
        <f>'[2]VAP Knife Crime'!BA29</f>
        <v>6</v>
      </c>
      <c r="H481" s="162">
        <f>'[2]VAP Knife Crime'!BB29</f>
        <v>1</v>
      </c>
      <c r="I481" s="162">
        <f>'[2]VAP Knife Crime'!BC29</f>
        <v>3</v>
      </c>
      <c r="J481" s="162">
        <f>'[2]VAP Knife Crime'!BD29</f>
        <v>0</v>
      </c>
      <c r="K481" s="162">
        <f>'[2]VAP Knife Crime'!BE29</f>
        <v>2</v>
      </c>
      <c r="L481" s="162">
        <f>'[2]VAP Knife Crime'!BF29</f>
        <v>1</v>
      </c>
      <c r="M481" s="162">
        <f>'[2]VAP Knife Crime'!BG29</f>
        <v>2</v>
      </c>
      <c r="N481" s="162">
        <f>'[2]VAP Knife Crime'!BH29</f>
        <v>3</v>
      </c>
      <c r="O481" s="162">
        <f>'[2]VAP Knife Crime'!BI29</f>
        <v>0</v>
      </c>
      <c r="Q481" s="469">
        <f t="shared" si="562"/>
        <v>480</v>
      </c>
      <c r="R481" s="785" t="s">
        <v>147</v>
      </c>
      <c r="S481" s="175">
        <f t="shared" si="587"/>
        <v>1</v>
      </c>
      <c r="T481" s="175">
        <f t="shared" si="588"/>
        <v>3</v>
      </c>
      <c r="U481" s="175">
        <f t="shared" si="589"/>
        <v>8</v>
      </c>
      <c r="V481" s="175">
        <f t="shared" si="590"/>
        <v>14</v>
      </c>
      <c r="W481" s="175">
        <f t="shared" si="591"/>
        <v>15</v>
      </c>
      <c r="X481" s="175">
        <f t="shared" si="592"/>
        <v>18</v>
      </c>
      <c r="Y481" s="175">
        <f t="shared" si="593"/>
        <v>18</v>
      </c>
      <c r="Z481" s="175">
        <f t="shared" si="594"/>
        <v>20</v>
      </c>
      <c r="AA481" s="175">
        <f t="shared" si="595"/>
        <v>21</v>
      </c>
      <c r="AB481" s="175">
        <f t="shared" si="596"/>
        <v>23</v>
      </c>
      <c r="AC481" s="175">
        <f t="shared" si="597"/>
        <v>26</v>
      </c>
      <c r="AD481" s="175">
        <f t="shared" si="598"/>
        <v>26</v>
      </c>
      <c r="AE481" s="469">
        <f t="shared" si="585"/>
        <v>480</v>
      </c>
      <c r="AF481" s="169">
        <f t="shared" si="586"/>
        <v>26</v>
      </c>
    </row>
    <row r="482" spans="2:32" x14ac:dyDescent="0.35">
      <c r="B482" s="420">
        <f t="shared" ref="B482:B483" si="599">B481+1</f>
        <v>481</v>
      </c>
      <c r="C482" s="785" t="s">
        <v>0</v>
      </c>
      <c r="D482" s="423">
        <f>'[2]VAP Knife Crime'!AX31</f>
        <v>4</v>
      </c>
      <c r="E482" s="423">
        <f>'[2]VAP Knife Crime'!AY31</f>
        <v>6</v>
      </c>
      <c r="F482" s="423">
        <f>'[2]VAP Knife Crime'!AZ31</f>
        <v>9</v>
      </c>
      <c r="G482" s="423">
        <f>'[2]VAP Knife Crime'!BA31</f>
        <v>12</v>
      </c>
      <c r="H482" s="423">
        <f>'[2]VAP Knife Crime'!BB31</f>
        <v>3</v>
      </c>
      <c r="I482" s="423">
        <f>'[2]VAP Knife Crime'!BC31</f>
        <v>6</v>
      </c>
      <c r="J482" s="423">
        <f>'[2]VAP Knife Crime'!BD31</f>
        <v>1</v>
      </c>
      <c r="K482" s="423">
        <f>'[2]VAP Knife Crime'!BE31</f>
        <v>18</v>
      </c>
      <c r="L482" s="423">
        <f>'[2]VAP Knife Crime'!BF31</f>
        <v>3</v>
      </c>
      <c r="M482" s="423">
        <f>'[2]VAP Knife Crime'!BG31</f>
        <v>4</v>
      </c>
      <c r="N482" s="423">
        <f>'[2]VAP Knife Crime'!BH31</f>
        <v>5</v>
      </c>
      <c r="O482" s="423">
        <f>'[2]VAP Knife Crime'!BI31</f>
        <v>0</v>
      </c>
      <c r="Q482" s="469">
        <f t="shared" si="562"/>
        <v>481</v>
      </c>
      <c r="R482" s="785" t="s">
        <v>0</v>
      </c>
      <c r="S482" s="175">
        <f t="shared" si="587"/>
        <v>4</v>
      </c>
      <c r="T482" s="175">
        <f t="shared" si="588"/>
        <v>10</v>
      </c>
      <c r="U482" s="175">
        <f t="shared" si="589"/>
        <v>19</v>
      </c>
      <c r="V482" s="175">
        <f t="shared" si="590"/>
        <v>31</v>
      </c>
      <c r="W482" s="175">
        <f t="shared" si="591"/>
        <v>34</v>
      </c>
      <c r="X482" s="175">
        <f t="shared" si="592"/>
        <v>40</v>
      </c>
      <c r="Y482" s="175">
        <f t="shared" si="593"/>
        <v>41</v>
      </c>
      <c r="Z482" s="175">
        <f t="shared" si="594"/>
        <v>59</v>
      </c>
      <c r="AA482" s="175">
        <f t="shared" si="595"/>
        <v>62</v>
      </c>
      <c r="AB482" s="175">
        <f t="shared" si="596"/>
        <v>66</v>
      </c>
      <c r="AC482" s="175">
        <f t="shared" si="597"/>
        <v>71</v>
      </c>
      <c r="AD482" s="175">
        <f t="shared" si="598"/>
        <v>71</v>
      </c>
      <c r="AE482" s="469">
        <f t="shared" si="585"/>
        <v>481</v>
      </c>
      <c r="AF482" s="169">
        <f t="shared" si="586"/>
        <v>71</v>
      </c>
    </row>
    <row r="483" spans="2:32" x14ac:dyDescent="0.35">
      <c r="B483" s="420">
        <f t="shared" si="599"/>
        <v>482</v>
      </c>
      <c r="C483" s="785" t="s">
        <v>117</v>
      </c>
      <c r="D483" s="64">
        <f>D480+D481</f>
        <v>1</v>
      </c>
      <c r="E483" s="64">
        <f t="shared" ref="E483:O483" si="600">E480+E481</f>
        <v>2</v>
      </c>
      <c r="F483" s="64">
        <f t="shared" si="600"/>
        <v>6</v>
      </c>
      <c r="G483" s="64">
        <f t="shared" si="600"/>
        <v>6</v>
      </c>
      <c r="H483" s="64">
        <f t="shared" si="600"/>
        <v>1</v>
      </c>
      <c r="I483" s="64">
        <f t="shared" si="600"/>
        <v>3</v>
      </c>
      <c r="J483" s="64">
        <f t="shared" si="600"/>
        <v>0</v>
      </c>
      <c r="K483" s="64">
        <f t="shared" si="600"/>
        <v>3</v>
      </c>
      <c r="L483" s="64">
        <f t="shared" si="600"/>
        <v>2</v>
      </c>
      <c r="M483" s="64">
        <f t="shared" si="600"/>
        <v>3</v>
      </c>
      <c r="N483" s="64">
        <f t="shared" si="600"/>
        <v>4</v>
      </c>
      <c r="O483" s="64">
        <f t="shared" si="600"/>
        <v>0</v>
      </c>
      <c r="Q483" s="469">
        <f t="shared" si="562"/>
        <v>482</v>
      </c>
      <c r="R483" s="785" t="s">
        <v>117</v>
      </c>
      <c r="S483" s="175">
        <f t="shared" ref="S483" si="601">D483</f>
        <v>1</v>
      </c>
      <c r="T483" s="175">
        <f t="shared" ref="T483" si="602">S483+E483</f>
        <v>3</v>
      </c>
      <c r="U483" s="175">
        <f t="shared" ref="U483" si="603">T483+F483</f>
        <v>9</v>
      </c>
      <c r="V483" s="175">
        <f t="shared" ref="V483" si="604">U483+G483</f>
        <v>15</v>
      </c>
      <c r="W483" s="175">
        <f t="shared" ref="W483" si="605">V483+H483</f>
        <v>16</v>
      </c>
      <c r="X483" s="175">
        <f t="shared" ref="X483" si="606">W483+I483</f>
        <v>19</v>
      </c>
      <c r="Y483" s="175">
        <f t="shared" ref="Y483" si="607">X483+J483</f>
        <v>19</v>
      </c>
      <c r="Z483" s="175">
        <f t="shared" ref="Z483" si="608">Y483+K483</f>
        <v>22</v>
      </c>
      <c r="AA483" s="175">
        <f t="shared" ref="AA483" si="609">Z483+L483</f>
        <v>24</v>
      </c>
      <c r="AB483" s="175">
        <f t="shared" ref="AB483" si="610">AA483+M483</f>
        <v>27</v>
      </c>
      <c r="AC483" s="175">
        <f t="shared" ref="AC483" si="611">AB483+N483</f>
        <v>31</v>
      </c>
      <c r="AD483" s="175">
        <f t="shared" ref="AD483" si="612">AC483+O483</f>
        <v>31</v>
      </c>
      <c r="AE483" s="469">
        <f t="shared" si="585"/>
        <v>482</v>
      </c>
      <c r="AF483" s="169">
        <f t="shared" si="586"/>
        <v>31</v>
      </c>
    </row>
    <row r="484" spans="2:32" x14ac:dyDescent="0.35">
      <c r="B484" s="420"/>
      <c r="C484" s="785"/>
      <c r="Q484" s="469"/>
    </row>
  </sheetData>
  <phoneticPr fontId="88" type="noConversion"/>
  <pageMargins left="0.7" right="0.7" top="0.75" bottom="0.75" header="0.3" footer="0.3"/>
  <pageSetup paperSize="9" orientation="portrait" r:id="rId1"/>
  <headerFooter>
    <oddFooter>&amp;C&amp;1#&amp;"Calibri"&amp;10&amp;K000000OFFICIAL</oddFooter>
  </headerFooter>
  <ignoredErrors>
    <ignoredError sqref="D33 D12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F694-D02F-42A3-9446-AE82C5879BC5}">
  <sheetPr>
    <tabColor theme="9"/>
  </sheetPr>
  <dimension ref="A1:B14"/>
  <sheetViews>
    <sheetView workbookViewId="0">
      <selection activeCell="R23" sqref="R23"/>
    </sheetView>
  </sheetViews>
  <sheetFormatPr defaultRowHeight="15.5" x14ac:dyDescent="0.35"/>
  <cols>
    <col min="1" max="1" width="25.53515625" bestFit="1" customWidth="1"/>
    <col min="2" max="2" width="29.23046875" customWidth="1"/>
  </cols>
  <sheetData>
    <row r="1" spans="1:2" s="64" customFormat="1" x14ac:dyDescent="0.35">
      <c r="B1" s="64" t="s">
        <v>227</v>
      </c>
    </row>
    <row r="2" spans="1:2" x14ac:dyDescent="0.35">
      <c r="A2" s="31" t="s">
        <v>226</v>
      </c>
    </row>
    <row r="3" spans="1:2" x14ac:dyDescent="0.35">
      <c r="A3" s="64" t="s">
        <v>225</v>
      </c>
      <c r="B3" s="291" t="s">
        <v>245</v>
      </c>
    </row>
    <row r="4" spans="1:2" x14ac:dyDescent="0.35">
      <c r="A4" t="s">
        <v>222</v>
      </c>
      <c r="B4" s="291" t="s">
        <v>246</v>
      </c>
    </row>
    <row r="5" spans="1:2" x14ac:dyDescent="0.35">
      <c r="A5" t="s">
        <v>223</v>
      </c>
      <c r="B5" s="291" t="s">
        <v>247</v>
      </c>
    </row>
    <row r="6" spans="1:2" x14ac:dyDescent="0.35">
      <c r="A6" t="s">
        <v>224</v>
      </c>
      <c r="B6" s="291" t="s">
        <v>248</v>
      </c>
    </row>
    <row r="7" spans="1:2" x14ac:dyDescent="0.35">
      <c r="A7" t="s">
        <v>228</v>
      </c>
      <c r="B7" s="291" t="s">
        <v>249</v>
      </c>
    </row>
    <row r="8" spans="1:2" x14ac:dyDescent="0.35">
      <c r="A8" t="s">
        <v>229</v>
      </c>
    </row>
    <row r="10" spans="1:2" x14ac:dyDescent="0.35">
      <c r="A10" t="s">
        <v>181</v>
      </c>
    </row>
    <row r="11" spans="1:2" x14ac:dyDescent="0.35">
      <c r="A11" s="20" t="s">
        <v>217</v>
      </c>
      <c r="B11" t="s">
        <v>230</v>
      </c>
    </row>
    <row r="12" spans="1:2" x14ac:dyDescent="0.35">
      <c r="A12" s="230" t="s">
        <v>219</v>
      </c>
      <c r="B12" s="64" t="s">
        <v>230</v>
      </c>
    </row>
    <row r="13" spans="1:2" x14ac:dyDescent="0.35">
      <c r="A13" s="230" t="s">
        <v>220</v>
      </c>
      <c r="B13" s="64" t="s">
        <v>230</v>
      </c>
    </row>
    <row r="14" spans="1:2" x14ac:dyDescent="0.35">
      <c r="A14" s="235" t="s">
        <v>221</v>
      </c>
      <c r="B14" s="64" t="s">
        <v>230</v>
      </c>
    </row>
  </sheetData>
  <pageMargins left="0.7" right="0.7" top="0.75" bottom="0.75" header="0.3" footer="0.3"/>
  <pageSetup paperSize="9" orientation="portrait" r:id="rId1"/>
  <headerFooter>
    <oddFooter>&amp;C&amp;1#&amp;"Calibri"&amp;10&amp;K000000OFFICIAL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FD01-336F-47D3-876C-D8A29C51B433}">
  <dimension ref="A1:AF492"/>
  <sheetViews>
    <sheetView topLeftCell="L1" zoomScaleNormal="100" workbookViewId="0">
      <pane ySplit="2" topLeftCell="A21" activePane="bottomLeft" state="frozen"/>
      <selection activeCell="R23" sqref="R23"/>
      <selection pane="bottomLeft" activeCell="Q462" sqref="Q462"/>
    </sheetView>
  </sheetViews>
  <sheetFormatPr defaultColWidth="8.84375" defaultRowHeight="15.5" x14ac:dyDescent="0.35"/>
  <cols>
    <col min="1" max="2" width="8.84375" style="227"/>
    <col min="3" max="3" width="60.07421875" style="310" bestFit="1" customWidth="1"/>
    <col min="4" max="16" width="8.84375" style="227"/>
    <col min="17" max="17" width="8.84375" style="521"/>
    <col min="18" max="18" width="60.07421875" style="45" bestFit="1" customWidth="1"/>
    <col min="19" max="29" width="8.84375" style="227"/>
    <col min="30" max="30" width="8.84375" style="505"/>
    <col min="31" max="31" width="8.84375" style="522"/>
    <col min="32" max="32" width="11.3046875" style="227" customWidth="1"/>
    <col min="33" max="16384" width="8.84375" style="227"/>
  </cols>
  <sheetData>
    <row r="1" spans="1:32" x14ac:dyDescent="0.35">
      <c r="A1" s="423"/>
      <c r="B1" s="423"/>
      <c r="C1" s="591"/>
      <c r="D1" s="423"/>
      <c r="E1" s="423"/>
      <c r="F1" s="423"/>
      <c r="G1" s="423"/>
      <c r="H1" s="520" t="s">
        <v>309</v>
      </c>
      <c r="I1" s="227" t="s">
        <v>310</v>
      </c>
      <c r="Q1" s="521" t="s">
        <v>347</v>
      </c>
      <c r="R1" s="521"/>
      <c r="Y1" s="520" t="s">
        <v>311</v>
      </c>
      <c r="Z1" s="520"/>
      <c r="AE1" s="522" t="s">
        <v>292</v>
      </c>
    </row>
    <row r="2" spans="1:32" s="523" customFormat="1" ht="23" x14ac:dyDescent="0.5">
      <c r="B2" s="484">
        <v>1</v>
      </c>
      <c r="C2" s="524" t="s">
        <v>0</v>
      </c>
      <c r="D2" s="432" t="s">
        <v>386</v>
      </c>
      <c r="E2" s="432" t="s">
        <v>387</v>
      </c>
      <c r="F2" s="432" t="s">
        <v>388</v>
      </c>
      <c r="G2" s="432" t="s">
        <v>389</v>
      </c>
      <c r="H2" s="432" t="s">
        <v>390</v>
      </c>
      <c r="I2" s="432" t="s">
        <v>391</v>
      </c>
      <c r="J2" s="432" t="s">
        <v>392</v>
      </c>
      <c r="K2" s="432" t="s">
        <v>393</v>
      </c>
      <c r="L2" s="432" t="s">
        <v>394</v>
      </c>
      <c r="M2" s="432" t="s">
        <v>395</v>
      </c>
      <c r="N2" s="432" t="s">
        <v>396</v>
      </c>
      <c r="O2" s="460" t="s">
        <v>397</v>
      </c>
      <c r="P2" s="525"/>
      <c r="Q2" s="526">
        <v>1</v>
      </c>
      <c r="R2" s="524" t="s">
        <v>0</v>
      </c>
      <c r="S2" s="504" t="s">
        <v>19</v>
      </c>
      <c r="T2" s="504" t="s">
        <v>20</v>
      </c>
      <c r="U2" s="504" t="s">
        <v>21</v>
      </c>
      <c r="V2" s="504" t="s">
        <v>22</v>
      </c>
      <c r="W2" s="504" t="s">
        <v>23</v>
      </c>
      <c r="X2" s="504" t="s">
        <v>24</v>
      </c>
      <c r="Y2" s="504" t="s">
        <v>25</v>
      </c>
      <c r="Z2" s="504" t="s">
        <v>26</v>
      </c>
      <c r="AA2" s="504" t="s">
        <v>27</v>
      </c>
      <c r="AB2" s="504" t="s">
        <v>28</v>
      </c>
      <c r="AC2" s="504" t="s">
        <v>29</v>
      </c>
      <c r="AD2" s="504" t="s">
        <v>30</v>
      </c>
      <c r="AE2" s="527">
        <v>1</v>
      </c>
      <c r="AF2" s="528" t="s">
        <v>83</v>
      </c>
    </row>
    <row r="3" spans="1:32" x14ac:dyDescent="0.35">
      <c r="B3" s="485">
        <v>2</v>
      </c>
      <c r="C3" s="529" t="s">
        <v>56</v>
      </c>
      <c r="D3" s="432" t="s">
        <v>386</v>
      </c>
      <c r="E3" s="432" t="s">
        <v>387</v>
      </c>
      <c r="F3" s="432" t="s">
        <v>388</v>
      </c>
      <c r="G3" s="432" t="s">
        <v>389</v>
      </c>
      <c r="H3" s="432" t="s">
        <v>390</v>
      </c>
      <c r="I3" s="432" t="s">
        <v>391</v>
      </c>
      <c r="J3" s="432" t="s">
        <v>392</v>
      </c>
      <c r="K3" s="432" t="s">
        <v>393</v>
      </c>
      <c r="L3" s="432" t="s">
        <v>394</v>
      </c>
      <c r="M3" s="432" t="s">
        <v>395</v>
      </c>
      <c r="N3" s="432" t="s">
        <v>396</v>
      </c>
      <c r="O3" s="460" t="s">
        <v>397</v>
      </c>
      <c r="P3" s="99"/>
      <c r="Q3" s="517">
        <v>2</v>
      </c>
      <c r="R3" s="530" t="s">
        <v>56</v>
      </c>
      <c r="S3" s="504" t="s">
        <v>19</v>
      </c>
      <c r="T3" s="504" t="s">
        <v>20</v>
      </c>
      <c r="U3" s="504" t="s">
        <v>21</v>
      </c>
      <c r="V3" s="504" t="s">
        <v>22</v>
      </c>
      <c r="W3" s="504" t="s">
        <v>23</v>
      </c>
      <c r="X3" s="504" t="s">
        <v>24</v>
      </c>
      <c r="Y3" s="504" t="s">
        <v>25</v>
      </c>
      <c r="Z3" s="504" t="s">
        <v>26</v>
      </c>
      <c r="AA3" s="504" t="s">
        <v>27</v>
      </c>
      <c r="AB3" s="504" t="s">
        <v>28</v>
      </c>
      <c r="AC3" s="504" t="s">
        <v>29</v>
      </c>
      <c r="AD3" s="504" t="s">
        <v>30</v>
      </c>
      <c r="AE3" s="469">
        <v>2</v>
      </c>
    </row>
    <row r="4" spans="1:32" x14ac:dyDescent="0.35">
      <c r="B4" s="486">
        <v>3</v>
      </c>
      <c r="C4" s="529" t="s">
        <v>33</v>
      </c>
      <c r="D4" s="487">
        <v>3108</v>
      </c>
      <c r="E4" s="487">
        <v>3352</v>
      </c>
      <c r="F4" s="487">
        <v>3398</v>
      </c>
      <c r="G4" s="487">
        <v>3559</v>
      </c>
      <c r="H4" s="487">
        <v>3568</v>
      </c>
      <c r="I4" s="487">
        <v>3481</v>
      </c>
      <c r="J4" s="487">
        <v>3670</v>
      </c>
      <c r="K4" s="487">
        <v>3436</v>
      </c>
      <c r="L4" s="487">
        <v>3346</v>
      </c>
      <c r="M4" s="487">
        <v>3178</v>
      </c>
      <c r="N4" s="487">
        <v>3023</v>
      </c>
      <c r="O4" s="487">
        <v>3264</v>
      </c>
      <c r="P4" s="488"/>
      <c r="Q4" s="517">
        <v>3</v>
      </c>
      <c r="R4" s="530" t="s">
        <v>33</v>
      </c>
      <c r="S4" s="176">
        <f>D4</f>
        <v>3108</v>
      </c>
      <c r="T4" s="176">
        <f t="shared" ref="T4:AC4" si="0">S4+E4</f>
        <v>6460</v>
      </c>
      <c r="U4" s="176">
        <f t="shared" si="0"/>
        <v>9858</v>
      </c>
      <c r="V4" s="176">
        <f t="shared" si="0"/>
        <v>13417</v>
      </c>
      <c r="W4" s="176">
        <f t="shared" si="0"/>
        <v>16985</v>
      </c>
      <c r="X4" s="176">
        <f t="shared" si="0"/>
        <v>20466</v>
      </c>
      <c r="Y4" s="176">
        <f t="shared" si="0"/>
        <v>24136</v>
      </c>
      <c r="Z4" s="176">
        <f t="shared" si="0"/>
        <v>27572</v>
      </c>
      <c r="AA4" s="176">
        <f t="shared" si="0"/>
        <v>30918</v>
      </c>
      <c r="AB4" s="176">
        <f t="shared" si="0"/>
        <v>34096</v>
      </c>
      <c r="AC4" s="176">
        <f t="shared" si="0"/>
        <v>37119</v>
      </c>
      <c r="AD4" s="462">
        <f>AC4+O4</f>
        <v>40383</v>
      </c>
      <c r="AE4" s="491">
        <v>3</v>
      </c>
      <c r="AF4" s="492">
        <v>40383.666666666672</v>
      </c>
    </row>
    <row r="5" spans="1:32" x14ac:dyDescent="0.35">
      <c r="B5" s="485">
        <v>4</v>
      </c>
      <c r="C5" s="529" t="s">
        <v>39</v>
      </c>
      <c r="D5" s="487">
        <v>327</v>
      </c>
      <c r="E5" s="487">
        <v>367</v>
      </c>
      <c r="F5" s="487">
        <v>396</v>
      </c>
      <c r="G5" s="487">
        <v>413</v>
      </c>
      <c r="H5" s="487">
        <v>383</v>
      </c>
      <c r="I5" s="487">
        <v>379</v>
      </c>
      <c r="J5" s="487">
        <v>394</v>
      </c>
      <c r="K5" s="487">
        <v>345</v>
      </c>
      <c r="L5" s="487">
        <v>399</v>
      </c>
      <c r="M5" s="487">
        <v>338</v>
      </c>
      <c r="N5" s="487">
        <v>310</v>
      </c>
      <c r="O5" s="487">
        <v>355</v>
      </c>
      <c r="P5" s="488"/>
      <c r="Q5" s="517">
        <v>4</v>
      </c>
      <c r="R5" s="530" t="s">
        <v>39</v>
      </c>
      <c r="S5" s="176">
        <f>D5</f>
        <v>327</v>
      </c>
      <c r="T5" s="176">
        <f t="shared" ref="T5:T6" si="1">S5+E5</f>
        <v>694</v>
      </c>
      <c r="U5" s="176">
        <f t="shared" ref="U5:U6" si="2">T5+F5</f>
        <v>1090</v>
      </c>
      <c r="V5" s="176">
        <f t="shared" ref="V5:V6" si="3">U5+G5</f>
        <v>1503</v>
      </c>
      <c r="W5" s="176">
        <f t="shared" ref="W5:W6" si="4">V5+H5</f>
        <v>1886</v>
      </c>
      <c r="X5" s="176">
        <f t="shared" ref="X5:X6" si="5">W5+I5</f>
        <v>2265</v>
      </c>
      <c r="Y5" s="176">
        <f t="shared" ref="Y5:Y6" si="6">X5+J5</f>
        <v>2659</v>
      </c>
      <c r="Z5" s="176">
        <f t="shared" ref="Z5:Z6" si="7">Y5+K5</f>
        <v>3004</v>
      </c>
      <c r="AA5" s="176">
        <f t="shared" ref="AA5:AA6" si="8">Z5+L5</f>
        <v>3403</v>
      </c>
      <c r="AB5" s="176">
        <f t="shared" ref="AB5:AB6" si="9">AA5+M5</f>
        <v>3741</v>
      </c>
      <c r="AC5" s="176">
        <f t="shared" ref="AC5:AC6" si="10">AB5+N5</f>
        <v>4051</v>
      </c>
      <c r="AD5" s="462">
        <f>AC5+O5</f>
        <v>4406</v>
      </c>
      <c r="AE5" s="469">
        <v>4</v>
      </c>
      <c r="AF5" s="492">
        <v>4406.3333333333339</v>
      </c>
    </row>
    <row r="6" spans="1:32" x14ac:dyDescent="0.35">
      <c r="B6" s="485">
        <v>5</v>
      </c>
      <c r="C6" s="529" t="s">
        <v>40</v>
      </c>
      <c r="D6" s="487">
        <v>713</v>
      </c>
      <c r="E6" s="487">
        <v>770</v>
      </c>
      <c r="F6" s="487">
        <v>818</v>
      </c>
      <c r="G6" s="487">
        <v>877</v>
      </c>
      <c r="H6" s="487">
        <v>856</v>
      </c>
      <c r="I6" s="487">
        <v>829</v>
      </c>
      <c r="J6" s="487">
        <v>897</v>
      </c>
      <c r="K6" s="487">
        <v>855</v>
      </c>
      <c r="L6" s="487">
        <v>838</v>
      </c>
      <c r="M6" s="487">
        <v>774</v>
      </c>
      <c r="N6" s="487">
        <v>757</v>
      </c>
      <c r="O6" s="487">
        <v>831</v>
      </c>
      <c r="P6" s="488"/>
      <c r="Q6" s="517">
        <v>5</v>
      </c>
      <c r="R6" s="530" t="s">
        <v>40</v>
      </c>
      <c r="S6" s="176">
        <f t="shared" ref="S6:S48" si="11">D6</f>
        <v>713</v>
      </c>
      <c r="T6" s="176">
        <f t="shared" si="1"/>
        <v>1483</v>
      </c>
      <c r="U6" s="176">
        <f t="shared" si="2"/>
        <v>2301</v>
      </c>
      <c r="V6" s="176">
        <f t="shared" si="3"/>
        <v>3178</v>
      </c>
      <c r="W6" s="176">
        <f t="shared" si="4"/>
        <v>4034</v>
      </c>
      <c r="X6" s="176">
        <f t="shared" si="5"/>
        <v>4863</v>
      </c>
      <c r="Y6" s="176">
        <f t="shared" si="6"/>
        <v>5760</v>
      </c>
      <c r="Z6" s="176">
        <f t="shared" si="7"/>
        <v>6615</v>
      </c>
      <c r="AA6" s="176">
        <f t="shared" si="8"/>
        <v>7453</v>
      </c>
      <c r="AB6" s="176">
        <f t="shared" si="9"/>
        <v>8227</v>
      </c>
      <c r="AC6" s="176">
        <f t="shared" si="10"/>
        <v>8984</v>
      </c>
      <c r="AD6" s="462">
        <f t="shared" ref="AD6:AD48" si="12">AC6+O6</f>
        <v>9815</v>
      </c>
      <c r="AE6" s="469">
        <v>5</v>
      </c>
      <c r="AF6" s="492">
        <v>9814.3333333333321</v>
      </c>
    </row>
    <row r="7" spans="1:32" x14ac:dyDescent="0.35">
      <c r="B7" s="485">
        <v>6</v>
      </c>
      <c r="C7" s="529" t="s">
        <v>5</v>
      </c>
      <c r="D7" s="487">
        <v>28</v>
      </c>
      <c r="E7" s="487">
        <v>38</v>
      </c>
      <c r="F7" s="487">
        <v>36</v>
      </c>
      <c r="G7" s="487">
        <v>41</v>
      </c>
      <c r="H7" s="487">
        <v>45</v>
      </c>
      <c r="I7" s="487">
        <v>38</v>
      </c>
      <c r="J7" s="487">
        <v>37</v>
      </c>
      <c r="K7" s="487">
        <v>37</v>
      </c>
      <c r="L7" s="487">
        <v>44</v>
      </c>
      <c r="M7" s="487">
        <v>38</v>
      </c>
      <c r="N7" s="487">
        <v>32</v>
      </c>
      <c r="O7" s="487">
        <v>43</v>
      </c>
      <c r="P7" s="488"/>
      <c r="Q7" s="517">
        <v>6</v>
      </c>
      <c r="R7" s="530" t="s">
        <v>5</v>
      </c>
      <c r="S7" s="176">
        <f t="shared" si="11"/>
        <v>28</v>
      </c>
      <c r="T7" s="176">
        <f t="shared" ref="T7:T48" si="13">S7+E7</f>
        <v>66</v>
      </c>
      <c r="U7" s="176">
        <f t="shared" ref="U7:U48" si="14">T7+F7</f>
        <v>102</v>
      </c>
      <c r="V7" s="176">
        <f t="shared" ref="V7:V48" si="15">U7+G7</f>
        <v>143</v>
      </c>
      <c r="W7" s="176">
        <f t="shared" ref="W7:W48" si="16">V7+H7</f>
        <v>188</v>
      </c>
      <c r="X7" s="176">
        <f t="shared" ref="X7:X48" si="17">W7+I7</f>
        <v>226</v>
      </c>
      <c r="Y7" s="176">
        <f t="shared" ref="Y7:Y48" si="18">X7+J7</f>
        <v>263</v>
      </c>
      <c r="Z7" s="176">
        <f t="shared" ref="Z7:Z48" si="19">Y7+K7</f>
        <v>300</v>
      </c>
      <c r="AA7" s="176">
        <f t="shared" ref="AA7:AA48" si="20">Z7+L7</f>
        <v>344</v>
      </c>
      <c r="AB7" s="176">
        <f t="shared" ref="AB7:AB48" si="21">AA7+M7</f>
        <v>382</v>
      </c>
      <c r="AC7" s="176">
        <f t="shared" ref="AC7:AC48" si="22">AB7+N7</f>
        <v>414</v>
      </c>
      <c r="AD7" s="462">
        <f t="shared" si="12"/>
        <v>457</v>
      </c>
      <c r="AE7" s="491">
        <v>6</v>
      </c>
      <c r="AF7" s="492">
        <v>457.99999999999994</v>
      </c>
    </row>
    <row r="8" spans="1:32" x14ac:dyDescent="0.35">
      <c r="B8" s="485">
        <v>7</v>
      </c>
      <c r="C8" s="529" t="s">
        <v>35</v>
      </c>
      <c r="D8" s="487">
        <v>67</v>
      </c>
      <c r="E8" s="487">
        <v>69</v>
      </c>
      <c r="F8" s="487">
        <v>79</v>
      </c>
      <c r="G8" s="487">
        <v>86</v>
      </c>
      <c r="H8" s="487">
        <v>68</v>
      </c>
      <c r="I8" s="487">
        <v>79</v>
      </c>
      <c r="J8" s="487">
        <v>72</v>
      </c>
      <c r="K8" s="487">
        <v>71</v>
      </c>
      <c r="L8" s="487">
        <v>76</v>
      </c>
      <c r="M8" s="487">
        <v>73</v>
      </c>
      <c r="N8" s="487">
        <v>77</v>
      </c>
      <c r="O8" s="487">
        <v>78</v>
      </c>
      <c r="P8" s="488"/>
      <c r="Q8" s="517">
        <v>7</v>
      </c>
      <c r="R8" s="530" t="s">
        <v>35</v>
      </c>
      <c r="S8" s="176">
        <f t="shared" si="11"/>
        <v>67</v>
      </c>
      <c r="T8" s="176">
        <f t="shared" si="13"/>
        <v>136</v>
      </c>
      <c r="U8" s="176">
        <f t="shared" si="14"/>
        <v>215</v>
      </c>
      <c r="V8" s="176">
        <f t="shared" si="15"/>
        <v>301</v>
      </c>
      <c r="W8" s="176">
        <f t="shared" si="16"/>
        <v>369</v>
      </c>
      <c r="X8" s="176">
        <f t="shared" si="17"/>
        <v>448</v>
      </c>
      <c r="Y8" s="176">
        <f t="shared" si="18"/>
        <v>520</v>
      </c>
      <c r="Z8" s="176">
        <f t="shared" si="19"/>
        <v>591</v>
      </c>
      <c r="AA8" s="176">
        <f t="shared" si="20"/>
        <v>667</v>
      </c>
      <c r="AB8" s="176">
        <f t="shared" si="21"/>
        <v>740</v>
      </c>
      <c r="AC8" s="176">
        <f t="shared" si="22"/>
        <v>817</v>
      </c>
      <c r="AD8" s="462">
        <f t="shared" si="12"/>
        <v>895</v>
      </c>
      <c r="AE8" s="469">
        <v>7</v>
      </c>
      <c r="AF8" s="492">
        <v>893.33333333333326</v>
      </c>
    </row>
    <row r="9" spans="1:32" x14ac:dyDescent="0.35">
      <c r="B9" s="486">
        <v>8</v>
      </c>
      <c r="C9" s="529" t="s">
        <v>36</v>
      </c>
      <c r="D9" s="487">
        <v>6</v>
      </c>
      <c r="E9" s="487">
        <v>3</v>
      </c>
      <c r="F9" s="487">
        <v>5</v>
      </c>
      <c r="G9" s="487">
        <v>4</v>
      </c>
      <c r="H9" s="487">
        <v>6</v>
      </c>
      <c r="I9" s="487">
        <v>5</v>
      </c>
      <c r="J9" s="487">
        <v>5</v>
      </c>
      <c r="K9" s="487">
        <v>4</v>
      </c>
      <c r="L9" s="487">
        <v>5</v>
      </c>
      <c r="M9" s="487">
        <v>3</v>
      </c>
      <c r="N9" s="487">
        <v>5</v>
      </c>
      <c r="O9" s="487">
        <v>6</v>
      </c>
      <c r="P9" s="488"/>
      <c r="Q9" s="517">
        <v>8</v>
      </c>
      <c r="R9" s="530" t="s">
        <v>36</v>
      </c>
      <c r="S9" s="176">
        <f t="shared" si="11"/>
        <v>6</v>
      </c>
      <c r="T9" s="176">
        <f t="shared" si="13"/>
        <v>9</v>
      </c>
      <c r="U9" s="176">
        <f t="shared" si="14"/>
        <v>14</v>
      </c>
      <c r="V9" s="176">
        <f t="shared" si="15"/>
        <v>18</v>
      </c>
      <c r="W9" s="176">
        <f t="shared" si="16"/>
        <v>24</v>
      </c>
      <c r="X9" s="176">
        <f t="shared" si="17"/>
        <v>29</v>
      </c>
      <c r="Y9" s="176">
        <f t="shared" si="18"/>
        <v>34</v>
      </c>
      <c r="Z9" s="176">
        <f t="shared" si="19"/>
        <v>38</v>
      </c>
      <c r="AA9" s="176">
        <f t="shared" si="20"/>
        <v>43</v>
      </c>
      <c r="AB9" s="176">
        <f t="shared" si="21"/>
        <v>46</v>
      </c>
      <c r="AC9" s="176">
        <f t="shared" si="22"/>
        <v>51</v>
      </c>
      <c r="AD9" s="462">
        <f t="shared" si="12"/>
        <v>57</v>
      </c>
      <c r="AE9" s="469">
        <v>8</v>
      </c>
      <c r="AF9" s="492">
        <v>56.333333333333336</v>
      </c>
    </row>
    <row r="10" spans="1:32" x14ac:dyDescent="0.35">
      <c r="B10" s="485">
        <v>9</v>
      </c>
      <c r="C10" s="531" t="s">
        <v>37</v>
      </c>
      <c r="D10" s="487">
        <v>30</v>
      </c>
      <c r="E10" s="487">
        <v>24</v>
      </c>
      <c r="F10" s="487">
        <v>27</v>
      </c>
      <c r="G10" s="487">
        <v>31</v>
      </c>
      <c r="H10" s="487">
        <v>28</v>
      </c>
      <c r="I10" s="487">
        <v>32</v>
      </c>
      <c r="J10" s="487">
        <v>36</v>
      </c>
      <c r="K10" s="487">
        <v>38</v>
      </c>
      <c r="L10" s="487">
        <v>31</v>
      </c>
      <c r="M10" s="487">
        <v>25</v>
      </c>
      <c r="N10" s="487">
        <v>20</v>
      </c>
      <c r="O10" s="487">
        <v>28</v>
      </c>
      <c r="P10" s="488"/>
      <c r="Q10" s="517">
        <v>9</v>
      </c>
      <c r="R10" s="530" t="s">
        <v>37</v>
      </c>
      <c r="S10" s="176">
        <f t="shared" si="11"/>
        <v>30</v>
      </c>
      <c r="T10" s="176">
        <f t="shared" si="13"/>
        <v>54</v>
      </c>
      <c r="U10" s="176">
        <f t="shared" si="14"/>
        <v>81</v>
      </c>
      <c r="V10" s="176">
        <f t="shared" si="15"/>
        <v>112</v>
      </c>
      <c r="W10" s="176">
        <f t="shared" si="16"/>
        <v>140</v>
      </c>
      <c r="X10" s="176">
        <f t="shared" si="17"/>
        <v>172</v>
      </c>
      <c r="Y10" s="176">
        <f t="shared" si="18"/>
        <v>208</v>
      </c>
      <c r="Z10" s="176">
        <f t="shared" si="19"/>
        <v>246</v>
      </c>
      <c r="AA10" s="176">
        <f t="shared" si="20"/>
        <v>277</v>
      </c>
      <c r="AB10" s="176">
        <f t="shared" si="21"/>
        <v>302</v>
      </c>
      <c r="AC10" s="176">
        <f t="shared" si="22"/>
        <v>322</v>
      </c>
      <c r="AD10" s="462">
        <f t="shared" si="12"/>
        <v>350</v>
      </c>
      <c r="AE10" s="469">
        <v>9</v>
      </c>
      <c r="AF10" s="492">
        <v>351.66666666666669</v>
      </c>
    </row>
    <row r="11" spans="1:32" x14ac:dyDescent="0.35">
      <c r="B11" s="485">
        <v>10</v>
      </c>
      <c r="C11" s="532" t="s">
        <v>31</v>
      </c>
      <c r="D11" s="487">
        <v>211</v>
      </c>
      <c r="E11" s="487">
        <v>189</v>
      </c>
      <c r="F11" s="487">
        <v>169</v>
      </c>
      <c r="G11" s="487">
        <v>186</v>
      </c>
      <c r="H11" s="487">
        <v>233</v>
      </c>
      <c r="I11" s="487">
        <v>195</v>
      </c>
      <c r="J11" s="487">
        <v>226</v>
      </c>
      <c r="K11" s="487">
        <v>213</v>
      </c>
      <c r="L11" s="487">
        <v>214</v>
      </c>
      <c r="M11" s="487">
        <v>187</v>
      </c>
      <c r="N11" s="487">
        <v>148</v>
      </c>
      <c r="O11" s="487">
        <v>160</v>
      </c>
      <c r="P11" s="488"/>
      <c r="Q11" s="517">
        <v>10</v>
      </c>
      <c r="R11" s="533" t="s">
        <v>31</v>
      </c>
      <c r="S11" s="176">
        <f t="shared" si="11"/>
        <v>211</v>
      </c>
      <c r="T11" s="176">
        <f t="shared" si="13"/>
        <v>400</v>
      </c>
      <c r="U11" s="176">
        <f t="shared" si="14"/>
        <v>569</v>
      </c>
      <c r="V11" s="176">
        <f t="shared" si="15"/>
        <v>755</v>
      </c>
      <c r="W11" s="176">
        <f t="shared" si="16"/>
        <v>988</v>
      </c>
      <c r="X11" s="176">
        <f t="shared" si="17"/>
        <v>1183</v>
      </c>
      <c r="Y11" s="176">
        <f t="shared" si="18"/>
        <v>1409</v>
      </c>
      <c r="Z11" s="176">
        <f t="shared" si="19"/>
        <v>1622</v>
      </c>
      <c r="AA11" s="176">
        <f t="shared" si="20"/>
        <v>1836</v>
      </c>
      <c r="AB11" s="176">
        <f t="shared" si="21"/>
        <v>2023</v>
      </c>
      <c r="AC11" s="176">
        <f t="shared" si="22"/>
        <v>2171</v>
      </c>
      <c r="AD11" s="462">
        <f t="shared" si="12"/>
        <v>2331</v>
      </c>
      <c r="AE11" s="469">
        <v>10</v>
      </c>
      <c r="AF11" s="492">
        <v>2331</v>
      </c>
    </row>
    <row r="12" spans="1:32" x14ac:dyDescent="0.35">
      <c r="B12" s="485">
        <v>11</v>
      </c>
      <c r="C12" s="532" t="s">
        <v>55</v>
      </c>
      <c r="D12" s="487">
        <v>84</v>
      </c>
      <c r="E12" s="487">
        <v>81</v>
      </c>
      <c r="F12" s="487">
        <v>76</v>
      </c>
      <c r="G12" s="487">
        <v>78</v>
      </c>
      <c r="H12" s="487">
        <v>85</v>
      </c>
      <c r="I12" s="487">
        <v>71</v>
      </c>
      <c r="J12" s="487">
        <v>78</v>
      </c>
      <c r="K12" s="487">
        <v>79</v>
      </c>
      <c r="L12" s="487">
        <v>69</v>
      </c>
      <c r="M12" s="487">
        <v>76</v>
      </c>
      <c r="N12" s="487">
        <v>87</v>
      </c>
      <c r="O12" s="487">
        <v>75</v>
      </c>
      <c r="P12" s="488"/>
      <c r="Q12" s="517">
        <v>11</v>
      </c>
      <c r="R12" s="533" t="s">
        <v>55</v>
      </c>
      <c r="S12" s="176">
        <f t="shared" si="11"/>
        <v>84</v>
      </c>
      <c r="T12" s="176">
        <f t="shared" si="13"/>
        <v>165</v>
      </c>
      <c r="U12" s="176">
        <f t="shared" si="14"/>
        <v>241</v>
      </c>
      <c r="V12" s="176">
        <f t="shared" si="15"/>
        <v>319</v>
      </c>
      <c r="W12" s="176">
        <f t="shared" si="16"/>
        <v>404</v>
      </c>
      <c r="X12" s="176">
        <f t="shared" si="17"/>
        <v>475</v>
      </c>
      <c r="Y12" s="176">
        <f t="shared" si="18"/>
        <v>553</v>
      </c>
      <c r="Z12" s="176">
        <f t="shared" si="19"/>
        <v>632</v>
      </c>
      <c r="AA12" s="176">
        <f t="shared" si="20"/>
        <v>701</v>
      </c>
      <c r="AB12" s="176">
        <f t="shared" si="21"/>
        <v>777</v>
      </c>
      <c r="AC12" s="176">
        <f t="shared" si="22"/>
        <v>864</v>
      </c>
      <c r="AD12" s="462">
        <f t="shared" si="12"/>
        <v>939</v>
      </c>
      <c r="AE12" s="491">
        <v>11</v>
      </c>
      <c r="AF12" s="492">
        <v>936.99999999999989</v>
      </c>
    </row>
    <row r="13" spans="1:32" x14ac:dyDescent="0.35">
      <c r="B13" s="485">
        <v>12</v>
      </c>
      <c r="C13" s="534" t="s">
        <v>38</v>
      </c>
      <c r="D13" s="487">
        <v>330</v>
      </c>
      <c r="E13" s="487">
        <v>357</v>
      </c>
      <c r="F13" s="487">
        <v>315</v>
      </c>
      <c r="G13" s="487">
        <v>323</v>
      </c>
      <c r="H13" s="487">
        <v>335</v>
      </c>
      <c r="I13" s="487">
        <v>398</v>
      </c>
      <c r="J13" s="487">
        <v>442</v>
      </c>
      <c r="K13" s="487">
        <v>406</v>
      </c>
      <c r="L13" s="487">
        <v>363</v>
      </c>
      <c r="M13" s="487">
        <v>385</v>
      </c>
      <c r="N13" s="487">
        <v>364</v>
      </c>
      <c r="O13" s="487">
        <v>317</v>
      </c>
      <c r="P13" s="488"/>
      <c r="Q13" s="517">
        <v>12</v>
      </c>
      <c r="R13" s="530" t="s">
        <v>38</v>
      </c>
      <c r="S13" s="176">
        <f t="shared" si="11"/>
        <v>330</v>
      </c>
      <c r="T13" s="176">
        <f t="shared" si="13"/>
        <v>687</v>
      </c>
      <c r="U13" s="176">
        <f t="shared" si="14"/>
        <v>1002</v>
      </c>
      <c r="V13" s="176">
        <f t="shared" si="15"/>
        <v>1325</v>
      </c>
      <c r="W13" s="176">
        <f t="shared" si="16"/>
        <v>1660</v>
      </c>
      <c r="X13" s="176">
        <f t="shared" si="17"/>
        <v>2058</v>
      </c>
      <c r="Y13" s="176">
        <f t="shared" si="18"/>
        <v>2500</v>
      </c>
      <c r="Z13" s="176">
        <f t="shared" si="19"/>
        <v>2906</v>
      </c>
      <c r="AA13" s="176">
        <f t="shared" si="20"/>
        <v>3269</v>
      </c>
      <c r="AB13" s="176">
        <f t="shared" si="21"/>
        <v>3654</v>
      </c>
      <c r="AC13" s="176">
        <f t="shared" si="22"/>
        <v>4018</v>
      </c>
      <c r="AD13" s="462">
        <f t="shared" si="12"/>
        <v>4335</v>
      </c>
      <c r="AE13" s="469">
        <v>12</v>
      </c>
      <c r="AF13" s="492">
        <v>4335</v>
      </c>
    </row>
    <row r="14" spans="1:32" x14ac:dyDescent="0.35">
      <c r="B14" s="486">
        <v>13</v>
      </c>
      <c r="C14" s="529" t="s">
        <v>17</v>
      </c>
      <c r="D14" s="487">
        <v>259</v>
      </c>
      <c r="E14" s="487">
        <v>264</v>
      </c>
      <c r="F14" s="487">
        <v>252</v>
      </c>
      <c r="G14" s="487">
        <v>269</v>
      </c>
      <c r="H14" s="487">
        <v>275</v>
      </c>
      <c r="I14" s="487">
        <v>254</v>
      </c>
      <c r="J14" s="487">
        <v>278</v>
      </c>
      <c r="K14" s="487">
        <v>247</v>
      </c>
      <c r="L14" s="487">
        <v>230</v>
      </c>
      <c r="M14" s="487">
        <v>232</v>
      </c>
      <c r="N14" s="487">
        <v>219</v>
      </c>
      <c r="O14" s="487">
        <v>230</v>
      </c>
      <c r="P14" s="488"/>
      <c r="Q14" s="517">
        <v>13</v>
      </c>
      <c r="R14" s="530" t="s">
        <v>17</v>
      </c>
      <c r="S14" s="176">
        <f t="shared" si="11"/>
        <v>259</v>
      </c>
      <c r="T14" s="176">
        <f t="shared" si="13"/>
        <v>523</v>
      </c>
      <c r="U14" s="176">
        <f t="shared" si="14"/>
        <v>775</v>
      </c>
      <c r="V14" s="176">
        <f t="shared" si="15"/>
        <v>1044</v>
      </c>
      <c r="W14" s="176">
        <f t="shared" si="16"/>
        <v>1319</v>
      </c>
      <c r="X14" s="176">
        <f t="shared" si="17"/>
        <v>1573</v>
      </c>
      <c r="Y14" s="176">
        <f t="shared" si="18"/>
        <v>1851</v>
      </c>
      <c r="Z14" s="176">
        <f t="shared" si="19"/>
        <v>2098</v>
      </c>
      <c r="AA14" s="176">
        <f t="shared" si="20"/>
        <v>2328</v>
      </c>
      <c r="AB14" s="176">
        <f t="shared" si="21"/>
        <v>2560</v>
      </c>
      <c r="AC14" s="176">
        <f t="shared" si="22"/>
        <v>2779</v>
      </c>
      <c r="AD14" s="462">
        <f t="shared" si="12"/>
        <v>3009</v>
      </c>
      <c r="AE14" s="469">
        <v>13</v>
      </c>
      <c r="AF14" s="492">
        <v>3008.3333333333335</v>
      </c>
    </row>
    <row r="15" spans="1:32" x14ac:dyDescent="0.35">
      <c r="B15" s="485">
        <v>14</v>
      </c>
      <c r="C15" s="529" t="s">
        <v>34</v>
      </c>
      <c r="D15" s="487">
        <v>320</v>
      </c>
      <c r="E15" s="487">
        <v>342</v>
      </c>
      <c r="F15" s="487">
        <v>352</v>
      </c>
      <c r="G15" s="487">
        <v>382</v>
      </c>
      <c r="H15" s="487">
        <v>390</v>
      </c>
      <c r="I15" s="487">
        <v>344</v>
      </c>
      <c r="J15" s="487">
        <v>342</v>
      </c>
      <c r="K15" s="487">
        <v>332</v>
      </c>
      <c r="L15" s="487">
        <v>334</v>
      </c>
      <c r="M15" s="487">
        <v>318</v>
      </c>
      <c r="N15" s="487">
        <v>302</v>
      </c>
      <c r="O15" s="487">
        <v>324</v>
      </c>
      <c r="P15" s="488"/>
      <c r="Q15" s="517">
        <v>14</v>
      </c>
      <c r="R15" s="530" t="s">
        <v>34</v>
      </c>
      <c r="S15" s="176">
        <f t="shared" si="11"/>
        <v>320</v>
      </c>
      <c r="T15" s="176">
        <f t="shared" si="13"/>
        <v>662</v>
      </c>
      <c r="U15" s="176">
        <f t="shared" si="14"/>
        <v>1014</v>
      </c>
      <c r="V15" s="176">
        <f t="shared" si="15"/>
        <v>1396</v>
      </c>
      <c r="W15" s="176">
        <f t="shared" si="16"/>
        <v>1786</v>
      </c>
      <c r="X15" s="176">
        <f t="shared" si="17"/>
        <v>2130</v>
      </c>
      <c r="Y15" s="176">
        <f t="shared" si="18"/>
        <v>2472</v>
      </c>
      <c r="Z15" s="176">
        <f t="shared" si="19"/>
        <v>2804</v>
      </c>
      <c r="AA15" s="176">
        <f t="shared" si="20"/>
        <v>3138</v>
      </c>
      <c r="AB15" s="176">
        <f t="shared" si="21"/>
        <v>3456</v>
      </c>
      <c r="AC15" s="176">
        <f t="shared" si="22"/>
        <v>3758</v>
      </c>
      <c r="AD15" s="462">
        <f t="shared" si="12"/>
        <v>4082</v>
      </c>
      <c r="AE15" s="491">
        <v>14</v>
      </c>
      <c r="AF15" s="492">
        <v>4080.333333333333</v>
      </c>
    </row>
    <row r="16" spans="1:32" x14ac:dyDescent="0.35">
      <c r="B16" s="485">
        <v>15</v>
      </c>
      <c r="C16" s="529" t="s">
        <v>41</v>
      </c>
      <c r="D16" s="487">
        <v>34</v>
      </c>
      <c r="E16" s="487">
        <v>26</v>
      </c>
      <c r="F16" s="487">
        <v>32</v>
      </c>
      <c r="G16" s="487">
        <v>34</v>
      </c>
      <c r="H16" s="487">
        <v>32</v>
      </c>
      <c r="I16" s="487">
        <v>37</v>
      </c>
      <c r="J16" s="487">
        <v>42</v>
      </c>
      <c r="K16" s="487">
        <v>42</v>
      </c>
      <c r="L16" s="487">
        <v>36</v>
      </c>
      <c r="M16" s="487">
        <v>28</v>
      </c>
      <c r="N16" s="487">
        <v>25</v>
      </c>
      <c r="O16" s="487">
        <v>31</v>
      </c>
      <c r="P16" s="488"/>
      <c r="Q16" s="517">
        <v>15</v>
      </c>
      <c r="R16" s="530" t="s">
        <v>41</v>
      </c>
      <c r="S16" s="176">
        <f t="shared" si="11"/>
        <v>34</v>
      </c>
      <c r="T16" s="176">
        <f t="shared" si="13"/>
        <v>60</v>
      </c>
      <c r="U16" s="176">
        <f t="shared" si="14"/>
        <v>92</v>
      </c>
      <c r="V16" s="176">
        <f t="shared" si="15"/>
        <v>126</v>
      </c>
      <c r="W16" s="176">
        <f t="shared" si="16"/>
        <v>158</v>
      </c>
      <c r="X16" s="176">
        <f t="shared" si="17"/>
        <v>195</v>
      </c>
      <c r="Y16" s="176">
        <f t="shared" si="18"/>
        <v>237</v>
      </c>
      <c r="Z16" s="176">
        <f t="shared" si="19"/>
        <v>279</v>
      </c>
      <c r="AA16" s="176">
        <f t="shared" si="20"/>
        <v>315</v>
      </c>
      <c r="AB16" s="176">
        <f t="shared" si="21"/>
        <v>343</v>
      </c>
      <c r="AC16" s="176">
        <f t="shared" si="22"/>
        <v>368</v>
      </c>
      <c r="AD16" s="462">
        <f t="shared" si="12"/>
        <v>399</v>
      </c>
      <c r="AE16" s="469">
        <v>15</v>
      </c>
      <c r="AF16" s="492">
        <v>400</v>
      </c>
    </row>
    <row r="17" spans="1:32" x14ac:dyDescent="0.35">
      <c r="B17" s="485">
        <v>16</v>
      </c>
      <c r="C17" s="529" t="s">
        <v>42</v>
      </c>
      <c r="D17" s="487">
        <v>1135</v>
      </c>
      <c r="E17" s="487">
        <v>1244</v>
      </c>
      <c r="F17" s="487">
        <v>1330</v>
      </c>
      <c r="G17" s="487">
        <v>1418</v>
      </c>
      <c r="H17" s="487">
        <v>1353</v>
      </c>
      <c r="I17" s="487">
        <v>1326</v>
      </c>
      <c r="J17" s="487">
        <v>1400</v>
      </c>
      <c r="K17" s="487">
        <v>1308</v>
      </c>
      <c r="L17" s="487">
        <v>1358</v>
      </c>
      <c r="M17" s="487">
        <v>1223</v>
      </c>
      <c r="N17" s="487">
        <v>1177</v>
      </c>
      <c r="O17" s="487">
        <v>1306</v>
      </c>
      <c r="P17" s="488"/>
      <c r="Q17" s="517">
        <v>16</v>
      </c>
      <c r="R17" s="530" t="s">
        <v>42</v>
      </c>
      <c r="S17" s="176">
        <f t="shared" si="11"/>
        <v>1135</v>
      </c>
      <c r="T17" s="176">
        <f t="shared" si="13"/>
        <v>2379</v>
      </c>
      <c r="U17" s="176">
        <f t="shared" si="14"/>
        <v>3709</v>
      </c>
      <c r="V17" s="176">
        <f t="shared" si="15"/>
        <v>5127</v>
      </c>
      <c r="W17" s="176">
        <f t="shared" si="16"/>
        <v>6480</v>
      </c>
      <c r="X17" s="176">
        <f t="shared" si="17"/>
        <v>7806</v>
      </c>
      <c r="Y17" s="176">
        <f t="shared" si="18"/>
        <v>9206</v>
      </c>
      <c r="Z17" s="176">
        <f t="shared" si="19"/>
        <v>10514</v>
      </c>
      <c r="AA17" s="176">
        <f t="shared" si="20"/>
        <v>11872</v>
      </c>
      <c r="AB17" s="176">
        <f t="shared" si="21"/>
        <v>13095</v>
      </c>
      <c r="AC17" s="176">
        <f t="shared" si="22"/>
        <v>14272</v>
      </c>
      <c r="AD17" s="462">
        <f t="shared" si="12"/>
        <v>15578</v>
      </c>
      <c r="AE17" s="469">
        <v>16</v>
      </c>
      <c r="AF17" s="492">
        <v>15578.000000000002</v>
      </c>
    </row>
    <row r="18" spans="1:32" x14ac:dyDescent="0.35">
      <c r="B18" s="485">
        <v>17</v>
      </c>
      <c r="C18" s="529" t="s">
        <v>43</v>
      </c>
      <c r="D18" s="487">
        <v>54</v>
      </c>
      <c r="E18" s="487">
        <v>54</v>
      </c>
      <c r="F18" s="487">
        <v>58</v>
      </c>
      <c r="G18" s="487">
        <v>67</v>
      </c>
      <c r="H18" s="487">
        <v>76</v>
      </c>
      <c r="I18" s="487">
        <v>53</v>
      </c>
      <c r="J18" s="487">
        <v>59</v>
      </c>
      <c r="K18" s="487">
        <v>46</v>
      </c>
      <c r="L18" s="487">
        <v>80</v>
      </c>
      <c r="M18" s="487">
        <v>55</v>
      </c>
      <c r="N18" s="487">
        <v>46</v>
      </c>
      <c r="O18" s="487">
        <v>46</v>
      </c>
      <c r="P18" s="488"/>
      <c r="Q18" s="517">
        <v>17</v>
      </c>
      <c r="R18" s="529" t="s">
        <v>43</v>
      </c>
      <c r="S18" s="176">
        <f t="shared" si="11"/>
        <v>54</v>
      </c>
      <c r="T18" s="176">
        <f t="shared" si="13"/>
        <v>108</v>
      </c>
      <c r="U18" s="176">
        <f t="shared" si="14"/>
        <v>166</v>
      </c>
      <c r="V18" s="176">
        <f t="shared" si="15"/>
        <v>233</v>
      </c>
      <c r="W18" s="176">
        <f t="shared" si="16"/>
        <v>309</v>
      </c>
      <c r="X18" s="176">
        <f t="shared" si="17"/>
        <v>362</v>
      </c>
      <c r="Y18" s="176">
        <f t="shared" si="18"/>
        <v>421</v>
      </c>
      <c r="Z18" s="176">
        <f t="shared" si="19"/>
        <v>467</v>
      </c>
      <c r="AA18" s="176">
        <f t="shared" si="20"/>
        <v>547</v>
      </c>
      <c r="AB18" s="176">
        <f t="shared" si="21"/>
        <v>602</v>
      </c>
      <c r="AC18" s="176">
        <f t="shared" si="22"/>
        <v>648</v>
      </c>
      <c r="AD18" s="462">
        <f t="shared" si="12"/>
        <v>694</v>
      </c>
      <c r="AE18" s="469">
        <v>17</v>
      </c>
      <c r="AF18" s="492">
        <v>693.66666666666663</v>
      </c>
    </row>
    <row r="19" spans="1:32" x14ac:dyDescent="0.35">
      <c r="B19" s="486">
        <v>18</v>
      </c>
      <c r="C19" s="529" t="s">
        <v>198</v>
      </c>
      <c r="D19" s="487">
        <v>66</v>
      </c>
      <c r="E19" s="487">
        <v>62</v>
      </c>
      <c r="F19" s="487">
        <v>64</v>
      </c>
      <c r="G19" s="487">
        <v>70</v>
      </c>
      <c r="H19" s="487">
        <v>75</v>
      </c>
      <c r="I19" s="487">
        <v>61</v>
      </c>
      <c r="J19" s="487">
        <v>68</v>
      </c>
      <c r="K19" s="487">
        <v>61</v>
      </c>
      <c r="L19" s="487">
        <v>72</v>
      </c>
      <c r="M19" s="487">
        <v>47</v>
      </c>
      <c r="N19" s="487">
        <v>56</v>
      </c>
      <c r="O19" s="487">
        <v>56</v>
      </c>
      <c r="P19" s="488"/>
      <c r="Q19" s="517">
        <v>18</v>
      </c>
      <c r="R19" s="529" t="s">
        <v>198</v>
      </c>
      <c r="S19" s="176">
        <f t="shared" si="11"/>
        <v>66</v>
      </c>
      <c r="T19" s="176">
        <f t="shared" si="13"/>
        <v>128</v>
      </c>
      <c r="U19" s="176">
        <f t="shared" si="14"/>
        <v>192</v>
      </c>
      <c r="V19" s="176">
        <f t="shared" si="15"/>
        <v>262</v>
      </c>
      <c r="W19" s="176">
        <f t="shared" si="16"/>
        <v>337</v>
      </c>
      <c r="X19" s="176">
        <f t="shared" si="17"/>
        <v>398</v>
      </c>
      <c r="Y19" s="176">
        <f t="shared" si="18"/>
        <v>466</v>
      </c>
      <c r="Z19" s="176">
        <f t="shared" si="19"/>
        <v>527</v>
      </c>
      <c r="AA19" s="176">
        <f t="shared" si="20"/>
        <v>599</v>
      </c>
      <c r="AB19" s="176">
        <f t="shared" si="21"/>
        <v>646</v>
      </c>
      <c r="AC19" s="176">
        <f t="shared" si="22"/>
        <v>702</v>
      </c>
      <c r="AD19" s="462">
        <f t="shared" si="12"/>
        <v>758</v>
      </c>
      <c r="AE19" s="469">
        <v>18</v>
      </c>
      <c r="AF19" s="492">
        <v>757.33333333333326</v>
      </c>
    </row>
    <row r="20" spans="1:32" x14ac:dyDescent="0.35">
      <c r="A20" s="227" t="s">
        <v>128</v>
      </c>
      <c r="B20" s="485">
        <v>19</v>
      </c>
      <c r="C20" s="529" t="s">
        <v>204</v>
      </c>
      <c r="D20" s="493">
        <v>120</v>
      </c>
      <c r="E20" s="493">
        <v>116</v>
      </c>
      <c r="F20" s="493">
        <v>122</v>
      </c>
      <c r="G20" s="493">
        <v>137</v>
      </c>
      <c r="H20" s="493">
        <v>151</v>
      </c>
      <c r="I20" s="493">
        <v>114</v>
      </c>
      <c r="J20" s="493">
        <v>127</v>
      </c>
      <c r="K20" s="493">
        <v>107</v>
      </c>
      <c r="L20" s="493">
        <v>152</v>
      </c>
      <c r="M20" s="493">
        <v>102</v>
      </c>
      <c r="N20" s="493">
        <v>101</v>
      </c>
      <c r="O20" s="493">
        <v>102</v>
      </c>
      <c r="P20" s="488"/>
      <c r="Q20" s="517">
        <v>19</v>
      </c>
      <c r="R20" s="529" t="s">
        <v>204</v>
      </c>
      <c r="S20" s="176">
        <f t="shared" si="11"/>
        <v>120</v>
      </c>
      <c r="T20" s="176">
        <f t="shared" si="13"/>
        <v>236</v>
      </c>
      <c r="U20" s="176">
        <f t="shared" si="14"/>
        <v>358</v>
      </c>
      <c r="V20" s="176">
        <f t="shared" si="15"/>
        <v>495</v>
      </c>
      <c r="W20" s="176">
        <f t="shared" si="16"/>
        <v>646</v>
      </c>
      <c r="X20" s="176">
        <f t="shared" si="17"/>
        <v>760</v>
      </c>
      <c r="Y20" s="176">
        <f t="shared" si="18"/>
        <v>887</v>
      </c>
      <c r="Z20" s="176">
        <f t="shared" si="19"/>
        <v>994</v>
      </c>
      <c r="AA20" s="176">
        <f t="shared" si="20"/>
        <v>1146</v>
      </c>
      <c r="AB20" s="176">
        <f t="shared" si="21"/>
        <v>1248</v>
      </c>
      <c r="AC20" s="176">
        <f t="shared" si="22"/>
        <v>1349</v>
      </c>
      <c r="AD20" s="462">
        <f t="shared" si="12"/>
        <v>1451</v>
      </c>
      <c r="AE20" s="491">
        <v>19</v>
      </c>
      <c r="AF20" s="492">
        <v>1451</v>
      </c>
    </row>
    <row r="21" spans="1:32" x14ac:dyDescent="0.35">
      <c r="B21" s="485">
        <v>20</v>
      </c>
      <c r="C21" s="529" t="s">
        <v>44</v>
      </c>
      <c r="D21" s="487">
        <v>4</v>
      </c>
      <c r="E21" s="487">
        <v>4</v>
      </c>
      <c r="F21" s="487">
        <v>5</v>
      </c>
      <c r="G21" s="487">
        <v>4</v>
      </c>
      <c r="H21" s="487">
        <v>6</v>
      </c>
      <c r="I21" s="487">
        <v>5</v>
      </c>
      <c r="J21" s="487">
        <v>5</v>
      </c>
      <c r="K21" s="487">
        <v>4</v>
      </c>
      <c r="L21" s="487">
        <v>4</v>
      </c>
      <c r="M21" s="487">
        <v>4</v>
      </c>
      <c r="N21" s="487">
        <v>4</v>
      </c>
      <c r="O21" s="487">
        <v>4</v>
      </c>
      <c r="P21" s="488"/>
      <c r="Q21" s="517">
        <v>20</v>
      </c>
      <c r="R21" s="529" t="s">
        <v>44</v>
      </c>
      <c r="S21" s="176">
        <f t="shared" si="11"/>
        <v>4</v>
      </c>
      <c r="T21" s="176">
        <f t="shared" si="13"/>
        <v>8</v>
      </c>
      <c r="U21" s="176">
        <f t="shared" si="14"/>
        <v>13</v>
      </c>
      <c r="V21" s="176">
        <f t="shared" si="15"/>
        <v>17</v>
      </c>
      <c r="W21" s="176">
        <f t="shared" si="16"/>
        <v>23</v>
      </c>
      <c r="X21" s="176">
        <f t="shared" si="17"/>
        <v>28</v>
      </c>
      <c r="Y21" s="176">
        <f t="shared" si="18"/>
        <v>33</v>
      </c>
      <c r="Z21" s="176">
        <f t="shared" si="19"/>
        <v>37</v>
      </c>
      <c r="AA21" s="176">
        <f t="shared" si="20"/>
        <v>41</v>
      </c>
      <c r="AB21" s="176">
        <f t="shared" si="21"/>
        <v>45</v>
      </c>
      <c r="AC21" s="176">
        <f t="shared" si="22"/>
        <v>49</v>
      </c>
      <c r="AD21" s="462">
        <f t="shared" si="12"/>
        <v>53</v>
      </c>
      <c r="AE21" s="469">
        <v>20</v>
      </c>
      <c r="AF21" s="492">
        <v>53.999999999999993</v>
      </c>
    </row>
    <row r="22" spans="1:32" x14ac:dyDescent="0.35">
      <c r="B22" s="485">
        <v>21</v>
      </c>
      <c r="C22" s="529" t="s">
        <v>199</v>
      </c>
      <c r="D22" s="487">
        <v>5</v>
      </c>
      <c r="E22" s="487">
        <v>5</v>
      </c>
      <c r="F22" s="487">
        <v>5</v>
      </c>
      <c r="G22" s="487">
        <v>6</v>
      </c>
      <c r="H22" s="487">
        <v>5</v>
      </c>
      <c r="I22" s="487">
        <v>6</v>
      </c>
      <c r="J22" s="487">
        <v>4</v>
      </c>
      <c r="K22" s="487">
        <v>4</v>
      </c>
      <c r="L22" s="487">
        <v>6</v>
      </c>
      <c r="M22" s="487">
        <v>5</v>
      </c>
      <c r="N22" s="487">
        <v>4</v>
      </c>
      <c r="O22" s="487">
        <v>4</v>
      </c>
      <c r="P22" s="488"/>
      <c r="Q22" s="517">
        <v>21</v>
      </c>
      <c r="R22" s="529" t="s">
        <v>199</v>
      </c>
      <c r="S22" s="176">
        <f t="shared" si="11"/>
        <v>5</v>
      </c>
      <c r="T22" s="176">
        <f t="shared" si="13"/>
        <v>10</v>
      </c>
      <c r="U22" s="176">
        <f t="shared" si="14"/>
        <v>15</v>
      </c>
      <c r="V22" s="176">
        <f t="shared" si="15"/>
        <v>21</v>
      </c>
      <c r="W22" s="176">
        <f t="shared" si="16"/>
        <v>26</v>
      </c>
      <c r="X22" s="176">
        <f t="shared" si="17"/>
        <v>32</v>
      </c>
      <c r="Y22" s="176">
        <f t="shared" si="18"/>
        <v>36</v>
      </c>
      <c r="Z22" s="176">
        <f t="shared" si="19"/>
        <v>40</v>
      </c>
      <c r="AA22" s="176">
        <f t="shared" si="20"/>
        <v>46</v>
      </c>
      <c r="AB22" s="176">
        <f t="shared" si="21"/>
        <v>51</v>
      </c>
      <c r="AC22" s="176">
        <f t="shared" si="22"/>
        <v>55</v>
      </c>
      <c r="AD22" s="462">
        <f t="shared" si="12"/>
        <v>59</v>
      </c>
      <c r="AE22" s="469">
        <v>21</v>
      </c>
      <c r="AF22" s="492">
        <v>59.166666666666664</v>
      </c>
    </row>
    <row r="23" spans="1:32" x14ac:dyDescent="0.35">
      <c r="A23" s="227" t="s">
        <v>128</v>
      </c>
      <c r="B23" s="485">
        <v>22</v>
      </c>
      <c r="C23" s="529" t="s">
        <v>205</v>
      </c>
      <c r="D23" s="493">
        <v>9</v>
      </c>
      <c r="E23" s="493">
        <v>10</v>
      </c>
      <c r="F23" s="493">
        <v>10</v>
      </c>
      <c r="G23" s="493">
        <v>11</v>
      </c>
      <c r="H23" s="493">
        <v>11</v>
      </c>
      <c r="I23" s="493">
        <v>11</v>
      </c>
      <c r="J23" s="493">
        <v>9</v>
      </c>
      <c r="K23" s="493">
        <v>8</v>
      </c>
      <c r="L23" s="493">
        <v>9</v>
      </c>
      <c r="M23" s="493">
        <v>9</v>
      </c>
      <c r="N23" s="493">
        <v>8</v>
      </c>
      <c r="O23" s="493">
        <v>8</v>
      </c>
      <c r="P23" s="488"/>
      <c r="Q23" s="517">
        <v>22</v>
      </c>
      <c r="R23" s="529" t="s">
        <v>205</v>
      </c>
      <c r="S23" s="176">
        <f t="shared" si="11"/>
        <v>9</v>
      </c>
      <c r="T23" s="176">
        <f t="shared" si="13"/>
        <v>19</v>
      </c>
      <c r="U23" s="176">
        <f t="shared" si="14"/>
        <v>29</v>
      </c>
      <c r="V23" s="176">
        <f t="shared" si="15"/>
        <v>40</v>
      </c>
      <c r="W23" s="176">
        <f t="shared" si="16"/>
        <v>51</v>
      </c>
      <c r="X23" s="176">
        <f t="shared" si="17"/>
        <v>62</v>
      </c>
      <c r="Y23" s="176">
        <f t="shared" si="18"/>
        <v>71</v>
      </c>
      <c r="Z23" s="176">
        <f t="shared" si="19"/>
        <v>79</v>
      </c>
      <c r="AA23" s="176">
        <f t="shared" si="20"/>
        <v>88</v>
      </c>
      <c r="AB23" s="176">
        <f t="shared" si="21"/>
        <v>97</v>
      </c>
      <c r="AC23" s="176">
        <f t="shared" si="22"/>
        <v>105</v>
      </c>
      <c r="AD23" s="462">
        <f t="shared" si="12"/>
        <v>113</v>
      </c>
      <c r="AE23" s="491">
        <v>22</v>
      </c>
      <c r="AF23" s="492">
        <v>113.16666666666667</v>
      </c>
    </row>
    <row r="24" spans="1:32" x14ac:dyDescent="0.35">
      <c r="A24" s="227" t="s">
        <v>128</v>
      </c>
      <c r="B24" s="486">
        <v>23</v>
      </c>
      <c r="C24" s="529" t="s">
        <v>84</v>
      </c>
      <c r="D24" s="493">
        <v>129</v>
      </c>
      <c r="E24" s="493">
        <v>126</v>
      </c>
      <c r="F24" s="493">
        <v>132</v>
      </c>
      <c r="G24" s="493">
        <v>148</v>
      </c>
      <c r="H24" s="493">
        <v>162</v>
      </c>
      <c r="I24" s="493">
        <v>125</v>
      </c>
      <c r="J24" s="493">
        <v>137</v>
      </c>
      <c r="K24" s="493">
        <v>115</v>
      </c>
      <c r="L24" s="493">
        <v>162</v>
      </c>
      <c r="M24" s="493">
        <v>110</v>
      </c>
      <c r="N24" s="493">
        <v>109</v>
      </c>
      <c r="O24" s="493">
        <v>110</v>
      </c>
      <c r="P24" s="488"/>
      <c r="Q24" s="517">
        <v>23</v>
      </c>
      <c r="R24" s="529" t="s">
        <v>84</v>
      </c>
      <c r="S24" s="176">
        <f t="shared" si="11"/>
        <v>129</v>
      </c>
      <c r="T24" s="176">
        <f t="shared" si="13"/>
        <v>255</v>
      </c>
      <c r="U24" s="176">
        <f t="shared" si="14"/>
        <v>387</v>
      </c>
      <c r="V24" s="176">
        <f t="shared" si="15"/>
        <v>535</v>
      </c>
      <c r="W24" s="176">
        <f t="shared" si="16"/>
        <v>697</v>
      </c>
      <c r="X24" s="176">
        <f t="shared" si="17"/>
        <v>822</v>
      </c>
      <c r="Y24" s="176">
        <f t="shared" si="18"/>
        <v>959</v>
      </c>
      <c r="Z24" s="176">
        <f t="shared" si="19"/>
        <v>1074</v>
      </c>
      <c r="AA24" s="176">
        <f t="shared" si="20"/>
        <v>1236</v>
      </c>
      <c r="AB24" s="176">
        <f t="shared" si="21"/>
        <v>1346</v>
      </c>
      <c r="AC24" s="176">
        <f t="shared" si="22"/>
        <v>1455</v>
      </c>
      <c r="AD24" s="462">
        <f t="shared" si="12"/>
        <v>1565</v>
      </c>
      <c r="AE24" s="469">
        <v>23</v>
      </c>
      <c r="AF24" s="492">
        <v>1564.1666666666667</v>
      </c>
    </row>
    <row r="25" spans="1:32" x14ac:dyDescent="0.35">
      <c r="B25" s="485">
        <v>24</v>
      </c>
      <c r="C25" s="529" t="s">
        <v>45</v>
      </c>
      <c r="D25" s="487">
        <v>140</v>
      </c>
      <c r="E25" s="487">
        <v>132</v>
      </c>
      <c r="F25" s="487">
        <v>144</v>
      </c>
      <c r="G25" s="487">
        <v>155</v>
      </c>
      <c r="H25" s="487">
        <v>136</v>
      </c>
      <c r="I25" s="487">
        <v>126</v>
      </c>
      <c r="J25" s="487">
        <v>141</v>
      </c>
      <c r="K25" s="487">
        <v>127</v>
      </c>
      <c r="L25" s="487">
        <v>165</v>
      </c>
      <c r="M25" s="487">
        <v>140</v>
      </c>
      <c r="N25" s="487">
        <v>124</v>
      </c>
      <c r="O25" s="487">
        <v>133</v>
      </c>
      <c r="P25" s="488"/>
      <c r="Q25" s="517">
        <v>24</v>
      </c>
      <c r="R25" s="529" t="s">
        <v>45</v>
      </c>
      <c r="S25" s="176">
        <f t="shared" si="11"/>
        <v>140</v>
      </c>
      <c r="T25" s="176">
        <f t="shared" si="13"/>
        <v>272</v>
      </c>
      <c r="U25" s="176">
        <f t="shared" si="14"/>
        <v>416</v>
      </c>
      <c r="V25" s="176">
        <f t="shared" si="15"/>
        <v>571</v>
      </c>
      <c r="W25" s="176">
        <f t="shared" si="16"/>
        <v>707</v>
      </c>
      <c r="X25" s="176">
        <f t="shared" si="17"/>
        <v>833</v>
      </c>
      <c r="Y25" s="176">
        <f t="shared" si="18"/>
        <v>974</v>
      </c>
      <c r="Z25" s="176">
        <f t="shared" si="19"/>
        <v>1101</v>
      </c>
      <c r="AA25" s="176">
        <f t="shared" si="20"/>
        <v>1266</v>
      </c>
      <c r="AB25" s="176">
        <f t="shared" si="21"/>
        <v>1406</v>
      </c>
      <c r="AC25" s="176">
        <f t="shared" si="22"/>
        <v>1530</v>
      </c>
      <c r="AD25" s="462">
        <f t="shared" si="12"/>
        <v>1663</v>
      </c>
      <c r="AE25" s="469">
        <v>24</v>
      </c>
      <c r="AF25" s="492">
        <v>1663.6666666666665</v>
      </c>
    </row>
    <row r="26" spans="1:32" x14ac:dyDescent="0.35">
      <c r="B26" s="485">
        <v>25</v>
      </c>
      <c r="C26" s="529" t="s">
        <v>191</v>
      </c>
      <c r="D26" s="487">
        <v>306</v>
      </c>
      <c r="E26" s="487">
        <v>321</v>
      </c>
      <c r="F26" s="487">
        <v>334</v>
      </c>
      <c r="G26" s="487">
        <v>373</v>
      </c>
      <c r="H26" s="487">
        <v>356</v>
      </c>
      <c r="I26" s="487">
        <v>356</v>
      </c>
      <c r="J26" s="487">
        <v>345</v>
      </c>
      <c r="K26" s="487">
        <v>336</v>
      </c>
      <c r="L26" s="487">
        <v>359</v>
      </c>
      <c r="M26" s="487">
        <v>318</v>
      </c>
      <c r="N26" s="487">
        <v>304</v>
      </c>
      <c r="O26" s="487">
        <v>308</v>
      </c>
      <c r="P26" s="488"/>
      <c r="Q26" s="517">
        <v>25</v>
      </c>
      <c r="R26" s="529" t="s">
        <v>191</v>
      </c>
      <c r="S26" s="176">
        <f t="shared" si="11"/>
        <v>306</v>
      </c>
      <c r="T26" s="176">
        <f t="shared" si="13"/>
        <v>627</v>
      </c>
      <c r="U26" s="176">
        <f t="shared" si="14"/>
        <v>961</v>
      </c>
      <c r="V26" s="176">
        <f t="shared" si="15"/>
        <v>1334</v>
      </c>
      <c r="W26" s="176">
        <f t="shared" si="16"/>
        <v>1690</v>
      </c>
      <c r="X26" s="176">
        <f t="shared" si="17"/>
        <v>2046</v>
      </c>
      <c r="Y26" s="176">
        <f t="shared" si="18"/>
        <v>2391</v>
      </c>
      <c r="Z26" s="176">
        <f t="shared" si="19"/>
        <v>2727</v>
      </c>
      <c r="AA26" s="176">
        <f t="shared" si="20"/>
        <v>3086</v>
      </c>
      <c r="AB26" s="176">
        <f t="shared" si="21"/>
        <v>3404</v>
      </c>
      <c r="AC26" s="176">
        <f t="shared" si="22"/>
        <v>3708</v>
      </c>
      <c r="AD26" s="462">
        <f t="shared" si="12"/>
        <v>4016</v>
      </c>
      <c r="AE26" s="469">
        <v>25</v>
      </c>
      <c r="AF26" s="492">
        <v>4016.0000000000005</v>
      </c>
    </row>
    <row r="27" spans="1:32" x14ac:dyDescent="0.35">
      <c r="B27" s="485">
        <v>26</v>
      </c>
      <c r="C27" s="529" t="s">
        <v>53</v>
      </c>
      <c r="D27" s="487">
        <v>20</v>
      </c>
      <c r="E27" s="487">
        <v>23</v>
      </c>
      <c r="F27" s="487">
        <v>23</v>
      </c>
      <c r="G27" s="487">
        <v>26</v>
      </c>
      <c r="H27" s="487">
        <v>32</v>
      </c>
      <c r="I27" s="487">
        <v>30</v>
      </c>
      <c r="J27" s="487">
        <v>26</v>
      </c>
      <c r="K27" s="487">
        <v>25</v>
      </c>
      <c r="L27" s="487">
        <v>28</v>
      </c>
      <c r="M27" s="487">
        <v>22</v>
      </c>
      <c r="N27" s="487">
        <v>20</v>
      </c>
      <c r="O27" s="487">
        <v>21</v>
      </c>
      <c r="P27" s="488"/>
      <c r="Q27" s="517">
        <v>26</v>
      </c>
      <c r="R27" s="530" t="s">
        <v>53</v>
      </c>
      <c r="S27" s="176">
        <f t="shared" si="11"/>
        <v>20</v>
      </c>
      <c r="T27" s="176">
        <f t="shared" si="13"/>
        <v>43</v>
      </c>
      <c r="U27" s="176">
        <f t="shared" si="14"/>
        <v>66</v>
      </c>
      <c r="V27" s="176">
        <f t="shared" si="15"/>
        <v>92</v>
      </c>
      <c r="W27" s="176">
        <f t="shared" si="16"/>
        <v>124</v>
      </c>
      <c r="X27" s="176">
        <f t="shared" si="17"/>
        <v>154</v>
      </c>
      <c r="Y27" s="176">
        <f t="shared" si="18"/>
        <v>180</v>
      </c>
      <c r="Z27" s="176">
        <f t="shared" si="19"/>
        <v>205</v>
      </c>
      <c r="AA27" s="176">
        <f t="shared" si="20"/>
        <v>233</v>
      </c>
      <c r="AB27" s="176">
        <f t="shared" si="21"/>
        <v>255</v>
      </c>
      <c r="AC27" s="176">
        <f t="shared" si="22"/>
        <v>275</v>
      </c>
      <c r="AD27" s="462">
        <f t="shared" si="12"/>
        <v>296</v>
      </c>
      <c r="AE27" s="469">
        <v>26</v>
      </c>
      <c r="AF27" s="492">
        <v>295</v>
      </c>
    </row>
    <row r="28" spans="1:32" x14ac:dyDescent="0.35">
      <c r="B28" s="485">
        <v>27</v>
      </c>
      <c r="C28" s="529" t="s">
        <v>54</v>
      </c>
      <c r="D28" s="487">
        <v>18</v>
      </c>
      <c r="E28" s="487">
        <v>20</v>
      </c>
      <c r="F28" s="487">
        <v>18</v>
      </c>
      <c r="G28" s="487">
        <v>19</v>
      </c>
      <c r="H28" s="487">
        <v>22</v>
      </c>
      <c r="I28" s="487">
        <v>13</v>
      </c>
      <c r="J28" s="487">
        <v>19</v>
      </c>
      <c r="K28" s="487">
        <v>17</v>
      </c>
      <c r="L28" s="487">
        <v>19</v>
      </c>
      <c r="M28" s="487">
        <v>12</v>
      </c>
      <c r="N28" s="487">
        <v>18</v>
      </c>
      <c r="O28" s="487">
        <v>17</v>
      </c>
      <c r="P28" s="488"/>
      <c r="Q28" s="517">
        <v>27</v>
      </c>
      <c r="R28" s="530" t="s">
        <v>54</v>
      </c>
      <c r="S28" s="176">
        <f t="shared" si="11"/>
        <v>18</v>
      </c>
      <c r="T28" s="176">
        <f t="shared" si="13"/>
        <v>38</v>
      </c>
      <c r="U28" s="176">
        <f t="shared" si="14"/>
        <v>56</v>
      </c>
      <c r="V28" s="176">
        <f t="shared" si="15"/>
        <v>75</v>
      </c>
      <c r="W28" s="176">
        <f t="shared" si="16"/>
        <v>97</v>
      </c>
      <c r="X28" s="176">
        <f t="shared" si="17"/>
        <v>110</v>
      </c>
      <c r="Y28" s="176">
        <f t="shared" si="18"/>
        <v>129</v>
      </c>
      <c r="Z28" s="176">
        <f t="shared" si="19"/>
        <v>146</v>
      </c>
      <c r="AA28" s="176">
        <f t="shared" si="20"/>
        <v>165</v>
      </c>
      <c r="AB28" s="176">
        <f t="shared" si="21"/>
        <v>177</v>
      </c>
      <c r="AC28" s="176">
        <f t="shared" si="22"/>
        <v>195</v>
      </c>
      <c r="AD28" s="462">
        <f t="shared" si="12"/>
        <v>212</v>
      </c>
      <c r="AE28" s="491">
        <v>27</v>
      </c>
      <c r="AF28" s="492">
        <v>213.00000000000003</v>
      </c>
    </row>
    <row r="29" spans="1:32" x14ac:dyDescent="0.35">
      <c r="B29" s="486">
        <v>28</v>
      </c>
      <c r="C29" s="529" t="s">
        <v>46</v>
      </c>
      <c r="D29" s="487">
        <v>4</v>
      </c>
      <c r="E29" s="487">
        <v>5</v>
      </c>
      <c r="F29" s="487">
        <v>4</v>
      </c>
      <c r="G29" s="487">
        <v>4</v>
      </c>
      <c r="H29" s="487">
        <v>5</v>
      </c>
      <c r="I29" s="487">
        <v>4</v>
      </c>
      <c r="J29" s="487">
        <v>3</v>
      </c>
      <c r="K29" s="487">
        <v>6</v>
      </c>
      <c r="L29" s="487">
        <v>4</v>
      </c>
      <c r="M29" s="487">
        <v>6</v>
      </c>
      <c r="N29" s="487">
        <v>5</v>
      </c>
      <c r="O29" s="487">
        <v>5</v>
      </c>
      <c r="P29" s="488"/>
      <c r="Q29" s="517">
        <v>28</v>
      </c>
      <c r="R29" s="530" t="s">
        <v>46</v>
      </c>
      <c r="S29" s="176">
        <f t="shared" si="11"/>
        <v>4</v>
      </c>
      <c r="T29" s="176">
        <f t="shared" si="13"/>
        <v>9</v>
      </c>
      <c r="U29" s="176">
        <f t="shared" si="14"/>
        <v>13</v>
      </c>
      <c r="V29" s="176">
        <f t="shared" si="15"/>
        <v>17</v>
      </c>
      <c r="W29" s="176">
        <f t="shared" si="16"/>
        <v>22</v>
      </c>
      <c r="X29" s="176">
        <f t="shared" si="17"/>
        <v>26</v>
      </c>
      <c r="Y29" s="176">
        <f t="shared" si="18"/>
        <v>29</v>
      </c>
      <c r="Z29" s="176">
        <f t="shared" si="19"/>
        <v>35</v>
      </c>
      <c r="AA29" s="176">
        <f t="shared" si="20"/>
        <v>39</v>
      </c>
      <c r="AB29" s="176">
        <f t="shared" si="21"/>
        <v>45</v>
      </c>
      <c r="AC29" s="176">
        <f t="shared" si="22"/>
        <v>50</v>
      </c>
      <c r="AD29" s="462">
        <f t="shared" si="12"/>
        <v>55</v>
      </c>
      <c r="AE29" s="469">
        <v>28</v>
      </c>
      <c r="AF29" s="492">
        <v>55.333333333333329</v>
      </c>
    </row>
    <row r="30" spans="1:32" x14ac:dyDescent="0.35">
      <c r="B30" s="485">
        <v>29</v>
      </c>
      <c r="C30" s="529" t="s">
        <v>47</v>
      </c>
      <c r="D30" s="487">
        <v>53</v>
      </c>
      <c r="E30" s="487">
        <v>65</v>
      </c>
      <c r="F30" s="487">
        <v>55</v>
      </c>
      <c r="G30" s="487">
        <v>63</v>
      </c>
      <c r="H30" s="487">
        <v>61</v>
      </c>
      <c r="I30" s="487">
        <v>75</v>
      </c>
      <c r="J30" s="487">
        <v>94</v>
      </c>
      <c r="K30" s="487">
        <v>92</v>
      </c>
      <c r="L30" s="487">
        <v>70</v>
      </c>
      <c r="M30" s="487">
        <v>78</v>
      </c>
      <c r="N30" s="487">
        <v>84</v>
      </c>
      <c r="O30" s="487">
        <v>56</v>
      </c>
      <c r="P30" s="488"/>
      <c r="Q30" s="517">
        <v>29</v>
      </c>
      <c r="R30" s="530" t="s">
        <v>47</v>
      </c>
      <c r="S30" s="176">
        <f t="shared" si="11"/>
        <v>53</v>
      </c>
      <c r="T30" s="176">
        <f t="shared" si="13"/>
        <v>118</v>
      </c>
      <c r="U30" s="176">
        <f t="shared" si="14"/>
        <v>173</v>
      </c>
      <c r="V30" s="176">
        <f t="shared" si="15"/>
        <v>236</v>
      </c>
      <c r="W30" s="176">
        <f t="shared" si="16"/>
        <v>297</v>
      </c>
      <c r="X30" s="176">
        <f t="shared" si="17"/>
        <v>372</v>
      </c>
      <c r="Y30" s="176">
        <f t="shared" si="18"/>
        <v>466</v>
      </c>
      <c r="Z30" s="176">
        <f t="shared" si="19"/>
        <v>558</v>
      </c>
      <c r="AA30" s="176">
        <f t="shared" si="20"/>
        <v>628</v>
      </c>
      <c r="AB30" s="176">
        <f t="shared" si="21"/>
        <v>706</v>
      </c>
      <c r="AC30" s="176">
        <f t="shared" si="22"/>
        <v>790</v>
      </c>
      <c r="AD30" s="462">
        <f t="shared" si="12"/>
        <v>846</v>
      </c>
      <c r="AE30" s="469">
        <v>29</v>
      </c>
      <c r="AF30" s="492">
        <v>845.33333333333337</v>
      </c>
    </row>
    <row r="31" spans="1:32" x14ac:dyDescent="0.35">
      <c r="B31" s="485">
        <v>30</v>
      </c>
      <c r="C31" s="535" t="s">
        <v>48</v>
      </c>
      <c r="D31" s="487">
        <v>208</v>
      </c>
      <c r="E31" s="487">
        <v>216</v>
      </c>
      <c r="F31" s="487">
        <v>182</v>
      </c>
      <c r="G31" s="487">
        <v>183</v>
      </c>
      <c r="H31" s="487">
        <v>191</v>
      </c>
      <c r="I31" s="487">
        <v>238</v>
      </c>
      <c r="J31" s="487">
        <v>263</v>
      </c>
      <c r="K31" s="487">
        <v>234</v>
      </c>
      <c r="L31" s="487">
        <v>210</v>
      </c>
      <c r="M31" s="487">
        <v>232</v>
      </c>
      <c r="N31" s="487">
        <v>220</v>
      </c>
      <c r="O31" s="487">
        <v>191</v>
      </c>
      <c r="P31" s="488"/>
      <c r="Q31" s="517">
        <v>30</v>
      </c>
      <c r="R31" s="530" t="s">
        <v>48</v>
      </c>
      <c r="S31" s="176">
        <f t="shared" si="11"/>
        <v>208</v>
      </c>
      <c r="T31" s="176">
        <f t="shared" si="13"/>
        <v>424</v>
      </c>
      <c r="U31" s="176">
        <f t="shared" si="14"/>
        <v>606</v>
      </c>
      <c r="V31" s="176">
        <f t="shared" si="15"/>
        <v>789</v>
      </c>
      <c r="W31" s="176">
        <f t="shared" si="16"/>
        <v>980</v>
      </c>
      <c r="X31" s="176">
        <f t="shared" si="17"/>
        <v>1218</v>
      </c>
      <c r="Y31" s="176">
        <f t="shared" si="18"/>
        <v>1481</v>
      </c>
      <c r="Z31" s="176">
        <f t="shared" si="19"/>
        <v>1715</v>
      </c>
      <c r="AA31" s="176">
        <f t="shared" si="20"/>
        <v>1925</v>
      </c>
      <c r="AB31" s="176">
        <f t="shared" si="21"/>
        <v>2157</v>
      </c>
      <c r="AC31" s="176">
        <f t="shared" si="22"/>
        <v>2377</v>
      </c>
      <c r="AD31" s="462">
        <f t="shared" si="12"/>
        <v>2568</v>
      </c>
      <c r="AE31" s="491">
        <v>30</v>
      </c>
      <c r="AF31" s="492">
        <v>2567.3333333333335</v>
      </c>
    </row>
    <row r="32" spans="1:32" x14ac:dyDescent="0.35">
      <c r="B32" s="485">
        <v>31</v>
      </c>
      <c r="C32" s="535" t="s">
        <v>49</v>
      </c>
      <c r="D32" s="487">
        <v>64</v>
      </c>
      <c r="E32" s="487">
        <v>72</v>
      </c>
      <c r="F32" s="487">
        <v>75</v>
      </c>
      <c r="G32" s="487">
        <v>73</v>
      </c>
      <c r="H32" s="487">
        <v>78</v>
      </c>
      <c r="I32" s="487">
        <v>82</v>
      </c>
      <c r="J32" s="487">
        <v>82</v>
      </c>
      <c r="K32" s="487">
        <v>75</v>
      </c>
      <c r="L32" s="487">
        <v>80</v>
      </c>
      <c r="M32" s="487">
        <v>68</v>
      </c>
      <c r="N32" s="487">
        <v>55</v>
      </c>
      <c r="O32" s="487">
        <v>65</v>
      </c>
      <c r="P32" s="488"/>
      <c r="Q32" s="517">
        <v>31</v>
      </c>
      <c r="R32" s="530" t="s">
        <v>49</v>
      </c>
      <c r="S32" s="176">
        <f t="shared" si="11"/>
        <v>64</v>
      </c>
      <c r="T32" s="176">
        <f t="shared" si="13"/>
        <v>136</v>
      </c>
      <c r="U32" s="176">
        <f t="shared" si="14"/>
        <v>211</v>
      </c>
      <c r="V32" s="176">
        <f t="shared" si="15"/>
        <v>284</v>
      </c>
      <c r="W32" s="176">
        <f t="shared" si="16"/>
        <v>362</v>
      </c>
      <c r="X32" s="176">
        <f t="shared" si="17"/>
        <v>444</v>
      </c>
      <c r="Y32" s="176">
        <f t="shared" si="18"/>
        <v>526</v>
      </c>
      <c r="Z32" s="176">
        <f t="shared" si="19"/>
        <v>601</v>
      </c>
      <c r="AA32" s="176">
        <f t="shared" si="20"/>
        <v>681</v>
      </c>
      <c r="AB32" s="176">
        <f t="shared" si="21"/>
        <v>749</v>
      </c>
      <c r="AC32" s="176">
        <f t="shared" si="22"/>
        <v>804</v>
      </c>
      <c r="AD32" s="462">
        <f t="shared" si="12"/>
        <v>869</v>
      </c>
      <c r="AE32" s="469">
        <v>31</v>
      </c>
      <c r="AF32" s="492">
        <v>868.33333333333326</v>
      </c>
    </row>
    <row r="33" spans="1:32" x14ac:dyDescent="0.35">
      <c r="A33" s="227" t="s">
        <v>128</v>
      </c>
      <c r="B33" s="485">
        <v>32</v>
      </c>
      <c r="C33" s="529" t="s">
        <v>85</v>
      </c>
      <c r="D33" s="493">
        <v>68</v>
      </c>
      <c r="E33" s="493">
        <v>76</v>
      </c>
      <c r="F33" s="493">
        <v>79</v>
      </c>
      <c r="G33" s="493">
        <v>77</v>
      </c>
      <c r="H33" s="493">
        <v>83</v>
      </c>
      <c r="I33" s="493">
        <v>86</v>
      </c>
      <c r="J33" s="493">
        <v>85</v>
      </c>
      <c r="K33" s="493">
        <v>81</v>
      </c>
      <c r="L33" s="493">
        <v>83</v>
      </c>
      <c r="M33" s="493">
        <v>74</v>
      </c>
      <c r="N33" s="493">
        <v>60</v>
      </c>
      <c r="O33" s="493">
        <v>70</v>
      </c>
      <c r="P33" s="488"/>
      <c r="Q33" s="517">
        <v>32</v>
      </c>
      <c r="R33" s="530" t="s">
        <v>85</v>
      </c>
      <c r="S33" s="176">
        <f t="shared" si="11"/>
        <v>68</v>
      </c>
      <c r="T33" s="176">
        <f t="shared" si="13"/>
        <v>144</v>
      </c>
      <c r="U33" s="176">
        <f t="shared" si="14"/>
        <v>223</v>
      </c>
      <c r="V33" s="176">
        <f t="shared" si="15"/>
        <v>300</v>
      </c>
      <c r="W33" s="176">
        <f t="shared" si="16"/>
        <v>383</v>
      </c>
      <c r="X33" s="176">
        <f t="shared" si="17"/>
        <v>469</v>
      </c>
      <c r="Y33" s="176">
        <f t="shared" si="18"/>
        <v>554</v>
      </c>
      <c r="Z33" s="176">
        <f t="shared" si="19"/>
        <v>635</v>
      </c>
      <c r="AA33" s="176">
        <f t="shared" si="20"/>
        <v>718</v>
      </c>
      <c r="AB33" s="176">
        <f t="shared" si="21"/>
        <v>792</v>
      </c>
      <c r="AC33" s="176">
        <f t="shared" si="22"/>
        <v>852</v>
      </c>
      <c r="AD33" s="462">
        <f t="shared" si="12"/>
        <v>922</v>
      </c>
      <c r="AE33" s="469">
        <v>32</v>
      </c>
      <c r="AF33" s="492">
        <v>923.66666666666663</v>
      </c>
    </row>
    <row r="34" spans="1:32" x14ac:dyDescent="0.35">
      <c r="B34" s="486">
        <v>33</v>
      </c>
      <c r="C34" s="529" t="s">
        <v>50</v>
      </c>
      <c r="D34" s="487">
        <v>330</v>
      </c>
      <c r="E34" s="487">
        <v>357</v>
      </c>
      <c r="F34" s="487">
        <v>315</v>
      </c>
      <c r="G34" s="487">
        <v>323</v>
      </c>
      <c r="H34" s="487">
        <v>335</v>
      </c>
      <c r="I34" s="487">
        <v>398</v>
      </c>
      <c r="J34" s="487">
        <v>442</v>
      </c>
      <c r="K34" s="487">
        <v>406</v>
      </c>
      <c r="L34" s="487">
        <v>363</v>
      </c>
      <c r="M34" s="487">
        <v>385</v>
      </c>
      <c r="N34" s="487">
        <v>364</v>
      </c>
      <c r="O34" s="487">
        <v>317</v>
      </c>
      <c r="P34" s="488"/>
      <c r="Q34" s="517">
        <v>33</v>
      </c>
      <c r="R34" s="530" t="s">
        <v>50</v>
      </c>
      <c r="S34" s="176">
        <f t="shared" si="11"/>
        <v>330</v>
      </c>
      <c r="T34" s="176">
        <f t="shared" si="13"/>
        <v>687</v>
      </c>
      <c r="U34" s="176">
        <f t="shared" si="14"/>
        <v>1002</v>
      </c>
      <c r="V34" s="176">
        <f t="shared" si="15"/>
        <v>1325</v>
      </c>
      <c r="W34" s="176">
        <f t="shared" si="16"/>
        <v>1660</v>
      </c>
      <c r="X34" s="176">
        <f t="shared" si="17"/>
        <v>2058</v>
      </c>
      <c r="Y34" s="176">
        <f t="shared" si="18"/>
        <v>2500</v>
      </c>
      <c r="Z34" s="176">
        <f t="shared" si="19"/>
        <v>2906</v>
      </c>
      <c r="AA34" s="176">
        <f t="shared" si="20"/>
        <v>3269</v>
      </c>
      <c r="AB34" s="176">
        <f t="shared" si="21"/>
        <v>3654</v>
      </c>
      <c r="AC34" s="176">
        <f t="shared" si="22"/>
        <v>4018</v>
      </c>
      <c r="AD34" s="462">
        <f t="shared" si="12"/>
        <v>4335</v>
      </c>
      <c r="AE34" s="469">
        <v>33</v>
      </c>
      <c r="AF34" s="492">
        <v>4335</v>
      </c>
    </row>
    <row r="35" spans="1:32" x14ac:dyDescent="0.35">
      <c r="B35" s="485">
        <v>34</v>
      </c>
      <c r="C35" s="531" t="s">
        <v>348</v>
      </c>
      <c r="D35" s="487">
        <v>65</v>
      </c>
      <c r="E35" s="487">
        <v>80</v>
      </c>
      <c r="F35" s="487">
        <v>87</v>
      </c>
      <c r="G35" s="487">
        <v>79</v>
      </c>
      <c r="H35" s="487">
        <v>79</v>
      </c>
      <c r="I35" s="487">
        <v>84</v>
      </c>
      <c r="J35" s="487">
        <v>78</v>
      </c>
      <c r="K35" s="487">
        <v>73</v>
      </c>
      <c r="L35" s="487">
        <v>56</v>
      </c>
      <c r="M35" s="487">
        <v>63</v>
      </c>
      <c r="N35" s="487">
        <v>61</v>
      </c>
      <c r="O35" s="487">
        <v>76</v>
      </c>
      <c r="P35" s="488"/>
      <c r="Q35" s="517">
        <v>34</v>
      </c>
      <c r="R35" s="530" t="s">
        <v>348</v>
      </c>
      <c r="S35" s="176">
        <f t="shared" si="11"/>
        <v>65</v>
      </c>
      <c r="T35" s="176">
        <f t="shared" si="13"/>
        <v>145</v>
      </c>
      <c r="U35" s="176">
        <f t="shared" si="14"/>
        <v>232</v>
      </c>
      <c r="V35" s="176">
        <f t="shared" si="15"/>
        <v>311</v>
      </c>
      <c r="W35" s="176">
        <f t="shared" si="16"/>
        <v>390</v>
      </c>
      <c r="X35" s="176">
        <f t="shared" si="17"/>
        <v>474</v>
      </c>
      <c r="Y35" s="176">
        <f t="shared" si="18"/>
        <v>552</v>
      </c>
      <c r="Z35" s="176">
        <f t="shared" si="19"/>
        <v>625</v>
      </c>
      <c r="AA35" s="176">
        <f t="shared" si="20"/>
        <v>681</v>
      </c>
      <c r="AB35" s="176">
        <f t="shared" si="21"/>
        <v>744</v>
      </c>
      <c r="AC35" s="176">
        <f t="shared" si="22"/>
        <v>805</v>
      </c>
      <c r="AD35" s="462">
        <f t="shared" si="12"/>
        <v>881</v>
      </c>
      <c r="AE35" s="469">
        <v>34</v>
      </c>
      <c r="AF35" s="492">
        <v>881</v>
      </c>
    </row>
    <row r="36" spans="1:32" x14ac:dyDescent="0.35">
      <c r="B36" s="485">
        <v>35</v>
      </c>
      <c r="C36" s="532" t="s">
        <v>349</v>
      </c>
      <c r="D36" s="487">
        <v>869</v>
      </c>
      <c r="E36" s="487">
        <v>937</v>
      </c>
      <c r="F36" s="487">
        <v>971</v>
      </c>
      <c r="G36" s="487">
        <v>1036</v>
      </c>
      <c r="H36" s="487">
        <v>971</v>
      </c>
      <c r="I36" s="487">
        <v>935</v>
      </c>
      <c r="J36" s="487">
        <v>925</v>
      </c>
      <c r="K36" s="487">
        <v>905</v>
      </c>
      <c r="L36" s="487">
        <v>956</v>
      </c>
      <c r="M36" s="487">
        <v>872</v>
      </c>
      <c r="N36" s="487">
        <v>821</v>
      </c>
      <c r="O36" s="487">
        <v>900</v>
      </c>
      <c r="P36" s="488"/>
      <c r="Q36" s="517">
        <v>35</v>
      </c>
      <c r="R36" s="533" t="s">
        <v>349</v>
      </c>
      <c r="S36" s="176">
        <f t="shared" si="11"/>
        <v>869</v>
      </c>
      <c r="T36" s="176">
        <f t="shared" si="13"/>
        <v>1806</v>
      </c>
      <c r="U36" s="176">
        <f t="shared" si="14"/>
        <v>2777</v>
      </c>
      <c r="V36" s="176">
        <f t="shared" si="15"/>
        <v>3813</v>
      </c>
      <c r="W36" s="176">
        <f t="shared" si="16"/>
        <v>4784</v>
      </c>
      <c r="X36" s="176">
        <f t="shared" si="17"/>
        <v>5719</v>
      </c>
      <c r="Y36" s="176">
        <f t="shared" si="18"/>
        <v>6644</v>
      </c>
      <c r="Z36" s="176">
        <f t="shared" si="19"/>
        <v>7549</v>
      </c>
      <c r="AA36" s="176">
        <f t="shared" si="20"/>
        <v>8505</v>
      </c>
      <c r="AB36" s="176">
        <f t="shared" si="21"/>
        <v>9377</v>
      </c>
      <c r="AC36" s="176">
        <f t="shared" si="22"/>
        <v>10198</v>
      </c>
      <c r="AD36" s="462">
        <f t="shared" si="12"/>
        <v>11098</v>
      </c>
      <c r="AE36" s="491">
        <v>35</v>
      </c>
      <c r="AF36" s="492">
        <v>11097</v>
      </c>
    </row>
    <row r="37" spans="1:32" x14ac:dyDescent="0.35">
      <c r="B37" s="485">
        <v>36</v>
      </c>
      <c r="C37" s="536" t="s">
        <v>352</v>
      </c>
      <c r="D37" s="487">
        <v>439</v>
      </c>
      <c r="E37" s="487">
        <v>504</v>
      </c>
      <c r="F37" s="487">
        <v>527</v>
      </c>
      <c r="G37" s="487">
        <v>560</v>
      </c>
      <c r="H37" s="487">
        <v>506</v>
      </c>
      <c r="I37" s="487">
        <v>510</v>
      </c>
      <c r="J37" s="487">
        <v>468</v>
      </c>
      <c r="K37" s="487">
        <v>468</v>
      </c>
      <c r="L37" s="487">
        <v>430</v>
      </c>
      <c r="M37" s="487">
        <v>434</v>
      </c>
      <c r="N37" s="487">
        <v>427</v>
      </c>
      <c r="O37" s="487">
        <v>473</v>
      </c>
      <c r="P37" s="488"/>
      <c r="Q37" s="517">
        <v>36</v>
      </c>
      <c r="R37" s="533" t="s">
        <v>352</v>
      </c>
      <c r="S37" s="176">
        <f t="shared" si="11"/>
        <v>439</v>
      </c>
      <c r="T37" s="176">
        <f t="shared" si="13"/>
        <v>943</v>
      </c>
      <c r="U37" s="176">
        <f t="shared" si="14"/>
        <v>1470</v>
      </c>
      <c r="V37" s="176">
        <f t="shared" si="15"/>
        <v>2030</v>
      </c>
      <c r="W37" s="176">
        <f t="shared" si="16"/>
        <v>2536</v>
      </c>
      <c r="X37" s="176">
        <f t="shared" si="17"/>
        <v>3046</v>
      </c>
      <c r="Y37" s="176">
        <f t="shared" si="18"/>
        <v>3514</v>
      </c>
      <c r="Z37" s="176">
        <f t="shared" si="19"/>
        <v>3982</v>
      </c>
      <c r="AA37" s="176">
        <f t="shared" si="20"/>
        <v>4412</v>
      </c>
      <c r="AB37" s="176">
        <f t="shared" si="21"/>
        <v>4846</v>
      </c>
      <c r="AC37" s="176">
        <f t="shared" si="22"/>
        <v>5273</v>
      </c>
      <c r="AD37" s="462">
        <f t="shared" si="12"/>
        <v>5746</v>
      </c>
      <c r="AE37" s="469">
        <v>36</v>
      </c>
      <c r="AF37" s="492">
        <v>5743</v>
      </c>
    </row>
    <row r="38" spans="1:32" x14ac:dyDescent="0.35">
      <c r="B38" s="485">
        <v>37</v>
      </c>
      <c r="C38" s="532" t="s">
        <v>350</v>
      </c>
      <c r="D38" s="487">
        <v>12</v>
      </c>
      <c r="E38" s="487">
        <v>11</v>
      </c>
      <c r="F38" s="487">
        <v>13</v>
      </c>
      <c r="G38" s="487">
        <v>14</v>
      </c>
      <c r="H38" s="487">
        <v>8</v>
      </c>
      <c r="I38" s="487">
        <v>9</v>
      </c>
      <c r="J38" s="487">
        <v>10</v>
      </c>
      <c r="K38" s="487">
        <v>9</v>
      </c>
      <c r="L38" s="487">
        <v>12</v>
      </c>
      <c r="M38" s="487">
        <v>10</v>
      </c>
      <c r="N38" s="487">
        <v>8</v>
      </c>
      <c r="O38" s="487">
        <v>5</v>
      </c>
      <c r="P38" s="488"/>
      <c r="Q38" s="517">
        <v>37</v>
      </c>
      <c r="R38" s="533" t="s">
        <v>350</v>
      </c>
      <c r="S38" s="176">
        <f t="shared" si="11"/>
        <v>12</v>
      </c>
      <c r="T38" s="176">
        <f t="shared" si="13"/>
        <v>23</v>
      </c>
      <c r="U38" s="176">
        <f t="shared" si="14"/>
        <v>36</v>
      </c>
      <c r="V38" s="176">
        <f t="shared" si="15"/>
        <v>50</v>
      </c>
      <c r="W38" s="176">
        <f t="shared" si="16"/>
        <v>58</v>
      </c>
      <c r="X38" s="176">
        <f t="shared" si="17"/>
        <v>67</v>
      </c>
      <c r="Y38" s="176">
        <f t="shared" si="18"/>
        <v>77</v>
      </c>
      <c r="Z38" s="176">
        <f t="shared" si="19"/>
        <v>86</v>
      </c>
      <c r="AA38" s="176">
        <f t="shared" si="20"/>
        <v>98</v>
      </c>
      <c r="AB38" s="176">
        <f t="shared" si="21"/>
        <v>108</v>
      </c>
      <c r="AC38" s="176">
        <f t="shared" si="22"/>
        <v>116</v>
      </c>
      <c r="AD38" s="462">
        <f t="shared" si="12"/>
        <v>121</v>
      </c>
      <c r="AE38" s="469">
        <v>37</v>
      </c>
      <c r="AF38" s="492">
        <v>122.66666666666664</v>
      </c>
    </row>
    <row r="39" spans="1:32" x14ac:dyDescent="0.35">
      <c r="B39" s="486">
        <v>38</v>
      </c>
      <c r="C39" s="534" t="s">
        <v>52</v>
      </c>
      <c r="D39" s="487">
        <v>433</v>
      </c>
      <c r="E39" s="487">
        <v>475</v>
      </c>
      <c r="F39" s="487">
        <v>479</v>
      </c>
      <c r="G39" s="487">
        <v>498</v>
      </c>
      <c r="H39" s="487">
        <v>497</v>
      </c>
      <c r="I39" s="487">
        <v>482</v>
      </c>
      <c r="J39" s="487">
        <v>547</v>
      </c>
      <c r="K39" s="487">
        <v>457</v>
      </c>
      <c r="L39" s="487">
        <v>480</v>
      </c>
      <c r="M39" s="487">
        <v>455</v>
      </c>
      <c r="N39" s="487">
        <v>469</v>
      </c>
      <c r="O39" s="487">
        <v>467</v>
      </c>
      <c r="P39" s="488"/>
      <c r="Q39" s="517">
        <v>38</v>
      </c>
      <c r="R39" s="530" t="s">
        <v>52</v>
      </c>
      <c r="S39" s="176">
        <f t="shared" si="11"/>
        <v>433</v>
      </c>
      <c r="T39" s="176">
        <f t="shared" si="13"/>
        <v>908</v>
      </c>
      <c r="U39" s="176">
        <f t="shared" si="14"/>
        <v>1387</v>
      </c>
      <c r="V39" s="176">
        <f t="shared" si="15"/>
        <v>1885</v>
      </c>
      <c r="W39" s="176">
        <f t="shared" si="16"/>
        <v>2382</v>
      </c>
      <c r="X39" s="176">
        <f t="shared" si="17"/>
        <v>2864</v>
      </c>
      <c r="Y39" s="176">
        <f t="shared" si="18"/>
        <v>3411</v>
      </c>
      <c r="Z39" s="176">
        <f t="shared" si="19"/>
        <v>3868</v>
      </c>
      <c r="AA39" s="176">
        <f t="shared" si="20"/>
        <v>4348</v>
      </c>
      <c r="AB39" s="176">
        <f t="shared" si="21"/>
        <v>4803</v>
      </c>
      <c r="AC39" s="176">
        <f t="shared" si="22"/>
        <v>5272</v>
      </c>
      <c r="AD39" s="462">
        <f t="shared" si="12"/>
        <v>5739</v>
      </c>
      <c r="AE39" s="491">
        <v>38</v>
      </c>
      <c r="AF39" s="492">
        <v>5740.333333333333</v>
      </c>
    </row>
    <row r="40" spans="1:32" x14ac:dyDescent="0.35">
      <c r="B40" s="485">
        <v>39</v>
      </c>
      <c r="C40" s="529" t="s">
        <v>81</v>
      </c>
      <c r="D40" s="487">
        <v>128</v>
      </c>
      <c r="E40" s="487">
        <v>127</v>
      </c>
      <c r="F40" s="487">
        <v>105</v>
      </c>
      <c r="G40" s="487">
        <v>124</v>
      </c>
      <c r="H40" s="487">
        <v>161</v>
      </c>
      <c r="I40" s="487">
        <v>132</v>
      </c>
      <c r="J40" s="487">
        <v>153</v>
      </c>
      <c r="K40" s="487">
        <v>149</v>
      </c>
      <c r="L40" s="487">
        <v>144</v>
      </c>
      <c r="M40" s="487">
        <v>120</v>
      </c>
      <c r="N40" s="487">
        <v>96</v>
      </c>
      <c r="O40" s="487">
        <v>99</v>
      </c>
      <c r="P40" s="488"/>
      <c r="Q40" s="517">
        <v>39</v>
      </c>
      <c r="R40" s="530" t="s">
        <v>81</v>
      </c>
      <c r="S40" s="176">
        <f t="shared" si="11"/>
        <v>128</v>
      </c>
      <c r="T40" s="176">
        <f t="shared" si="13"/>
        <v>255</v>
      </c>
      <c r="U40" s="176">
        <f t="shared" si="14"/>
        <v>360</v>
      </c>
      <c r="V40" s="176">
        <f t="shared" si="15"/>
        <v>484</v>
      </c>
      <c r="W40" s="176">
        <f t="shared" si="16"/>
        <v>645</v>
      </c>
      <c r="X40" s="176">
        <f t="shared" si="17"/>
        <v>777</v>
      </c>
      <c r="Y40" s="176">
        <f t="shared" si="18"/>
        <v>930</v>
      </c>
      <c r="Z40" s="176">
        <f t="shared" si="19"/>
        <v>1079</v>
      </c>
      <c r="AA40" s="176">
        <f t="shared" si="20"/>
        <v>1223</v>
      </c>
      <c r="AB40" s="176">
        <f t="shared" si="21"/>
        <v>1343</v>
      </c>
      <c r="AC40" s="176">
        <f t="shared" si="22"/>
        <v>1439</v>
      </c>
      <c r="AD40" s="462">
        <f t="shared" si="12"/>
        <v>1538</v>
      </c>
      <c r="AE40" s="469">
        <v>39</v>
      </c>
      <c r="AF40" s="492">
        <v>1537.3333333333333</v>
      </c>
    </row>
    <row r="41" spans="1:32" x14ac:dyDescent="0.35">
      <c r="B41" s="485">
        <v>40</v>
      </c>
      <c r="C41" s="529" t="s">
        <v>76</v>
      </c>
      <c r="D41" s="494">
        <v>1594</v>
      </c>
      <c r="E41" s="494">
        <v>1614</v>
      </c>
      <c r="F41" s="494">
        <v>1384</v>
      </c>
      <c r="G41" s="494">
        <v>1422</v>
      </c>
      <c r="H41" s="494">
        <v>1355</v>
      </c>
      <c r="I41" s="494">
        <v>1137</v>
      </c>
      <c r="J41" s="494">
        <v>982</v>
      </c>
      <c r="K41" s="494">
        <v>878</v>
      </c>
      <c r="L41" s="494">
        <v>834</v>
      </c>
      <c r="M41" s="494">
        <v>930</v>
      </c>
      <c r="N41" s="494">
        <v>874</v>
      </c>
      <c r="O41" s="494">
        <v>1023</v>
      </c>
      <c r="P41" s="488"/>
      <c r="Q41" s="517">
        <v>40</v>
      </c>
      <c r="R41" s="530" t="s">
        <v>76</v>
      </c>
      <c r="S41" s="176">
        <f t="shared" si="11"/>
        <v>1594</v>
      </c>
      <c r="T41" s="176">
        <f t="shared" si="13"/>
        <v>3208</v>
      </c>
      <c r="U41" s="176">
        <f t="shared" si="14"/>
        <v>4592</v>
      </c>
      <c r="V41" s="176">
        <f t="shared" si="15"/>
        <v>6014</v>
      </c>
      <c r="W41" s="176">
        <f t="shared" si="16"/>
        <v>7369</v>
      </c>
      <c r="X41" s="176">
        <f t="shared" si="17"/>
        <v>8506</v>
      </c>
      <c r="Y41" s="176">
        <f t="shared" si="18"/>
        <v>9488</v>
      </c>
      <c r="Z41" s="176">
        <f t="shared" si="19"/>
        <v>10366</v>
      </c>
      <c r="AA41" s="176">
        <f t="shared" si="20"/>
        <v>11200</v>
      </c>
      <c r="AB41" s="176">
        <f t="shared" si="21"/>
        <v>12130</v>
      </c>
      <c r="AC41" s="176">
        <f t="shared" si="22"/>
        <v>13004</v>
      </c>
      <c r="AD41" s="462">
        <f t="shared" si="12"/>
        <v>14027</v>
      </c>
      <c r="AE41" s="469">
        <v>40</v>
      </c>
      <c r="AF41" s="492">
        <v>14028.666666666668</v>
      </c>
    </row>
    <row r="42" spans="1:32" x14ac:dyDescent="0.35">
      <c r="B42" s="485">
        <v>41</v>
      </c>
      <c r="C42" s="529" t="s">
        <v>86</v>
      </c>
      <c r="D42" s="494">
        <v>246</v>
      </c>
      <c r="E42" s="494">
        <v>227</v>
      </c>
      <c r="F42" s="494">
        <v>202</v>
      </c>
      <c r="G42" s="494">
        <v>218</v>
      </c>
      <c r="H42" s="494">
        <v>193</v>
      </c>
      <c r="I42" s="494">
        <v>202</v>
      </c>
      <c r="J42" s="494">
        <v>154</v>
      </c>
      <c r="K42" s="494">
        <v>132</v>
      </c>
      <c r="L42" s="494">
        <v>111</v>
      </c>
      <c r="M42" s="494">
        <v>137</v>
      </c>
      <c r="N42" s="494">
        <v>136</v>
      </c>
      <c r="O42" s="494">
        <v>157</v>
      </c>
      <c r="P42" s="488"/>
      <c r="Q42" s="517">
        <v>41</v>
      </c>
      <c r="R42" s="530" t="s">
        <v>86</v>
      </c>
      <c r="S42" s="176">
        <f t="shared" si="11"/>
        <v>246</v>
      </c>
      <c r="T42" s="176">
        <f t="shared" si="13"/>
        <v>473</v>
      </c>
      <c r="U42" s="176">
        <f t="shared" si="14"/>
        <v>675</v>
      </c>
      <c r="V42" s="176">
        <f t="shared" si="15"/>
        <v>893</v>
      </c>
      <c r="W42" s="176">
        <f t="shared" si="16"/>
        <v>1086</v>
      </c>
      <c r="X42" s="176">
        <f t="shared" si="17"/>
        <v>1288</v>
      </c>
      <c r="Y42" s="176">
        <f t="shared" si="18"/>
        <v>1442</v>
      </c>
      <c r="Z42" s="176">
        <f t="shared" si="19"/>
        <v>1574</v>
      </c>
      <c r="AA42" s="176">
        <f t="shared" si="20"/>
        <v>1685</v>
      </c>
      <c r="AB42" s="176">
        <f t="shared" si="21"/>
        <v>1822</v>
      </c>
      <c r="AC42" s="176">
        <f t="shared" si="22"/>
        <v>1958</v>
      </c>
      <c r="AD42" s="462">
        <f t="shared" si="12"/>
        <v>2115</v>
      </c>
      <c r="AE42" s="469">
        <v>41</v>
      </c>
      <c r="AF42" s="492">
        <v>2116</v>
      </c>
    </row>
    <row r="43" spans="1:32" x14ac:dyDescent="0.35">
      <c r="B43" s="485">
        <v>42</v>
      </c>
      <c r="C43" s="529" t="s">
        <v>88</v>
      </c>
      <c r="D43" s="494">
        <v>984</v>
      </c>
      <c r="E43" s="494">
        <v>1114</v>
      </c>
      <c r="F43" s="494">
        <v>1020</v>
      </c>
      <c r="G43" s="494">
        <v>1061</v>
      </c>
      <c r="H43" s="494">
        <v>1034</v>
      </c>
      <c r="I43" s="494">
        <v>827</v>
      </c>
      <c r="J43" s="494">
        <v>715</v>
      </c>
      <c r="K43" s="494">
        <v>638</v>
      </c>
      <c r="L43" s="494">
        <v>614</v>
      </c>
      <c r="M43" s="494">
        <v>655</v>
      </c>
      <c r="N43" s="494">
        <v>623</v>
      </c>
      <c r="O43" s="494">
        <v>723</v>
      </c>
      <c r="P43" s="488"/>
      <c r="Q43" s="517">
        <v>42</v>
      </c>
      <c r="R43" s="530" t="s">
        <v>88</v>
      </c>
      <c r="S43" s="176">
        <f t="shared" si="11"/>
        <v>984</v>
      </c>
      <c r="T43" s="176">
        <f t="shared" si="13"/>
        <v>2098</v>
      </c>
      <c r="U43" s="176">
        <f t="shared" si="14"/>
        <v>3118</v>
      </c>
      <c r="V43" s="176">
        <f t="shared" si="15"/>
        <v>4179</v>
      </c>
      <c r="W43" s="176">
        <f t="shared" si="16"/>
        <v>5213</v>
      </c>
      <c r="X43" s="176">
        <f t="shared" si="17"/>
        <v>6040</v>
      </c>
      <c r="Y43" s="176">
        <f t="shared" si="18"/>
        <v>6755</v>
      </c>
      <c r="Z43" s="176">
        <f t="shared" si="19"/>
        <v>7393</v>
      </c>
      <c r="AA43" s="176">
        <f t="shared" si="20"/>
        <v>8007</v>
      </c>
      <c r="AB43" s="176">
        <f t="shared" si="21"/>
        <v>8662</v>
      </c>
      <c r="AC43" s="176">
        <f t="shared" si="22"/>
        <v>9285</v>
      </c>
      <c r="AD43" s="462">
        <f t="shared" si="12"/>
        <v>10008</v>
      </c>
      <c r="AE43" s="469">
        <v>42</v>
      </c>
      <c r="AF43" s="492">
        <v>10007.333333333334</v>
      </c>
    </row>
    <row r="44" spans="1:32" x14ac:dyDescent="0.35">
      <c r="B44" s="486">
        <v>43</v>
      </c>
      <c r="C44" s="529" t="s">
        <v>87</v>
      </c>
      <c r="D44" s="494">
        <v>364</v>
      </c>
      <c r="E44" s="494">
        <v>273</v>
      </c>
      <c r="F44" s="494">
        <v>161</v>
      </c>
      <c r="G44" s="494">
        <v>144</v>
      </c>
      <c r="H44" s="494">
        <v>128</v>
      </c>
      <c r="I44" s="494">
        <v>108</v>
      </c>
      <c r="J44" s="494">
        <v>114</v>
      </c>
      <c r="K44" s="494">
        <v>108</v>
      </c>
      <c r="L44" s="494">
        <v>109</v>
      </c>
      <c r="M44" s="494">
        <v>138</v>
      </c>
      <c r="N44" s="494">
        <v>115</v>
      </c>
      <c r="O44" s="494">
        <v>143</v>
      </c>
      <c r="P44" s="488"/>
      <c r="Q44" s="517">
        <v>43</v>
      </c>
      <c r="R44" s="530" t="s">
        <v>87</v>
      </c>
      <c r="S44" s="176">
        <f t="shared" si="11"/>
        <v>364</v>
      </c>
      <c r="T44" s="176">
        <f t="shared" si="13"/>
        <v>637</v>
      </c>
      <c r="U44" s="176">
        <f t="shared" si="14"/>
        <v>798</v>
      </c>
      <c r="V44" s="176">
        <f t="shared" si="15"/>
        <v>942</v>
      </c>
      <c r="W44" s="176">
        <f t="shared" si="16"/>
        <v>1070</v>
      </c>
      <c r="X44" s="176">
        <f t="shared" si="17"/>
        <v>1178</v>
      </c>
      <c r="Y44" s="176">
        <f t="shared" si="18"/>
        <v>1292</v>
      </c>
      <c r="Z44" s="176">
        <f t="shared" si="19"/>
        <v>1400</v>
      </c>
      <c r="AA44" s="176">
        <f t="shared" si="20"/>
        <v>1509</v>
      </c>
      <c r="AB44" s="176">
        <f t="shared" si="21"/>
        <v>1647</v>
      </c>
      <c r="AC44" s="176">
        <f t="shared" si="22"/>
        <v>1762</v>
      </c>
      <c r="AD44" s="462">
        <f t="shared" si="12"/>
        <v>1905</v>
      </c>
      <c r="AE44" s="491">
        <v>43</v>
      </c>
      <c r="AF44" s="492">
        <v>1905.3333333333333</v>
      </c>
    </row>
    <row r="45" spans="1:32" x14ac:dyDescent="0.35">
      <c r="B45" s="485">
        <v>44</v>
      </c>
      <c r="C45" s="529" t="s">
        <v>90</v>
      </c>
      <c r="D45" s="495">
        <v>35</v>
      </c>
      <c r="E45" s="495">
        <v>28</v>
      </c>
      <c r="F45" s="495">
        <v>19</v>
      </c>
      <c r="G45" s="495">
        <v>38</v>
      </c>
      <c r="H45" s="495">
        <v>33</v>
      </c>
      <c r="I45" s="495">
        <v>29</v>
      </c>
      <c r="J45" s="495">
        <v>15</v>
      </c>
      <c r="K45" s="495">
        <v>15</v>
      </c>
      <c r="L45" s="495">
        <v>7</v>
      </c>
      <c r="M45" s="495">
        <v>9</v>
      </c>
      <c r="N45" s="495">
        <v>14</v>
      </c>
      <c r="O45" s="495">
        <v>18</v>
      </c>
      <c r="P45" s="488"/>
      <c r="Q45" s="517">
        <v>44</v>
      </c>
      <c r="R45" s="530" t="s">
        <v>90</v>
      </c>
      <c r="S45" s="176">
        <f t="shared" si="11"/>
        <v>35</v>
      </c>
      <c r="T45" s="176">
        <f t="shared" si="13"/>
        <v>63</v>
      </c>
      <c r="U45" s="176">
        <f t="shared" si="14"/>
        <v>82</v>
      </c>
      <c r="V45" s="176">
        <f t="shared" si="15"/>
        <v>120</v>
      </c>
      <c r="W45" s="176">
        <f t="shared" si="16"/>
        <v>153</v>
      </c>
      <c r="X45" s="176">
        <f t="shared" si="17"/>
        <v>182</v>
      </c>
      <c r="Y45" s="176">
        <f t="shared" si="18"/>
        <v>197</v>
      </c>
      <c r="Z45" s="176">
        <f t="shared" si="19"/>
        <v>212</v>
      </c>
      <c r="AA45" s="176">
        <f t="shared" si="20"/>
        <v>219</v>
      </c>
      <c r="AB45" s="176">
        <f t="shared" si="21"/>
        <v>228</v>
      </c>
      <c r="AC45" s="176">
        <f t="shared" si="22"/>
        <v>242</v>
      </c>
      <c r="AD45" s="462">
        <f t="shared" si="12"/>
        <v>260</v>
      </c>
      <c r="AE45" s="469">
        <v>44</v>
      </c>
      <c r="AF45" s="492">
        <v>260.66666666666669</v>
      </c>
    </row>
    <row r="46" spans="1:32" x14ac:dyDescent="0.35">
      <c r="A46" s="227" t="s">
        <v>128</v>
      </c>
      <c r="B46" s="485">
        <v>45</v>
      </c>
      <c r="C46" s="529" t="s">
        <v>89</v>
      </c>
      <c r="D46" s="494">
        <v>23</v>
      </c>
      <c r="E46" s="494">
        <v>22</v>
      </c>
      <c r="F46" s="494">
        <v>28</v>
      </c>
      <c r="G46" s="494">
        <v>25</v>
      </c>
      <c r="H46" s="494">
        <v>31</v>
      </c>
      <c r="I46" s="494">
        <v>35</v>
      </c>
      <c r="J46" s="494">
        <v>29</v>
      </c>
      <c r="K46" s="494">
        <v>27</v>
      </c>
      <c r="L46" s="494">
        <v>20</v>
      </c>
      <c r="M46" s="494">
        <v>18</v>
      </c>
      <c r="N46" s="494">
        <v>16</v>
      </c>
      <c r="O46" s="494">
        <v>14</v>
      </c>
      <c r="P46" s="488"/>
      <c r="Q46" s="517">
        <v>45</v>
      </c>
      <c r="R46" s="530" t="s">
        <v>89</v>
      </c>
      <c r="S46" s="176">
        <f t="shared" si="11"/>
        <v>23</v>
      </c>
      <c r="T46" s="176">
        <f t="shared" si="13"/>
        <v>45</v>
      </c>
      <c r="U46" s="176">
        <f t="shared" si="14"/>
        <v>73</v>
      </c>
      <c r="V46" s="176">
        <f t="shared" si="15"/>
        <v>98</v>
      </c>
      <c r="W46" s="176">
        <f t="shared" si="16"/>
        <v>129</v>
      </c>
      <c r="X46" s="176">
        <f t="shared" si="17"/>
        <v>164</v>
      </c>
      <c r="Y46" s="176">
        <f t="shared" si="18"/>
        <v>193</v>
      </c>
      <c r="Z46" s="176">
        <f t="shared" si="19"/>
        <v>220</v>
      </c>
      <c r="AA46" s="176">
        <f t="shared" si="20"/>
        <v>240</v>
      </c>
      <c r="AB46" s="176">
        <f t="shared" si="21"/>
        <v>258</v>
      </c>
      <c r="AC46" s="176">
        <f t="shared" si="22"/>
        <v>274</v>
      </c>
      <c r="AD46" s="462">
        <f t="shared" si="12"/>
        <v>288</v>
      </c>
      <c r="AE46" s="469">
        <v>45</v>
      </c>
      <c r="AF46" s="492">
        <v>287.00000000000006</v>
      </c>
    </row>
    <row r="47" spans="1:32" x14ac:dyDescent="0.35">
      <c r="B47" s="485">
        <v>46</v>
      </c>
      <c r="C47" s="529" t="s">
        <v>66</v>
      </c>
      <c r="D47" s="494">
        <v>2</v>
      </c>
      <c r="E47" s="494">
        <v>1</v>
      </c>
      <c r="F47" s="494">
        <v>2</v>
      </c>
      <c r="G47" s="494">
        <v>4</v>
      </c>
      <c r="H47" s="494">
        <v>2</v>
      </c>
      <c r="I47" s="494">
        <v>3</v>
      </c>
      <c r="J47" s="494">
        <v>3</v>
      </c>
      <c r="K47" s="494">
        <v>2</v>
      </c>
      <c r="L47" s="494">
        <v>2</v>
      </c>
      <c r="M47" s="494">
        <v>1</v>
      </c>
      <c r="N47" s="494">
        <v>1</v>
      </c>
      <c r="O47" s="494">
        <v>2</v>
      </c>
      <c r="P47" s="488"/>
      <c r="Q47" s="517">
        <v>46</v>
      </c>
      <c r="R47" s="530" t="s">
        <v>66</v>
      </c>
      <c r="S47" s="176">
        <f t="shared" si="11"/>
        <v>2</v>
      </c>
      <c r="T47" s="176">
        <f t="shared" si="13"/>
        <v>3</v>
      </c>
      <c r="U47" s="176">
        <f t="shared" si="14"/>
        <v>5</v>
      </c>
      <c r="V47" s="176">
        <f t="shared" si="15"/>
        <v>9</v>
      </c>
      <c r="W47" s="176">
        <f t="shared" si="16"/>
        <v>11</v>
      </c>
      <c r="X47" s="176">
        <f t="shared" si="17"/>
        <v>14</v>
      </c>
      <c r="Y47" s="176">
        <f t="shared" si="18"/>
        <v>17</v>
      </c>
      <c r="Z47" s="176">
        <f t="shared" si="19"/>
        <v>19</v>
      </c>
      <c r="AA47" s="176">
        <f t="shared" si="20"/>
        <v>21</v>
      </c>
      <c r="AB47" s="176">
        <f t="shared" si="21"/>
        <v>22</v>
      </c>
      <c r="AC47" s="176">
        <f t="shared" si="22"/>
        <v>23</v>
      </c>
      <c r="AD47" s="462">
        <f t="shared" si="12"/>
        <v>25</v>
      </c>
      <c r="AE47" s="491">
        <v>46</v>
      </c>
      <c r="AF47" s="492">
        <v>25</v>
      </c>
    </row>
    <row r="48" spans="1:32" x14ac:dyDescent="0.35">
      <c r="B48" s="485">
        <v>47</v>
      </c>
      <c r="C48" s="529" t="s">
        <v>67</v>
      </c>
      <c r="D48" s="494">
        <v>20</v>
      </c>
      <c r="E48" s="494">
        <v>21</v>
      </c>
      <c r="F48" s="494">
        <v>26</v>
      </c>
      <c r="G48" s="494">
        <v>21</v>
      </c>
      <c r="H48" s="494">
        <v>29</v>
      </c>
      <c r="I48" s="494">
        <v>33</v>
      </c>
      <c r="J48" s="494">
        <v>26</v>
      </c>
      <c r="K48" s="494">
        <v>25</v>
      </c>
      <c r="L48" s="494">
        <v>18</v>
      </c>
      <c r="M48" s="494">
        <v>17</v>
      </c>
      <c r="N48" s="494">
        <v>14</v>
      </c>
      <c r="O48" s="494">
        <v>12</v>
      </c>
      <c r="P48" s="488"/>
      <c r="Q48" s="517">
        <v>47</v>
      </c>
      <c r="R48" s="530" t="s">
        <v>67</v>
      </c>
      <c r="S48" s="176">
        <f t="shared" si="11"/>
        <v>20</v>
      </c>
      <c r="T48" s="176">
        <f t="shared" si="13"/>
        <v>41</v>
      </c>
      <c r="U48" s="176">
        <f t="shared" si="14"/>
        <v>67</v>
      </c>
      <c r="V48" s="176">
        <f t="shared" si="15"/>
        <v>88</v>
      </c>
      <c r="W48" s="176">
        <f t="shared" si="16"/>
        <v>117</v>
      </c>
      <c r="X48" s="176">
        <f t="shared" si="17"/>
        <v>150</v>
      </c>
      <c r="Y48" s="176">
        <f t="shared" si="18"/>
        <v>176</v>
      </c>
      <c r="Z48" s="176">
        <f t="shared" si="19"/>
        <v>201</v>
      </c>
      <c r="AA48" s="176">
        <f t="shared" si="20"/>
        <v>219</v>
      </c>
      <c r="AB48" s="176">
        <f t="shared" si="21"/>
        <v>236</v>
      </c>
      <c r="AC48" s="176">
        <f t="shared" si="22"/>
        <v>250</v>
      </c>
      <c r="AD48" s="462">
        <f t="shared" si="12"/>
        <v>262</v>
      </c>
      <c r="AE48" s="469">
        <v>47</v>
      </c>
      <c r="AF48" s="492">
        <v>262</v>
      </c>
    </row>
    <row r="49" spans="2:32" ht="23" x14ac:dyDescent="0.5">
      <c r="B49" s="486">
        <v>48</v>
      </c>
      <c r="C49" s="537" t="s">
        <v>57</v>
      </c>
      <c r="D49" s="487"/>
      <c r="E49" s="487"/>
      <c r="F49" s="487"/>
      <c r="G49" s="487"/>
      <c r="H49" s="487"/>
      <c r="I49" s="487"/>
      <c r="J49" s="487"/>
      <c r="K49" s="487"/>
      <c r="L49" s="487"/>
      <c r="M49" s="487"/>
      <c r="N49" s="487"/>
      <c r="O49" s="487"/>
      <c r="P49" s="488"/>
      <c r="Q49" s="517">
        <v>48</v>
      </c>
      <c r="R49" s="537" t="s">
        <v>57</v>
      </c>
      <c r="S49" s="489"/>
      <c r="T49" s="489"/>
      <c r="U49" s="489"/>
      <c r="V49" s="489"/>
      <c r="W49" s="489"/>
      <c r="X49" s="489"/>
      <c r="Y49" s="489"/>
      <c r="Z49" s="489"/>
      <c r="AA49" s="489"/>
      <c r="AB49" s="489"/>
      <c r="AC49" s="489"/>
      <c r="AD49" s="490"/>
      <c r="AE49" s="469">
        <v>48</v>
      </c>
      <c r="AF49" s="492"/>
    </row>
    <row r="50" spans="2:32" x14ac:dyDescent="0.35">
      <c r="B50" s="485">
        <v>49</v>
      </c>
      <c r="C50" s="538" t="s">
        <v>56</v>
      </c>
      <c r="D50" s="432" t="s">
        <v>386</v>
      </c>
      <c r="E50" s="432" t="s">
        <v>387</v>
      </c>
      <c r="F50" s="432" t="s">
        <v>388</v>
      </c>
      <c r="G50" s="432" t="s">
        <v>389</v>
      </c>
      <c r="H50" s="432" t="s">
        <v>390</v>
      </c>
      <c r="I50" s="432" t="s">
        <v>391</v>
      </c>
      <c r="J50" s="432" t="s">
        <v>392</v>
      </c>
      <c r="K50" s="432" t="s">
        <v>393</v>
      </c>
      <c r="L50" s="432" t="s">
        <v>394</v>
      </c>
      <c r="M50" s="432" t="s">
        <v>395</v>
      </c>
      <c r="N50" s="432" t="s">
        <v>396</v>
      </c>
      <c r="O50" s="460" t="s">
        <v>397</v>
      </c>
      <c r="P50" s="488"/>
      <c r="Q50" s="517">
        <v>49</v>
      </c>
      <c r="R50" s="539" t="s">
        <v>56</v>
      </c>
      <c r="S50" s="504" t="s">
        <v>19</v>
      </c>
      <c r="T50" s="504" t="s">
        <v>20</v>
      </c>
      <c r="U50" s="504" t="s">
        <v>21</v>
      </c>
      <c r="V50" s="504" t="s">
        <v>22</v>
      </c>
      <c r="W50" s="504" t="s">
        <v>23</v>
      </c>
      <c r="X50" s="504" t="s">
        <v>24</v>
      </c>
      <c r="Y50" s="504" t="s">
        <v>25</v>
      </c>
      <c r="Z50" s="504" t="s">
        <v>26</v>
      </c>
      <c r="AA50" s="504" t="s">
        <v>27</v>
      </c>
      <c r="AB50" s="504" t="s">
        <v>28</v>
      </c>
      <c r="AC50" s="504" t="s">
        <v>29</v>
      </c>
      <c r="AD50" s="504" t="s">
        <v>30</v>
      </c>
      <c r="AE50" s="469">
        <v>49</v>
      </c>
      <c r="AF50" s="492">
        <v>0</v>
      </c>
    </row>
    <row r="51" spans="2:32" x14ac:dyDescent="0.35">
      <c r="B51" s="485">
        <v>50</v>
      </c>
      <c r="C51" s="538" t="s">
        <v>33</v>
      </c>
      <c r="D51" s="487">
        <v>335</v>
      </c>
      <c r="E51" s="487">
        <v>395</v>
      </c>
      <c r="F51" s="487">
        <v>395</v>
      </c>
      <c r="G51" s="487">
        <v>384</v>
      </c>
      <c r="H51" s="487">
        <v>405</v>
      </c>
      <c r="I51" s="487">
        <v>377</v>
      </c>
      <c r="J51" s="487">
        <v>427</v>
      </c>
      <c r="K51" s="487">
        <v>406</v>
      </c>
      <c r="L51" s="487">
        <v>401</v>
      </c>
      <c r="M51" s="487">
        <v>356</v>
      </c>
      <c r="N51" s="487">
        <v>345</v>
      </c>
      <c r="O51" s="487">
        <v>355</v>
      </c>
      <c r="P51" s="488"/>
      <c r="Q51" s="517">
        <v>50</v>
      </c>
      <c r="R51" s="539" t="s">
        <v>33</v>
      </c>
      <c r="S51" s="176">
        <f t="shared" ref="S51" si="23">D51</f>
        <v>335</v>
      </c>
      <c r="T51" s="176">
        <f t="shared" ref="T51" si="24">S51+E51</f>
        <v>730</v>
      </c>
      <c r="U51" s="176">
        <f t="shared" ref="U51" si="25">T51+F51</f>
        <v>1125</v>
      </c>
      <c r="V51" s="176">
        <f t="shared" ref="V51" si="26">U51+G51</f>
        <v>1509</v>
      </c>
      <c r="W51" s="176">
        <f t="shared" ref="W51" si="27">V51+H51</f>
        <v>1914</v>
      </c>
      <c r="X51" s="176">
        <f t="shared" ref="X51" si="28">W51+I51</f>
        <v>2291</v>
      </c>
      <c r="Y51" s="176">
        <f t="shared" ref="Y51" si="29">X51+J51</f>
        <v>2718</v>
      </c>
      <c r="Z51" s="176">
        <f t="shared" ref="Z51" si="30">Y51+K51</f>
        <v>3124</v>
      </c>
      <c r="AA51" s="176">
        <f t="shared" ref="AA51" si="31">Z51+L51</f>
        <v>3525</v>
      </c>
      <c r="AB51" s="176">
        <f t="shared" ref="AB51" si="32">AA51+M51</f>
        <v>3881</v>
      </c>
      <c r="AC51" s="176">
        <f t="shared" ref="AC51" si="33">AB51+N51</f>
        <v>4226</v>
      </c>
      <c r="AD51" s="462">
        <f t="shared" ref="AD51" si="34">AC51+O51</f>
        <v>4581</v>
      </c>
      <c r="AE51" s="469">
        <v>50</v>
      </c>
      <c r="AF51" s="492">
        <v>4579.9999999999991</v>
      </c>
    </row>
    <row r="52" spans="2:32" x14ac:dyDescent="0.35">
      <c r="B52" s="485">
        <v>51</v>
      </c>
      <c r="C52" s="538" t="s">
        <v>39</v>
      </c>
      <c r="D52" s="487">
        <v>35</v>
      </c>
      <c r="E52" s="487">
        <v>37</v>
      </c>
      <c r="F52" s="487">
        <v>61</v>
      </c>
      <c r="G52" s="487">
        <v>48</v>
      </c>
      <c r="H52" s="487">
        <v>48</v>
      </c>
      <c r="I52" s="487">
        <v>46</v>
      </c>
      <c r="J52" s="487">
        <v>45</v>
      </c>
      <c r="K52" s="487">
        <v>42</v>
      </c>
      <c r="L52" s="487">
        <v>41</v>
      </c>
      <c r="M52" s="487">
        <v>37</v>
      </c>
      <c r="N52" s="487">
        <v>36</v>
      </c>
      <c r="O52" s="487">
        <v>35</v>
      </c>
      <c r="P52" s="488"/>
      <c r="Q52" s="517">
        <v>51</v>
      </c>
      <c r="R52" s="539" t="s">
        <v>39</v>
      </c>
      <c r="S52" s="176">
        <f t="shared" ref="S52:S95" si="35">D52</f>
        <v>35</v>
      </c>
      <c r="T52" s="176">
        <f t="shared" ref="T52:T95" si="36">S52+E52</f>
        <v>72</v>
      </c>
      <c r="U52" s="176">
        <f t="shared" ref="U52:U95" si="37">T52+F52</f>
        <v>133</v>
      </c>
      <c r="V52" s="176">
        <f t="shared" ref="V52:V95" si="38">U52+G52</f>
        <v>181</v>
      </c>
      <c r="W52" s="176">
        <f t="shared" ref="W52:W95" si="39">V52+H52</f>
        <v>229</v>
      </c>
      <c r="X52" s="176">
        <f t="shared" ref="X52:X95" si="40">W52+I52</f>
        <v>275</v>
      </c>
      <c r="Y52" s="176">
        <f t="shared" ref="Y52:Y95" si="41">X52+J52</f>
        <v>320</v>
      </c>
      <c r="Z52" s="176">
        <f t="shared" ref="Z52:Z95" si="42">Y52+K52</f>
        <v>362</v>
      </c>
      <c r="AA52" s="176">
        <f t="shared" ref="AA52:AA95" si="43">Z52+L52</f>
        <v>403</v>
      </c>
      <c r="AB52" s="176">
        <f t="shared" ref="AB52:AB95" si="44">AA52+M52</f>
        <v>440</v>
      </c>
      <c r="AC52" s="176">
        <f t="shared" ref="AC52:AC95" si="45">AB52+N52</f>
        <v>476</v>
      </c>
      <c r="AD52" s="462">
        <f t="shared" ref="AD52:AD95" si="46">AC52+O52</f>
        <v>511</v>
      </c>
      <c r="AE52" s="491">
        <v>51</v>
      </c>
      <c r="AF52" s="492">
        <v>511.00000000000006</v>
      </c>
    </row>
    <row r="53" spans="2:32" x14ac:dyDescent="0.35">
      <c r="B53" s="485">
        <v>52</v>
      </c>
      <c r="C53" s="538" t="s">
        <v>40</v>
      </c>
      <c r="D53" s="487">
        <v>73</v>
      </c>
      <c r="E53" s="487">
        <v>85</v>
      </c>
      <c r="F53" s="487">
        <v>78</v>
      </c>
      <c r="G53" s="487">
        <v>88</v>
      </c>
      <c r="H53" s="487">
        <v>90</v>
      </c>
      <c r="I53" s="487">
        <v>76</v>
      </c>
      <c r="J53" s="487">
        <v>92</v>
      </c>
      <c r="K53" s="487">
        <v>81</v>
      </c>
      <c r="L53" s="487">
        <v>88</v>
      </c>
      <c r="M53" s="487">
        <v>68</v>
      </c>
      <c r="N53" s="487">
        <v>71</v>
      </c>
      <c r="O53" s="487">
        <v>90</v>
      </c>
      <c r="P53" s="488"/>
      <c r="Q53" s="517">
        <v>52</v>
      </c>
      <c r="R53" s="539" t="s">
        <v>40</v>
      </c>
      <c r="S53" s="176">
        <f t="shared" si="35"/>
        <v>73</v>
      </c>
      <c r="T53" s="176">
        <f t="shared" si="36"/>
        <v>158</v>
      </c>
      <c r="U53" s="176">
        <f t="shared" si="37"/>
        <v>236</v>
      </c>
      <c r="V53" s="176">
        <f t="shared" si="38"/>
        <v>324</v>
      </c>
      <c r="W53" s="176">
        <f t="shared" si="39"/>
        <v>414</v>
      </c>
      <c r="X53" s="176">
        <f t="shared" si="40"/>
        <v>490</v>
      </c>
      <c r="Y53" s="176">
        <f t="shared" si="41"/>
        <v>582</v>
      </c>
      <c r="Z53" s="176">
        <f t="shared" si="42"/>
        <v>663</v>
      </c>
      <c r="AA53" s="176">
        <f t="shared" si="43"/>
        <v>751</v>
      </c>
      <c r="AB53" s="176">
        <f t="shared" si="44"/>
        <v>819</v>
      </c>
      <c r="AC53" s="176">
        <f t="shared" si="45"/>
        <v>890</v>
      </c>
      <c r="AD53" s="462">
        <f t="shared" si="46"/>
        <v>980</v>
      </c>
      <c r="AE53" s="469">
        <v>52</v>
      </c>
      <c r="AF53" s="492">
        <v>981.99999999999989</v>
      </c>
    </row>
    <row r="54" spans="2:32" x14ac:dyDescent="0.35">
      <c r="B54" s="486">
        <v>53</v>
      </c>
      <c r="C54" s="538" t="s">
        <v>5</v>
      </c>
      <c r="D54" s="487">
        <v>3</v>
      </c>
      <c r="E54" s="487">
        <v>3</v>
      </c>
      <c r="F54" s="487">
        <v>4</v>
      </c>
      <c r="G54" s="487">
        <v>4</v>
      </c>
      <c r="H54" s="487">
        <v>3</v>
      </c>
      <c r="I54" s="487">
        <v>5</v>
      </c>
      <c r="J54" s="487">
        <v>4</v>
      </c>
      <c r="K54" s="487">
        <v>3</v>
      </c>
      <c r="L54" s="487">
        <v>6</v>
      </c>
      <c r="M54" s="487">
        <v>3</v>
      </c>
      <c r="N54" s="487">
        <v>4</v>
      </c>
      <c r="O54" s="487">
        <v>4</v>
      </c>
      <c r="P54" s="488"/>
      <c r="Q54" s="517">
        <v>53</v>
      </c>
      <c r="R54" s="539" t="s">
        <v>5</v>
      </c>
      <c r="S54" s="176">
        <f t="shared" si="35"/>
        <v>3</v>
      </c>
      <c r="T54" s="176">
        <f t="shared" si="36"/>
        <v>6</v>
      </c>
      <c r="U54" s="176">
        <f t="shared" si="37"/>
        <v>10</v>
      </c>
      <c r="V54" s="176">
        <f t="shared" si="38"/>
        <v>14</v>
      </c>
      <c r="W54" s="176">
        <f t="shared" si="39"/>
        <v>17</v>
      </c>
      <c r="X54" s="176">
        <f t="shared" si="40"/>
        <v>22</v>
      </c>
      <c r="Y54" s="176">
        <f t="shared" si="41"/>
        <v>26</v>
      </c>
      <c r="Z54" s="176">
        <f t="shared" si="42"/>
        <v>29</v>
      </c>
      <c r="AA54" s="176">
        <f t="shared" si="43"/>
        <v>35</v>
      </c>
      <c r="AB54" s="176">
        <f t="shared" si="44"/>
        <v>38</v>
      </c>
      <c r="AC54" s="176">
        <f t="shared" si="45"/>
        <v>42</v>
      </c>
      <c r="AD54" s="462">
        <f t="shared" si="46"/>
        <v>46</v>
      </c>
      <c r="AE54" s="469">
        <v>53</v>
      </c>
      <c r="AF54" s="492">
        <v>45.166666666666664</v>
      </c>
    </row>
    <row r="55" spans="2:32" x14ac:dyDescent="0.35">
      <c r="B55" s="485">
        <v>54</v>
      </c>
      <c r="C55" s="538" t="s">
        <v>35</v>
      </c>
      <c r="D55" s="487">
        <v>5</v>
      </c>
      <c r="E55" s="487">
        <v>6</v>
      </c>
      <c r="F55" s="487">
        <v>9</v>
      </c>
      <c r="G55" s="487">
        <v>11</v>
      </c>
      <c r="H55" s="487">
        <v>5</v>
      </c>
      <c r="I55" s="487">
        <v>8</v>
      </c>
      <c r="J55" s="487">
        <v>9</v>
      </c>
      <c r="K55" s="487">
        <v>6</v>
      </c>
      <c r="L55" s="487">
        <v>6</v>
      </c>
      <c r="M55" s="487">
        <v>8</v>
      </c>
      <c r="N55" s="487">
        <v>6</v>
      </c>
      <c r="O55" s="487">
        <v>11</v>
      </c>
      <c r="P55" s="488"/>
      <c r="Q55" s="517">
        <v>54</v>
      </c>
      <c r="R55" s="539" t="s">
        <v>35</v>
      </c>
      <c r="S55" s="176">
        <f t="shared" si="35"/>
        <v>5</v>
      </c>
      <c r="T55" s="176">
        <f t="shared" si="36"/>
        <v>11</v>
      </c>
      <c r="U55" s="176">
        <f t="shared" si="37"/>
        <v>20</v>
      </c>
      <c r="V55" s="176">
        <f t="shared" si="38"/>
        <v>31</v>
      </c>
      <c r="W55" s="176">
        <f t="shared" si="39"/>
        <v>36</v>
      </c>
      <c r="X55" s="176">
        <f t="shared" si="40"/>
        <v>44</v>
      </c>
      <c r="Y55" s="176">
        <f t="shared" si="41"/>
        <v>53</v>
      </c>
      <c r="Z55" s="176">
        <f t="shared" si="42"/>
        <v>59</v>
      </c>
      <c r="AA55" s="176">
        <f t="shared" si="43"/>
        <v>65</v>
      </c>
      <c r="AB55" s="176">
        <f t="shared" si="44"/>
        <v>73</v>
      </c>
      <c r="AC55" s="176">
        <f t="shared" si="45"/>
        <v>79</v>
      </c>
      <c r="AD55" s="462">
        <f t="shared" si="46"/>
        <v>90</v>
      </c>
      <c r="AE55" s="491">
        <v>54</v>
      </c>
      <c r="AF55" s="492">
        <v>92</v>
      </c>
    </row>
    <row r="56" spans="2:32" x14ac:dyDescent="0.35">
      <c r="B56" s="485">
        <v>55</v>
      </c>
      <c r="C56" s="538" t="s">
        <v>36</v>
      </c>
      <c r="D56" s="487">
        <v>1</v>
      </c>
      <c r="E56" s="487">
        <v>0</v>
      </c>
      <c r="F56" s="487">
        <v>3</v>
      </c>
      <c r="G56" s="487">
        <v>1</v>
      </c>
      <c r="H56" s="487">
        <v>1</v>
      </c>
      <c r="I56" s="487">
        <v>2</v>
      </c>
      <c r="J56" s="487">
        <v>1</v>
      </c>
      <c r="K56" s="487">
        <v>1</v>
      </c>
      <c r="L56" s="487">
        <v>3</v>
      </c>
      <c r="M56" s="487">
        <v>3</v>
      </c>
      <c r="N56" s="487">
        <v>2</v>
      </c>
      <c r="O56" s="487">
        <v>1</v>
      </c>
      <c r="P56" s="488"/>
      <c r="Q56" s="517">
        <v>55</v>
      </c>
      <c r="R56" s="539" t="s">
        <v>36</v>
      </c>
      <c r="S56" s="176">
        <f t="shared" si="35"/>
        <v>1</v>
      </c>
      <c r="T56" s="176">
        <f t="shared" si="36"/>
        <v>1</v>
      </c>
      <c r="U56" s="176">
        <f t="shared" si="37"/>
        <v>4</v>
      </c>
      <c r="V56" s="176">
        <f t="shared" si="38"/>
        <v>5</v>
      </c>
      <c r="W56" s="176">
        <f t="shared" si="39"/>
        <v>6</v>
      </c>
      <c r="X56" s="176">
        <f t="shared" si="40"/>
        <v>8</v>
      </c>
      <c r="Y56" s="176">
        <f t="shared" si="41"/>
        <v>9</v>
      </c>
      <c r="Z56" s="176">
        <f t="shared" si="42"/>
        <v>10</v>
      </c>
      <c r="AA56" s="176">
        <f t="shared" si="43"/>
        <v>13</v>
      </c>
      <c r="AB56" s="176">
        <f t="shared" si="44"/>
        <v>16</v>
      </c>
      <c r="AC56" s="176">
        <f t="shared" si="45"/>
        <v>18</v>
      </c>
      <c r="AD56" s="462">
        <f t="shared" si="46"/>
        <v>19</v>
      </c>
      <c r="AE56" s="469">
        <v>55</v>
      </c>
      <c r="AF56" s="492">
        <v>18.666666666666668</v>
      </c>
    </row>
    <row r="57" spans="2:32" x14ac:dyDescent="0.35">
      <c r="B57" s="485">
        <v>56</v>
      </c>
      <c r="C57" s="538" t="s">
        <v>37</v>
      </c>
      <c r="D57" s="487">
        <v>3</v>
      </c>
      <c r="E57" s="487">
        <v>2</v>
      </c>
      <c r="F57" s="487">
        <v>4</v>
      </c>
      <c r="G57" s="487">
        <v>3</v>
      </c>
      <c r="H57" s="487">
        <v>2</v>
      </c>
      <c r="I57" s="487">
        <v>3</v>
      </c>
      <c r="J57" s="487">
        <v>5</v>
      </c>
      <c r="K57" s="487">
        <v>4</v>
      </c>
      <c r="L57" s="487">
        <v>2</v>
      </c>
      <c r="M57" s="487">
        <v>2</v>
      </c>
      <c r="N57" s="487">
        <v>4</v>
      </c>
      <c r="O57" s="487">
        <v>3</v>
      </c>
      <c r="P57" s="488"/>
      <c r="Q57" s="517">
        <v>56</v>
      </c>
      <c r="R57" s="539" t="s">
        <v>37</v>
      </c>
      <c r="S57" s="176">
        <v>3</v>
      </c>
      <c r="T57" s="176">
        <f t="shared" si="36"/>
        <v>5</v>
      </c>
      <c r="U57" s="176">
        <f t="shared" si="37"/>
        <v>9</v>
      </c>
      <c r="V57" s="176">
        <f t="shared" si="38"/>
        <v>12</v>
      </c>
      <c r="W57" s="176">
        <f t="shared" si="39"/>
        <v>14</v>
      </c>
      <c r="X57" s="176">
        <f t="shared" si="40"/>
        <v>17</v>
      </c>
      <c r="Y57" s="176">
        <f t="shared" si="41"/>
        <v>22</v>
      </c>
      <c r="Z57" s="176">
        <f t="shared" si="42"/>
        <v>26</v>
      </c>
      <c r="AA57" s="176">
        <f t="shared" si="43"/>
        <v>28</v>
      </c>
      <c r="AB57" s="176">
        <f t="shared" si="44"/>
        <v>30</v>
      </c>
      <c r="AC57" s="176">
        <f t="shared" si="45"/>
        <v>34</v>
      </c>
      <c r="AD57" s="462">
        <f t="shared" si="46"/>
        <v>37</v>
      </c>
      <c r="AE57" s="469">
        <v>56</v>
      </c>
      <c r="AF57" s="492">
        <v>38.5</v>
      </c>
    </row>
    <row r="58" spans="2:32" x14ac:dyDescent="0.35">
      <c r="B58" s="485">
        <v>57</v>
      </c>
      <c r="C58" s="540" t="s">
        <v>31</v>
      </c>
      <c r="D58" s="487">
        <v>28</v>
      </c>
      <c r="E58" s="487">
        <v>28</v>
      </c>
      <c r="F58" s="487">
        <v>28</v>
      </c>
      <c r="G58" s="487">
        <v>27</v>
      </c>
      <c r="H58" s="487">
        <v>28</v>
      </c>
      <c r="I58" s="487">
        <v>32</v>
      </c>
      <c r="J58" s="487">
        <v>33</v>
      </c>
      <c r="K58" s="487">
        <v>31</v>
      </c>
      <c r="L58" s="487">
        <v>37</v>
      </c>
      <c r="M58" s="487">
        <v>27</v>
      </c>
      <c r="N58" s="487">
        <v>27</v>
      </c>
      <c r="O58" s="487">
        <v>22</v>
      </c>
      <c r="P58" s="488"/>
      <c r="Q58" s="517">
        <v>57</v>
      </c>
      <c r="R58" s="541" t="s">
        <v>31</v>
      </c>
      <c r="S58" s="176">
        <f t="shared" si="35"/>
        <v>28</v>
      </c>
      <c r="T58" s="176">
        <f t="shared" si="36"/>
        <v>56</v>
      </c>
      <c r="U58" s="176">
        <f t="shared" si="37"/>
        <v>84</v>
      </c>
      <c r="V58" s="176">
        <f t="shared" si="38"/>
        <v>111</v>
      </c>
      <c r="W58" s="176">
        <f t="shared" si="39"/>
        <v>139</v>
      </c>
      <c r="X58" s="176">
        <f t="shared" si="40"/>
        <v>171</v>
      </c>
      <c r="Y58" s="176">
        <f t="shared" si="41"/>
        <v>204</v>
      </c>
      <c r="Z58" s="176">
        <f t="shared" si="42"/>
        <v>235</v>
      </c>
      <c r="AA58" s="176">
        <f t="shared" si="43"/>
        <v>272</v>
      </c>
      <c r="AB58" s="176">
        <f t="shared" si="44"/>
        <v>299</v>
      </c>
      <c r="AC58" s="176">
        <f t="shared" si="45"/>
        <v>326</v>
      </c>
      <c r="AD58" s="462">
        <f t="shared" si="46"/>
        <v>348</v>
      </c>
      <c r="AE58" s="469">
        <v>57</v>
      </c>
      <c r="AF58" s="492">
        <v>347.66666666666663</v>
      </c>
    </row>
    <row r="59" spans="2:32" x14ac:dyDescent="0.35">
      <c r="B59" s="486">
        <v>58</v>
      </c>
      <c r="C59" s="540" t="s">
        <v>55</v>
      </c>
      <c r="D59" s="487">
        <v>15</v>
      </c>
      <c r="E59" s="487">
        <v>13</v>
      </c>
      <c r="F59" s="487">
        <v>12</v>
      </c>
      <c r="G59" s="487">
        <v>10</v>
      </c>
      <c r="H59" s="487">
        <v>15</v>
      </c>
      <c r="I59" s="487">
        <v>10</v>
      </c>
      <c r="J59" s="487">
        <v>11</v>
      </c>
      <c r="K59" s="487">
        <v>14</v>
      </c>
      <c r="L59" s="487">
        <v>12</v>
      </c>
      <c r="M59" s="487">
        <v>16</v>
      </c>
      <c r="N59" s="487">
        <v>16</v>
      </c>
      <c r="O59" s="487">
        <v>12</v>
      </c>
      <c r="P59" s="488"/>
      <c r="Q59" s="517">
        <v>58</v>
      </c>
      <c r="R59" s="541" t="s">
        <v>55</v>
      </c>
      <c r="S59" s="176">
        <f t="shared" si="35"/>
        <v>15</v>
      </c>
      <c r="T59" s="176">
        <f t="shared" si="36"/>
        <v>28</v>
      </c>
      <c r="U59" s="176">
        <f t="shared" si="37"/>
        <v>40</v>
      </c>
      <c r="V59" s="176">
        <f t="shared" si="38"/>
        <v>50</v>
      </c>
      <c r="W59" s="176">
        <f t="shared" si="39"/>
        <v>65</v>
      </c>
      <c r="X59" s="176">
        <f t="shared" si="40"/>
        <v>75</v>
      </c>
      <c r="Y59" s="176">
        <f t="shared" si="41"/>
        <v>86</v>
      </c>
      <c r="Z59" s="176">
        <f t="shared" si="42"/>
        <v>100</v>
      </c>
      <c r="AA59" s="176">
        <f t="shared" si="43"/>
        <v>112</v>
      </c>
      <c r="AB59" s="176">
        <f t="shared" si="44"/>
        <v>128</v>
      </c>
      <c r="AC59" s="176">
        <f t="shared" si="45"/>
        <v>144</v>
      </c>
      <c r="AD59" s="462">
        <f t="shared" si="46"/>
        <v>156</v>
      </c>
      <c r="AE59" s="469">
        <v>58</v>
      </c>
      <c r="AF59" s="492">
        <v>156.33333333333331</v>
      </c>
    </row>
    <row r="60" spans="2:32" x14ac:dyDescent="0.35">
      <c r="B60" s="485">
        <v>59</v>
      </c>
      <c r="C60" s="538" t="s">
        <v>38</v>
      </c>
      <c r="D60" s="487">
        <v>40</v>
      </c>
      <c r="E60" s="487">
        <v>55</v>
      </c>
      <c r="F60" s="487">
        <v>47</v>
      </c>
      <c r="G60" s="487">
        <v>46</v>
      </c>
      <c r="H60" s="487">
        <v>56</v>
      </c>
      <c r="I60" s="487">
        <v>50</v>
      </c>
      <c r="J60" s="487">
        <v>67</v>
      </c>
      <c r="K60" s="487">
        <v>69</v>
      </c>
      <c r="L60" s="487">
        <v>70</v>
      </c>
      <c r="M60" s="487">
        <v>68</v>
      </c>
      <c r="N60" s="487">
        <v>52</v>
      </c>
      <c r="O60" s="487">
        <v>46</v>
      </c>
      <c r="P60" s="488"/>
      <c r="Q60" s="517">
        <v>59</v>
      </c>
      <c r="R60" s="539" t="s">
        <v>38</v>
      </c>
      <c r="S60" s="176">
        <f t="shared" si="35"/>
        <v>40</v>
      </c>
      <c r="T60" s="176">
        <f t="shared" si="36"/>
        <v>95</v>
      </c>
      <c r="U60" s="176">
        <f t="shared" si="37"/>
        <v>142</v>
      </c>
      <c r="V60" s="176">
        <f t="shared" si="38"/>
        <v>188</v>
      </c>
      <c r="W60" s="176">
        <f t="shared" si="39"/>
        <v>244</v>
      </c>
      <c r="X60" s="176">
        <f t="shared" si="40"/>
        <v>294</v>
      </c>
      <c r="Y60" s="176">
        <f t="shared" si="41"/>
        <v>361</v>
      </c>
      <c r="Z60" s="176">
        <f t="shared" si="42"/>
        <v>430</v>
      </c>
      <c r="AA60" s="176">
        <f t="shared" si="43"/>
        <v>500</v>
      </c>
      <c r="AB60" s="176">
        <f t="shared" si="44"/>
        <v>568</v>
      </c>
      <c r="AC60" s="176">
        <f t="shared" si="45"/>
        <v>620</v>
      </c>
      <c r="AD60" s="462">
        <f t="shared" si="46"/>
        <v>666</v>
      </c>
      <c r="AE60" s="491">
        <v>59</v>
      </c>
      <c r="AF60" s="492">
        <v>666.66666666666663</v>
      </c>
    </row>
    <row r="61" spans="2:32" x14ac:dyDescent="0.35">
      <c r="B61" s="485">
        <v>60</v>
      </c>
      <c r="C61" s="538" t="s">
        <v>17</v>
      </c>
      <c r="D61" s="487">
        <v>19</v>
      </c>
      <c r="E61" s="487">
        <v>17</v>
      </c>
      <c r="F61" s="487">
        <v>12</v>
      </c>
      <c r="G61" s="487">
        <v>14</v>
      </c>
      <c r="H61" s="487">
        <v>13</v>
      </c>
      <c r="I61" s="487">
        <v>16</v>
      </c>
      <c r="J61" s="487">
        <v>21</v>
      </c>
      <c r="K61" s="487">
        <v>16</v>
      </c>
      <c r="L61" s="487">
        <v>16</v>
      </c>
      <c r="M61" s="487">
        <v>12</v>
      </c>
      <c r="N61" s="487">
        <v>15</v>
      </c>
      <c r="O61" s="487">
        <v>8</v>
      </c>
      <c r="P61" s="488"/>
      <c r="Q61" s="517">
        <v>60</v>
      </c>
      <c r="R61" s="539" t="s">
        <v>17</v>
      </c>
      <c r="S61" s="176">
        <f t="shared" si="35"/>
        <v>19</v>
      </c>
      <c r="T61" s="176">
        <f t="shared" si="36"/>
        <v>36</v>
      </c>
      <c r="U61" s="176">
        <f t="shared" si="37"/>
        <v>48</v>
      </c>
      <c r="V61" s="176">
        <f t="shared" si="38"/>
        <v>62</v>
      </c>
      <c r="W61" s="176">
        <f t="shared" si="39"/>
        <v>75</v>
      </c>
      <c r="X61" s="176">
        <f t="shared" si="40"/>
        <v>91</v>
      </c>
      <c r="Y61" s="176">
        <f t="shared" si="41"/>
        <v>112</v>
      </c>
      <c r="Z61" s="176">
        <f t="shared" si="42"/>
        <v>128</v>
      </c>
      <c r="AA61" s="176">
        <f t="shared" si="43"/>
        <v>144</v>
      </c>
      <c r="AB61" s="176">
        <f t="shared" si="44"/>
        <v>156</v>
      </c>
      <c r="AC61" s="176">
        <f t="shared" si="45"/>
        <v>171</v>
      </c>
      <c r="AD61" s="462">
        <f t="shared" si="46"/>
        <v>179</v>
      </c>
      <c r="AE61" s="469">
        <v>60</v>
      </c>
      <c r="AF61" s="492">
        <v>179.66666666666669</v>
      </c>
    </row>
    <row r="62" spans="2:32" x14ac:dyDescent="0.35">
      <c r="B62" s="485">
        <v>61</v>
      </c>
      <c r="C62" s="538" t="s">
        <v>34</v>
      </c>
      <c r="D62" s="487">
        <v>34</v>
      </c>
      <c r="E62" s="487">
        <v>46</v>
      </c>
      <c r="F62" s="487">
        <v>40</v>
      </c>
      <c r="G62" s="487">
        <v>42</v>
      </c>
      <c r="H62" s="487">
        <v>51</v>
      </c>
      <c r="I62" s="487">
        <v>39</v>
      </c>
      <c r="J62" s="487">
        <v>34</v>
      </c>
      <c r="K62" s="487">
        <v>43</v>
      </c>
      <c r="L62" s="487">
        <v>39</v>
      </c>
      <c r="M62" s="487">
        <v>32</v>
      </c>
      <c r="N62" s="487">
        <v>34</v>
      </c>
      <c r="O62" s="487">
        <v>38</v>
      </c>
      <c r="P62" s="488"/>
      <c r="Q62" s="517">
        <v>61</v>
      </c>
      <c r="R62" s="539" t="s">
        <v>34</v>
      </c>
      <c r="S62" s="176">
        <f t="shared" si="35"/>
        <v>34</v>
      </c>
      <c r="T62" s="176">
        <f t="shared" si="36"/>
        <v>80</v>
      </c>
      <c r="U62" s="176">
        <f t="shared" si="37"/>
        <v>120</v>
      </c>
      <c r="V62" s="176">
        <f t="shared" si="38"/>
        <v>162</v>
      </c>
      <c r="W62" s="176">
        <f t="shared" si="39"/>
        <v>213</v>
      </c>
      <c r="X62" s="176">
        <f t="shared" si="40"/>
        <v>252</v>
      </c>
      <c r="Y62" s="176">
        <f t="shared" si="41"/>
        <v>286</v>
      </c>
      <c r="Z62" s="176">
        <f t="shared" si="42"/>
        <v>329</v>
      </c>
      <c r="AA62" s="176">
        <f t="shared" si="43"/>
        <v>368</v>
      </c>
      <c r="AB62" s="176">
        <f t="shared" si="44"/>
        <v>400</v>
      </c>
      <c r="AC62" s="176">
        <f t="shared" si="45"/>
        <v>434</v>
      </c>
      <c r="AD62" s="462">
        <f t="shared" si="46"/>
        <v>472</v>
      </c>
      <c r="AE62" s="469">
        <v>61</v>
      </c>
      <c r="AF62" s="492">
        <v>470.00000000000006</v>
      </c>
    </row>
    <row r="63" spans="2:32" x14ac:dyDescent="0.35">
      <c r="B63" s="485">
        <v>62</v>
      </c>
      <c r="C63" s="538" t="s">
        <v>41</v>
      </c>
      <c r="D63" s="487">
        <v>4</v>
      </c>
      <c r="E63" s="487">
        <v>2</v>
      </c>
      <c r="F63" s="487">
        <v>4</v>
      </c>
      <c r="G63" s="487">
        <v>3</v>
      </c>
      <c r="H63" s="487">
        <v>4</v>
      </c>
      <c r="I63" s="487">
        <v>5</v>
      </c>
      <c r="J63" s="487">
        <v>5</v>
      </c>
      <c r="K63" s="487">
        <v>4</v>
      </c>
      <c r="L63" s="487">
        <v>3</v>
      </c>
      <c r="M63" s="487">
        <v>4</v>
      </c>
      <c r="N63" s="487">
        <v>5</v>
      </c>
      <c r="O63" s="487">
        <v>2</v>
      </c>
      <c r="P63" s="488"/>
      <c r="Q63" s="517">
        <v>62</v>
      </c>
      <c r="R63" s="539" t="s">
        <v>41</v>
      </c>
      <c r="S63" s="176">
        <f t="shared" si="35"/>
        <v>4</v>
      </c>
      <c r="T63" s="176">
        <f t="shared" si="36"/>
        <v>6</v>
      </c>
      <c r="U63" s="176">
        <f t="shared" si="37"/>
        <v>10</v>
      </c>
      <c r="V63" s="176">
        <f t="shared" si="38"/>
        <v>13</v>
      </c>
      <c r="W63" s="176">
        <f t="shared" si="39"/>
        <v>17</v>
      </c>
      <c r="X63" s="176">
        <f t="shared" si="40"/>
        <v>22</v>
      </c>
      <c r="Y63" s="176">
        <f t="shared" si="41"/>
        <v>27</v>
      </c>
      <c r="Z63" s="176">
        <f t="shared" si="42"/>
        <v>31</v>
      </c>
      <c r="AA63" s="176">
        <f t="shared" si="43"/>
        <v>34</v>
      </c>
      <c r="AB63" s="176">
        <f t="shared" si="44"/>
        <v>38</v>
      </c>
      <c r="AC63" s="176">
        <f t="shared" si="45"/>
        <v>43</v>
      </c>
      <c r="AD63" s="462">
        <f t="shared" si="46"/>
        <v>45</v>
      </c>
      <c r="AE63" s="491">
        <v>62</v>
      </c>
      <c r="AF63" s="492">
        <v>45.333333333333336</v>
      </c>
    </row>
    <row r="64" spans="2:32" x14ac:dyDescent="0.35">
      <c r="B64" s="486">
        <v>63</v>
      </c>
      <c r="C64" s="538" t="s">
        <v>42</v>
      </c>
      <c r="D64" s="487">
        <v>116</v>
      </c>
      <c r="E64" s="487">
        <v>131</v>
      </c>
      <c r="F64" s="487">
        <v>153</v>
      </c>
      <c r="G64" s="487">
        <v>152</v>
      </c>
      <c r="H64" s="487">
        <v>147</v>
      </c>
      <c r="I64" s="487">
        <v>134</v>
      </c>
      <c r="J64" s="487">
        <v>150</v>
      </c>
      <c r="K64" s="487">
        <v>132</v>
      </c>
      <c r="L64" s="487">
        <v>142</v>
      </c>
      <c r="M64" s="487">
        <v>116</v>
      </c>
      <c r="N64" s="487">
        <v>117</v>
      </c>
      <c r="O64" s="487">
        <v>139</v>
      </c>
      <c r="P64" s="488"/>
      <c r="Q64" s="517">
        <v>63</v>
      </c>
      <c r="R64" s="539" t="s">
        <v>42</v>
      </c>
      <c r="S64" s="176">
        <f t="shared" si="35"/>
        <v>116</v>
      </c>
      <c r="T64" s="176">
        <f t="shared" si="36"/>
        <v>247</v>
      </c>
      <c r="U64" s="176">
        <f t="shared" si="37"/>
        <v>400</v>
      </c>
      <c r="V64" s="176">
        <f t="shared" si="38"/>
        <v>552</v>
      </c>
      <c r="W64" s="176">
        <f t="shared" si="39"/>
        <v>699</v>
      </c>
      <c r="X64" s="176">
        <f t="shared" si="40"/>
        <v>833</v>
      </c>
      <c r="Y64" s="176">
        <f t="shared" si="41"/>
        <v>983</v>
      </c>
      <c r="Z64" s="176">
        <f t="shared" si="42"/>
        <v>1115</v>
      </c>
      <c r="AA64" s="176">
        <f t="shared" si="43"/>
        <v>1257</v>
      </c>
      <c r="AB64" s="176">
        <f t="shared" si="44"/>
        <v>1373</v>
      </c>
      <c r="AC64" s="176">
        <f t="shared" si="45"/>
        <v>1490</v>
      </c>
      <c r="AD64" s="462">
        <f t="shared" si="46"/>
        <v>1629</v>
      </c>
      <c r="AE64" s="469">
        <v>63</v>
      </c>
      <c r="AF64" s="492">
        <v>1628.9999999999998</v>
      </c>
    </row>
    <row r="65" spans="1:32" x14ac:dyDescent="0.35">
      <c r="B65" s="485">
        <v>64</v>
      </c>
      <c r="C65" s="538" t="s">
        <v>43</v>
      </c>
      <c r="D65" s="487">
        <v>7</v>
      </c>
      <c r="E65" s="487">
        <v>4</v>
      </c>
      <c r="F65" s="487">
        <v>9</v>
      </c>
      <c r="G65" s="487">
        <v>6</v>
      </c>
      <c r="H65" s="487">
        <v>8</v>
      </c>
      <c r="I65" s="487">
        <v>6</v>
      </c>
      <c r="J65" s="487">
        <v>4</v>
      </c>
      <c r="K65" s="487">
        <v>5</v>
      </c>
      <c r="L65" s="487">
        <v>8</v>
      </c>
      <c r="M65" s="487">
        <v>7</v>
      </c>
      <c r="N65" s="487">
        <v>4</v>
      </c>
      <c r="O65" s="487">
        <v>5</v>
      </c>
      <c r="P65" s="488"/>
      <c r="Q65" s="517">
        <v>64</v>
      </c>
      <c r="R65" s="539" t="s">
        <v>43</v>
      </c>
      <c r="S65" s="176">
        <f t="shared" si="35"/>
        <v>7</v>
      </c>
      <c r="T65" s="176">
        <f t="shared" si="36"/>
        <v>11</v>
      </c>
      <c r="U65" s="176">
        <f t="shared" si="37"/>
        <v>20</v>
      </c>
      <c r="V65" s="176">
        <f t="shared" si="38"/>
        <v>26</v>
      </c>
      <c r="W65" s="176">
        <f t="shared" si="39"/>
        <v>34</v>
      </c>
      <c r="X65" s="176">
        <f t="shared" si="40"/>
        <v>40</v>
      </c>
      <c r="Y65" s="176">
        <f t="shared" si="41"/>
        <v>44</v>
      </c>
      <c r="Z65" s="176">
        <f t="shared" si="42"/>
        <v>49</v>
      </c>
      <c r="AA65" s="176">
        <f t="shared" si="43"/>
        <v>57</v>
      </c>
      <c r="AB65" s="176">
        <f t="shared" si="44"/>
        <v>64</v>
      </c>
      <c r="AC65" s="176">
        <f t="shared" si="45"/>
        <v>68</v>
      </c>
      <c r="AD65" s="462">
        <f t="shared" si="46"/>
        <v>73</v>
      </c>
      <c r="AE65" s="469">
        <v>64</v>
      </c>
      <c r="AF65" s="492">
        <v>72</v>
      </c>
    </row>
    <row r="66" spans="1:32" x14ac:dyDescent="0.35">
      <c r="B66" s="485">
        <v>65</v>
      </c>
      <c r="C66" s="538" t="s">
        <v>198</v>
      </c>
      <c r="D66" s="487">
        <v>3</v>
      </c>
      <c r="E66" s="487">
        <v>4</v>
      </c>
      <c r="F66" s="487">
        <v>5</v>
      </c>
      <c r="G66" s="487">
        <v>6</v>
      </c>
      <c r="H66" s="487">
        <v>4</v>
      </c>
      <c r="I66" s="487">
        <v>4</v>
      </c>
      <c r="J66" s="487">
        <v>6</v>
      </c>
      <c r="K66" s="487">
        <v>7</v>
      </c>
      <c r="L66" s="487">
        <v>8</v>
      </c>
      <c r="M66" s="487">
        <v>5</v>
      </c>
      <c r="N66" s="487">
        <v>5</v>
      </c>
      <c r="O66" s="487">
        <v>6</v>
      </c>
      <c r="P66" s="488"/>
      <c r="Q66" s="517">
        <v>65</v>
      </c>
      <c r="R66" s="539" t="s">
        <v>198</v>
      </c>
      <c r="S66" s="176">
        <f t="shared" si="35"/>
        <v>3</v>
      </c>
      <c r="T66" s="176">
        <f t="shared" si="36"/>
        <v>7</v>
      </c>
      <c r="U66" s="176">
        <f t="shared" si="37"/>
        <v>12</v>
      </c>
      <c r="V66" s="176">
        <f t="shared" si="38"/>
        <v>18</v>
      </c>
      <c r="W66" s="176">
        <f t="shared" si="39"/>
        <v>22</v>
      </c>
      <c r="X66" s="176">
        <f t="shared" si="40"/>
        <v>26</v>
      </c>
      <c r="Y66" s="176">
        <f t="shared" si="41"/>
        <v>32</v>
      </c>
      <c r="Z66" s="176">
        <f t="shared" si="42"/>
        <v>39</v>
      </c>
      <c r="AA66" s="176">
        <f t="shared" si="43"/>
        <v>47</v>
      </c>
      <c r="AB66" s="176">
        <f t="shared" si="44"/>
        <v>52</v>
      </c>
      <c r="AC66" s="176">
        <f t="shared" si="45"/>
        <v>57</v>
      </c>
      <c r="AD66" s="462">
        <f t="shared" si="46"/>
        <v>63</v>
      </c>
      <c r="AE66" s="469">
        <v>65</v>
      </c>
      <c r="AF66" s="492">
        <v>63.333333333333329</v>
      </c>
    </row>
    <row r="67" spans="1:32" x14ac:dyDescent="0.35">
      <c r="A67" s="227" t="s">
        <v>128</v>
      </c>
      <c r="B67" s="485">
        <v>66</v>
      </c>
      <c r="C67" s="538" t="s">
        <v>204</v>
      </c>
      <c r="D67" s="493">
        <v>10</v>
      </c>
      <c r="E67" s="493">
        <v>8</v>
      </c>
      <c r="F67" s="493">
        <v>14</v>
      </c>
      <c r="G67" s="493">
        <v>12</v>
      </c>
      <c r="H67" s="493">
        <v>12</v>
      </c>
      <c r="I67" s="493">
        <v>10</v>
      </c>
      <c r="J67" s="493">
        <v>10</v>
      </c>
      <c r="K67" s="493">
        <v>11</v>
      </c>
      <c r="L67" s="493">
        <v>16</v>
      </c>
      <c r="M67" s="493">
        <v>12</v>
      </c>
      <c r="N67" s="493">
        <v>9</v>
      </c>
      <c r="O67" s="493">
        <v>11</v>
      </c>
      <c r="P67" s="488"/>
      <c r="Q67" s="517">
        <v>66</v>
      </c>
      <c r="R67" s="538" t="s">
        <v>204</v>
      </c>
      <c r="S67" s="176">
        <f t="shared" si="35"/>
        <v>10</v>
      </c>
      <c r="T67" s="176">
        <f t="shared" si="36"/>
        <v>18</v>
      </c>
      <c r="U67" s="176">
        <f t="shared" si="37"/>
        <v>32</v>
      </c>
      <c r="V67" s="176">
        <f t="shared" si="38"/>
        <v>44</v>
      </c>
      <c r="W67" s="176">
        <f t="shared" si="39"/>
        <v>56</v>
      </c>
      <c r="X67" s="176">
        <f t="shared" si="40"/>
        <v>66</v>
      </c>
      <c r="Y67" s="176">
        <f t="shared" si="41"/>
        <v>76</v>
      </c>
      <c r="Z67" s="176">
        <f t="shared" si="42"/>
        <v>87</v>
      </c>
      <c r="AA67" s="176">
        <f t="shared" si="43"/>
        <v>103</v>
      </c>
      <c r="AB67" s="176">
        <f t="shared" si="44"/>
        <v>115</v>
      </c>
      <c r="AC67" s="176">
        <f t="shared" si="45"/>
        <v>124</v>
      </c>
      <c r="AD67" s="462">
        <f t="shared" si="46"/>
        <v>135</v>
      </c>
      <c r="AE67" s="469">
        <v>66</v>
      </c>
      <c r="AF67" s="492"/>
    </row>
    <row r="68" spans="1:32" x14ac:dyDescent="0.35">
      <c r="B68" s="485">
        <v>67</v>
      </c>
      <c r="C68" s="538" t="s">
        <v>44</v>
      </c>
      <c r="D68" s="487">
        <v>1</v>
      </c>
      <c r="E68" s="487">
        <v>1</v>
      </c>
      <c r="F68" s="487">
        <v>0</v>
      </c>
      <c r="G68" s="487">
        <v>0</v>
      </c>
      <c r="H68" s="487">
        <v>1</v>
      </c>
      <c r="I68" s="487">
        <v>1</v>
      </c>
      <c r="J68" s="487">
        <v>0</v>
      </c>
      <c r="K68" s="487">
        <v>0</v>
      </c>
      <c r="L68" s="487">
        <v>0</v>
      </c>
      <c r="M68" s="487">
        <v>1</v>
      </c>
      <c r="N68" s="487">
        <v>1</v>
      </c>
      <c r="O68" s="487">
        <v>0</v>
      </c>
      <c r="P68" s="488"/>
      <c r="Q68" s="517">
        <v>67</v>
      </c>
      <c r="R68" s="539" t="s">
        <v>44</v>
      </c>
      <c r="S68" s="176">
        <f t="shared" si="35"/>
        <v>1</v>
      </c>
      <c r="T68" s="176">
        <f t="shared" si="36"/>
        <v>2</v>
      </c>
      <c r="U68" s="176">
        <f t="shared" si="37"/>
        <v>2</v>
      </c>
      <c r="V68" s="176">
        <f t="shared" si="38"/>
        <v>2</v>
      </c>
      <c r="W68" s="176">
        <f t="shared" si="39"/>
        <v>3</v>
      </c>
      <c r="X68" s="176">
        <f t="shared" si="40"/>
        <v>4</v>
      </c>
      <c r="Y68" s="176">
        <f t="shared" si="41"/>
        <v>4</v>
      </c>
      <c r="Z68" s="176">
        <f t="shared" si="42"/>
        <v>4</v>
      </c>
      <c r="AA68" s="176">
        <f t="shared" si="43"/>
        <v>4</v>
      </c>
      <c r="AB68" s="176">
        <f t="shared" si="44"/>
        <v>5</v>
      </c>
      <c r="AC68" s="176">
        <f t="shared" si="45"/>
        <v>6</v>
      </c>
      <c r="AD68" s="462">
        <f t="shared" si="46"/>
        <v>6</v>
      </c>
      <c r="AE68" s="491">
        <v>67</v>
      </c>
      <c r="AF68" s="492">
        <v>4.6666666666666661</v>
      </c>
    </row>
    <row r="69" spans="1:32" x14ac:dyDescent="0.35">
      <c r="B69" s="486">
        <v>68</v>
      </c>
      <c r="C69" s="538" t="s">
        <v>199</v>
      </c>
      <c r="D69" s="487">
        <v>0</v>
      </c>
      <c r="E69" s="487">
        <v>0</v>
      </c>
      <c r="F69" s="487">
        <v>0</v>
      </c>
      <c r="G69" s="487">
        <v>1</v>
      </c>
      <c r="H69" s="487">
        <v>0</v>
      </c>
      <c r="I69" s="487">
        <v>1</v>
      </c>
      <c r="J69" s="487">
        <v>0</v>
      </c>
      <c r="K69" s="487">
        <v>0</v>
      </c>
      <c r="L69" s="487">
        <v>0</v>
      </c>
      <c r="M69" s="487">
        <v>1</v>
      </c>
      <c r="N69" s="487">
        <v>0</v>
      </c>
      <c r="O69" s="487">
        <v>1</v>
      </c>
      <c r="P69" s="488"/>
      <c r="Q69" s="517">
        <v>68</v>
      </c>
      <c r="R69" s="539" t="s">
        <v>199</v>
      </c>
      <c r="S69" s="176">
        <f t="shared" si="35"/>
        <v>0</v>
      </c>
      <c r="T69" s="176">
        <f t="shared" si="36"/>
        <v>0</v>
      </c>
      <c r="U69" s="176">
        <f t="shared" si="37"/>
        <v>0</v>
      </c>
      <c r="V69" s="176">
        <f t="shared" si="38"/>
        <v>1</v>
      </c>
      <c r="W69" s="176">
        <f t="shared" si="39"/>
        <v>1</v>
      </c>
      <c r="X69" s="176">
        <f t="shared" si="40"/>
        <v>2</v>
      </c>
      <c r="Y69" s="176">
        <f t="shared" si="41"/>
        <v>2</v>
      </c>
      <c r="Z69" s="176">
        <f t="shared" si="42"/>
        <v>2</v>
      </c>
      <c r="AA69" s="176">
        <f t="shared" si="43"/>
        <v>2</v>
      </c>
      <c r="AB69" s="176">
        <f t="shared" si="44"/>
        <v>3</v>
      </c>
      <c r="AC69" s="176">
        <f t="shared" si="45"/>
        <v>3</v>
      </c>
      <c r="AD69" s="462">
        <f t="shared" si="46"/>
        <v>4</v>
      </c>
      <c r="AE69" s="469">
        <v>68</v>
      </c>
      <c r="AF69" s="492">
        <v>4.666666666666667</v>
      </c>
    </row>
    <row r="70" spans="1:32" x14ac:dyDescent="0.35">
      <c r="A70" s="227" t="s">
        <v>128</v>
      </c>
      <c r="B70" s="485">
        <v>69</v>
      </c>
      <c r="C70" s="538" t="s">
        <v>205</v>
      </c>
      <c r="D70" s="496">
        <v>1</v>
      </c>
      <c r="E70" s="496">
        <v>1</v>
      </c>
      <c r="F70" s="496">
        <v>0</v>
      </c>
      <c r="G70" s="496">
        <v>1</v>
      </c>
      <c r="H70" s="496">
        <v>1</v>
      </c>
      <c r="I70" s="496">
        <v>2</v>
      </c>
      <c r="J70" s="496">
        <v>0</v>
      </c>
      <c r="K70" s="496">
        <v>0</v>
      </c>
      <c r="L70" s="496">
        <v>0</v>
      </c>
      <c r="M70" s="496">
        <v>1</v>
      </c>
      <c r="N70" s="496">
        <v>1</v>
      </c>
      <c r="O70" s="496">
        <v>1</v>
      </c>
      <c r="P70" s="488"/>
      <c r="Q70" s="517">
        <v>69</v>
      </c>
      <c r="R70" s="538" t="s">
        <v>205</v>
      </c>
      <c r="S70" s="176">
        <f t="shared" si="35"/>
        <v>1</v>
      </c>
      <c r="T70" s="176">
        <f t="shared" si="36"/>
        <v>2</v>
      </c>
      <c r="U70" s="176">
        <f t="shared" si="37"/>
        <v>2</v>
      </c>
      <c r="V70" s="176">
        <f t="shared" si="38"/>
        <v>3</v>
      </c>
      <c r="W70" s="176">
        <f t="shared" si="39"/>
        <v>4</v>
      </c>
      <c r="X70" s="176">
        <f t="shared" si="40"/>
        <v>6</v>
      </c>
      <c r="Y70" s="176">
        <f t="shared" si="41"/>
        <v>6</v>
      </c>
      <c r="Z70" s="176">
        <f t="shared" si="42"/>
        <v>6</v>
      </c>
      <c r="AA70" s="176">
        <f t="shared" si="43"/>
        <v>6</v>
      </c>
      <c r="AB70" s="176">
        <f t="shared" si="44"/>
        <v>7</v>
      </c>
      <c r="AC70" s="176">
        <f t="shared" si="45"/>
        <v>8</v>
      </c>
      <c r="AD70" s="462">
        <f t="shared" si="46"/>
        <v>9</v>
      </c>
      <c r="AE70" s="469">
        <v>69</v>
      </c>
      <c r="AF70" s="492"/>
    </row>
    <row r="71" spans="1:32" x14ac:dyDescent="0.35">
      <c r="B71" s="485">
        <v>70</v>
      </c>
      <c r="C71" s="538" t="s">
        <v>45</v>
      </c>
      <c r="D71" s="487">
        <v>16</v>
      </c>
      <c r="E71" s="487">
        <v>17</v>
      </c>
      <c r="F71" s="487">
        <v>22</v>
      </c>
      <c r="G71" s="487">
        <v>21</v>
      </c>
      <c r="H71" s="487">
        <v>16</v>
      </c>
      <c r="I71" s="487">
        <v>15</v>
      </c>
      <c r="J71" s="487">
        <v>14</v>
      </c>
      <c r="K71" s="487">
        <v>13</v>
      </c>
      <c r="L71" s="487">
        <v>15</v>
      </c>
      <c r="M71" s="487">
        <v>16</v>
      </c>
      <c r="N71" s="487">
        <v>13</v>
      </c>
      <c r="O71" s="487">
        <v>14</v>
      </c>
      <c r="P71" s="488"/>
      <c r="Q71" s="517">
        <v>70</v>
      </c>
      <c r="R71" s="539" t="s">
        <v>45</v>
      </c>
      <c r="S71" s="176">
        <f t="shared" si="35"/>
        <v>16</v>
      </c>
      <c r="T71" s="176">
        <f t="shared" si="36"/>
        <v>33</v>
      </c>
      <c r="U71" s="176">
        <f t="shared" si="37"/>
        <v>55</v>
      </c>
      <c r="V71" s="176">
        <f t="shared" si="38"/>
        <v>76</v>
      </c>
      <c r="W71" s="176">
        <f t="shared" si="39"/>
        <v>92</v>
      </c>
      <c r="X71" s="176">
        <f t="shared" si="40"/>
        <v>107</v>
      </c>
      <c r="Y71" s="176">
        <f t="shared" si="41"/>
        <v>121</v>
      </c>
      <c r="Z71" s="176">
        <f t="shared" si="42"/>
        <v>134</v>
      </c>
      <c r="AA71" s="176">
        <f t="shared" si="43"/>
        <v>149</v>
      </c>
      <c r="AB71" s="176">
        <f t="shared" si="44"/>
        <v>165</v>
      </c>
      <c r="AC71" s="176">
        <f t="shared" si="45"/>
        <v>178</v>
      </c>
      <c r="AD71" s="462">
        <f t="shared" si="46"/>
        <v>192</v>
      </c>
      <c r="AE71" s="491">
        <v>70</v>
      </c>
      <c r="AF71" s="492">
        <v>192.00000000000003</v>
      </c>
    </row>
    <row r="72" spans="1:32" x14ac:dyDescent="0.35">
      <c r="B72" s="485">
        <v>71</v>
      </c>
      <c r="C72" s="538" t="s">
        <v>191</v>
      </c>
      <c r="D72" s="487">
        <v>31</v>
      </c>
      <c r="E72" s="487">
        <v>40</v>
      </c>
      <c r="F72" s="487">
        <v>32</v>
      </c>
      <c r="G72" s="487">
        <v>36</v>
      </c>
      <c r="H72" s="487">
        <v>35</v>
      </c>
      <c r="I72" s="487">
        <v>31</v>
      </c>
      <c r="J72" s="487">
        <v>35</v>
      </c>
      <c r="K72" s="487">
        <v>31</v>
      </c>
      <c r="L72" s="487">
        <v>40</v>
      </c>
      <c r="M72" s="487">
        <v>30</v>
      </c>
      <c r="N72" s="487">
        <v>28</v>
      </c>
      <c r="O72" s="487">
        <v>37</v>
      </c>
      <c r="P72" s="488"/>
      <c r="Q72" s="517">
        <v>71</v>
      </c>
      <c r="R72" s="539" t="s">
        <v>191</v>
      </c>
      <c r="S72" s="176">
        <f t="shared" si="35"/>
        <v>31</v>
      </c>
      <c r="T72" s="176">
        <f t="shared" si="36"/>
        <v>71</v>
      </c>
      <c r="U72" s="176">
        <f t="shared" si="37"/>
        <v>103</v>
      </c>
      <c r="V72" s="176">
        <f t="shared" si="38"/>
        <v>139</v>
      </c>
      <c r="W72" s="176">
        <f t="shared" si="39"/>
        <v>174</v>
      </c>
      <c r="X72" s="176">
        <f t="shared" si="40"/>
        <v>205</v>
      </c>
      <c r="Y72" s="176">
        <f t="shared" si="41"/>
        <v>240</v>
      </c>
      <c r="Z72" s="176">
        <f t="shared" si="42"/>
        <v>271</v>
      </c>
      <c r="AA72" s="176">
        <f t="shared" si="43"/>
        <v>311</v>
      </c>
      <c r="AB72" s="176">
        <f t="shared" si="44"/>
        <v>341</v>
      </c>
      <c r="AC72" s="176">
        <f t="shared" si="45"/>
        <v>369</v>
      </c>
      <c r="AD72" s="462">
        <f t="shared" si="46"/>
        <v>406</v>
      </c>
      <c r="AE72" s="469">
        <v>71</v>
      </c>
      <c r="AF72" s="492">
        <v>404.66666666666669</v>
      </c>
    </row>
    <row r="73" spans="1:32" x14ac:dyDescent="0.35">
      <c r="B73" s="485">
        <v>72</v>
      </c>
      <c r="C73" s="538" t="s">
        <v>53</v>
      </c>
      <c r="D73" s="487">
        <v>2</v>
      </c>
      <c r="E73" s="487">
        <v>2</v>
      </c>
      <c r="F73" s="487">
        <v>3</v>
      </c>
      <c r="G73" s="487">
        <v>3</v>
      </c>
      <c r="H73" s="487">
        <v>3</v>
      </c>
      <c r="I73" s="487">
        <v>3</v>
      </c>
      <c r="J73" s="487">
        <v>3</v>
      </c>
      <c r="K73" s="487">
        <v>3</v>
      </c>
      <c r="L73" s="487">
        <v>2</v>
      </c>
      <c r="M73" s="487">
        <v>4</v>
      </c>
      <c r="N73" s="487">
        <v>2</v>
      </c>
      <c r="O73" s="487">
        <v>0</v>
      </c>
      <c r="P73" s="488"/>
      <c r="Q73" s="517">
        <v>72</v>
      </c>
      <c r="R73" s="539" t="s">
        <v>53</v>
      </c>
      <c r="S73" s="176">
        <f t="shared" si="35"/>
        <v>2</v>
      </c>
      <c r="T73" s="176">
        <f t="shared" si="36"/>
        <v>4</v>
      </c>
      <c r="U73" s="176">
        <f t="shared" si="37"/>
        <v>7</v>
      </c>
      <c r="V73" s="176">
        <f t="shared" si="38"/>
        <v>10</v>
      </c>
      <c r="W73" s="176">
        <f t="shared" si="39"/>
        <v>13</v>
      </c>
      <c r="X73" s="176">
        <f t="shared" si="40"/>
        <v>16</v>
      </c>
      <c r="Y73" s="176">
        <f t="shared" si="41"/>
        <v>19</v>
      </c>
      <c r="Z73" s="176">
        <f t="shared" si="42"/>
        <v>22</v>
      </c>
      <c r="AA73" s="176">
        <f t="shared" si="43"/>
        <v>24</v>
      </c>
      <c r="AB73" s="176">
        <f t="shared" si="44"/>
        <v>28</v>
      </c>
      <c r="AC73" s="176">
        <f t="shared" si="45"/>
        <v>30</v>
      </c>
      <c r="AD73" s="462">
        <f t="shared" si="46"/>
        <v>30</v>
      </c>
      <c r="AE73" s="469">
        <v>72</v>
      </c>
      <c r="AF73" s="492">
        <v>30.666666666666664</v>
      </c>
    </row>
    <row r="74" spans="1:32" x14ac:dyDescent="0.35">
      <c r="B74" s="486">
        <v>73</v>
      </c>
      <c r="C74" s="538" t="s">
        <v>54</v>
      </c>
      <c r="D74" s="487">
        <v>2</v>
      </c>
      <c r="E74" s="487">
        <v>2</v>
      </c>
      <c r="F74" s="487">
        <v>2</v>
      </c>
      <c r="G74" s="487">
        <v>1</v>
      </c>
      <c r="H74" s="487">
        <v>1</v>
      </c>
      <c r="I74" s="487">
        <v>1</v>
      </c>
      <c r="J74" s="487">
        <v>3</v>
      </c>
      <c r="K74" s="487">
        <v>2</v>
      </c>
      <c r="L74" s="487">
        <v>3</v>
      </c>
      <c r="M74" s="487">
        <v>2</v>
      </c>
      <c r="N74" s="487">
        <v>1</v>
      </c>
      <c r="O74" s="487">
        <v>1</v>
      </c>
      <c r="P74" s="488"/>
      <c r="Q74" s="517">
        <v>73</v>
      </c>
      <c r="R74" s="539" t="s">
        <v>54</v>
      </c>
      <c r="S74" s="176">
        <f t="shared" si="35"/>
        <v>2</v>
      </c>
      <c r="T74" s="176">
        <f t="shared" si="36"/>
        <v>4</v>
      </c>
      <c r="U74" s="176">
        <f t="shared" si="37"/>
        <v>6</v>
      </c>
      <c r="V74" s="176">
        <f t="shared" si="38"/>
        <v>7</v>
      </c>
      <c r="W74" s="176">
        <f t="shared" si="39"/>
        <v>8</v>
      </c>
      <c r="X74" s="176">
        <f t="shared" si="40"/>
        <v>9</v>
      </c>
      <c r="Y74" s="176">
        <f t="shared" si="41"/>
        <v>12</v>
      </c>
      <c r="Z74" s="176">
        <f t="shared" si="42"/>
        <v>14</v>
      </c>
      <c r="AA74" s="176">
        <f t="shared" si="43"/>
        <v>17</v>
      </c>
      <c r="AB74" s="176">
        <f t="shared" si="44"/>
        <v>19</v>
      </c>
      <c r="AC74" s="176">
        <f t="shared" si="45"/>
        <v>20</v>
      </c>
      <c r="AD74" s="462">
        <f t="shared" si="46"/>
        <v>21</v>
      </c>
      <c r="AE74" s="469">
        <v>73</v>
      </c>
      <c r="AF74" s="492">
        <v>22</v>
      </c>
    </row>
    <row r="75" spans="1:32" x14ac:dyDescent="0.35">
      <c r="B75" s="485">
        <v>74</v>
      </c>
      <c r="C75" s="538" t="s">
        <v>46</v>
      </c>
      <c r="D75" s="487">
        <v>0</v>
      </c>
      <c r="E75" s="487">
        <v>0</v>
      </c>
      <c r="F75" s="487">
        <v>0</v>
      </c>
      <c r="G75" s="487">
        <v>1</v>
      </c>
      <c r="H75" s="487">
        <v>1</v>
      </c>
      <c r="I75" s="487">
        <v>0</v>
      </c>
      <c r="J75" s="487">
        <v>1</v>
      </c>
      <c r="K75" s="487">
        <v>0</v>
      </c>
      <c r="L75" s="487">
        <v>1</v>
      </c>
      <c r="M75" s="487">
        <v>2</v>
      </c>
      <c r="N75" s="487">
        <v>1</v>
      </c>
      <c r="O75" s="487">
        <v>0</v>
      </c>
      <c r="P75" s="488"/>
      <c r="Q75" s="517">
        <v>74</v>
      </c>
      <c r="R75" s="539" t="s">
        <v>46</v>
      </c>
      <c r="S75" s="176">
        <f t="shared" si="35"/>
        <v>0</v>
      </c>
      <c r="T75" s="176">
        <f t="shared" si="36"/>
        <v>0</v>
      </c>
      <c r="U75" s="176">
        <f t="shared" si="37"/>
        <v>0</v>
      </c>
      <c r="V75" s="176">
        <f t="shared" si="38"/>
        <v>1</v>
      </c>
      <c r="W75" s="176">
        <f t="shared" si="39"/>
        <v>2</v>
      </c>
      <c r="X75" s="176">
        <f t="shared" si="40"/>
        <v>2</v>
      </c>
      <c r="Y75" s="176">
        <f t="shared" si="41"/>
        <v>3</v>
      </c>
      <c r="Z75" s="176">
        <f t="shared" si="42"/>
        <v>3</v>
      </c>
      <c r="AA75" s="176">
        <f t="shared" si="43"/>
        <v>4</v>
      </c>
      <c r="AB75" s="176">
        <f t="shared" si="44"/>
        <v>6</v>
      </c>
      <c r="AC75" s="176">
        <f t="shared" si="45"/>
        <v>7</v>
      </c>
      <c r="AD75" s="462">
        <f t="shared" si="46"/>
        <v>7</v>
      </c>
      <c r="AE75" s="469">
        <v>74</v>
      </c>
      <c r="AF75" s="492">
        <v>6.6666666666666661</v>
      </c>
    </row>
    <row r="76" spans="1:32" x14ac:dyDescent="0.35">
      <c r="B76" s="485">
        <v>75</v>
      </c>
      <c r="C76" s="538" t="s">
        <v>47</v>
      </c>
      <c r="D76" s="487">
        <v>7</v>
      </c>
      <c r="E76" s="487">
        <v>9</v>
      </c>
      <c r="F76" s="487">
        <v>11</v>
      </c>
      <c r="G76" s="487">
        <v>8</v>
      </c>
      <c r="H76" s="487">
        <v>11</v>
      </c>
      <c r="I76" s="487">
        <v>9</v>
      </c>
      <c r="J76" s="487">
        <v>14</v>
      </c>
      <c r="K76" s="487">
        <v>16</v>
      </c>
      <c r="L76" s="487">
        <v>19</v>
      </c>
      <c r="M76" s="487">
        <v>14</v>
      </c>
      <c r="N76" s="487">
        <v>14</v>
      </c>
      <c r="O76" s="487">
        <v>5</v>
      </c>
      <c r="P76" s="488"/>
      <c r="Q76" s="517">
        <v>75</v>
      </c>
      <c r="R76" s="539" t="s">
        <v>47</v>
      </c>
      <c r="S76" s="176">
        <f t="shared" si="35"/>
        <v>7</v>
      </c>
      <c r="T76" s="176">
        <f t="shared" si="36"/>
        <v>16</v>
      </c>
      <c r="U76" s="176">
        <f t="shared" si="37"/>
        <v>27</v>
      </c>
      <c r="V76" s="176">
        <f t="shared" si="38"/>
        <v>35</v>
      </c>
      <c r="W76" s="176">
        <f t="shared" si="39"/>
        <v>46</v>
      </c>
      <c r="X76" s="176">
        <f t="shared" si="40"/>
        <v>55</v>
      </c>
      <c r="Y76" s="176">
        <f t="shared" si="41"/>
        <v>69</v>
      </c>
      <c r="Z76" s="176">
        <f t="shared" si="42"/>
        <v>85</v>
      </c>
      <c r="AA76" s="176">
        <f t="shared" si="43"/>
        <v>104</v>
      </c>
      <c r="AB76" s="176">
        <f t="shared" si="44"/>
        <v>118</v>
      </c>
      <c r="AC76" s="176">
        <f t="shared" si="45"/>
        <v>132</v>
      </c>
      <c r="AD76" s="462">
        <f t="shared" si="46"/>
        <v>137</v>
      </c>
      <c r="AE76" s="491">
        <v>75</v>
      </c>
      <c r="AF76" s="492">
        <v>137</v>
      </c>
    </row>
    <row r="77" spans="1:32" x14ac:dyDescent="0.35">
      <c r="B77" s="485">
        <v>76</v>
      </c>
      <c r="C77" s="538" t="s">
        <v>48</v>
      </c>
      <c r="D77" s="487">
        <v>23</v>
      </c>
      <c r="E77" s="487">
        <v>32</v>
      </c>
      <c r="F77" s="487">
        <v>25</v>
      </c>
      <c r="G77" s="487">
        <v>22</v>
      </c>
      <c r="H77" s="487">
        <v>30</v>
      </c>
      <c r="I77" s="487">
        <v>25</v>
      </c>
      <c r="J77" s="487">
        <v>37</v>
      </c>
      <c r="K77" s="487">
        <v>32</v>
      </c>
      <c r="L77" s="487">
        <v>36</v>
      </c>
      <c r="M77" s="487">
        <v>33</v>
      </c>
      <c r="N77" s="487">
        <v>27</v>
      </c>
      <c r="O77" s="487">
        <v>29</v>
      </c>
      <c r="P77" s="488"/>
      <c r="Q77" s="517">
        <v>76</v>
      </c>
      <c r="R77" s="539" t="s">
        <v>48</v>
      </c>
      <c r="S77" s="176">
        <f t="shared" si="35"/>
        <v>23</v>
      </c>
      <c r="T77" s="176">
        <f t="shared" si="36"/>
        <v>55</v>
      </c>
      <c r="U77" s="176">
        <f t="shared" si="37"/>
        <v>80</v>
      </c>
      <c r="V77" s="176">
        <f t="shared" si="38"/>
        <v>102</v>
      </c>
      <c r="W77" s="176">
        <f t="shared" si="39"/>
        <v>132</v>
      </c>
      <c r="X77" s="176">
        <f t="shared" si="40"/>
        <v>157</v>
      </c>
      <c r="Y77" s="176">
        <f t="shared" si="41"/>
        <v>194</v>
      </c>
      <c r="Z77" s="176">
        <f t="shared" si="42"/>
        <v>226</v>
      </c>
      <c r="AA77" s="176">
        <f t="shared" si="43"/>
        <v>262</v>
      </c>
      <c r="AB77" s="176">
        <f t="shared" si="44"/>
        <v>295</v>
      </c>
      <c r="AC77" s="176">
        <f t="shared" si="45"/>
        <v>322</v>
      </c>
      <c r="AD77" s="462">
        <f t="shared" si="46"/>
        <v>351</v>
      </c>
      <c r="AE77" s="469">
        <v>76</v>
      </c>
      <c r="AF77" s="492">
        <v>351.99999999999994</v>
      </c>
    </row>
    <row r="78" spans="1:32" x14ac:dyDescent="0.35">
      <c r="B78" s="485">
        <v>77</v>
      </c>
      <c r="C78" s="538" t="s">
        <v>49</v>
      </c>
      <c r="D78" s="487">
        <v>10</v>
      </c>
      <c r="E78" s="487">
        <v>13</v>
      </c>
      <c r="F78" s="487">
        <v>11</v>
      </c>
      <c r="G78" s="487">
        <v>15</v>
      </c>
      <c r="H78" s="487">
        <v>15</v>
      </c>
      <c r="I78" s="487">
        <v>16</v>
      </c>
      <c r="J78" s="487">
        <v>15</v>
      </c>
      <c r="K78" s="487">
        <v>21</v>
      </c>
      <c r="L78" s="487">
        <v>14</v>
      </c>
      <c r="M78" s="487">
        <v>19</v>
      </c>
      <c r="N78" s="487">
        <v>9</v>
      </c>
      <c r="O78" s="487">
        <v>11</v>
      </c>
      <c r="P78" s="488"/>
      <c r="Q78" s="517">
        <v>77</v>
      </c>
      <c r="R78" s="539" t="s">
        <v>49</v>
      </c>
      <c r="S78" s="176">
        <f t="shared" si="35"/>
        <v>10</v>
      </c>
      <c r="T78" s="176">
        <f t="shared" si="36"/>
        <v>23</v>
      </c>
      <c r="U78" s="176">
        <f t="shared" si="37"/>
        <v>34</v>
      </c>
      <c r="V78" s="176">
        <f t="shared" si="38"/>
        <v>49</v>
      </c>
      <c r="W78" s="176">
        <f t="shared" si="39"/>
        <v>64</v>
      </c>
      <c r="X78" s="176">
        <f t="shared" si="40"/>
        <v>80</v>
      </c>
      <c r="Y78" s="176">
        <f t="shared" si="41"/>
        <v>95</v>
      </c>
      <c r="Z78" s="176">
        <f t="shared" si="42"/>
        <v>116</v>
      </c>
      <c r="AA78" s="176">
        <f t="shared" si="43"/>
        <v>130</v>
      </c>
      <c r="AB78" s="176">
        <f t="shared" si="44"/>
        <v>149</v>
      </c>
      <c r="AC78" s="176">
        <f t="shared" si="45"/>
        <v>158</v>
      </c>
      <c r="AD78" s="462">
        <f t="shared" si="46"/>
        <v>169</v>
      </c>
      <c r="AE78" s="469">
        <v>77</v>
      </c>
      <c r="AF78" s="492">
        <v>171.00000000000003</v>
      </c>
    </row>
    <row r="79" spans="1:32" x14ac:dyDescent="0.35">
      <c r="A79" s="227" t="s">
        <v>128</v>
      </c>
      <c r="B79" s="486">
        <v>78</v>
      </c>
      <c r="C79" s="538" t="s">
        <v>85</v>
      </c>
      <c r="D79" s="496">
        <v>11</v>
      </c>
      <c r="E79" s="496">
        <v>13</v>
      </c>
      <c r="F79" s="496">
        <v>11</v>
      </c>
      <c r="G79" s="496">
        <v>16</v>
      </c>
      <c r="H79" s="496">
        <v>15</v>
      </c>
      <c r="I79" s="496">
        <v>16</v>
      </c>
      <c r="J79" s="496">
        <v>16</v>
      </c>
      <c r="K79" s="496">
        <v>21</v>
      </c>
      <c r="L79" s="496">
        <v>15</v>
      </c>
      <c r="M79" s="496">
        <v>21</v>
      </c>
      <c r="N79" s="496">
        <v>10</v>
      </c>
      <c r="O79" s="496">
        <v>12</v>
      </c>
      <c r="P79" s="488"/>
      <c r="Q79" s="517">
        <v>78</v>
      </c>
      <c r="R79" s="539" t="s">
        <v>85</v>
      </c>
      <c r="S79" s="176">
        <f t="shared" si="35"/>
        <v>11</v>
      </c>
      <c r="T79" s="176">
        <f t="shared" si="36"/>
        <v>24</v>
      </c>
      <c r="U79" s="176">
        <f t="shared" si="37"/>
        <v>35</v>
      </c>
      <c r="V79" s="176">
        <f t="shared" si="38"/>
        <v>51</v>
      </c>
      <c r="W79" s="176">
        <f t="shared" si="39"/>
        <v>66</v>
      </c>
      <c r="X79" s="176">
        <f t="shared" si="40"/>
        <v>82</v>
      </c>
      <c r="Y79" s="176">
        <f t="shared" si="41"/>
        <v>98</v>
      </c>
      <c r="Z79" s="176">
        <f t="shared" si="42"/>
        <v>119</v>
      </c>
      <c r="AA79" s="176">
        <f t="shared" si="43"/>
        <v>134</v>
      </c>
      <c r="AB79" s="176">
        <f t="shared" si="44"/>
        <v>155</v>
      </c>
      <c r="AC79" s="176">
        <f t="shared" si="45"/>
        <v>165</v>
      </c>
      <c r="AD79" s="462">
        <f t="shared" si="46"/>
        <v>177</v>
      </c>
      <c r="AE79" s="491">
        <v>78</v>
      </c>
      <c r="AF79" s="492">
        <v>177.66666666666669</v>
      </c>
    </row>
    <row r="80" spans="1:32" x14ac:dyDescent="0.35">
      <c r="B80" s="485">
        <v>79</v>
      </c>
      <c r="C80" s="538" t="s">
        <v>50</v>
      </c>
      <c r="D80" s="487">
        <v>40</v>
      </c>
      <c r="E80" s="487">
        <v>55</v>
      </c>
      <c r="F80" s="487">
        <v>47</v>
      </c>
      <c r="G80" s="487">
        <v>46</v>
      </c>
      <c r="H80" s="487">
        <v>56</v>
      </c>
      <c r="I80" s="487">
        <v>50</v>
      </c>
      <c r="J80" s="487">
        <v>67</v>
      </c>
      <c r="K80" s="487">
        <v>69</v>
      </c>
      <c r="L80" s="487">
        <v>70</v>
      </c>
      <c r="M80" s="487">
        <v>68</v>
      </c>
      <c r="N80" s="487">
        <v>52</v>
      </c>
      <c r="O80" s="487">
        <v>46</v>
      </c>
      <c r="P80" s="488"/>
      <c r="Q80" s="517">
        <v>79</v>
      </c>
      <c r="R80" s="539" t="s">
        <v>50</v>
      </c>
      <c r="S80" s="176">
        <f t="shared" si="35"/>
        <v>40</v>
      </c>
      <c r="T80" s="176">
        <f t="shared" si="36"/>
        <v>95</v>
      </c>
      <c r="U80" s="176">
        <f t="shared" si="37"/>
        <v>142</v>
      </c>
      <c r="V80" s="176">
        <f t="shared" si="38"/>
        <v>188</v>
      </c>
      <c r="W80" s="176">
        <f t="shared" si="39"/>
        <v>244</v>
      </c>
      <c r="X80" s="176">
        <f t="shared" si="40"/>
        <v>294</v>
      </c>
      <c r="Y80" s="176">
        <f t="shared" si="41"/>
        <v>361</v>
      </c>
      <c r="Z80" s="176">
        <f t="shared" si="42"/>
        <v>430</v>
      </c>
      <c r="AA80" s="176">
        <f t="shared" si="43"/>
        <v>500</v>
      </c>
      <c r="AB80" s="176">
        <f t="shared" si="44"/>
        <v>568</v>
      </c>
      <c r="AC80" s="176">
        <f t="shared" si="45"/>
        <v>620</v>
      </c>
      <c r="AD80" s="462">
        <f t="shared" si="46"/>
        <v>666</v>
      </c>
      <c r="AE80" s="469">
        <v>79</v>
      </c>
      <c r="AF80" s="492">
        <v>666.66666666666663</v>
      </c>
    </row>
    <row r="81" spans="1:32" x14ac:dyDescent="0.35">
      <c r="B81" s="485">
        <v>80</v>
      </c>
      <c r="C81" s="538" t="s">
        <v>348</v>
      </c>
      <c r="D81" s="487">
        <v>5</v>
      </c>
      <c r="E81" s="487">
        <v>9</v>
      </c>
      <c r="F81" s="487">
        <v>4</v>
      </c>
      <c r="G81" s="487">
        <v>4</v>
      </c>
      <c r="H81" s="487">
        <v>7</v>
      </c>
      <c r="I81" s="487">
        <v>7</v>
      </c>
      <c r="J81" s="487">
        <v>8</v>
      </c>
      <c r="K81" s="487">
        <v>4</v>
      </c>
      <c r="L81" s="487">
        <v>5</v>
      </c>
      <c r="M81" s="487">
        <v>5</v>
      </c>
      <c r="N81" s="487">
        <v>5</v>
      </c>
      <c r="O81" s="487">
        <v>8</v>
      </c>
      <c r="P81" s="488"/>
      <c r="Q81" s="517">
        <v>80</v>
      </c>
      <c r="R81" s="539" t="s">
        <v>348</v>
      </c>
      <c r="S81" s="176">
        <f t="shared" si="35"/>
        <v>5</v>
      </c>
      <c r="T81" s="176">
        <f t="shared" si="36"/>
        <v>14</v>
      </c>
      <c r="U81" s="176">
        <f t="shared" si="37"/>
        <v>18</v>
      </c>
      <c r="V81" s="176">
        <f t="shared" si="38"/>
        <v>22</v>
      </c>
      <c r="W81" s="176">
        <f t="shared" si="39"/>
        <v>29</v>
      </c>
      <c r="X81" s="176">
        <f t="shared" si="40"/>
        <v>36</v>
      </c>
      <c r="Y81" s="176">
        <f t="shared" si="41"/>
        <v>44</v>
      </c>
      <c r="Z81" s="176">
        <f t="shared" si="42"/>
        <v>48</v>
      </c>
      <c r="AA81" s="176">
        <f t="shared" si="43"/>
        <v>53</v>
      </c>
      <c r="AB81" s="176">
        <f t="shared" si="44"/>
        <v>58</v>
      </c>
      <c r="AC81" s="176">
        <f t="shared" si="45"/>
        <v>63</v>
      </c>
      <c r="AD81" s="462">
        <f t="shared" si="46"/>
        <v>71</v>
      </c>
      <c r="AE81" s="469">
        <v>80</v>
      </c>
      <c r="AF81" s="492">
        <v>71</v>
      </c>
    </row>
    <row r="82" spans="1:32" ht="16.399999999999999" customHeight="1" x14ac:dyDescent="0.35">
      <c r="B82" s="485">
        <v>81</v>
      </c>
      <c r="C82" s="540" t="s">
        <v>349</v>
      </c>
      <c r="D82" s="487">
        <v>88</v>
      </c>
      <c r="E82" s="487">
        <v>103</v>
      </c>
      <c r="F82" s="487">
        <v>99</v>
      </c>
      <c r="G82" s="487">
        <v>116</v>
      </c>
      <c r="H82" s="487">
        <v>103</v>
      </c>
      <c r="I82" s="487">
        <v>91</v>
      </c>
      <c r="J82" s="487">
        <v>96</v>
      </c>
      <c r="K82" s="487">
        <v>86</v>
      </c>
      <c r="L82" s="487">
        <v>98</v>
      </c>
      <c r="M82" s="487">
        <v>87</v>
      </c>
      <c r="N82" s="487">
        <v>79</v>
      </c>
      <c r="O82" s="487">
        <v>102</v>
      </c>
      <c r="P82" s="488"/>
      <c r="Q82" s="517">
        <v>81</v>
      </c>
      <c r="R82" s="541" t="s">
        <v>349</v>
      </c>
      <c r="S82" s="176">
        <f t="shared" si="35"/>
        <v>88</v>
      </c>
      <c r="T82" s="176">
        <f t="shared" si="36"/>
        <v>191</v>
      </c>
      <c r="U82" s="176">
        <f t="shared" si="37"/>
        <v>290</v>
      </c>
      <c r="V82" s="176">
        <f t="shared" si="38"/>
        <v>406</v>
      </c>
      <c r="W82" s="176">
        <f t="shared" si="39"/>
        <v>509</v>
      </c>
      <c r="X82" s="176">
        <f t="shared" si="40"/>
        <v>600</v>
      </c>
      <c r="Y82" s="176">
        <f t="shared" si="41"/>
        <v>696</v>
      </c>
      <c r="Z82" s="176">
        <f t="shared" si="42"/>
        <v>782</v>
      </c>
      <c r="AA82" s="176">
        <f t="shared" si="43"/>
        <v>880</v>
      </c>
      <c r="AB82" s="176">
        <f t="shared" si="44"/>
        <v>967</v>
      </c>
      <c r="AC82" s="176">
        <f t="shared" si="45"/>
        <v>1046</v>
      </c>
      <c r="AD82" s="462">
        <f t="shared" si="46"/>
        <v>1148</v>
      </c>
      <c r="AE82" s="469">
        <v>81</v>
      </c>
      <c r="AF82" s="492">
        <v>1148.3333333333335</v>
      </c>
    </row>
    <row r="83" spans="1:32" x14ac:dyDescent="0.35">
      <c r="B83" s="485">
        <v>82</v>
      </c>
      <c r="C83" s="540" t="s">
        <v>352</v>
      </c>
      <c r="D83" s="487">
        <v>44</v>
      </c>
      <c r="E83" s="487">
        <v>35</v>
      </c>
      <c r="F83" s="487">
        <v>38</v>
      </c>
      <c r="G83" s="487">
        <v>47</v>
      </c>
      <c r="H83" s="487">
        <v>38</v>
      </c>
      <c r="I83" s="487">
        <v>46</v>
      </c>
      <c r="J83" s="487">
        <v>44</v>
      </c>
      <c r="K83" s="487">
        <v>42</v>
      </c>
      <c r="L83" s="487">
        <v>37</v>
      </c>
      <c r="M83" s="487">
        <v>40</v>
      </c>
      <c r="N83" s="487">
        <v>42</v>
      </c>
      <c r="O83" s="487">
        <v>33</v>
      </c>
      <c r="P83" s="488"/>
      <c r="Q83" s="517">
        <v>82</v>
      </c>
      <c r="R83" s="541" t="s">
        <v>352</v>
      </c>
      <c r="S83" s="176">
        <f t="shared" si="35"/>
        <v>44</v>
      </c>
      <c r="T83" s="176">
        <f t="shared" si="36"/>
        <v>79</v>
      </c>
      <c r="U83" s="176">
        <f t="shared" si="37"/>
        <v>117</v>
      </c>
      <c r="V83" s="176">
        <f t="shared" si="38"/>
        <v>164</v>
      </c>
      <c r="W83" s="176">
        <f t="shared" si="39"/>
        <v>202</v>
      </c>
      <c r="X83" s="176">
        <f t="shared" si="40"/>
        <v>248</v>
      </c>
      <c r="Y83" s="176">
        <f t="shared" si="41"/>
        <v>292</v>
      </c>
      <c r="Z83" s="176">
        <f t="shared" si="42"/>
        <v>334</v>
      </c>
      <c r="AA83" s="176">
        <f t="shared" si="43"/>
        <v>371</v>
      </c>
      <c r="AB83" s="176">
        <f t="shared" si="44"/>
        <v>411</v>
      </c>
      <c r="AC83" s="176">
        <f t="shared" si="45"/>
        <v>453</v>
      </c>
      <c r="AD83" s="462">
        <f t="shared" si="46"/>
        <v>486</v>
      </c>
      <c r="AE83" s="469">
        <v>82</v>
      </c>
      <c r="AF83" s="492">
        <v>483.5</v>
      </c>
    </row>
    <row r="84" spans="1:32" x14ac:dyDescent="0.35">
      <c r="B84" s="486">
        <v>83</v>
      </c>
      <c r="C84" s="540" t="s">
        <v>350</v>
      </c>
      <c r="D84" s="487">
        <v>1</v>
      </c>
      <c r="E84" s="487">
        <v>1</v>
      </c>
      <c r="F84" s="487">
        <v>1</v>
      </c>
      <c r="G84" s="487">
        <v>2</v>
      </c>
      <c r="H84" s="487">
        <v>0</v>
      </c>
      <c r="I84" s="487">
        <v>0</v>
      </c>
      <c r="J84" s="487">
        <v>4</v>
      </c>
      <c r="K84" s="487">
        <v>1</v>
      </c>
      <c r="L84" s="487">
        <v>1</v>
      </c>
      <c r="M84" s="487">
        <v>0</v>
      </c>
      <c r="N84" s="487">
        <v>1</v>
      </c>
      <c r="O84" s="487">
        <v>0</v>
      </c>
      <c r="P84" s="488"/>
      <c r="Q84" s="517">
        <v>83</v>
      </c>
      <c r="R84" s="541" t="s">
        <v>350</v>
      </c>
      <c r="S84" s="176">
        <f t="shared" si="35"/>
        <v>1</v>
      </c>
      <c r="T84" s="176">
        <f t="shared" si="36"/>
        <v>2</v>
      </c>
      <c r="U84" s="176">
        <f t="shared" si="37"/>
        <v>3</v>
      </c>
      <c r="V84" s="176">
        <f t="shared" si="38"/>
        <v>5</v>
      </c>
      <c r="W84" s="176">
        <f t="shared" si="39"/>
        <v>5</v>
      </c>
      <c r="X84" s="176">
        <f t="shared" si="40"/>
        <v>5</v>
      </c>
      <c r="Y84" s="176">
        <f t="shared" si="41"/>
        <v>9</v>
      </c>
      <c r="Z84" s="176">
        <f t="shared" si="42"/>
        <v>10</v>
      </c>
      <c r="AA84" s="176">
        <f t="shared" si="43"/>
        <v>11</v>
      </c>
      <c r="AB84" s="176">
        <f t="shared" si="44"/>
        <v>11</v>
      </c>
      <c r="AC84" s="176">
        <f t="shared" si="45"/>
        <v>12</v>
      </c>
      <c r="AD84" s="462">
        <f t="shared" si="46"/>
        <v>12</v>
      </c>
      <c r="AE84" s="491">
        <v>83</v>
      </c>
      <c r="AF84" s="492">
        <v>16.666666666666664</v>
      </c>
    </row>
    <row r="85" spans="1:32" x14ac:dyDescent="0.35">
      <c r="B85" s="485">
        <v>84</v>
      </c>
      <c r="C85" s="538" t="s">
        <v>52</v>
      </c>
      <c r="D85" s="487">
        <v>55</v>
      </c>
      <c r="E85" s="487">
        <v>65</v>
      </c>
      <c r="F85" s="487">
        <v>52</v>
      </c>
      <c r="G85" s="487">
        <v>54</v>
      </c>
      <c r="H85" s="487">
        <v>55</v>
      </c>
      <c r="I85" s="487">
        <v>59</v>
      </c>
      <c r="J85" s="487">
        <v>70</v>
      </c>
      <c r="K85" s="487">
        <v>65</v>
      </c>
      <c r="L85" s="487">
        <v>65</v>
      </c>
      <c r="M85" s="487">
        <v>57</v>
      </c>
      <c r="N85" s="487">
        <v>65</v>
      </c>
      <c r="O85" s="487">
        <v>53</v>
      </c>
      <c r="P85" s="488"/>
      <c r="Q85" s="517">
        <v>84</v>
      </c>
      <c r="R85" s="539" t="s">
        <v>52</v>
      </c>
      <c r="S85" s="176">
        <f t="shared" si="35"/>
        <v>55</v>
      </c>
      <c r="T85" s="176">
        <f t="shared" si="36"/>
        <v>120</v>
      </c>
      <c r="U85" s="176">
        <f t="shared" si="37"/>
        <v>172</v>
      </c>
      <c r="V85" s="176">
        <f t="shared" si="38"/>
        <v>226</v>
      </c>
      <c r="W85" s="176">
        <f t="shared" si="39"/>
        <v>281</v>
      </c>
      <c r="X85" s="176">
        <f t="shared" si="40"/>
        <v>340</v>
      </c>
      <c r="Y85" s="176">
        <f t="shared" si="41"/>
        <v>410</v>
      </c>
      <c r="Z85" s="176">
        <f t="shared" si="42"/>
        <v>475</v>
      </c>
      <c r="AA85" s="176">
        <f t="shared" si="43"/>
        <v>540</v>
      </c>
      <c r="AB85" s="176">
        <f t="shared" si="44"/>
        <v>597</v>
      </c>
      <c r="AC85" s="176">
        <f t="shared" si="45"/>
        <v>662</v>
      </c>
      <c r="AD85" s="462">
        <f t="shared" si="46"/>
        <v>715</v>
      </c>
      <c r="AE85" s="469">
        <v>84</v>
      </c>
      <c r="AF85" s="492">
        <v>714.66666666666663</v>
      </c>
    </row>
    <row r="86" spans="1:32" ht="15" customHeight="1" x14ac:dyDescent="0.35">
      <c r="B86" s="485">
        <v>85</v>
      </c>
      <c r="C86" s="538" t="s">
        <v>81</v>
      </c>
      <c r="D86" s="487">
        <v>14</v>
      </c>
      <c r="E86" s="487">
        <v>16</v>
      </c>
      <c r="F86" s="487">
        <v>12</v>
      </c>
      <c r="G86" s="487">
        <v>14</v>
      </c>
      <c r="H86" s="487">
        <v>17</v>
      </c>
      <c r="I86" s="487">
        <v>21</v>
      </c>
      <c r="J86" s="487">
        <v>18</v>
      </c>
      <c r="K86" s="487">
        <v>17</v>
      </c>
      <c r="L86" s="487">
        <v>20</v>
      </c>
      <c r="M86" s="487">
        <v>13</v>
      </c>
      <c r="N86" s="487">
        <v>14</v>
      </c>
      <c r="O86" s="487">
        <v>12</v>
      </c>
      <c r="P86" s="488"/>
      <c r="Q86" s="517">
        <v>85</v>
      </c>
      <c r="R86" s="539" t="s">
        <v>81</v>
      </c>
      <c r="S86" s="176">
        <f t="shared" si="35"/>
        <v>14</v>
      </c>
      <c r="T86" s="176">
        <f t="shared" si="36"/>
        <v>30</v>
      </c>
      <c r="U86" s="176">
        <f t="shared" si="37"/>
        <v>42</v>
      </c>
      <c r="V86" s="176">
        <f t="shared" si="38"/>
        <v>56</v>
      </c>
      <c r="W86" s="176">
        <f t="shared" si="39"/>
        <v>73</v>
      </c>
      <c r="X86" s="176">
        <f t="shared" si="40"/>
        <v>94</v>
      </c>
      <c r="Y86" s="176">
        <f t="shared" si="41"/>
        <v>112</v>
      </c>
      <c r="Z86" s="176">
        <f t="shared" si="42"/>
        <v>129</v>
      </c>
      <c r="AA86" s="176">
        <f t="shared" si="43"/>
        <v>149</v>
      </c>
      <c r="AB86" s="176">
        <f t="shared" si="44"/>
        <v>162</v>
      </c>
      <c r="AC86" s="176">
        <f t="shared" si="45"/>
        <v>176</v>
      </c>
      <c r="AD86" s="462">
        <f t="shared" si="46"/>
        <v>188</v>
      </c>
      <c r="AE86" s="469">
        <v>85</v>
      </c>
      <c r="AF86" s="492">
        <v>188</v>
      </c>
    </row>
    <row r="87" spans="1:32" x14ac:dyDescent="0.35">
      <c r="A87" s="227" t="s">
        <v>128</v>
      </c>
      <c r="B87" s="485">
        <v>86</v>
      </c>
      <c r="C87" s="538" t="s">
        <v>75</v>
      </c>
      <c r="D87" s="497">
        <v>53</v>
      </c>
      <c r="E87" s="497">
        <v>63</v>
      </c>
      <c r="F87" s="497">
        <v>55</v>
      </c>
      <c r="G87" s="497">
        <v>57</v>
      </c>
      <c r="H87" s="497">
        <v>65</v>
      </c>
      <c r="I87" s="497">
        <v>67</v>
      </c>
      <c r="J87" s="497">
        <v>77</v>
      </c>
      <c r="K87" s="497">
        <v>75</v>
      </c>
      <c r="L87" s="497">
        <v>76</v>
      </c>
      <c r="M87" s="497">
        <v>73</v>
      </c>
      <c r="N87" s="497">
        <v>57</v>
      </c>
      <c r="O87" s="497">
        <v>57</v>
      </c>
      <c r="P87" s="488"/>
      <c r="Q87" s="517">
        <v>86</v>
      </c>
      <c r="R87" s="539" t="s">
        <v>75</v>
      </c>
      <c r="S87" s="176">
        <f t="shared" si="35"/>
        <v>53</v>
      </c>
      <c r="T87" s="176">
        <f t="shared" si="36"/>
        <v>116</v>
      </c>
      <c r="U87" s="176">
        <f t="shared" si="37"/>
        <v>171</v>
      </c>
      <c r="V87" s="176">
        <f t="shared" si="38"/>
        <v>228</v>
      </c>
      <c r="W87" s="176">
        <f t="shared" si="39"/>
        <v>293</v>
      </c>
      <c r="X87" s="176">
        <f t="shared" si="40"/>
        <v>360</v>
      </c>
      <c r="Y87" s="176">
        <f t="shared" si="41"/>
        <v>437</v>
      </c>
      <c r="Z87" s="176">
        <f t="shared" si="42"/>
        <v>512</v>
      </c>
      <c r="AA87" s="176">
        <f t="shared" si="43"/>
        <v>588</v>
      </c>
      <c r="AB87" s="176">
        <f t="shared" si="44"/>
        <v>661</v>
      </c>
      <c r="AC87" s="176">
        <f t="shared" si="45"/>
        <v>718</v>
      </c>
      <c r="AD87" s="462">
        <f t="shared" si="46"/>
        <v>775</v>
      </c>
      <c r="AE87" s="491">
        <v>86</v>
      </c>
      <c r="AF87" s="492">
        <v>774.83333333333326</v>
      </c>
    </row>
    <row r="88" spans="1:32" x14ac:dyDescent="0.35">
      <c r="B88" s="485">
        <v>87</v>
      </c>
      <c r="C88" s="538" t="s">
        <v>76</v>
      </c>
      <c r="D88" s="494">
        <v>186</v>
      </c>
      <c r="E88" s="494">
        <v>191</v>
      </c>
      <c r="F88" s="494">
        <v>160</v>
      </c>
      <c r="G88" s="494">
        <v>164</v>
      </c>
      <c r="H88" s="494">
        <v>155</v>
      </c>
      <c r="I88" s="494">
        <v>131</v>
      </c>
      <c r="J88" s="494">
        <v>125</v>
      </c>
      <c r="K88" s="494">
        <v>105</v>
      </c>
      <c r="L88" s="494">
        <v>93</v>
      </c>
      <c r="M88" s="494">
        <v>116</v>
      </c>
      <c r="N88" s="494">
        <v>109</v>
      </c>
      <c r="O88" s="494">
        <v>130</v>
      </c>
      <c r="P88" s="488"/>
      <c r="Q88" s="517">
        <v>87</v>
      </c>
      <c r="R88" s="539" t="s">
        <v>76</v>
      </c>
      <c r="S88" s="176">
        <f t="shared" si="35"/>
        <v>186</v>
      </c>
      <c r="T88" s="176">
        <f t="shared" si="36"/>
        <v>377</v>
      </c>
      <c r="U88" s="176">
        <f t="shared" si="37"/>
        <v>537</v>
      </c>
      <c r="V88" s="176">
        <f t="shared" si="38"/>
        <v>701</v>
      </c>
      <c r="W88" s="176">
        <f t="shared" si="39"/>
        <v>856</v>
      </c>
      <c r="X88" s="176">
        <f t="shared" si="40"/>
        <v>987</v>
      </c>
      <c r="Y88" s="176">
        <f t="shared" si="41"/>
        <v>1112</v>
      </c>
      <c r="Z88" s="176">
        <f t="shared" si="42"/>
        <v>1217</v>
      </c>
      <c r="AA88" s="176">
        <f t="shared" si="43"/>
        <v>1310</v>
      </c>
      <c r="AB88" s="176">
        <f t="shared" si="44"/>
        <v>1426</v>
      </c>
      <c r="AC88" s="176">
        <f t="shared" si="45"/>
        <v>1535</v>
      </c>
      <c r="AD88" s="462">
        <f t="shared" si="46"/>
        <v>1665</v>
      </c>
      <c r="AE88" s="469">
        <v>87</v>
      </c>
      <c r="AF88" s="492">
        <v>1664.6666666666663</v>
      </c>
    </row>
    <row r="89" spans="1:32" x14ac:dyDescent="0.35">
      <c r="B89" s="486">
        <v>88</v>
      </c>
      <c r="C89" s="538" t="s">
        <v>86</v>
      </c>
      <c r="D89" s="494">
        <v>31</v>
      </c>
      <c r="E89" s="494">
        <v>24</v>
      </c>
      <c r="F89" s="494">
        <v>22</v>
      </c>
      <c r="G89" s="494">
        <v>29</v>
      </c>
      <c r="H89" s="494">
        <v>25</v>
      </c>
      <c r="I89" s="494">
        <v>25</v>
      </c>
      <c r="J89" s="494">
        <v>18</v>
      </c>
      <c r="K89" s="494">
        <v>13</v>
      </c>
      <c r="L89" s="494">
        <v>13</v>
      </c>
      <c r="M89" s="494">
        <v>18</v>
      </c>
      <c r="N89" s="494">
        <v>17</v>
      </c>
      <c r="O89" s="494">
        <v>16</v>
      </c>
      <c r="P89" s="488"/>
      <c r="Q89" s="517">
        <v>88</v>
      </c>
      <c r="R89" s="539" t="s">
        <v>86</v>
      </c>
      <c r="S89" s="176">
        <f t="shared" si="35"/>
        <v>31</v>
      </c>
      <c r="T89" s="176">
        <f t="shared" si="36"/>
        <v>55</v>
      </c>
      <c r="U89" s="176">
        <f t="shared" si="37"/>
        <v>77</v>
      </c>
      <c r="V89" s="176">
        <f t="shared" si="38"/>
        <v>106</v>
      </c>
      <c r="W89" s="176">
        <f t="shared" si="39"/>
        <v>131</v>
      </c>
      <c r="X89" s="176">
        <f t="shared" si="40"/>
        <v>156</v>
      </c>
      <c r="Y89" s="176">
        <f t="shared" si="41"/>
        <v>174</v>
      </c>
      <c r="Z89" s="176">
        <f t="shared" si="42"/>
        <v>187</v>
      </c>
      <c r="AA89" s="176">
        <f t="shared" si="43"/>
        <v>200</v>
      </c>
      <c r="AB89" s="176">
        <f t="shared" si="44"/>
        <v>218</v>
      </c>
      <c r="AC89" s="176">
        <f t="shared" si="45"/>
        <v>235</v>
      </c>
      <c r="AD89" s="462">
        <f t="shared" si="46"/>
        <v>251</v>
      </c>
      <c r="AE89" s="469">
        <v>88</v>
      </c>
      <c r="AF89" s="492">
        <v>251.66666666666669</v>
      </c>
    </row>
    <row r="90" spans="1:32" x14ac:dyDescent="0.35">
      <c r="B90" s="485">
        <v>89</v>
      </c>
      <c r="C90" s="538" t="s">
        <v>88</v>
      </c>
      <c r="D90" s="494">
        <v>101</v>
      </c>
      <c r="E90" s="494">
        <v>125</v>
      </c>
      <c r="F90" s="494">
        <v>119</v>
      </c>
      <c r="G90" s="494">
        <v>116</v>
      </c>
      <c r="H90" s="494">
        <v>114</v>
      </c>
      <c r="I90" s="494">
        <v>94</v>
      </c>
      <c r="J90" s="494">
        <v>90</v>
      </c>
      <c r="K90" s="494">
        <v>84</v>
      </c>
      <c r="L90" s="494">
        <v>67</v>
      </c>
      <c r="M90" s="494">
        <v>82</v>
      </c>
      <c r="N90" s="494">
        <v>77</v>
      </c>
      <c r="O90" s="494">
        <v>93</v>
      </c>
      <c r="P90" s="488"/>
      <c r="Q90" s="517">
        <v>89</v>
      </c>
      <c r="R90" s="539" t="s">
        <v>88</v>
      </c>
      <c r="S90" s="176">
        <f t="shared" si="35"/>
        <v>101</v>
      </c>
      <c r="T90" s="176">
        <f t="shared" si="36"/>
        <v>226</v>
      </c>
      <c r="U90" s="176">
        <f t="shared" si="37"/>
        <v>345</v>
      </c>
      <c r="V90" s="176">
        <f t="shared" si="38"/>
        <v>461</v>
      </c>
      <c r="W90" s="176">
        <f t="shared" si="39"/>
        <v>575</v>
      </c>
      <c r="X90" s="176">
        <f t="shared" si="40"/>
        <v>669</v>
      </c>
      <c r="Y90" s="176">
        <f t="shared" si="41"/>
        <v>759</v>
      </c>
      <c r="Z90" s="176">
        <f t="shared" si="42"/>
        <v>843</v>
      </c>
      <c r="AA90" s="176">
        <f t="shared" si="43"/>
        <v>910</v>
      </c>
      <c r="AB90" s="176">
        <f t="shared" si="44"/>
        <v>992</v>
      </c>
      <c r="AC90" s="176">
        <f t="shared" si="45"/>
        <v>1069</v>
      </c>
      <c r="AD90" s="462">
        <f t="shared" si="46"/>
        <v>1162</v>
      </c>
      <c r="AE90" s="469">
        <v>89</v>
      </c>
      <c r="AF90" s="492">
        <v>1160.6666666666667</v>
      </c>
    </row>
    <row r="91" spans="1:32" x14ac:dyDescent="0.35">
      <c r="B91" s="485">
        <v>90</v>
      </c>
      <c r="C91" s="538" t="s">
        <v>87</v>
      </c>
      <c r="D91" s="494">
        <v>54</v>
      </c>
      <c r="E91" s="494">
        <v>43</v>
      </c>
      <c r="F91" s="494">
        <v>19</v>
      </c>
      <c r="G91" s="494">
        <v>18</v>
      </c>
      <c r="H91" s="494">
        <v>16</v>
      </c>
      <c r="I91" s="494">
        <v>12</v>
      </c>
      <c r="J91" s="494">
        <v>17</v>
      </c>
      <c r="K91" s="494">
        <v>8</v>
      </c>
      <c r="L91" s="494">
        <v>13</v>
      </c>
      <c r="M91" s="494">
        <v>16</v>
      </c>
      <c r="N91" s="494">
        <v>16</v>
      </c>
      <c r="O91" s="494">
        <v>21</v>
      </c>
      <c r="P91" s="488"/>
      <c r="Q91" s="517">
        <v>90</v>
      </c>
      <c r="R91" s="539" t="s">
        <v>87</v>
      </c>
      <c r="S91" s="176">
        <f t="shared" si="35"/>
        <v>54</v>
      </c>
      <c r="T91" s="176">
        <f t="shared" si="36"/>
        <v>97</v>
      </c>
      <c r="U91" s="176">
        <f t="shared" si="37"/>
        <v>116</v>
      </c>
      <c r="V91" s="176">
        <f t="shared" si="38"/>
        <v>134</v>
      </c>
      <c r="W91" s="176">
        <f t="shared" si="39"/>
        <v>150</v>
      </c>
      <c r="X91" s="176">
        <f t="shared" si="40"/>
        <v>162</v>
      </c>
      <c r="Y91" s="176">
        <f t="shared" si="41"/>
        <v>179</v>
      </c>
      <c r="Z91" s="176">
        <f t="shared" si="42"/>
        <v>187</v>
      </c>
      <c r="AA91" s="176">
        <f t="shared" si="43"/>
        <v>200</v>
      </c>
      <c r="AB91" s="176">
        <f t="shared" si="44"/>
        <v>216</v>
      </c>
      <c r="AC91" s="176">
        <f t="shared" si="45"/>
        <v>232</v>
      </c>
      <c r="AD91" s="462">
        <f t="shared" si="46"/>
        <v>253</v>
      </c>
      <c r="AE91" s="469">
        <v>90</v>
      </c>
      <c r="AF91" s="492">
        <v>252.33333333333331</v>
      </c>
    </row>
    <row r="92" spans="1:32" x14ac:dyDescent="0.35">
      <c r="B92" s="485">
        <v>91</v>
      </c>
      <c r="C92" s="538" t="s">
        <v>90</v>
      </c>
      <c r="D92" s="498">
        <v>8</v>
      </c>
      <c r="E92" s="498">
        <v>7</v>
      </c>
      <c r="F92" s="498">
        <v>5</v>
      </c>
      <c r="G92" s="498">
        <v>7</v>
      </c>
      <c r="H92" s="498">
        <v>9</v>
      </c>
      <c r="I92" s="498">
        <v>7</v>
      </c>
      <c r="J92" s="498">
        <v>3</v>
      </c>
      <c r="K92" s="498">
        <v>0</v>
      </c>
      <c r="L92" s="498">
        <v>1</v>
      </c>
      <c r="M92" s="498">
        <v>3</v>
      </c>
      <c r="N92" s="498">
        <v>3</v>
      </c>
      <c r="O92" s="498">
        <v>1</v>
      </c>
      <c r="P92" s="488"/>
      <c r="Q92" s="517">
        <v>91</v>
      </c>
      <c r="R92" s="539" t="s">
        <v>90</v>
      </c>
      <c r="S92" s="176">
        <f t="shared" si="35"/>
        <v>8</v>
      </c>
      <c r="T92" s="176">
        <f t="shared" si="36"/>
        <v>15</v>
      </c>
      <c r="U92" s="176">
        <f t="shared" si="37"/>
        <v>20</v>
      </c>
      <c r="V92" s="176">
        <f t="shared" si="38"/>
        <v>27</v>
      </c>
      <c r="W92" s="176">
        <f t="shared" si="39"/>
        <v>36</v>
      </c>
      <c r="X92" s="176">
        <f t="shared" si="40"/>
        <v>43</v>
      </c>
      <c r="Y92" s="176">
        <f t="shared" si="41"/>
        <v>46</v>
      </c>
      <c r="Z92" s="176">
        <f t="shared" si="42"/>
        <v>46</v>
      </c>
      <c r="AA92" s="176">
        <f t="shared" si="43"/>
        <v>47</v>
      </c>
      <c r="AB92" s="176">
        <f t="shared" si="44"/>
        <v>50</v>
      </c>
      <c r="AC92" s="176">
        <f t="shared" si="45"/>
        <v>53</v>
      </c>
      <c r="AD92" s="462">
        <f t="shared" si="46"/>
        <v>54</v>
      </c>
      <c r="AE92" s="491">
        <v>91</v>
      </c>
      <c r="AF92" s="492">
        <v>53.666666666666671</v>
      </c>
    </row>
    <row r="93" spans="1:32" x14ac:dyDescent="0.35">
      <c r="A93" s="227" t="s">
        <v>128</v>
      </c>
      <c r="B93" s="485">
        <v>92</v>
      </c>
      <c r="C93" s="538" t="s">
        <v>89</v>
      </c>
      <c r="D93" s="494">
        <v>3</v>
      </c>
      <c r="E93" s="494">
        <v>4</v>
      </c>
      <c r="F93" s="494">
        <v>4</v>
      </c>
      <c r="G93" s="494">
        <v>5</v>
      </c>
      <c r="H93" s="494">
        <v>4</v>
      </c>
      <c r="I93" s="494">
        <v>6</v>
      </c>
      <c r="J93" s="494">
        <v>5</v>
      </c>
      <c r="K93" s="494">
        <v>4</v>
      </c>
      <c r="L93" s="494">
        <v>2</v>
      </c>
      <c r="M93" s="494">
        <v>4</v>
      </c>
      <c r="N93" s="494">
        <v>4</v>
      </c>
      <c r="O93" s="494">
        <v>3</v>
      </c>
      <c r="P93" s="488"/>
      <c r="Q93" s="517">
        <v>92</v>
      </c>
      <c r="R93" s="539" t="s">
        <v>89</v>
      </c>
      <c r="S93" s="176">
        <f t="shared" si="35"/>
        <v>3</v>
      </c>
      <c r="T93" s="176">
        <f t="shared" si="36"/>
        <v>7</v>
      </c>
      <c r="U93" s="176">
        <f t="shared" si="37"/>
        <v>11</v>
      </c>
      <c r="V93" s="176">
        <f t="shared" si="38"/>
        <v>16</v>
      </c>
      <c r="W93" s="176">
        <f t="shared" si="39"/>
        <v>20</v>
      </c>
      <c r="X93" s="176">
        <f t="shared" si="40"/>
        <v>26</v>
      </c>
      <c r="Y93" s="176">
        <f t="shared" si="41"/>
        <v>31</v>
      </c>
      <c r="Z93" s="176">
        <f t="shared" si="42"/>
        <v>35</v>
      </c>
      <c r="AA93" s="176">
        <f t="shared" si="43"/>
        <v>37</v>
      </c>
      <c r="AB93" s="176">
        <f t="shared" si="44"/>
        <v>41</v>
      </c>
      <c r="AC93" s="176">
        <f t="shared" si="45"/>
        <v>45</v>
      </c>
      <c r="AD93" s="462">
        <f t="shared" si="46"/>
        <v>48</v>
      </c>
      <c r="AE93" s="469">
        <v>92</v>
      </c>
      <c r="AF93" s="492">
        <v>48.666666666666671</v>
      </c>
    </row>
    <row r="94" spans="1:32" x14ac:dyDescent="0.35">
      <c r="B94" s="486">
        <v>93</v>
      </c>
      <c r="C94" s="538" t="s">
        <v>66</v>
      </c>
      <c r="D94" s="494">
        <v>0</v>
      </c>
      <c r="E94" s="494">
        <v>0</v>
      </c>
      <c r="F94" s="494">
        <v>0</v>
      </c>
      <c r="G94" s="494">
        <v>1</v>
      </c>
      <c r="H94" s="494">
        <v>0</v>
      </c>
      <c r="I94" s="494">
        <v>0</v>
      </c>
      <c r="J94" s="494">
        <v>0</v>
      </c>
      <c r="K94" s="494">
        <v>1</v>
      </c>
      <c r="L94" s="494">
        <v>0</v>
      </c>
      <c r="M94" s="494">
        <v>0</v>
      </c>
      <c r="N94" s="494">
        <v>1</v>
      </c>
      <c r="O94" s="494">
        <v>1</v>
      </c>
      <c r="P94" s="488"/>
      <c r="Q94" s="517">
        <v>93</v>
      </c>
      <c r="R94" s="539" t="s">
        <v>66</v>
      </c>
      <c r="S94" s="176">
        <f t="shared" si="35"/>
        <v>0</v>
      </c>
      <c r="T94" s="176">
        <f t="shared" si="36"/>
        <v>0</v>
      </c>
      <c r="U94" s="176">
        <f t="shared" si="37"/>
        <v>0</v>
      </c>
      <c r="V94" s="176">
        <f t="shared" si="38"/>
        <v>1</v>
      </c>
      <c r="W94" s="176">
        <f t="shared" si="39"/>
        <v>1</v>
      </c>
      <c r="X94" s="176">
        <f t="shared" si="40"/>
        <v>1</v>
      </c>
      <c r="Y94" s="176">
        <f t="shared" si="41"/>
        <v>1</v>
      </c>
      <c r="Z94" s="176">
        <f t="shared" si="42"/>
        <v>2</v>
      </c>
      <c r="AA94" s="176">
        <f t="shared" si="43"/>
        <v>2</v>
      </c>
      <c r="AB94" s="176">
        <f t="shared" si="44"/>
        <v>2</v>
      </c>
      <c r="AC94" s="176">
        <f t="shared" si="45"/>
        <v>3</v>
      </c>
      <c r="AD94" s="462">
        <f t="shared" si="46"/>
        <v>4</v>
      </c>
      <c r="AE94" s="469">
        <v>93</v>
      </c>
      <c r="AF94" s="492">
        <v>4.6666666666666661</v>
      </c>
    </row>
    <row r="95" spans="1:32" x14ac:dyDescent="0.35">
      <c r="B95" s="485">
        <v>94</v>
      </c>
      <c r="C95" s="538" t="s">
        <v>67</v>
      </c>
      <c r="D95" s="494">
        <v>3</v>
      </c>
      <c r="E95" s="494">
        <v>3</v>
      </c>
      <c r="F95" s="494">
        <v>3</v>
      </c>
      <c r="G95" s="494">
        <v>4</v>
      </c>
      <c r="H95" s="494">
        <v>4</v>
      </c>
      <c r="I95" s="494">
        <v>6</v>
      </c>
      <c r="J95" s="494">
        <v>5</v>
      </c>
      <c r="K95" s="494">
        <v>3</v>
      </c>
      <c r="L95" s="494">
        <v>2</v>
      </c>
      <c r="M95" s="494">
        <v>4</v>
      </c>
      <c r="N95" s="494">
        <v>4</v>
      </c>
      <c r="O95" s="494">
        <v>3</v>
      </c>
      <c r="P95" s="488"/>
      <c r="Q95" s="517">
        <v>94</v>
      </c>
      <c r="R95" s="539" t="s">
        <v>67</v>
      </c>
      <c r="S95" s="176">
        <f t="shared" si="35"/>
        <v>3</v>
      </c>
      <c r="T95" s="176">
        <f t="shared" si="36"/>
        <v>6</v>
      </c>
      <c r="U95" s="176">
        <f t="shared" si="37"/>
        <v>9</v>
      </c>
      <c r="V95" s="176">
        <f t="shared" si="38"/>
        <v>13</v>
      </c>
      <c r="W95" s="176">
        <f t="shared" si="39"/>
        <v>17</v>
      </c>
      <c r="X95" s="176">
        <f t="shared" si="40"/>
        <v>23</v>
      </c>
      <c r="Y95" s="176">
        <f t="shared" si="41"/>
        <v>28</v>
      </c>
      <c r="Z95" s="176">
        <f t="shared" si="42"/>
        <v>31</v>
      </c>
      <c r="AA95" s="176">
        <f t="shared" si="43"/>
        <v>33</v>
      </c>
      <c r="AB95" s="176">
        <f t="shared" si="44"/>
        <v>37</v>
      </c>
      <c r="AC95" s="176">
        <f t="shared" si="45"/>
        <v>41</v>
      </c>
      <c r="AD95" s="462">
        <f t="shared" si="46"/>
        <v>44</v>
      </c>
      <c r="AE95" s="491">
        <v>94</v>
      </c>
      <c r="AF95" s="492">
        <v>43.999999999999993</v>
      </c>
    </row>
    <row r="96" spans="1:32" ht="23" x14ac:dyDescent="0.5">
      <c r="B96" s="485">
        <v>95</v>
      </c>
      <c r="C96" s="542" t="s">
        <v>58</v>
      </c>
      <c r="D96" s="487"/>
      <c r="E96" s="487"/>
      <c r="F96" s="487"/>
      <c r="G96" s="487"/>
      <c r="H96" s="487"/>
      <c r="I96" s="487"/>
      <c r="J96" s="487"/>
      <c r="K96" s="487"/>
      <c r="L96" s="487"/>
      <c r="M96" s="487"/>
      <c r="N96" s="487"/>
      <c r="O96" s="487"/>
      <c r="P96" s="488"/>
      <c r="Q96" s="517">
        <v>95</v>
      </c>
      <c r="R96" s="542" t="s">
        <v>58</v>
      </c>
      <c r="S96" s="489"/>
      <c r="T96" s="489"/>
      <c r="U96" s="489"/>
      <c r="V96" s="489"/>
      <c r="W96" s="489"/>
      <c r="X96" s="489"/>
      <c r="Y96" s="489"/>
      <c r="Z96" s="489"/>
      <c r="AA96" s="489"/>
      <c r="AB96" s="489"/>
      <c r="AC96" s="489"/>
      <c r="AD96" s="490"/>
      <c r="AE96" s="469">
        <v>95</v>
      </c>
      <c r="AF96" s="492"/>
    </row>
    <row r="97" spans="2:32" x14ac:dyDescent="0.35">
      <c r="B97" s="485">
        <v>96</v>
      </c>
      <c r="C97" s="543" t="s">
        <v>56</v>
      </c>
      <c r="D97" s="432" t="s">
        <v>386</v>
      </c>
      <c r="E97" s="432" t="s">
        <v>387</v>
      </c>
      <c r="F97" s="432" t="s">
        <v>388</v>
      </c>
      <c r="G97" s="432" t="s">
        <v>389</v>
      </c>
      <c r="H97" s="432" t="s">
        <v>390</v>
      </c>
      <c r="I97" s="432" t="s">
        <v>391</v>
      </c>
      <c r="J97" s="432" t="s">
        <v>392</v>
      </c>
      <c r="K97" s="432" t="s">
        <v>393</v>
      </c>
      <c r="L97" s="432" t="s">
        <v>394</v>
      </c>
      <c r="M97" s="432" t="s">
        <v>395</v>
      </c>
      <c r="N97" s="432" t="s">
        <v>396</v>
      </c>
      <c r="O97" s="460" t="s">
        <v>397</v>
      </c>
      <c r="P97" s="488"/>
      <c r="Q97" s="517">
        <v>96</v>
      </c>
      <c r="R97" s="544" t="s">
        <v>56</v>
      </c>
      <c r="S97" s="501" t="s">
        <v>19</v>
      </c>
      <c r="T97" s="501" t="s">
        <v>20</v>
      </c>
      <c r="U97" s="501" t="s">
        <v>21</v>
      </c>
      <c r="V97" s="501" t="s">
        <v>22</v>
      </c>
      <c r="W97" s="501" t="s">
        <v>23</v>
      </c>
      <c r="X97" s="501" t="s">
        <v>24</v>
      </c>
      <c r="Y97" s="501" t="s">
        <v>25</v>
      </c>
      <c r="Z97" s="501" t="s">
        <v>26</v>
      </c>
      <c r="AA97" s="501" t="s">
        <v>27</v>
      </c>
      <c r="AB97" s="501" t="s">
        <v>28</v>
      </c>
      <c r="AC97" s="501" t="s">
        <v>29</v>
      </c>
      <c r="AD97" s="502" t="s">
        <v>30</v>
      </c>
      <c r="AE97" s="469">
        <v>96</v>
      </c>
      <c r="AF97" s="492">
        <v>0</v>
      </c>
    </row>
    <row r="98" spans="2:32" x14ac:dyDescent="0.35">
      <c r="B98" s="485">
        <v>97</v>
      </c>
      <c r="C98" s="543" t="s">
        <v>33</v>
      </c>
      <c r="D98" s="487">
        <v>867</v>
      </c>
      <c r="E98" s="487">
        <v>898</v>
      </c>
      <c r="F98" s="487">
        <v>891</v>
      </c>
      <c r="G98" s="487">
        <v>944</v>
      </c>
      <c r="H98" s="487">
        <v>964</v>
      </c>
      <c r="I98" s="487">
        <v>967</v>
      </c>
      <c r="J98" s="487">
        <v>1024</v>
      </c>
      <c r="K98" s="487">
        <v>953</v>
      </c>
      <c r="L98" s="487">
        <v>968</v>
      </c>
      <c r="M98" s="487">
        <v>920</v>
      </c>
      <c r="N98" s="487">
        <v>843</v>
      </c>
      <c r="O98" s="487">
        <v>892</v>
      </c>
      <c r="P98" s="488"/>
      <c r="Q98" s="517">
        <v>97</v>
      </c>
      <c r="R98" s="544" t="s">
        <v>33</v>
      </c>
      <c r="S98" s="176">
        <f t="shared" ref="S98" si="47">D98</f>
        <v>867</v>
      </c>
      <c r="T98" s="176">
        <f t="shared" ref="T98" si="48">S98+E98</f>
        <v>1765</v>
      </c>
      <c r="U98" s="176">
        <f t="shared" ref="U98" si="49">T98+F98</f>
        <v>2656</v>
      </c>
      <c r="V98" s="176">
        <f t="shared" ref="V98" si="50">U98+G98</f>
        <v>3600</v>
      </c>
      <c r="W98" s="176">
        <f t="shared" ref="W98" si="51">V98+H98</f>
        <v>4564</v>
      </c>
      <c r="X98" s="176">
        <f t="shared" ref="X98" si="52">W98+I98</f>
        <v>5531</v>
      </c>
      <c r="Y98" s="176">
        <f t="shared" ref="Y98" si="53">X98+J98</f>
        <v>6555</v>
      </c>
      <c r="Z98" s="176">
        <f t="shared" ref="Z98" si="54">Y98+K98</f>
        <v>7508</v>
      </c>
      <c r="AA98" s="176">
        <f t="shared" ref="AA98" si="55">Z98+L98</f>
        <v>8476</v>
      </c>
      <c r="AB98" s="176">
        <f t="shared" ref="AB98" si="56">AA98+M98</f>
        <v>9396</v>
      </c>
      <c r="AC98" s="176">
        <f t="shared" ref="AC98" si="57">AB98+N98</f>
        <v>10239</v>
      </c>
      <c r="AD98" s="462">
        <f t="shared" ref="AD98" si="58">AC98+O98</f>
        <v>11131</v>
      </c>
      <c r="AE98" s="469">
        <v>97</v>
      </c>
      <c r="AF98" s="492">
        <v>11131</v>
      </c>
    </row>
    <row r="99" spans="2:32" x14ac:dyDescent="0.35">
      <c r="B99" s="486">
        <v>98</v>
      </c>
      <c r="C99" s="543" t="s">
        <v>39</v>
      </c>
      <c r="D99" s="487">
        <v>103</v>
      </c>
      <c r="E99" s="487">
        <v>107</v>
      </c>
      <c r="F99" s="487">
        <v>116</v>
      </c>
      <c r="G99" s="487">
        <v>127</v>
      </c>
      <c r="H99" s="487">
        <v>113</v>
      </c>
      <c r="I99" s="487">
        <v>127</v>
      </c>
      <c r="J99" s="487">
        <v>120</v>
      </c>
      <c r="K99" s="487">
        <v>105</v>
      </c>
      <c r="L99" s="487">
        <v>129</v>
      </c>
      <c r="M99" s="487">
        <v>115</v>
      </c>
      <c r="N99" s="487">
        <v>102</v>
      </c>
      <c r="O99" s="487">
        <v>121</v>
      </c>
      <c r="P99" s="488"/>
      <c r="Q99" s="517">
        <v>98</v>
      </c>
      <c r="R99" s="544" t="s">
        <v>39</v>
      </c>
      <c r="S99" s="176">
        <f t="shared" ref="S99:S142" si="59">D99</f>
        <v>103</v>
      </c>
      <c r="T99" s="176">
        <f t="shared" ref="T99:T142" si="60">S99+E99</f>
        <v>210</v>
      </c>
      <c r="U99" s="176">
        <f t="shared" ref="U99:U142" si="61">T99+F99</f>
        <v>326</v>
      </c>
      <c r="V99" s="176">
        <f t="shared" ref="V99:V142" si="62">U99+G99</f>
        <v>453</v>
      </c>
      <c r="W99" s="176">
        <f t="shared" ref="W99:W142" si="63">V99+H99</f>
        <v>566</v>
      </c>
      <c r="X99" s="176">
        <f t="shared" ref="X99:X142" si="64">W99+I99</f>
        <v>693</v>
      </c>
      <c r="Y99" s="176">
        <f t="shared" ref="Y99:Y142" si="65">X99+J99</f>
        <v>813</v>
      </c>
      <c r="Z99" s="176">
        <f t="shared" ref="Z99:Z142" si="66">Y99+K99</f>
        <v>918</v>
      </c>
      <c r="AA99" s="176">
        <f t="shared" ref="AA99:AA142" si="67">Z99+L99</f>
        <v>1047</v>
      </c>
      <c r="AB99" s="176">
        <f t="shared" ref="AB99:AB142" si="68">AA99+M99</f>
        <v>1162</v>
      </c>
      <c r="AC99" s="176">
        <f t="shared" ref="AC99:AC142" si="69">AB99+N99</f>
        <v>1264</v>
      </c>
      <c r="AD99" s="462">
        <f t="shared" ref="AD99:AD142" si="70">AC99+O99</f>
        <v>1385</v>
      </c>
      <c r="AE99" s="469">
        <v>98</v>
      </c>
      <c r="AF99" s="492">
        <v>1384.0000000000002</v>
      </c>
    </row>
    <row r="100" spans="2:32" x14ac:dyDescent="0.35">
      <c r="B100" s="485">
        <v>99</v>
      </c>
      <c r="C100" s="543" t="s">
        <v>40</v>
      </c>
      <c r="D100" s="487">
        <v>204</v>
      </c>
      <c r="E100" s="487">
        <v>231</v>
      </c>
      <c r="F100" s="487">
        <v>234</v>
      </c>
      <c r="G100" s="487">
        <v>253</v>
      </c>
      <c r="H100" s="487">
        <v>257</v>
      </c>
      <c r="I100" s="487">
        <v>251</v>
      </c>
      <c r="J100" s="487">
        <v>271</v>
      </c>
      <c r="K100" s="487">
        <v>255</v>
      </c>
      <c r="L100" s="487">
        <v>264</v>
      </c>
      <c r="M100" s="487">
        <v>254</v>
      </c>
      <c r="N100" s="487">
        <v>234</v>
      </c>
      <c r="O100" s="487">
        <v>245</v>
      </c>
      <c r="P100" s="488"/>
      <c r="Q100" s="517">
        <v>99</v>
      </c>
      <c r="R100" s="544" t="s">
        <v>40</v>
      </c>
      <c r="S100" s="176">
        <f t="shared" si="59"/>
        <v>204</v>
      </c>
      <c r="T100" s="176">
        <f t="shared" si="60"/>
        <v>435</v>
      </c>
      <c r="U100" s="176">
        <f t="shared" si="61"/>
        <v>669</v>
      </c>
      <c r="V100" s="176">
        <f t="shared" si="62"/>
        <v>922</v>
      </c>
      <c r="W100" s="176">
        <f t="shared" si="63"/>
        <v>1179</v>
      </c>
      <c r="X100" s="176">
        <f t="shared" si="64"/>
        <v>1430</v>
      </c>
      <c r="Y100" s="176">
        <f t="shared" si="65"/>
        <v>1701</v>
      </c>
      <c r="Z100" s="176">
        <f t="shared" si="66"/>
        <v>1956</v>
      </c>
      <c r="AA100" s="176">
        <f t="shared" si="67"/>
        <v>2220</v>
      </c>
      <c r="AB100" s="176">
        <f t="shared" si="68"/>
        <v>2474</v>
      </c>
      <c r="AC100" s="176">
        <f t="shared" si="69"/>
        <v>2708</v>
      </c>
      <c r="AD100" s="462">
        <f t="shared" si="70"/>
        <v>2953</v>
      </c>
      <c r="AE100" s="491">
        <v>99</v>
      </c>
      <c r="AF100" s="492">
        <v>2953.3333333333335</v>
      </c>
    </row>
    <row r="101" spans="2:32" x14ac:dyDescent="0.35">
      <c r="B101" s="485">
        <v>100</v>
      </c>
      <c r="C101" s="543" t="s">
        <v>5</v>
      </c>
      <c r="D101" s="487">
        <v>6</v>
      </c>
      <c r="E101" s="487">
        <v>11</v>
      </c>
      <c r="F101" s="487">
        <v>9</v>
      </c>
      <c r="G101" s="487">
        <v>12</v>
      </c>
      <c r="H101" s="487">
        <v>13</v>
      </c>
      <c r="I101" s="487">
        <v>13</v>
      </c>
      <c r="J101" s="487">
        <v>10</v>
      </c>
      <c r="K101" s="487">
        <v>11</v>
      </c>
      <c r="L101" s="487">
        <v>11</v>
      </c>
      <c r="M101" s="487">
        <v>12</v>
      </c>
      <c r="N101" s="487">
        <v>10</v>
      </c>
      <c r="O101" s="487">
        <v>12</v>
      </c>
      <c r="P101" s="488"/>
      <c r="Q101" s="517">
        <v>100</v>
      </c>
      <c r="R101" s="544" t="s">
        <v>5</v>
      </c>
      <c r="S101" s="176">
        <f t="shared" si="59"/>
        <v>6</v>
      </c>
      <c r="T101" s="176">
        <f t="shared" si="60"/>
        <v>17</v>
      </c>
      <c r="U101" s="176">
        <f t="shared" si="61"/>
        <v>26</v>
      </c>
      <c r="V101" s="176">
        <f t="shared" si="62"/>
        <v>38</v>
      </c>
      <c r="W101" s="176">
        <f t="shared" si="63"/>
        <v>51</v>
      </c>
      <c r="X101" s="176">
        <f t="shared" si="64"/>
        <v>64</v>
      </c>
      <c r="Y101" s="176">
        <f t="shared" si="65"/>
        <v>74</v>
      </c>
      <c r="Z101" s="176">
        <f t="shared" si="66"/>
        <v>85</v>
      </c>
      <c r="AA101" s="176">
        <f t="shared" si="67"/>
        <v>96</v>
      </c>
      <c r="AB101" s="176">
        <f t="shared" si="68"/>
        <v>108</v>
      </c>
      <c r="AC101" s="176">
        <f t="shared" si="69"/>
        <v>118</v>
      </c>
      <c r="AD101" s="462">
        <f t="shared" si="70"/>
        <v>130</v>
      </c>
      <c r="AE101" s="469">
        <v>100</v>
      </c>
      <c r="AF101" s="492">
        <v>130.33333333333334</v>
      </c>
    </row>
    <row r="102" spans="2:32" x14ac:dyDescent="0.35">
      <c r="B102" s="485">
        <v>101</v>
      </c>
      <c r="C102" s="543" t="s">
        <v>35</v>
      </c>
      <c r="D102" s="487">
        <v>18</v>
      </c>
      <c r="E102" s="487">
        <v>20</v>
      </c>
      <c r="F102" s="487">
        <v>25</v>
      </c>
      <c r="G102" s="487">
        <v>19</v>
      </c>
      <c r="H102" s="487">
        <v>20</v>
      </c>
      <c r="I102" s="487">
        <v>26</v>
      </c>
      <c r="J102" s="487">
        <v>22</v>
      </c>
      <c r="K102" s="487">
        <v>19</v>
      </c>
      <c r="L102" s="487">
        <v>26</v>
      </c>
      <c r="M102" s="487">
        <v>22</v>
      </c>
      <c r="N102" s="487">
        <v>26</v>
      </c>
      <c r="O102" s="487">
        <v>22</v>
      </c>
      <c r="P102" s="488"/>
      <c r="Q102" s="517">
        <v>101</v>
      </c>
      <c r="R102" s="544" t="s">
        <v>35</v>
      </c>
      <c r="S102" s="176">
        <f t="shared" si="59"/>
        <v>18</v>
      </c>
      <c r="T102" s="176">
        <f t="shared" si="60"/>
        <v>38</v>
      </c>
      <c r="U102" s="176">
        <f t="shared" si="61"/>
        <v>63</v>
      </c>
      <c r="V102" s="176">
        <f t="shared" si="62"/>
        <v>82</v>
      </c>
      <c r="W102" s="176">
        <f t="shared" si="63"/>
        <v>102</v>
      </c>
      <c r="X102" s="176">
        <f t="shared" si="64"/>
        <v>128</v>
      </c>
      <c r="Y102" s="176">
        <f t="shared" si="65"/>
        <v>150</v>
      </c>
      <c r="Z102" s="176">
        <f t="shared" si="66"/>
        <v>169</v>
      </c>
      <c r="AA102" s="176">
        <f t="shared" si="67"/>
        <v>195</v>
      </c>
      <c r="AB102" s="176">
        <f t="shared" si="68"/>
        <v>217</v>
      </c>
      <c r="AC102" s="176">
        <f t="shared" si="69"/>
        <v>243</v>
      </c>
      <c r="AD102" s="462">
        <f t="shared" si="70"/>
        <v>265</v>
      </c>
      <c r="AE102" s="469">
        <v>101</v>
      </c>
      <c r="AF102" s="492">
        <v>263.66666666666663</v>
      </c>
    </row>
    <row r="103" spans="2:32" x14ac:dyDescent="0.35">
      <c r="B103" s="485">
        <v>102</v>
      </c>
      <c r="C103" s="543" t="s">
        <v>36</v>
      </c>
      <c r="D103" s="487">
        <v>3</v>
      </c>
      <c r="E103" s="487">
        <v>1</v>
      </c>
      <c r="F103" s="487">
        <v>2</v>
      </c>
      <c r="G103" s="487">
        <v>1</v>
      </c>
      <c r="H103" s="487">
        <v>2</v>
      </c>
      <c r="I103" s="487">
        <v>2</v>
      </c>
      <c r="J103" s="487">
        <v>3</v>
      </c>
      <c r="K103" s="487">
        <v>2</v>
      </c>
      <c r="L103" s="487">
        <v>2</v>
      </c>
      <c r="M103" s="487">
        <v>1</v>
      </c>
      <c r="N103" s="487">
        <v>2</v>
      </c>
      <c r="O103" s="487">
        <v>2</v>
      </c>
      <c r="P103" s="488"/>
      <c r="Q103" s="517">
        <v>102</v>
      </c>
      <c r="R103" s="544" t="s">
        <v>36</v>
      </c>
      <c r="S103" s="176">
        <f t="shared" si="59"/>
        <v>3</v>
      </c>
      <c r="T103" s="176">
        <f t="shared" si="60"/>
        <v>4</v>
      </c>
      <c r="U103" s="176">
        <f t="shared" si="61"/>
        <v>6</v>
      </c>
      <c r="V103" s="176">
        <f t="shared" si="62"/>
        <v>7</v>
      </c>
      <c r="W103" s="176">
        <f t="shared" si="63"/>
        <v>9</v>
      </c>
      <c r="X103" s="176">
        <f t="shared" si="64"/>
        <v>11</v>
      </c>
      <c r="Y103" s="176">
        <f t="shared" si="65"/>
        <v>14</v>
      </c>
      <c r="Z103" s="176">
        <f t="shared" si="66"/>
        <v>16</v>
      </c>
      <c r="AA103" s="176">
        <f t="shared" si="67"/>
        <v>18</v>
      </c>
      <c r="AB103" s="176">
        <f t="shared" si="68"/>
        <v>19</v>
      </c>
      <c r="AC103" s="176">
        <f t="shared" si="69"/>
        <v>21</v>
      </c>
      <c r="AD103" s="462">
        <f t="shared" si="70"/>
        <v>23</v>
      </c>
      <c r="AE103" s="491">
        <v>102</v>
      </c>
      <c r="AF103" s="492">
        <v>19.833333333333336</v>
      </c>
    </row>
    <row r="104" spans="2:32" x14ac:dyDescent="0.35">
      <c r="B104" s="486">
        <v>103</v>
      </c>
      <c r="C104" s="543" t="s">
        <v>37</v>
      </c>
      <c r="D104" s="487">
        <v>8</v>
      </c>
      <c r="E104" s="487">
        <v>8</v>
      </c>
      <c r="F104" s="487">
        <v>8</v>
      </c>
      <c r="G104" s="487">
        <v>10</v>
      </c>
      <c r="H104" s="487">
        <v>12</v>
      </c>
      <c r="I104" s="487">
        <v>12</v>
      </c>
      <c r="J104" s="487">
        <v>8</v>
      </c>
      <c r="K104" s="487">
        <v>12</v>
      </c>
      <c r="L104" s="487">
        <v>12</v>
      </c>
      <c r="M104" s="487">
        <v>8</v>
      </c>
      <c r="N104" s="487">
        <v>3</v>
      </c>
      <c r="O104" s="487">
        <v>11</v>
      </c>
      <c r="P104" s="488"/>
      <c r="Q104" s="517">
        <v>103</v>
      </c>
      <c r="R104" s="544" t="s">
        <v>37</v>
      </c>
      <c r="S104" s="176">
        <f t="shared" si="59"/>
        <v>8</v>
      </c>
      <c r="T104" s="176">
        <f t="shared" si="60"/>
        <v>16</v>
      </c>
      <c r="U104" s="176">
        <f t="shared" si="61"/>
        <v>24</v>
      </c>
      <c r="V104" s="176">
        <f t="shared" si="62"/>
        <v>34</v>
      </c>
      <c r="W104" s="176">
        <f t="shared" si="63"/>
        <v>46</v>
      </c>
      <c r="X104" s="176">
        <f t="shared" si="64"/>
        <v>58</v>
      </c>
      <c r="Y104" s="176">
        <f t="shared" si="65"/>
        <v>66</v>
      </c>
      <c r="Z104" s="176">
        <f t="shared" si="66"/>
        <v>78</v>
      </c>
      <c r="AA104" s="176">
        <f t="shared" si="67"/>
        <v>90</v>
      </c>
      <c r="AB104" s="176">
        <f t="shared" si="68"/>
        <v>98</v>
      </c>
      <c r="AC104" s="176">
        <f t="shared" si="69"/>
        <v>101</v>
      </c>
      <c r="AD104" s="462">
        <f t="shared" si="70"/>
        <v>112</v>
      </c>
      <c r="AE104" s="469">
        <v>103</v>
      </c>
      <c r="AF104" s="492">
        <v>113</v>
      </c>
    </row>
    <row r="105" spans="2:32" x14ac:dyDescent="0.35">
      <c r="B105" s="485">
        <v>104</v>
      </c>
      <c r="C105" s="545" t="s">
        <v>31</v>
      </c>
      <c r="D105" s="487">
        <v>59</v>
      </c>
      <c r="E105" s="487">
        <v>49</v>
      </c>
      <c r="F105" s="487">
        <v>26</v>
      </c>
      <c r="G105" s="487">
        <v>39</v>
      </c>
      <c r="H105" s="487">
        <v>50</v>
      </c>
      <c r="I105" s="487">
        <v>43</v>
      </c>
      <c r="J105" s="487">
        <v>50</v>
      </c>
      <c r="K105" s="487">
        <v>50</v>
      </c>
      <c r="L105" s="487">
        <v>55</v>
      </c>
      <c r="M105" s="487">
        <v>43</v>
      </c>
      <c r="N105" s="487">
        <v>32</v>
      </c>
      <c r="O105" s="487">
        <v>36</v>
      </c>
      <c r="P105" s="488"/>
      <c r="Q105" s="517">
        <v>104</v>
      </c>
      <c r="R105" s="546" t="s">
        <v>31</v>
      </c>
      <c r="S105" s="176">
        <f t="shared" si="59"/>
        <v>59</v>
      </c>
      <c r="T105" s="176">
        <f t="shared" si="60"/>
        <v>108</v>
      </c>
      <c r="U105" s="176">
        <f t="shared" si="61"/>
        <v>134</v>
      </c>
      <c r="V105" s="176">
        <f t="shared" si="62"/>
        <v>173</v>
      </c>
      <c r="W105" s="176">
        <f t="shared" si="63"/>
        <v>223</v>
      </c>
      <c r="X105" s="176">
        <f t="shared" si="64"/>
        <v>266</v>
      </c>
      <c r="Y105" s="176">
        <f t="shared" si="65"/>
        <v>316</v>
      </c>
      <c r="Z105" s="176">
        <f t="shared" si="66"/>
        <v>366</v>
      </c>
      <c r="AA105" s="176">
        <f t="shared" si="67"/>
        <v>421</v>
      </c>
      <c r="AB105" s="176">
        <f t="shared" si="68"/>
        <v>464</v>
      </c>
      <c r="AC105" s="176">
        <f t="shared" si="69"/>
        <v>496</v>
      </c>
      <c r="AD105" s="462">
        <f t="shared" si="70"/>
        <v>532</v>
      </c>
      <c r="AE105" s="469">
        <v>104</v>
      </c>
      <c r="AF105" s="492">
        <v>532</v>
      </c>
    </row>
    <row r="106" spans="2:32" x14ac:dyDescent="0.35">
      <c r="B106" s="485">
        <v>105</v>
      </c>
      <c r="C106" s="545" t="s">
        <v>55</v>
      </c>
      <c r="D106" s="487">
        <v>17</v>
      </c>
      <c r="E106" s="487">
        <v>17</v>
      </c>
      <c r="F106" s="487">
        <v>15</v>
      </c>
      <c r="G106" s="487">
        <v>18</v>
      </c>
      <c r="H106" s="487">
        <v>14</v>
      </c>
      <c r="I106" s="487">
        <v>13</v>
      </c>
      <c r="J106" s="487">
        <v>14</v>
      </c>
      <c r="K106" s="487">
        <v>13</v>
      </c>
      <c r="L106" s="487">
        <v>13</v>
      </c>
      <c r="M106" s="487">
        <v>11</v>
      </c>
      <c r="N106" s="487">
        <v>9</v>
      </c>
      <c r="O106" s="487">
        <v>9</v>
      </c>
      <c r="P106" s="488"/>
      <c r="Q106" s="517">
        <v>105</v>
      </c>
      <c r="R106" s="546" t="s">
        <v>55</v>
      </c>
      <c r="S106" s="176">
        <f t="shared" si="59"/>
        <v>17</v>
      </c>
      <c r="T106" s="176">
        <f t="shared" si="60"/>
        <v>34</v>
      </c>
      <c r="U106" s="176">
        <f t="shared" si="61"/>
        <v>49</v>
      </c>
      <c r="V106" s="176">
        <f t="shared" si="62"/>
        <v>67</v>
      </c>
      <c r="W106" s="176">
        <f t="shared" si="63"/>
        <v>81</v>
      </c>
      <c r="X106" s="176">
        <f t="shared" si="64"/>
        <v>94</v>
      </c>
      <c r="Y106" s="176">
        <f t="shared" si="65"/>
        <v>108</v>
      </c>
      <c r="Z106" s="176">
        <f t="shared" si="66"/>
        <v>121</v>
      </c>
      <c r="AA106" s="176">
        <f t="shared" si="67"/>
        <v>134</v>
      </c>
      <c r="AB106" s="176">
        <f t="shared" si="68"/>
        <v>145</v>
      </c>
      <c r="AC106" s="176">
        <f t="shared" si="69"/>
        <v>154</v>
      </c>
      <c r="AD106" s="462">
        <f t="shared" si="70"/>
        <v>163</v>
      </c>
      <c r="AE106" s="469">
        <v>105</v>
      </c>
      <c r="AF106" s="492">
        <v>162.66666666666666</v>
      </c>
    </row>
    <row r="107" spans="2:32" x14ac:dyDescent="0.35">
      <c r="B107" s="485">
        <v>106</v>
      </c>
      <c r="C107" s="543" t="s">
        <v>38</v>
      </c>
      <c r="D107" s="487">
        <v>101</v>
      </c>
      <c r="E107" s="487">
        <v>90</v>
      </c>
      <c r="F107" s="487">
        <v>78</v>
      </c>
      <c r="G107" s="487">
        <v>78</v>
      </c>
      <c r="H107" s="487">
        <v>77</v>
      </c>
      <c r="I107" s="487">
        <v>94</v>
      </c>
      <c r="J107" s="487">
        <v>116</v>
      </c>
      <c r="K107" s="487">
        <v>98</v>
      </c>
      <c r="L107" s="487">
        <v>96</v>
      </c>
      <c r="M107" s="487">
        <v>89</v>
      </c>
      <c r="N107" s="487">
        <v>99</v>
      </c>
      <c r="O107" s="487">
        <v>78</v>
      </c>
      <c r="P107" s="488"/>
      <c r="Q107" s="517">
        <v>106</v>
      </c>
      <c r="R107" s="544" t="s">
        <v>38</v>
      </c>
      <c r="S107" s="176">
        <f t="shared" si="59"/>
        <v>101</v>
      </c>
      <c r="T107" s="176">
        <f t="shared" si="60"/>
        <v>191</v>
      </c>
      <c r="U107" s="176">
        <f t="shared" si="61"/>
        <v>269</v>
      </c>
      <c r="V107" s="176">
        <f t="shared" si="62"/>
        <v>347</v>
      </c>
      <c r="W107" s="176">
        <f t="shared" si="63"/>
        <v>424</v>
      </c>
      <c r="X107" s="176">
        <f t="shared" si="64"/>
        <v>518</v>
      </c>
      <c r="Y107" s="176">
        <f t="shared" si="65"/>
        <v>634</v>
      </c>
      <c r="Z107" s="176">
        <f t="shared" si="66"/>
        <v>732</v>
      </c>
      <c r="AA107" s="176">
        <f t="shared" si="67"/>
        <v>828</v>
      </c>
      <c r="AB107" s="176">
        <f t="shared" si="68"/>
        <v>917</v>
      </c>
      <c r="AC107" s="176">
        <f t="shared" si="69"/>
        <v>1016</v>
      </c>
      <c r="AD107" s="462">
        <f t="shared" si="70"/>
        <v>1094</v>
      </c>
      <c r="AE107" s="469">
        <v>106</v>
      </c>
      <c r="AF107" s="492">
        <v>1095</v>
      </c>
    </row>
    <row r="108" spans="2:32" x14ac:dyDescent="0.35">
      <c r="B108" s="485">
        <v>107</v>
      </c>
      <c r="C108" s="543" t="s">
        <v>17</v>
      </c>
      <c r="D108" s="487">
        <v>82</v>
      </c>
      <c r="E108" s="487">
        <v>78</v>
      </c>
      <c r="F108" s="487">
        <v>70</v>
      </c>
      <c r="G108" s="487">
        <v>63</v>
      </c>
      <c r="H108" s="487">
        <v>84</v>
      </c>
      <c r="I108" s="487">
        <v>67</v>
      </c>
      <c r="J108" s="487">
        <v>78</v>
      </c>
      <c r="K108" s="487">
        <v>75</v>
      </c>
      <c r="L108" s="487">
        <v>69</v>
      </c>
      <c r="M108" s="487">
        <v>72</v>
      </c>
      <c r="N108" s="487">
        <v>58</v>
      </c>
      <c r="O108" s="487">
        <v>65</v>
      </c>
      <c r="P108" s="488"/>
      <c r="Q108" s="517">
        <v>107</v>
      </c>
      <c r="R108" s="544" t="s">
        <v>17</v>
      </c>
      <c r="S108" s="176">
        <f t="shared" si="59"/>
        <v>82</v>
      </c>
      <c r="T108" s="176">
        <f t="shared" si="60"/>
        <v>160</v>
      </c>
      <c r="U108" s="176">
        <f t="shared" si="61"/>
        <v>230</v>
      </c>
      <c r="V108" s="176">
        <f t="shared" si="62"/>
        <v>293</v>
      </c>
      <c r="W108" s="176">
        <f t="shared" si="63"/>
        <v>377</v>
      </c>
      <c r="X108" s="176">
        <f t="shared" si="64"/>
        <v>444</v>
      </c>
      <c r="Y108" s="176">
        <f t="shared" si="65"/>
        <v>522</v>
      </c>
      <c r="Z108" s="176">
        <f t="shared" si="66"/>
        <v>597</v>
      </c>
      <c r="AA108" s="176">
        <f t="shared" si="67"/>
        <v>666</v>
      </c>
      <c r="AB108" s="176">
        <f t="shared" si="68"/>
        <v>738</v>
      </c>
      <c r="AC108" s="176">
        <f t="shared" si="69"/>
        <v>796</v>
      </c>
      <c r="AD108" s="462">
        <f t="shared" si="70"/>
        <v>861</v>
      </c>
      <c r="AE108" s="491">
        <v>107</v>
      </c>
      <c r="AF108" s="492">
        <v>862.66666666666674</v>
      </c>
    </row>
    <row r="109" spans="2:32" x14ac:dyDescent="0.35">
      <c r="B109" s="486">
        <v>108</v>
      </c>
      <c r="C109" s="543" t="s">
        <v>34</v>
      </c>
      <c r="D109" s="487">
        <v>79</v>
      </c>
      <c r="E109" s="487">
        <v>89</v>
      </c>
      <c r="F109" s="487">
        <v>104</v>
      </c>
      <c r="G109" s="487">
        <v>103</v>
      </c>
      <c r="H109" s="487">
        <v>111</v>
      </c>
      <c r="I109" s="487">
        <v>99</v>
      </c>
      <c r="J109" s="487">
        <v>94</v>
      </c>
      <c r="K109" s="487">
        <v>99</v>
      </c>
      <c r="L109" s="487">
        <v>95</v>
      </c>
      <c r="M109" s="487">
        <v>96</v>
      </c>
      <c r="N109" s="487">
        <v>87</v>
      </c>
      <c r="O109" s="487">
        <v>86</v>
      </c>
      <c r="P109" s="488"/>
      <c r="Q109" s="517">
        <v>108</v>
      </c>
      <c r="R109" s="544" t="s">
        <v>34</v>
      </c>
      <c r="S109" s="176">
        <f t="shared" si="59"/>
        <v>79</v>
      </c>
      <c r="T109" s="176">
        <f t="shared" si="60"/>
        <v>168</v>
      </c>
      <c r="U109" s="176">
        <f t="shared" si="61"/>
        <v>272</v>
      </c>
      <c r="V109" s="176">
        <f t="shared" si="62"/>
        <v>375</v>
      </c>
      <c r="W109" s="176">
        <f t="shared" si="63"/>
        <v>486</v>
      </c>
      <c r="X109" s="176">
        <f t="shared" si="64"/>
        <v>585</v>
      </c>
      <c r="Y109" s="176">
        <f t="shared" si="65"/>
        <v>679</v>
      </c>
      <c r="Z109" s="176">
        <f t="shared" si="66"/>
        <v>778</v>
      </c>
      <c r="AA109" s="176">
        <f t="shared" si="67"/>
        <v>873</v>
      </c>
      <c r="AB109" s="176">
        <f t="shared" si="68"/>
        <v>969</v>
      </c>
      <c r="AC109" s="176">
        <f t="shared" si="69"/>
        <v>1056</v>
      </c>
      <c r="AD109" s="462">
        <f t="shared" si="70"/>
        <v>1142</v>
      </c>
      <c r="AE109" s="469">
        <v>108</v>
      </c>
      <c r="AF109" s="492">
        <v>1140.9999999999998</v>
      </c>
    </row>
    <row r="110" spans="2:32" x14ac:dyDescent="0.35">
      <c r="B110" s="485">
        <v>109</v>
      </c>
      <c r="C110" s="543" t="s">
        <v>41</v>
      </c>
      <c r="D110" s="487">
        <v>9</v>
      </c>
      <c r="E110" s="487">
        <v>9</v>
      </c>
      <c r="F110" s="487">
        <v>10</v>
      </c>
      <c r="G110" s="487">
        <v>11</v>
      </c>
      <c r="H110" s="487">
        <v>13</v>
      </c>
      <c r="I110" s="487">
        <v>13</v>
      </c>
      <c r="J110" s="487">
        <v>10</v>
      </c>
      <c r="K110" s="487">
        <v>14</v>
      </c>
      <c r="L110" s="487">
        <v>13</v>
      </c>
      <c r="M110" s="487">
        <v>9</v>
      </c>
      <c r="N110" s="487">
        <v>4</v>
      </c>
      <c r="O110" s="487">
        <v>12</v>
      </c>
      <c r="P110" s="488"/>
      <c r="Q110" s="517">
        <v>109</v>
      </c>
      <c r="R110" s="544" t="s">
        <v>41</v>
      </c>
      <c r="S110" s="176">
        <f t="shared" si="59"/>
        <v>9</v>
      </c>
      <c r="T110" s="176">
        <f t="shared" si="60"/>
        <v>18</v>
      </c>
      <c r="U110" s="176">
        <f t="shared" si="61"/>
        <v>28</v>
      </c>
      <c r="V110" s="176">
        <f t="shared" si="62"/>
        <v>39</v>
      </c>
      <c r="W110" s="176">
        <f t="shared" si="63"/>
        <v>52</v>
      </c>
      <c r="X110" s="176">
        <f t="shared" si="64"/>
        <v>65</v>
      </c>
      <c r="Y110" s="176">
        <f t="shared" si="65"/>
        <v>75</v>
      </c>
      <c r="Z110" s="176">
        <f t="shared" si="66"/>
        <v>89</v>
      </c>
      <c r="AA110" s="176">
        <f t="shared" si="67"/>
        <v>102</v>
      </c>
      <c r="AB110" s="176">
        <f t="shared" si="68"/>
        <v>111</v>
      </c>
      <c r="AC110" s="176">
        <f t="shared" si="69"/>
        <v>115</v>
      </c>
      <c r="AD110" s="462">
        <f t="shared" si="70"/>
        <v>127</v>
      </c>
      <c r="AE110" s="469">
        <v>109</v>
      </c>
      <c r="AF110" s="492">
        <v>127.66666666666664</v>
      </c>
    </row>
    <row r="111" spans="2:32" x14ac:dyDescent="0.35">
      <c r="B111" s="485">
        <v>110</v>
      </c>
      <c r="C111" s="543" t="s">
        <v>42</v>
      </c>
      <c r="D111" s="487">
        <v>331</v>
      </c>
      <c r="E111" s="487">
        <v>368</v>
      </c>
      <c r="F111" s="487">
        <v>385</v>
      </c>
      <c r="G111" s="487">
        <v>412</v>
      </c>
      <c r="H111" s="487">
        <v>403</v>
      </c>
      <c r="I111" s="487">
        <v>416</v>
      </c>
      <c r="J111" s="487">
        <v>423</v>
      </c>
      <c r="K111" s="487">
        <v>390</v>
      </c>
      <c r="L111" s="487">
        <v>430</v>
      </c>
      <c r="M111" s="487">
        <v>403</v>
      </c>
      <c r="N111" s="487">
        <v>372</v>
      </c>
      <c r="O111" s="487">
        <v>400</v>
      </c>
      <c r="P111" s="488"/>
      <c r="Q111" s="517">
        <v>110</v>
      </c>
      <c r="R111" s="544" t="s">
        <v>42</v>
      </c>
      <c r="S111" s="176">
        <f t="shared" si="59"/>
        <v>331</v>
      </c>
      <c r="T111" s="176">
        <f t="shared" si="60"/>
        <v>699</v>
      </c>
      <c r="U111" s="176">
        <f t="shared" si="61"/>
        <v>1084</v>
      </c>
      <c r="V111" s="176">
        <f t="shared" si="62"/>
        <v>1496</v>
      </c>
      <c r="W111" s="176">
        <f t="shared" si="63"/>
        <v>1899</v>
      </c>
      <c r="X111" s="176">
        <f t="shared" si="64"/>
        <v>2315</v>
      </c>
      <c r="Y111" s="176">
        <f t="shared" si="65"/>
        <v>2738</v>
      </c>
      <c r="Z111" s="176">
        <f t="shared" si="66"/>
        <v>3128</v>
      </c>
      <c r="AA111" s="176">
        <f t="shared" si="67"/>
        <v>3558</v>
      </c>
      <c r="AB111" s="176">
        <f t="shared" si="68"/>
        <v>3961</v>
      </c>
      <c r="AC111" s="176">
        <f t="shared" si="69"/>
        <v>4333</v>
      </c>
      <c r="AD111" s="462">
        <f t="shared" si="70"/>
        <v>4733</v>
      </c>
      <c r="AE111" s="491">
        <v>110</v>
      </c>
      <c r="AF111" s="492">
        <v>4733</v>
      </c>
    </row>
    <row r="112" spans="2:32" x14ac:dyDescent="0.35">
      <c r="B112" s="485">
        <v>111</v>
      </c>
      <c r="C112" s="543" t="s">
        <v>43</v>
      </c>
      <c r="D112" s="487">
        <v>15</v>
      </c>
      <c r="E112" s="487">
        <v>20</v>
      </c>
      <c r="F112" s="487">
        <v>15</v>
      </c>
      <c r="G112" s="487">
        <v>23</v>
      </c>
      <c r="H112" s="487">
        <v>26</v>
      </c>
      <c r="I112" s="487">
        <v>21</v>
      </c>
      <c r="J112" s="487">
        <v>19</v>
      </c>
      <c r="K112" s="487">
        <v>16</v>
      </c>
      <c r="L112" s="487">
        <v>26</v>
      </c>
      <c r="M112" s="487">
        <v>22</v>
      </c>
      <c r="N112" s="487">
        <v>16</v>
      </c>
      <c r="O112" s="487">
        <v>17</v>
      </c>
      <c r="P112" s="488"/>
      <c r="Q112" s="517">
        <v>111</v>
      </c>
      <c r="R112" s="544" t="s">
        <v>43</v>
      </c>
      <c r="S112" s="176">
        <f t="shared" si="59"/>
        <v>15</v>
      </c>
      <c r="T112" s="176">
        <f t="shared" si="60"/>
        <v>35</v>
      </c>
      <c r="U112" s="176">
        <f t="shared" si="61"/>
        <v>50</v>
      </c>
      <c r="V112" s="176">
        <f t="shared" si="62"/>
        <v>73</v>
      </c>
      <c r="W112" s="176">
        <f t="shared" si="63"/>
        <v>99</v>
      </c>
      <c r="X112" s="176">
        <f t="shared" si="64"/>
        <v>120</v>
      </c>
      <c r="Y112" s="176">
        <f t="shared" si="65"/>
        <v>139</v>
      </c>
      <c r="Z112" s="176">
        <f t="shared" si="66"/>
        <v>155</v>
      </c>
      <c r="AA112" s="176">
        <f t="shared" si="67"/>
        <v>181</v>
      </c>
      <c r="AB112" s="176">
        <f t="shared" si="68"/>
        <v>203</v>
      </c>
      <c r="AC112" s="176">
        <f t="shared" si="69"/>
        <v>219</v>
      </c>
      <c r="AD112" s="462">
        <f t="shared" si="70"/>
        <v>236</v>
      </c>
      <c r="AE112" s="469">
        <v>111</v>
      </c>
      <c r="AF112" s="492">
        <v>236.00000000000003</v>
      </c>
    </row>
    <row r="113" spans="1:32" x14ac:dyDescent="0.35">
      <c r="B113" s="485">
        <v>112</v>
      </c>
      <c r="C113" s="543" t="s">
        <v>198</v>
      </c>
      <c r="D113" s="487">
        <v>22</v>
      </c>
      <c r="E113" s="487">
        <v>18</v>
      </c>
      <c r="F113" s="487">
        <v>20</v>
      </c>
      <c r="G113" s="487">
        <v>19</v>
      </c>
      <c r="H113" s="487">
        <v>26</v>
      </c>
      <c r="I113" s="487">
        <v>22</v>
      </c>
      <c r="J113" s="487">
        <v>23</v>
      </c>
      <c r="K113" s="487">
        <v>15</v>
      </c>
      <c r="L113" s="487">
        <v>22</v>
      </c>
      <c r="M113" s="487">
        <v>16</v>
      </c>
      <c r="N113" s="487">
        <v>16</v>
      </c>
      <c r="O113" s="487">
        <v>14</v>
      </c>
      <c r="P113" s="488"/>
      <c r="Q113" s="517">
        <v>112</v>
      </c>
      <c r="R113" s="544" t="s">
        <v>198</v>
      </c>
      <c r="S113" s="176">
        <f t="shared" si="59"/>
        <v>22</v>
      </c>
      <c r="T113" s="176">
        <f t="shared" si="60"/>
        <v>40</v>
      </c>
      <c r="U113" s="176">
        <f t="shared" si="61"/>
        <v>60</v>
      </c>
      <c r="V113" s="176">
        <f t="shared" si="62"/>
        <v>79</v>
      </c>
      <c r="W113" s="176">
        <f t="shared" si="63"/>
        <v>105</v>
      </c>
      <c r="X113" s="176">
        <f t="shared" si="64"/>
        <v>127</v>
      </c>
      <c r="Y113" s="176">
        <f t="shared" si="65"/>
        <v>150</v>
      </c>
      <c r="Z113" s="176">
        <f t="shared" si="66"/>
        <v>165</v>
      </c>
      <c r="AA113" s="176">
        <f t="shared" si="67"/>
        <v>187</v>
      </c>
      <c r="AB113" s="176">
        <f t="shared" si="68"/>
        <v>203</v>
      </c>
      <c r="AC113" s="176">
        <f t="shared" si="69"/>
        <v>219</v>
      </c>
      <c r="AD113" s="462">
        <f t="shared" si="70"/>
        <v>233</v>
      </c>
      <c r="AE113" s="469">
        <v>112</v>
      </c>
      <c r="AF113" s="492">
        <v>233.00000000000003</v>
      </c>
    </row>
    <row r="114" spans="1:32" x14ac:dyDescent="0.35">
      <c r="A114" s="227" t="s">
        <v>128</v>
      </c>
      <c r="B114" s="486">
        <v>113</v>
      </c>
      <c r="C114" s="544" t="s">
        <v>204</v>
      </c>
      <c r="D114" s="493">
        <v>37</v>
      </c>
      <c r="E114" s="493">
        <v>38</v>
      </c>
      <c r="F114" s="493">
        <v>34</v>
      </c>
      <c r="G114" s="493">
        <v>42</v>
      </c>
      <c r="H114" s="493">
        <v>52</v>
      </c>
      <c r="I114" s="493">
        <v>43</v>
      </c>
      <c r="J114" s="493">
        <v>43</v>
      </c>
      <c r="K114" s="493">
        <v>31</v>
      </c>
      <c r="L114" s="493">
        <v>48</v>
      </c>
      <c r="M114" s="493">
        <v>39</v>
      </c>
      <c r="N114" s="493">
        <v>32</v>
      </c>
      <c r="O114" s="493">
        <v>31</v>
      </c>
      <c r="P114" s="488"/>
      <c r="Q114" s="517">
        <v>113</v>
      </c>
      <c r="R114" s="544" t="s">
        <v>204</v>
      </c>
      <c r="S114" s="176">
        <f t="shared" si="59"/>
        <v>37</v>
      </c>
      <c r="T114" s="176">
        <f t="shared" si="60"/>
        <v>75</v>
      </c>
      <c r="U114" s="176">
        <f t="shared" si="61"/>
        <v>109</v>
      </c>
      <c r="V114" s="176">
        <f t="shared" si="62"/>
        <v>151</v>
      </c>
      <c r="W114" s="176">
        <f t="shared" si="63"/>
        <v>203</v>
      </c>
      <c r="X114" s="176">
        <f t="shared" si="64"/>
        <v>246</v>
      </c>
      <c r="Y114" s="176">
        <f t="shared" si="65"/>
        <v>289</v>
      </c>
      <c r="Z114" s="176">
        <f t="shared" si="66"/>
        <v>320</v>
      </c>
      <c r="AA114" s="176">
        <f t="shared" si="67"/>
        <v>368</v>
      </c>
      <c r="AB114" s="176">
        <f t="shared" si="68"/>
        <v>407</v>
      </c>
      <c r="AC114" s="176">
        <f t="shared" si="69"/>
        <v>439</v>
      </c>
      <c r="AD114" s="462">
        <f t="shared" si="70"/>
        <v>470</v>
      </c>
      <c r="AE114" s="469">
        <v>113</v>
      </c>
      <c r="AF114" s="492"/>
    </row>
    <row r="115" spans="1:32" x14ac:dyDescent="0.35">
      <c r="B115" s="485">
        <v>114</v>
      </c>
      <c r="C115" s="543" t="s">
        <v>44</v>
      </c>
      <c r="D115" s="487">
        <v>1</v>
      </c>
      <c r="E115" s="487">
        <v>1</v>
      </c>
      <c r="F115" s="487">
        <v>2</v>
      </c>
      <c r="G115" s="487">
        <v>2</v>
      </c>
      <c r="H115" s="487">
        <v>2</v>
      </c>
      <c r="I115" s="487">
        <v>2</v>
      </c>
      <c r="J115" s="487">
        <v>0</v>
      </c>
      <c r="K115" s="487">
        <v>1</v>
      </c>
      <c r="L115" s="487">
        <v>2</v>
      </c>
      <c r="M115" s="487">
        <v>1</v>
      </c>
      <c r="N115" s="487">
        <v>1</v>
      </c>
      <c r="O115" s="487">
        <v>2</v>
      </c>
      <c r="P115" s="488"/>
      <c r="Q115" s="517">
        <v>114</v>
      </c>
      <c r="R115" s="544" t="s">
        <v>44</v>
      </c>
      <c r="S115" s="176">
        <f t="shared" si="59"/>
        <v>1</v>
      </c>
      <c r="T115" s="176">
        <f t="shared" si="60"/>
        <v>2</v>
      </c>
      <c r="U115" s="176">
        <f t="shared" si="61"/>
        <v>4</v>
      </c>
      <c r="V115" s="176">
        <f t="shared" si="62"/>
        <v>6</v>
      </c>
      <c r="W115" s="176">
        <f t="shared" si="63"/>
        <v>8</v>
      </c>
      <c r="X115" s="176">
        <f t="shared" si="64"/>
        <v>10</v>
      </c>
      <c r="Y115" s="176">
        <f t="shared" si="65"/>
        <v>10</v>
      </c>
      <c r="Z115" s="176">
        <f t="shared" si="66"/>
        <v>11</v>
      </c>
      <c r="AA115" s="176">
        <f t="shared" si="67"/>
        <v>13</v>
      </c>
      <c r="AB115" s="176">
        <f t="shared" si="68"/>
        <v>14</v>
      </c>
      <c r="AC115" s="176">
        <f t="shared" si="69"/>
        <v>15</v>
      </c>
      <c r="AD115" s="462">
        <f t="shared" si="70"/>
        <v>17</v>
      </c>
      <c r="AE115" s="469">
        <v>114</v>
      </c>
      <c r="AF115" s="492">
        <v>18.333333333333336</v>
      </c>
    </row>
    <row r="116" spans="1:32" x14ac:dyDescent="0.35">
      <c r="B116" s="485">
        <v>115</v>
      </c>
      <c r="C116" s="543" t="s">
        <v>199</v>
      </c>
      <c r="D116" s="487">
        <v>2</v>
      </c>
      <c r="E116" s="487">
        <v>2</v>
      </c>
      <c r="F116" s="487">
        <v>2</v>
      </c>
      <c r="G116" s="487">
        <v>2</v>
      </c>
      <c r="H116" s="487">
        <v>0</v>
      </c>
      <c r="I116" s="487">
        <v>2</v>
      </c>
      <c r="J116" s="487">
        <v>1</v>
      </c>
      <c r="K116" s="487">
        <v>1</v>
      </c>
      <c r="L116" s="487">
        <v>2</v>
      </c>
      <c r="M116" s="487">
        <v>2</v>
      </c>
      <c r="N116" s="487">
        <v>0</v>
      </c>
      <c r="O116" s="487">
        <v>1</v>
      </c>
      <c r="P116" s="488"/>
      <c r="Q116" s="517">
        <v>115</v>
      </c>
      <c r="R116" s="544" t="s">
        <v>199</v>
      </c>
      <c r="S116" s="176">
        <f t="shared" si="59"/>
        <v>2</v>
      </c>
      <c r="T116" s="176">
        <f t="shared" si="60"/>
        <v>4</v>
      </c>
      <c r="U116" s="176">
        <f t="shared" si="61"/>
        <v>6</v>
      </c>
      <c r="V116" s="176">
        <f t="shared" si="62"/>
        <v>8</v>
      </c>
      <c r="W116" s="176">
        <f t="shared" si="63"/>
        <v>8</v>
      </c>
      <c r="X116" s="176">
        <f t="shared" si="64"/>
        <v>10</v>
      </c>
      <c r="Y116" s="176">
        <f t="shared" si="65"/>
        <v>11</v>
      </c>
      <c r="Z116" s="176">
        <f t="shared" si="66"/>
        <v>12</v>
      </c>
      <c r="AA116" s="176">
        <f t="shared" si="67"/>
        <v>14</v>
      </c>
      <c r="AB116" s="176">
        <f t="shared" si="68"/>
        <v>16</v>
      </c>
      <c r="AC116" s="176">
        <f t="shared" si="69"/>
        <v>16</v>
      </c>
      <c r="AD116" s="462">
        <f t="shared" si="70"/>
        <v>17</v>
      </c>
      <c r="AE116" s="491">
        <v>115</v>
      </c>
      <c r="AF116" s="492">
        <v>17</v>
      </c>
    </row>
    <row r="117" spans="1:32" x14ac:dyDescent="0.35">
      <c r="A117" s="227" t="s">
        <v>128</v>
      </c>
      <c r="B117" s="485">
        <v>116</v>
      </c>
      <c r="C117" s="543" t="s">
        <v>205</v>
      </c>
      <c r="D117" s="493">
        <v>3</v>
      </c>
      <c r="E117" s="493">
        <v>3</v>
      </c>
      <c r="F117" s="493">
        <v>4</v>
      </c>
      <c r="G117" s="493">
        <v>4</v>
      </c>
      <c r="H117" s="493">
        <v>3</v>
      </c>
      <c r="I117" s="493">
        <v>4</v>
      </c>
      <c r="J117" s="493">
        <v>1</v>
      </c>
      <c r="K117" s="493">
        <v>2</v>
      </c>
      <c r="L117" s="493">
        <v>4</v>
      </c>
      <c r="M117" s="493">
        <v>3</v>
      </c>
      <c r="N117" s="493">
        <v>1</v>
      </c>
      <c r="O117" s="493">
        <v>3</v>
      </c>
      <c r="P117" s="488"/>
      <c r="Q117" s="517">
        <v>116</v>
      </c>
      <c r="R117" s="543" t="s">
        <v>205</v>
      </c>
      <c r="S117" s="176">
        <f t="shared" si="59"/>
        <v>3</v>
      </c>
      <c r="T117" s="176">
        <f t="shared" si="60"/>
        <v>6</v>
      </c>
      <c r="U117" s="176">
        <f t="shared" si="61"/>
        <v>10</v>
      </c>
      <c r="V117" s="176">
        <f t="shared" si="62"/>
        <v>14</v>
      </c>
      <c r="W117" s="176">
        <f t="shared" si="63"/>
        <v>17</v>
      </c>
      <c r="X117" s="176">
        <f t="shared" si="64"/>
        <v>21</v>
      </c>
      <c r="Y117" s="176">
        <f t="shared" si="65"/>
        <v>22</v>
      </c>
      <c r="Z117" s="176">
        <f t="shared" si="66"/>
        <v>24</v>
      </c>
      <c r="AA117" s="176">
        <f t="shared" si="67"/>
        <v>28</v>
      </c>
      <c r="AB117" s="176">
        <f t="shared" si="68"/>
        <v>31</v>
      </c>
      <c r="AC117" s="176">
        <f t="shared" si="69"/>
        <v>32</v>
      </c>
      <c r="AD117" s="462">
        <f t="shared" si="70"/>
        <v>35</v>
      </c>
      <c r="AE117" s="469">
        <v>116</v>
      </c>
      <c r="AF117" s="492"/>
    </row>
    <row r="118" spans="1:32" x14ac:dyDescent="0.35">
      <c r="B118" s="485">
        <v>117</v>
      </c>
      <c r="C118" s="543" t="s">
        <v>45</v>
      </c>
      <c r="D118" s="487">
        <v>43</v>
      </c>
      <c r="E118" s="487">
        <v>42</v>
      </c>
      <c r="F118" s="487">
        <v>43</v>
      </c>
      <c r="G118" s="487">
        <v>45</v>
      </c>
      <c r="H118" s="487">
        <v>43</v>
      </c>
      <c r="I118" s="487">
        <v>41</v>
      </c>
      <c r="J118" s="487">
        <v>44</v>
      </c>
      <c r="K118" s="487">
        <v>45</v>
      </c>
      <c r="L118" s="487">
        <v>55</v>
      </c>
      <c r="M118" s="487">
        <v>52</v>
      </c>
      <c r="N118" s="487">
        <v>44</v>
      </c>
      <c r="O118" s="487">
        <v>48</v>
      </c>
      <c r="P118" s="488"/>
      <c r="Q118" s="517">
        <v>117</v>
      </c>
      <c r="R118" s="544" t="s">
        <v>45</v>
      </c>
      <c r="S118" s="176">
        <f t="shared" si="59"/>
        <v>43</v>
      </c>
      <c r="T118" s="176">
        <f t="shared" si="60"/>
        <v>85</v>
      </c>
      <c r="U118" s="176">
        <f t="shared" si="61"/>
        <v>128</v>
      </c>
      <c r="V118" s="176">
        <f t="shared" si="62"/>
        <v>173</v>
      </c>
      <c r="W118" s="176">
        <f t="shared" si="63"/>
        <v>216</v>
      </c>
      <c r="X118" s="176">
        <f t="shared" si="64"/>
        <v>257</v>
      </c>
      <c r="Y118" s="176">
        <f t="shared" si="65"/>
        <v>301</v>
      </c>
      <c r="Z118" s="176">
        <f t="shared" si="66"/>
        <v>346</v>
      </c>
      <c r="AA118" s="176">
        <f t="shared" si="67"/>
        <v>401</v>
      </c>
      <c r="AB118" s="176">
        <f t="shared" si="68"/>
        <v>453</v>
      </c>
      <c r="AC118" s="176">
        <f t="shared" si="69"/>
        <v>497</v>
      </c>
      <c r="AD118" s="462">
        <f t="shared" si="70"/>
        <v>545</v>
      </c>
      <c r="AE118" s="469">
        <v>117</v>
      </c>
      <c r="AF118" s="492">
        <v>545.66666666666674</v>
      </c>
    </row>
    <row r="119" spans="1:32" x14ac:dyDescent="0.35">
      <c r="B119" s="486">
        <v>118</v>
      </c>
      <c r="C119" s="543" t="s">
        <v>191</v>
      </c>
      <c r="D119" s="487">
        <v>86</v>
      </c>
      <c r="E119" s="487">
        <v>91</v>
      </c>
      <c r="F119" s="487">
        <v>94</v>
      </c>
      <c r="G119" s="487">
        <v>121</v>
      </c>
      <c r="H119" s="487">
        <v>100</v>
      </c>
      <c r="I119" s="487">
        <v>111</v>
      </c>
      <c r="J119" s="487">
        <v>107</v>
      </c>
      <c r="K119" s="487">
        <v>102</v>
      </c>
      <c r="L119" s="487">
        <v>112</v>
      </c>
      <c r="M119" s="487">
        <v>103</v>
      </c>
      <c r="N119" s="487">
        <v>98</v>
      </c>
      <c r="O119" s="487">
        <v>89</v>
      </c>
      <c r="P119" s="488"/>
      <c r="Q119" s="517">
        <v>118</v>
      </c>
      <c r="R119" s="544" t="s">
        <v>191</v>
      </c>
      <c r="S119" s="176">
        <f t="shared" si="59"/>
        <v>86</v>
      </c>
      <c r="T119" s="176">
        <f t="shared" si="60"/>
        <v>177</v>
      </c>
      <c r="U119" s="176">
        <f t="shared" si="61"/>
        <v>271</v>
      </c>
      <c r="V119" s="176">
        <f t="shared" si="62"/>
        <v>392</v>
      </c>
      <c r="W119" s="176">
        <f t="shared" si="63"/>
        <v>492</v>
      </c>
      <c r="X119" s="176">
        <f t="shared" si="64"/>
        <v>603</v>
      </c>
      <c r="Y119" s="176">
        <f t="shared" si="65"/>
        <v>710</v>
      </c>
      <c r="Z119" s="176">
        <f t="shared" si="66"/>
        <v>812</v>
      </c>
      <c r="AA119" s="176">
        <f t="shared" si="67"/>
        <v>924</v>
      </c>
      <c r="AB119" s="176">
        <f t="shared" si="68"/>
        <v>1027</v>
      </c>
      <c r="AC119" s="176">
        <f t="shared" si="69"/>
        <v>1125</v>
      </c>
      <c r="AD119" s="462">
        <f t="shared" si="70"/>
        <v>1214</v>
      </c>
      <c r="AE119" s="491">
        <v>118</v>
      </c>
      <c r="AF119" s="492">
        <v>1215</v>
      </c>
    </row>
    <row r="120" spans="1:32" x14ac:dyDescent="0.35">
      <c r="B120" s="485">
        <v>119</v>
      </c>
      <c r="C120" s="543" t="s">
        <v>53</v>
      </c>
      <c r="D120" s="487">
        <v>6</v>
      </c>
      <c r="E120" s="487">
        <v>9</v>
      </c>
      <c r="F120" s="487">
        <v>7</v>
      </c>
      <c r="G120" s="487">
        <v>8</v>
      </c>
      <c r="H120" s="487">
        <v>12</v>
      </c>
      <c r="I120" s="487">
        <v>9</v>
      </c>
      <c r="J120" s="487">
        <v>6</v>
      </c>
      <c r="K120" s="487">
        <v>8</v>
      </c>
      <c r="L120" s="487">
        <v>9</v>
      </c>
      <c r="M120" s="487">
        <v>7</v>
      </c>
      <c r="N120" s="487">
        <v>6</v>
      </c>
      <c r="O120" s="487">
        <v>5</v>
      </c>
      <c r="P120" s="488"/>
      <c r="Q120" s="517">
        <v>119</v>
      </c>
      <c r="R120" s="544" t="s">
        <v>53</v>
      </c>
      <c r="S120" s="176">
        <f t="shared" si="59"/>
        <v>6</v>
      </c>
      <c r="T120" s="176">
        <f t="shared" si="60"/>
        <v>15</v>
      </c>
      <c r="U120" s="176">
        <f t="shared" si="61"/>
        <v>22</v>
      </c>
      <c r="V120" s="176">
        <f t="shared" si="62"/>
        <v>30</v>
      </c>
      <c r="W120" s="176">
        <f t="shared" si="63"/>
        <v>42</v>
      </c>
      <c r="X120" s="176">
        <f t="shared" si="64"/>
        <v>51</v>
      </c>
      <c r="Y120" s="176">
        <f t="shared" si="65"/>
        <v>57</v>
      </c>
      <c r="Z120" s="176">
        <f t="shared" si="66"/>
        <v>65</v>
      </c>
      <c r="AA120" s="176">
        <f t="shared" si="67"/>
        <v>74</v>
      </c>
      <c r="AB120" s="176">
        <f t="shared" si="68"/>
        <v>81</v>
      </c>
      <c r="AC120" s="176">
        <f t="shared" si="69"/>
        <v>87</v>
      </c>
      <c r="AD120" s="462">
        <f t="shared" si="70"/>
        <v>92</v>
      </c>
      <c r="AE120" s="469">
        <v>119</v>
      </c>
      <c r="AF120" s="492">
        <v>92.999999999999986</v>
      </c>
    </row>
    <row r="121" spans="1:32" x14ac:dyDescent="0.35">
      <c r="B121" s="485">
        <v>120</v>
      </c>
      <c r="C121" s="543" t="s">
        <v>54</v>
      </c>
      <c r="D121" s="487">
        <v>6</v>
      </c>
      <c r="E121" s="487">
        <v>5</v>
      </c>
      <c r="F121" s="487">
        <v>8</v>
      </c>
      <c r="G121" s="487">
        <v>5</v>
      </c>
      <c r="H121" s="487">
        <v>6</v>
      </c>
      <c r="I121" s="487">
        <v>4</v>
      </c>
      <c r="J121" s="487">
        <v>3</v>
      </c>
      <c r="K121" s="487">
        <v>6</v>
      </c>
      <c r="L121" s="487">
        <v>4</v>
      </c>
      <c r="M121" s="487">
        <v>6</v>
      </c>
      <c r="N121" s="487">
        <v>4</v>
      </c>
      <c r="O121" s="487">
        <v>5</v>
      </c>
      <c r="P121" s="488"/>
      <c r="Q121" s="517">
        <v>120</v>
      </c>
      <c r="R121" s="544" t="s">
        <v>54</v>
      </c>
      <c r="S121" s="176">
        <f t="shared" si="59"/>
        <v>6</v>
      </c>
      <c r="T121" s="176">
        <f t="shared" si="60"/>
        <v>11</v>
      </c>
      <c r="U121" s="176">
        <f t="shared" si="61"/>
        <v>19</v>
      </c>
      <c r="V121" s="176">
        <f t="shared" si="62"/>
        <v>24</v>
      </c>
      <c r="W121" s="176">
        <f t="shared" si="63"/>
        <v>30</v>
      </c>
      <c r="X121" s="176">
        <f t="shared" si="64"/>
        <v>34</v>
      </c>
      <c r="Y121" s="176">
        <f t="shared" si="65"/>
        <v>37</v>
      </c>
      <c r="Z121" s="176">
        <f t="shared" si="66"/>
        <v>43</v>
      </c>
      <c r="AA121" s="176">
        <f t="shared" si="67"/>
        <v>47</v>
      </c>
      <c r="AB121" s="176">
        <f t="shared" si="68"/>
        <v>53</v>
      </c>
      <c r="AC121" s="176">
        <f t="shared" si="69"/>
        <v>57</v>
      </c>
      <c r="AD121" s="462">
        <f t="shared" si="70"/>
        <v>62</v>
      </c>
      <c r="AE121" s="469">
        <v>120</v>
      </c>
      <c r="AF121" s="492">
        <v>62.666666666666671</v>
      </c>
    </row>
    <row r="122" spans="1:32" x14ac:dyDescent="0.35">
      <c r="B122" s="485">
        <v>121</v>
      </c>
      <c r="C122" s="543" t="s">
        <v>46</v>
      </c>
      <c r="D122" s="487">
        <v>1</v>
      </c>
      <c r="E122" s="487">
        <v>2</v>
      </c>
      <c r="F122" s="487">
        <v>1</v>
      </c>
      <c r="G122" s="487">
        <v>2</v>
      </c>
      <c r="H122" s="487">
        <v>2</v>
      </c>
      <c r="I122" s="487">
        <v>1</v>
      </c>
      <c r="J122" s="487">
        <v>1</v>
      </c>
      <c r="K122" s="487">
        <v>2</v>
      </c>
      <c r="L122" s="487">
        <v>1</v>
      </c>
      <c r="M122" s="487">
        <v>2</v>
      </c>
      <c r="N122" s="487">
        <v>2</v>
      </c>
      <c r="O122" s="487">
        <v>2</v>
      </c>
      <c r="P122" s="488"/>
      <c r="Q122" s="517">
        <v>121</v>
      </c>
      <c r="R122" s="544" t="s">
        <v>46</v>
      </c>
      <c r="S122" s="176">
        <f t="shared" si="59"/>
        <v>1</v>
      </c>
      <c r="T122" s="176">
        <f t="shared" si="60"/>
        <v>3</v>
      </c>
      <c r="U122" s="176">
        <f t="shared" si="61"/>
        <v>4</v>
      </c>
      <c r="V122" s="176">
        <f t="shared" si="62"/>
        <v>6</v>
      </c>
      <c r="W122" s="176">
        <f t="shared" si="63"/>
        <v>8</v>
      </c>
      <c r="X122" s="176">
        <f t="shared" si="64"/>
        <v>9</v>
      </c>
      <c r="Y122" s="176">
        <f t="shared" si="65"/>
        <v>10</v>
      </c>
      <c r="Z122" s="176">
        <f t="shared" si="66"/>
        <v>12</v>
      </c>
      <c r="AA122" s="176">
        <f t="shared" si="67"/>
        <v>13</v>
      </c>
      <c r="AB122" s="176">
        <f t="shared" si="68"/>
        <v>15</v>
      </c>
      <c r="AC122" s="176">
        <f t="shared" si="69"/>
        <v>17</v>
      </c>
      <c r="AD122" s="462">
        <f t="shared" si="70"/>
        <v>19</v>
      </c>
      <c r="AE122" s="469">
        <v>121</v>
      </c>
      <c r="AF122" s="492">
        <v>20.666666666666668</v>
      </c>
    </row>
    <row r="123" spans="1:32" x14ac:dyDescent="0.35">
      <c r="B123" s="485">
        <v>122</v>
      </c>
      <c r="C123" s="543" t="s">
        <v>47</v>
      </c>
      <c r="D123" s="487">
        <v>17</v>
      </c>
      <c r="E123" s="487">
        <v>18</v>
      </c>
      <c r="F123" s="487">
        <v>13</v>
      </c>
      <c r="G123" s="487">
        <v>15</v>
      </c>
      <c r="H123" s="487">
        <v>12</v>
      </c>
      <c r="I123" s="487">
        <v>16</v>
      </c>
      <c r="J123" s="487">
        <v>28</v>
      </c>
      <c r="K123" s="487">
        <v>24</v>
      </c>
      <c r="L123" s="487">
        <v>19</v>
      </c>
      <c r="M123" s="487">
        <v>21</v>
      </c>
      <c r="N123" s="487">
        <v>21</v>
      </c>
      <c r="O123" s="487">
        <v>17</v>
      </c>
      <c r="P123" s="488"/>
      <c r="Q123" s="517">
        <v>122</v>
      </c>
      <c r="R123" s="544" t="s">
        <v>47</v>
      </c>
      <c r="S123" s="176">
        <f t="shared" si="59"/>
        <v>17</v>
      </c>
      <c r="T123" s="176">
        <f t="shared" si="60"/>
        <v>35</v>
      </c>
      <c r="U123" s="176">
        <f t="shared" si="61"/>
        <v>48</v>
      </c>
      <c r="V123" s="176">
        <f t="shared" si="62"/>
        <v>63</v>
      </c>
      <c r="W123" s="176">
        <f t="shared" si="63"/>
        <v>75</v>
      </c>
      <c r="X123" s="176">
        <f t="shared" si="64"/>
        <v>91</v>
      </c>
      <c r="Y123" s="176">
        <f t="shared" si="65"/>
        <v>119</v>
      </c>
      <c r="Z123" s="176">
        <f t="shared" si="66"/>
        <v>143</v>
      </c>
      <c r="AA123" s="176">
        <f t="shared" si="67"/>
        <v>162</v>
      </c>
      <c r="AB123" s="176">
        <f t="shared" si="68"/>
        <v>183</v>
      </c>
      <c r="AC123" s="176">
        <f t="shared" si="69"/>
        <v>204</v>
      </c>
      <c r="AD123" s="462">
        <f t="shared" si="70"/>
        <v>221</v>
      </c>
      <c r="AE123" s="469">
        <v>122</v>
      </c>
      <c r="AF123" s="492">
        <v>220.33333333333331</v>
      </c>
    </row>
    <row r="124" spans="1:32" x14ac:dyDescent="0.35">
      <c r="B124" s="486">
        <v>123</v>
      </c>
      <c r="C124" s="543" t="s">
        <v>48</v>
      </c>
      <c r="D124" s="487">
        <v>61</v>
      </c>
      <c r="E124" s="487">
        <v>48</v>
      </c>
      <c r="F124" s="487">
        <v>37</v>
      </c>
      <c r="G124" s="487">
        <v>42</v>
      </c>
      <c r="H124" s="487">
        <v>41</v>
      </c>
      <c r="I124" s="487">
        <v>50</v>
      </c>
      <c r="J124" s="487">
        <v>57</v>
      </c>
      <c r="K124" s="487">
        <v>51</v>
      </c>
      <c r="L124" s="487">
        <v>49</v>
      </c>
      <c r="M124" s="487">
        <v>47</v>
      </c>
      <c r="N124" s="487">
        <v>57</v>
      </c>
      <c r="O124" s="487">
        <v>42</v>
      </c>
      <c r="P124" s="488"/>
      <c r="Q124" s="517">
        <v>123</v>
      </c>
      <c r="R124" s="544" t="s">
        <v>48</v>
      </c>
      <c r="S124" s="176">
        <f t="shared" si="59"/>
        <v>61</v>
      </c>
      <c r="T124" s="176">
        <f t="shared" si="60"/>
        <v>109</v>
      </c>
      <c r="U124" s="176">
        <f t="shared" si="61"/>
        <v>146</v>
      </c>
      <c r="V124" s="176">
        <f t="shared" si="62"/>
        <v>188</v>
      </c>
      <c r="W124" s="176">
        <f t="shared" si="63"/>
        <v>229</v>
      </c>
      <c r="X124" s="176">
        <f t="shared" si="64"/>
        <v>279</v>
      </c>
      <c r="Y124" s="176">
        <f t="shared" si="65"/>
        <v>336</v>
      </c>
      <c r="Z124" s="176">
        <f t="shared" si="66"/>
        <v>387</v>
      </c>
      <c r="AA124" s="176">
        <f t="shared" si="67"/>
        <v>436</v>
      </c>
      <c r="AB124" s="176">
        <f t="shared" si="68"/>
        <v>483</v>
      </c>
      <c r="AC124" s="176">
        <f t="shared" si="69"/>
        <v>540</v>
      </c>
      <c r="AD124" s="462">
        <f t="shared" si="70"/>
        <v>582</v>
      </c>
      <c r="AE124" s="491">
        <v>123</v>
      </c>
      <c r="AF124" s="492">
        <v>582</v>
      </c>
    </row>
    <row r="125" spans="1:32" x14ac:dyDescent="0.35">
      <c r="B125" s="485">
        <v>124</v>
      </c>
      <c r="C125" s="543" t="s">
        <v>49</v>
      </c>
      <c r="D125" s="487">
        <v>22</v>
      </c>
      <c r="E125" s="487">
        <v>21</v>
      </c>
      <c r="F125" s="487">
        <v>26</v>
      </c>
      <c r="G125" s="487">
        <v>19</v>
      </c>
      <c r="H125" s="487">
        <v>23</v>
      </c>
      <c r="I125" s="487">
        <v>27</v>
      </c>
      <c r="J125" s="487">
        <v>30</v>
      </c>
      <c r="K125" s="487">
        <v>21</v>
      </c>
      <c r="L125" s="487">
        <v>27</v>
      </c>
      <c r="M125" s="487">
        <v>18</v>
      </c>
      <c r="N125" s="487">
        <v>19</v>
      </c>
      <c r="O125" s="487">
        <v>18</v>
      </c>
      <c r="P125" s="488"/>
      <c r="Q125" s="517">
        <v>124</v>
      </c>
      <c r="R125" s="544" t="s">
        <v>49</v>
      </c>
      <c r="S125" s="176">
        <f t="shared" si="59"/>
        <v>22</v>
      </c>
      <c r="T125" s="176">
        <f t="shared" si="60"/>
        <v>43</v>
      </c>
      <c r="U125" s="176">
        <f t="shared" si="61"/>
        <v>69</v>
      </c>
      <c r="V125" s="176">
        <f t="shared" si="62"/>
        <v>88</v>
      </c>
      <c r="W125" s="176">
        <f t="shared" si="63"/>
        <v>111</v>
      </c>
      <c r="X125" s="176">
        <f t="shared" si="64"/>
        <v>138</v>
      </c>
      <c r="Y125" s="176">
        <f t="shared" si="65"/>
        <v>168</v>
      </c>
      <c r="Z125" s="176">
        <f t="shared" si="66"/>
        <v>189</v>
      </c>
      <c r="AA125" s="176">
        <f t="shared" si="67"/>
        <v>216</v>
      </c>
      <c r="AB125" s="176">
        <f t="shared" si="68"/>
        <v>234</v>
      </c>
      <c r="AC125" s="176">
        <f t="shared" si="69"/>
        <v>253</v>
      </c>
      <c r="AD125" s="462">
        <f t="shared" si="70"/>
        <v>271</v>
      </c>
      <c r="AE125" s="469">
        <v>124</v>
      </c>
      <c r="AF125" s="492">
        <v>272</v>
      </c>
    </row>
    <row r="126" spans="1:32" x14ac:dyDescent="0.35">
      <c r="A126" s="227" t="s">
        <v>128</v>
      </c>
      <c r="B126" s="485">
        <v>125</v>
      </c>
      <c r="C126" s="543" t="s">
        <v>85</v>
      </c>
      <c r="D126" s="493">
        <v>23</v>
      </c>
      <c r="E126" s="493">
        <v>23</v>
      </c>
      <c r="F126" s="493">
        <v>28</v>
      </c>
      <c r="G126" s="493">
        <v>21</v>
      </c>
      <c r="H126" s="493">
        <v>24</v>
      </c>
      <c r="I126" s="493">
        <v>29</v>
      </c>
      <c r="J126" s="493">
        <v>31</v>
      </c>
      <c r="K126" s="493">
        <v>23</v>
      </c>
      <c r="L126" s="493">
        <v>29</v>
      </c>
      <c r="M126" s="493">
        <v>21</v>
      </c>
      <c r="N126" s="493">
        <v>21</v>
      </c>
      <c r="O126" s="493">
        <v>19</v>
      </c>
      <c r="P126" s="488"/>
      <c r="Q126" s="517">
        <v>125</v>
      </c>
      <c r="R126" s="544" t="s">
        <v>85</v>
      </c>
      <c r="S126" s="176">
        <f t="shared" si="59"/>
        <v>23</v>
      </c>
      <c r="T126" s="176">
        <f t="shared" si="60"/>
        <v>46</v>
      </c>
      <c r="U126" s="176">
        <f t="shared" si="61"/>
        <v>74</v>
      </c>
      <c r="V126" s="176">
        <f t="shared" si="62"/>
        <v>95</v>
      </c>
      <c r="W126" s="176">
        <f t="shared" si="63"/>
        <v>119</v>
      </c>
      <c r="X126" s="176">
        <f t="shared" si="64"/>
        <v>148</v>
      </c>
      <c r="Y126" s="176">
        <f t="shared" si="65"/>
        <v>179</v>
      </c>
      <c r="Z126" s="176">
        <f t="shared" si="66"/>
        <v>202</v>
      </c>
      <c r="AA126" s="176">
        <f t="shared" si="67"/>
        <v>231</v>
      </c>
      <c r="AB126" s="176">
        <f t="shared" si="68"/>
        <v>252</v>
      </c>
      <c r="AC126" s="176">
        <f t="shared" si="69"/>
        <v>273</v>
      </c>
      <c r="AD126" s="462">
        <f t="shared" si="70"/>
        <v>292</v>
      </c>
      <c r="AE126" s="469">
        <v>125</v>
      </c>
      <c r="AF126" s="492">
        <v>292.66666666666663</v>
      </c>
    </row>
    <row r="127" spans="1:32" x14ac:dyDescent="0.35">
      <c r="B127" s="485">
        <v>126</v>
      </c>
      <c r="C127" s="543" t="s">
        <v>50</v>
      </c>
      <c r="D127" s="487">
        <v>101</v>
      </c>
      <c r="E127" s="487">
        <v>90</v>
      </c>
      <c r="F127" s="487">
        <v>78</v>
      </c>
      <c r="G127" s="487">
        <v>78</v>
      </c>
      <c r="H127" s="487">
        <v>77</v>
      </c>
      <c r="I127" s="487">
        <v>94</v>
      </c>
      <c r="J127" s="487">
        <v>116</v>
      </c>
      <c r="K127" s="487">
        <v>98</v>
      </c>
      <c r="L127" s="487">
        <v>96</v>
      </c>
      <c r="M127" s="487">
        <v>89</v>
      </c>
      <c r="N127" s="487">
        <v>99</v>
      </c>
      <c r="O127" s="487">
        <v>78</v>
      </c>
      <c r="P127" s="488"/>
      <c r="Q127" s="517">
        <v>126</v>
      </c>
      <c r="R127" s="544" t="s">
        <v>50</v>
      </c>
      <c r="S127" s="176">
        <f t="shared" si="59"/>
        <v>101</v>
      </c>
      <c r="T127" s="176">
        <f t="shared" si="60"/>
        <v>191</v>
      </c>
      <c r="U127" s="176">
        <f t="shared" si="61"/>
        <v>269</v>
      </c>
      <c r="V127" s="176">
        <f t="shared" si="62"/>
        <v>347</v>
      </c>
      <c r="W127" s="176">
        <f t="shared" si="63"/>
        <v>424</v>
      </c>
      <c r="X127" s="176">
        <f t="shared" si="64"/>
        <v>518</v>
      </c>
      <c r="Y127" s="176">
        <f t="shared" si="65"/>
        <v>634</v>
      </c>
      <c r="Z127" s="176">
        <f t="shared" si="66"/>
        <v>732</v>
      </c>
      <c r="AA127" s="176">
        <f t="shared" si="67"/>
        <v>828</v>
      </c>
      <c r="AB127" s="176">
        <f t="shared" si="68"/>
        <v>917</v>
      </c>
      <c r="AC127" s="176">
        <f t="shared" si="69"/>
        <v>1016</v>
      </c>
      <c r="AD127" s="462">
        <f t="shared" si="70"/>
        <v>1094</v>
      </c>
      <c r="AE127" s="491">
        <v>126</v>
      </c>
      <c r="AF127" s="492">
        <v>1095</v>
      </c>
    </row>
    <row r="128" spans="1:32" x14ac:dyDescent="0.35">
      <c r="B128" s="485">
        <v>127</v>
      </c>
      <c r="C128" s="543" t="s">
        <v>348</v>
      </c>
      <c r="D128" s="487">
        <v>18</v>
      </c>
      <c r="E128" s="487">
        <v>22</v>
      </c>
      <c r="F128" s="487">
        <v>27</v>
      </c>
      <c r="G128" s="487">
        <v>26</v>
      </c>
      <c r="H128" s="487">
        <v>22</v>
      </c>
      <c r="I128" s="487">
        <v>20</v>
      </c>
      <c r="J128" s="487">
        <v>28</v>
      </c>
      <c r="K128" s="487">
        <v>23</v>
      </c>
      <c r="L128" s="487">
        <v>19</v>
      </c>
      <c r="M128" s="487">
        <v>19</v>
      </c>
      <c r="N128" s="487">
        <v>18</v>
      </c>
      <c r="O128" s="487">
        <v>23</v>
      </c>
      <c r="P128" s="488"/>
      <c r="Q128" s="517">
        <v>127</v>
      </c>
      <c r="R128" s="544" t="s">
        <v>348</v>
      </c>
      <c r="S128" s="176">
        <f t="shared" si="59"/>
        <v>18</v>
      </c>
      <c r="T128" s="176">
        <f t="shared" si="60"/>
        <v>40</v>
      </c>
      <c r="U128" s="176">
        <f t="shared" si="61"/>
        <v>67</v>
      </c>
      <c r="V128" s="176">
        <f t="shared" si="62"/>
        <v>93</v>
      </c>
      <c r="W128" s="176">
        <f t="shared" si="63"/>
        <v>115</v>
      </c>
      <c r="X128" s="176">
        <f t="shared" si="64"/>
        <v>135</v>
      </c>
      <c r="Y128" s="176">
        <f t="shared" si="65"/>
        <v>163</v>
      </c>
      <c r="Z128" s="176">
        <f t="shared" si="66"/>
        <v>186</v>
      </c>
      <c r="AA128" s="176">
        <f t="shared" si="67"/>
        <v>205</v>
      </c>
      <c r="AB128" s="176">
        <f t="shared" si="68"/>
        <v>224</v>
      </c>
      <c r="AC128" s="176">
        <f t="shared" si="69"/>
        <v>242</v>
      </c>
      <c r="AD128" s="462">
        <f t="shared" si="70"/>
        <v>265</v>
      </c>
      <c r="AE128" s="469">
        <v>127</v>
      </c>
      <c r="AF128" s="492">
        <v>265.33333333333337</v>
      </c>
    </row>
    <row r="129" spans="1:32" x14ac:dyDescent="0.35">
      <c r="B129" s="486">
        <v>128</v>
      </c>
      <c r="C129" s="545" t="s">
        <v>349</v>
      </c>
      <c r="D129" s="487">
        <v>277</v>
      </c>
      <c r="E129" s="487">
        <v>276</v>
      </c>
      <c r="F129" s="487">
        <v>287</v>
      </c>
      <c r="G129" s="487">
        <v>331</v>
      </c>
      <c r="H129" s="487">
        <v>307</v>
      </c>
      <c r="I129" s="487">
        <v>302</v>
      </c>
      <c r="J129" s="487">
        <v>288</v>
      </c>
      <c r="K129" s="487">
        <v>290</v>
      </c>
      <c r="L129" s="487">
        <v>301</v>
      </c>
      <c r="M129" s="487">
        <v>292</v>
      </c>
      <c r="N129" s="487">
        <v>271</v>
      </c>
      <c r="O129" s="487">
        <v>283</v>
      </c>
      <c r="P129" s="488"/>
      <c r="Q129" s="517">
        <v>128</v>
      </c>
      <c r="R129" s="546" t="s">
        <v>349</v>
      </c>
      <c r="S129" s="176">
        <f t="shared" si="59"/>
        <v>277</v>
      </c>
      <c r="T129" s="176">
        <f t="shared" si="60"/>
        <v>553</v>
      </c>
      <c r="U129" s="176">
        <f t="shared" si="61"/>
        <v>840</v>
      </c>
      <c r="V129" s="176">
        <f t="shared" si="62"/>
        <v>1171</v>
      </c>
      <c r="W129" s="176">
        <f t="shared" si="63"/>
        <v>1478</v>
      </c>
      <c r="X129" s="176">
        <f t="shared" si="64"/>
        <v>1780</v>
      </c>
      <c r="Y129" s="176">
        <f t="shared" si="65"/>
        <v>2068</v>
      </c>
      <c r="Z129" s="176">
        <f t="shared" si="66"/>
        <v>2358</v>
      </c>
      <c r="AA129" s="176">
        <f t="shared" si="67"/>
        <v>2659</v>
      </c>
      <c r="AB129" s="176">
        <f t="shared" si="68"/>
        <v>2951</v>
      </c>
      <c r="AC129" s="176">
        <f t="shared" si="69"/>
        <v>3222</v>
      </c>
      <c r="AD129" s="462">
        <f t="shared" si="70"/>
        <v>3505</v>
      </c>
      <c r="AE129" s="469">
        <v>128</v>
      </c>
      <c r="AF129" s="492">
        <v>3503.6666666666665</v>
      </c>
    </row>
    <row r="130" spans="1:32" x14ac:dyDescent="0.35">
      <c r="B130" s="485">
        <v>129</v>
      </c>
      <c r="C130" s="545" t="s">
        <v>352</v>
      </c>
      <c r="D130" s="487">
        <v>130</v>
      </c>
      <c r="E130" s="487">
        <v>145</v>
      </c>
      <c r="F130" s="487">
        <v>150</v>
      </c>
      <c r="G130" s="487">
        <v>151</v>
      </c>
      <c r="H130" s="487">
        <v>155</v>
      </c>
      <c r="I130" s="487">
        <v>139</v>
      </c>
      <c r="J130" s="487">
        <v>135</v>
      </c>
      <c r="K130" s="487">
        <v>110</v>
      </c>
      <c r="L130" s="487">
        <v>115</v>
      </c>
      <c r="M130" s="487">
        <v>129</v>
      </c>
      <c r="N130" s="487">
        <v>135</v>
      </c>
      <c r="O130" s="487">
        <v>124</v>
      </c>
      <c r="P130" s="488"/>
      <c r="Q130" s="517">
        <v>129</v>
      </c>
      <c r="R130" s="546" t="s">
        <v>352</v>
      </c>
      <c r="S130" s="176">
        <f t="shared" si="59"/>
        <v>130</v>
      </c>
      <c r="T130" s="176">
        <f t="shared" si="60"/>
        <v>275</v>
      </c>
      <c r="U130" s="176">
        <f t="shared" si="61"/>
        <v>425</v>
      </c>
      <c r="V130" s="176">
        <f t="shared" si="62"/>
        <v>576</v>
      </c>
      <c r="W130" s="176">
        <f t="shared" si="63"/>
        <v>731</v>
      </c>
      <c r="X130" s="176">
        <f t="shared" si="64"/>
        <v>870</v>
      </c>
      <c r="Y130" s="176">
        <f t="shared" si="65"/>
        <v>1005</v>
      </c>
      <c r="Z130" s="176">
        <f t="shared" si="66"/>
        <v>1115</v>
      </c>
      <c r="AA130" s="176">
        <f t="shared" si="67"/>
        <v>1230</v>
      </c>
      <c r="AB130" s="176">
        <f t="shared" si="68"/>
        <v>1359</v>
      </c>
      <c r="AC130" s="176">
        <f t="shared" si="69"/>
        <v>1494</v>
      </c>
      <c r="AD130" s="462">
        <f t="shared" si="70"/>
        <v>1618</v>
      </c>
      <c r="AE130" s="469">
        <v>129</v>
      </c>
      <c r="AF130" s="492">
        <v>1613.5</v>
      </c>
    </row>
    <row r="131" spans="1:32" x14ac:dyDescent="0.35">
      <c r="B131" s="485">
        <v>130</v>
      </c>
      <c r="C131" s="545" t="s">
        <v>350</v>
      </c>
      <c r="D131" s="487">
        <v>3</v>
      </c>
      <c r="E131" s="487">
        <v>3</v>
      </c>
      <c r="F131" s="487">
        <v>2</v>
      </c>
      <c r="G131" s="487">
        <v>3</v>
      </c>
      <c r="H131" s="487">
        <v>2</v>
      </c>
      <c r="I131" s="487">
        <v>3</v>
      </c>
      <c r="J131" s="487">
        <v>2</v>
      </c>
      <c r="K131" s="487">
        <v>1</v>
      </c>
      <c r="L131" s="487">
        <v>6</v>
      </c>
      <c r="M131" s="487">
        <v>1</v>
      </c>
      <c r="N131" s="487">
        <v>1</v>
      </c>
      <c r="O131" s="487">
        <v>3</v>
      </c>
      <c r="P131" s="488"/>
      <c r="Q131" s="517">
        <v>130</v>
      </c>
      <c r="R131" s="546" t="s">
        <v>350</v>
      </c>
      <c r="S131" s="176">
        <f t="shared" si="59"/>
        <v>3</v>
      </c>
      <c r="T131" s="176">
        <f t="shared" si="60"/>
        <v>6</v>
      </c>
      <c r="U131" s="176">
        <f t="shared" si="61"/>
        <v>8</v>
      </c>
      <c r="V131" s="176">
        <f t="shared" si="62"/>
        <v>11</v>
      </c>
      <c r="W131" s="176">
        <f t="shared" si="63"/>
        <v>13</v>
      </c>
      <c r="X131" s="176">
        <f t="shared" si="64"/>
        <v>16</v>
      </c>
      <c r="Y131" s="176">
        <f t="shared" si="65"/>
        <v>18</v>
      </c>
      <c r="Z131" s="176">
        <f t="shared" si="66"/>
        <v>19</v>
      </c>
      <c r="AA131" s="176">
        <f t="shared" si="67"/>
        <v>25</v>
      </c>
      <c r="AB131" s="176">
        <f t="shared" si="68"/>
        <v>26</v>
      </c>
      <c r="AC131" s="176">
        <f t="shared" si="69"/>
        <v>27</v>
      </c>
      <c r="AD131" s="462">
        <f t="shared" si="70"/>
        <v>30</v>
      </c>
      <c r="AE131" s="469">
        <v>130</v>
      </c>
      <c r="AF131" s="492">
        <v>30.166666666666671</v>
      </c>
    </row>
    <row r="132" spans="1:32" x14ac:dyDescent="0.35">
      <c r="B132" s="485">
        <v>131</v>
      </c>
      <c r="C132" s="543" t="s">
        <v>52</v>
      </c>
      <c r="D132" s="487">
        <v>114</v>
      </c>
      <c r="E132" s="487">
        <v>112</v>
      </c>
      <c r="F132" s="487">
        <v>104</v>
      </c>
      <c r="G132" s="487">
        <v>104</v>
      </c>
      <c r="H132" s="487">
        <v>125</v>
      </c>
      <c r="I132" s="487">
        <v>120</v>
      </c>
      <c r="J132" s="487">
        <v>129</v>
      </c>
      <c r="K132" s="487">
        <v>112</v>
      </c>
      <c r="L132" s="487">
        <v>123</v>
      </c>
      <c r="M132" s="487">
        <v>112</v>
      </c>
      <c r="N132" s="487">
        <v>103</v>
      </c>
      <c r="O132" s="487">
        <v>102</v>
      </c>
      <c r="P132" s="488"/>
      <c r="Q132" s="517">
        <v>131</v>
      </c>
      <c r="R132" s="544" t="s">
        <v>52</v>
      </c>
      <c r="S132" s="176">
        <f t="shared" si="59"/>
        <v>114</v>
      </c>
      <c r="T132" s="176">
        <f t="shared" si="60"/>
        <v>226</v>
      </c>
      <c r="U132" s="176">
        <f t="shared" si="61"/>
        <v>330</v>
      </c>
      <c r="V132" s="176">
        <f t="shared" si="62"/>
        <v>434</v>
      </c>
      <c r="W132" s="176">
        <f t="shared" si="63"/>
        <v>559</v>
      </c>
      <c r="X132" s="176">
        <f t="shared" si="64"/>
        <v>679</v>
      </c>
      <c r="Y132" s="176">
        <f t="shared" si="65"/>
        <v>808</v>
      </c>
      <c r="Z132" s="176">
        <f t="shared" si="66"/>
        <v>920</v>
      </c>
      <c r="AA132" s="176">
        <f t="shared" si="67"/>
        <v>1043</v>
      </c>
      <c r="AB132" s="176">
        <f t="shared" si="68"/>
        <v>1155</v>
      </c>
      <c r="AC132" s="176">
        <f t="shared" si="69"/>
        <v>1258</v>
      </c>
      <c r="AD132" s="462">
        <f t="shared" si="70"/>
        <v>1360</v>
      </c>
      <c r="AE132" s="491">
        <v>131</v>
      </c>
      <c r="AF132" s="492">
        <v>1359.6666666666665</v>
      </c>
    </row>
    <row r="133" spans="1:32" x14ac:dyDescent="0.35">
      <c r="B133" s="485">
        <v>132</v>
      </c>
      <c r="C133" s="543" t="s">
        <v>81</v>
      </c>
      <c r="D133" s="487">
        <v>39</v>
      </c>
      <c r="E133" s="487">
        <v>34</v>
      </c>
      <c r="F133" s="487">
        <v>19</v>
      </c>
      <c r="G133" s="487">
        <v>31</v>
      </c>
      <c r="H133" s="487">
        <v>36</v>
      </c>
      <c r="I133" s="487">
        <v>29</v>
      </c>
      <c r="J133" s="487">
        <v>38</v>
      </c>
      <c r="K133" s="487">
        <v>34</v>
      </c>
      <c r="L133" s="487">
        <v>36</v>
      </c>
      <c r="M133" s="487">
        <v>29</v>
      </c>
      <c r="N133" s="487">
        <v>23</v>
      </c>
      <c r="O133" s="487">
        <v>26</v>
      </c>
      <c r="P133" s="488"/>
      <c r="Q133" s="517">
        <v>132</v>
      </c>
      <c r="R133" s="544" t="s">
        <v>81</v>
      </c>
      <c r="S133" s="176">
        <f t="shared" si="59"/>
        <v>39</v>
      </c>
      <c r="T133" s="176">
        <f t="shared" si="60"/>
        <v>73</v>
      </c>
      <c r="U133" s="176">
        <f t="shared" si="61"/>
        <v>92</v>
      </c>
      <c r="V133" s="176">
        <f t="shared" si="62"/>
        <v>123</v>
      </c>
      <c r="W133" s="176">
        <f t="shared" si="63"/>
        <v>159</v>
      </c>
      <c r="X133" s="176">
        <f t="shared" si="64"/>
        <v>188</v>
      </c>
      <c r="Y133" s="176">
        <f t="shared" si="65"/>
        <v>226</v>
      </c>
      <c r="Z133" s="176">
        <f t="shared" si="66"/>
        <v>260</v>
      </c>
      <c r="AA133" s="176">
        <f t="shared" si="67"/>
        <v>296</v>
      </c>
      <c r="AB133" s="176">
        <f t="shared" si="68"/>
        <v>325</v>
      </c>
      <c r="AC133" s="176">
        <f t="shared" si="69"/>
        <v>348</v>
      </c>
      <c r="AD133" s="462">
        <f t="shared" si="70"/>
        <v>374</v>
      </c>
      <c r="AE133" s="469">
        <v>132</v>
      </c>
      <c r="AF133" s="492">
        <v>373.00000000000006</v>
      </c>
    </row>
    <row r="134" spans="1:32" x14ac:dyDescent="0.35">
      <c r="A134" s="227" t="s">
        <v>128</v>
      </c>
      <c r="B134" s="486">
        <v>133</v>
      </c>
      <c r="C134" s="543" t="s">
        <v>75</v>
      </c>
      <c r="D134" s="497">
        <v>134</v>
      </c>
      <c r="E134" s="497">
        <v>115</v>
      </c>
      <c r="F134" s="497">
        <v>94</v>
      </c>
      <c r="G134" s="497">
        <v>106</v>
      </c>
      <c r="H134" s="497">
        <v>115</v>
      </c>
      <c r="I134" s="497">
        <v>121</v>
      </c>
      <c r="J134" s="497">
        <v>136</v>
      </c>
      <c r="K134" s="497">
        <v>122</v>
      </c>
      <c r="L134" s="497">
        <v>127</v>
      </c>
      <c r="M134" s="497">
        <v>106</v>
      </c>
      <c r="N134" s="497">
        <v>106</v>
      </c>
      <c r="O134" s="497">
        <v>100</v>
      </c>
      <c r="P134" s="488"/>
      <c r="Q134" s="517">
        <v>133</v>
      </c>
      <c r="R134" s="544" t="s">
        <v>75</v>
      </c>
      <c r="S134" s="176">
        <f t="shared" si="59"/>
        <v>134</v>
      </c>
      <c r="T134" s="176">
        <f t="shared" si="60"/>
        <v>249</v>
      </c>
      <c r="U134" s="176">
        <f t="shared" si="61"/>
        <v>343</v>
      </c>
      <c r="V134" s="176">
        <f t="shared" si="62"/>
        <v>449</v>
      </c>
      <c r="W134" s="176">
        <f t="shared" si="63"/>
        <v>564</v>
      </c>
      <c r="X134" s="176">
        <f t="shared" si="64"/>
        <v>685</v>
      </c>
      <c r="Y134" s="176">
        <f t="shared" si="65"/>
        <v>821</v>
      </c>
      <c r="Z134" s="176">
        <f t="shared" si="66"/>
        <v>943</v>
      </c>
      <c r="AA134" s="176">
        <f t="shared" si="67"/>
        <v>1070</v>
      </c>
      <c r="AB134" s="176">
        <f t="shared" si="68"/>
        <v>1176</v>
      </c>
      <c r="AC134" s="176">
        <f t="shared" si="69"/>
        <v>1282</v>
      </c>
      <c r="AD134" s="462">
        <f t="shared" si="70"/>
        <v>1382</v>
      </c>
      <c r="AE134" s="469">
        <v>133</v>
      </c>
      <c r="AF134" s="492">
        <v>1380.5</v>
      </c>
    </row>
    <row r="135" spans="1:32" x14ac:dyDescent="0.35">
      <c r="B135" s="485">
        <v>134</v>
      </c>
      <c r="C135" s="543" t="s">
        <v>76</v>
      </c>
      <c r="D135" s="494">
        <v>454</v>
      </c>
      <c r="E135" s="494">
        <v>443</v>
      </c>
      <c r="F135" s="494">
        <v>390</v>
      </c>
      <c r="G135" s="494">
        <v>440</v>
      </c>
      <c r="H135" s="494">
        <v>438</v>
      </c>
      <c r="I135" s="494">
        <v>368</v>
      </c>
      <c r="J135" s="494">
        <v>281</v>
      </c>
      <c r="K135" s="494">
        <v>256</v>
      </c>
      <c r="L135" s="494">
        <v>227</v>
      </c>
      <c r="M135" s="494">
        <v>274</v>
      </c>
      <c r="N135" s="494">
        <v>251</v>
      </c>
      <c r="O135" s="494">
        <v>295</v>
      </c>
      <c r="P135" s="488"/>
      <c r="Q135" s="517">
        <v>134</v>
      </c>
      <c r="R135" s="544" t="s">
        <v>76</v>
      </c>
      <c r="S135" s="176">
        <f t="shared" si="59"/>
        <v>454</v>
      </c>
      <c r="T135" s="176">
        <f t="shared" si="60"/>
        <v>897</v>
      </c>
      <c r="U135" s="176">
        <f t="shared" si="61"/>
        <v>1287</v>
      </c>
      <c r="V135" s="176">
        <f t="shared" si="62"/>
        <v>1727</v>
      </c>
      <c r="W135" s="176">
        <f t="shared" si="63"/>
        <v>2165</v>
      </c>
      <c r="X135" s="176">
        <f t="shared" si="64"/>
        <v>2533</v>
      </c>
      <c r="Y135" s="176">
        <f t="shared" si="65"/>
        <v>2814</v>
      </c>
      <c r="Z135" s="176">
        <f t="shared" si="66"/>
        <v>3070</v>
      </c>
      <c r="AA135" s="176">
        <f t="shared" si="67"/>
        <v>3297</v>
      </c>
      <c r="AB135" s="176">
        <f t="shared" si="68"/>
        <v>3571</v>
      </c>
      <c r="AC135" s="176">
        <f t="shared" si="69"/>
        <v>3822</v>
      </c>
      <c r="AD135" s="462">
        <f t="shared" si="70"/>
        <v>4117</v>
      </c>
      <c r="AE135" s="491">
        <v>134</v>
      </c>
      <c r="AF135" s="492">
        <v>4117.666666666667</v>
      </c>
    </row>
    <row r="136" spans="1:32" x14ac:dyDescent="0.35">
      <c r="B136" s="485">
        <v>135</v>
      </c>
      <c r="C136" s="543" t="s">
        <v>86</v>
      </c>
      <c r="D136" s="494">
        <v>78</v>
      </c>
      <c r="E136" s="494">
        <v>64</v>
      </c>
      <c r="F136" s="494">
        <v>61</v>
      </c>
      <c r="G136" s="494">
        <v>72</v>
      </c>
      <c r="H136" s="494">
        <v>65</v>
      </c>
      <c r="I136" s="494">
        <v>64</v>
      </c>
      <c r="J136" s="494">
        <v>44</v>
      </c>
      <c r="K136" s="494">
        <v>40</v>
      </c>
      <c r="L136" s="494">
        <v>30</v>
      </c>
      <c r="M136" s="494">
        <v>44</v>
      </c>
      <c r="N136" s="494">
        <v>42</v>
      </c>
      <c r="O136" s="494">
        <v>52</v>
      </c>
      <c r="P136" s="488"/>
      <c r="Q136" s="517">
        <v>135</v>
      </c>
      <c r="R136" s="544" t="s">
        <v>86</v>
      </c>
      <c r="S136" s="176">
        <f t="shared" si="59"/>
        <v>78</v>
      </c>
      <c r="T136" s="176">
        <f t="shared" si="60"/>
        <v>142</v>
      </c>
      <c r="U136" s="176">
        <f t="shared" si="61"/>
        <v>203</v>
      </c>
      <c r="V136" s="176">
        <f t="shared" si="62"/>
        <v>275</v>
      </c>
      <c r="W136" s="176">
        <f t="shared" si="63"/>
        <v>340</v>
      </c>
      <c r="X136" s="176">
        <f t="shared" si="64"/>
        <v>404</v>
      </c>
      <c r="Y136" s="176">
        <f t="shared" si="65"/>
        <v>448</v>
      </c>
      <c r="Z136" s="176">
        <f t="shared" si="66"/>
        <v>488</v>
      </c>
      <c r="AA136" s="176">
        <f t="shared" si="67"/>
        <v>518</v>
      </c>
      <c r="AB136" s="176">
        <f t="shared" si="68"/>
        <v>562</v>
      </c>
      <c r="AC136" s="176">
        <f t="shared" si="69"/>
        <v>604</v>
      </c>
      <c r="AD136" s="462">
        <f t="shared" si="70"/>
        <v>656</v>
      </c>
      <c r="AE136" s="469">
        <v>135</v>
      </c>
      <c r="AF136" s="492">
        <v>654.66666666666663</v>
      </c>
    </row>
    <row r="137" spans="1:32" x14ac:dyDescent="0.35">
      <c r="B137" s="485">
        <v>136</v>
      </c>
      <c r="C137" s="543" t="s">
        <v>88</v>
      </c>
      <c r="D137" s="494">
        <v>272</v>
      </c>
      <c r="E137" s="494">
        <v>302</v>
      </c>
      <c r="F137" s="494">
        <v>287</v>
      </c>
      <c r="G137" s="494">
        <v>320</v>
      </c>
      <c r="H137" s="494">
        <v>330</v>
      </c>
      <c r="I137" s="494">
        <v>266</v>
      </c>
      <c r="J137" s="494">
        <v>208</v>
      </c>
      <c r="K137" s="494">
        <v>181</v>
      </c>
      <c r="L137" s="494">
        <v>167</v>
      </c>
      <c r="M137" s="494">
        <v>190</v>
      </c>
      <c r="N137" s="494">
        <v>179</v>
      </c>
      <c r="O137" s="494">
        <v>199</v>
      </c>
      <c r="P137" s="488"/>
      <c r="Q137" s="517">
        <v>136</v>
      </c>
      <c r="R137" s="544" t="s">
        <v>88</v>
      </c>
      <c r="S137" s="176">
        <f t="shared" si="59"/>
        <v>272</v>
      </c>
      <c r="T137" s="176">
        <f t="shared" si="60"/>
        <v>574</v>
      </c>
      <c r="U137" s="176">
        <f t="shared" si="61"/>
        <v>861</v>
      </c>
      <c r="V137" s="176">
        <f t="shared" si="62"/>
        <v>1181</v>
      </c>
      <c r="W137" s="176">
        <f t="shared" si="63"/>
        <v>1511</v>
      </c>
      <c r="X137" s="176">
        <f t="shared" si="64"/>
        <v>1777</v>
      </c>
      <c r="Y137" s="176">
        <f t="shared" si="65"/>
        <v>1985</v>
      </c>
      <c r="Z137" s="176">
        <f t="shared" si="66"/>
        <v>2166</v>
      </c>
      <c r="AA137" s="176">
        <f t="shared" si="67"/>
        <v>2333</v>
      </c>
      <c r="AB137" s="176">
        <f t="shared" si="68"/>
        <v>2523</v>
      </c>
      <c r="AC137" s="176">
        <f t="shared" si="69"/>
        <v>2702</v>
      </c>
      <c r="AD137" s="462">
        <f t="shared" si="70"/>
        <v>2901</v>
      </c>
      <c r="AE137" s="469">
        <v>136</v>
      </c>
      <c r="AF137" s="492">
        <v>2902</v>
      </c>
    </row>
    <row r="138" spans="1:32" x14ac:dyDescent="0.35">
      <c r="B138" s="485">
        <v>137</v>
      </c>
      <c r="C138" s="543" t="s">
        <v>87</v>
      </c>
      <c r="D138" s="494">
        <v>104</v>
      </c>
      <c r="E138" s="494">
        <v>77</v>
      </c>
      <c r="F138" s="494">
        <v>42</v>
      </c>
      <c r="G138" s="494">
        <v>48</v>
      </c>
      <c r="H138" s="494">
        <v>43</v>
      </c>
      <c r="I138" s="494">
        <v>37</v>
      </c>
      <c r="J138" s="494">
        <v>29</v>
      </c>
      <c r="K138" s="494">
        <v>35</v>
      </c>
      <c r="L138" s="494">
        <v>30</v>
      </c>
      <c r="M138" s="494">
        <v>40</v>
      </c>
      <c r="N138" s="494">
        <v>31</v>
      </c>
      <c r="O138" s="494">
        <v>44</v>
      </c>
      <c r="P138" s="488"/>
      <c r="Q138" s="517">
        <v>137</v>
      </c>
      <c r="R138" s="544" t="s">
        <v>87</v>
      </c>
      <c r="S138" s="176">
        <f t="shared" si="59"/>
        <v>104</v>
      </c>
      <c r="T138" s="176">
        <f t="shared" si="60"/>
        <v>181</v>
      </c>
      <c r="U138" s="176">
        <f t="shared" si="61"/>
        <v>223</v>
      </c>
      <c r="V138" s="176">
        <f t="shared" si="62"/>
        <v>271</v>
      </c>
      <c r="W138" s="176">
        <f t="shared" si="63"/>
        <v>314</v>
      </c>
      <c r="X138" s="176">
        <f t="shared" si="64"/>
        <v>351</v>
      </c>
      <c r="Y138" s="176">
        <f t="shared" si="65"/>
        <v>380</v>
      </c>
      <c r="Z138" s="176">
        <f t="shared" si="66"/>
        <v>415</v>
      </c>
      <c r="AA138" s="176">
        <f t="shared" si="67"/>
        <v>445</v>
      </c>
      <c r="AB138" s="176">
        <f t="shared" si="68"/>
        <v>485</v>
      </c>
      <c r="AC138" s="176">
        <f t="shared" si="69"/>
        <v>516</v>
      </c>
      <c r="AD138" s="462">
        <f t="shared" si="70"/>
        <v>560</v>
      </c>
      <c r="AE138" s="469">
        <v>137</v>
      </c>
      <c r="AF138" s="492">
        <v>560.99999999999989</v>
      </c>
    </row>
    <row r="139" spans="1:32" x14ac:dyDescent="0.35">
      <c r="B139" s="486">
        <v>138</v>
      </c>
      <c r="C139" s="543" t="s">
        <v>90</v>
      </c>
      <c r="D139" s="498">
        <v>12</v>
      </c>
      <c r="E139" s="498">
        <v>8</v>
      </c>
      <c r="F139" s="498">
        <v>7</v>
      </c>
      <c r="G139" s="498">
        <v>16</v>
      </c>
      <c r="H139" s="498">
        <v>12</v>
      </c>
      <c r="I139" s="498">
        <v>14</v>
      </c>
      <c r="J139" s="498">
        <v>9</v>
      </c>
      <c r="K139" s="498">
        <v>10</v>
      </c>
      <c r="L139" s="498">
        <v>3</v>
      </c>
      <c r="M139" s="498">
        <v>4</v>
      </c>
      <c r="N139" s="498">
        <v>7</v>
      </c>
      <c r="O139" s="498">
        <v>10</v>
      </c>
      <c r="P139" s="488"/>
      <c r="Q139" s="517">
        <v>138</v>
      </c>
      <c r="R139" s="544" t="s">
        <v>90</v>
      </c>
      <c r="S139" s="176">
        <f t="shared" si="59"/>
        <v>12</v>
      </c>
      <c r="T139" s="176">
        <f t="shared" si="60"/>
        <v>20</v>
      </c>
      <c r="U139" s="176">
        <f t="shared" si="61"/>
        <v>27</v>
      </c>
      <c r="V139" s="176">
        <f t="shared" si="62"/>
        <v>43</v>
      </c>
      <c r="W139" s="176">
        <f t="shared" si="63"/>
        <v>55</v>
      </c>
      <c r="X139" s="176">
        <f t="shared" si="64"/>
        <v>69</v>
      </c>
      <c r="Y139" s="176">
        <f t="shared" si="65"/>
        <v>78</v>
      </c>
      <c r="Z139" s="176">
        <f t="shared" si="66"/>
        <v>88</v>
      </c>
      <c r="AA139" s="176">
        <f t="shared" si="67"/>
        <v>91</v>
      </c>
      <c r="AB139" s="176">
        <f t="shared" si="68"/>
        <v>95</v>
      </c>
      <c r="AC139" s="176">
        <f t="shared" si="69"/>
        <v>102</v>
      </c>
      <c r="AD139" s="462">
        <f t="shared" si="70"/>
        <v>112</v>
      </c>
      <c r="AE139" s="469">
        <v>138</v>
      </c>
      <c r="AF139" s="492">
        <v>111.66666666666669</v>
      </c>
    </row>
    <row r="140" spans="1:32" x14ac:dyDescent="0.35">
      <c r="A140" s="227" t="s">
        <v>128</v>
      </c>
      <c r="B140" s="485">
        <v>139</v>
      </c>
      <c r="C140" s="543" t="s">
        <v>89</v>
      </c>
      <c r="D140" s="494">
        <v>4</v>
      </c>
      <c r="E140" s="494">
        <v>3</v>
      </c>
      <c r="F140" s="494">
        <v>3</v>
      </c>
      <c r="G140" s="494">
        <v>5</v>
      </c>
      <c r="H140" s="494">
        <v>6</v>
      </c>
      <c r="I140" s="494">
        <v>5</v>
      </c>
      <c r="J140" s="494">
        <v>6</v>
      </c>
      <c r="K140" s="494">
        <v>4</v>
      </c>
      <c r="L140" s="494">
        <v>2</v>
      </c>
      <c r="M140" s="494">
        <v>3</v>
      </c>
      <c r="N140" s="494">
        <v>3</v>
      </c>
      <c r="O140" s="494">
        <v>3</v>
      </c>
      <c r="P140" s="488"/>
      <c r="Q140" s="517">
        <v>139</v>
      </c>
      <c r="R140" s="544" t="s">
        <v>89</v>
      </c>
      <c r="S140" s="176">
        <f t="shared" si="59"/>
        <v>4</v>
      </c>
      <c r="T140" s="176">
        <f t="shared" si="60"/>
        <v>7</v>
      </c>
      <c r="U140" s="176">
        <f t="shared" si="61"/>
        <v>10</v>
      </c>
      <c r="V140" s="176">
        <f t="shared" si="62"/>
        <v>15</v>
      </c>
      <c r="W140" s="176">
        <f t="shared" si="63"/>
        <v>21</v>
      </c>
      <c r="X140" s="176">
        <f t="shared" si="64"/>
        <v>26</v>
      </c>
      <c r="Y140" s="176">
        <f t="shared" si="65"/>
        <v>32</v>
      </c>
      <c r="Z140" s="176">
        <f t="shared" si="66"/>
        <v>36</v>
      </c>
      <c r="AA140" s="176">
        <f t="shared" si="67"/>
        <v>38</v>
      </c>
      <c r="AB140" s="176">
        <f t="shared" si="68"/>
        <v>41</v>
      </c>
      <c r="AC140" s="176">
        <f t="shared" si="69"/>
        <v>44</v>
      </c>
      <c r="AD140" s="462">
        <f t="shared" si="70"/>
        <v>47</v>
      </c>
      <c r="AE140" s="491">
        <v>139</v>
      </c>
      <c r="AF140" s="492">
        <v>45.333333333333336</v>
      </c>
    </row>
    <row r="141" spans="1:32" x14ac:dyDescent="0.35">
      <c r="B141" s="485">
        <v>140</v>
      </c>
      <c r="C141" s="543" t="s">
        <v>66</v>
      </c>
      <c r="D141" s="494">
        <v>0</v>
      </c>
      <c r="E141" s="494">
        <v>0</v>
      </c>
      <c r="F141" s="494">
        <v>0</v>
      </c>
      <c r="G141" s="494">
        <v>0</v>
      </c>
      <c r="H141" s="494">
        <v>0</v>
      </c>
      <c r="I141" s="494">
        <v>0</v>
      </c>
      <c r="J141" s="494">
        <v>0</v>
      </c>
      <c r="K141" s="494">
        <v>0</v>
      </c>
      <c r="L141" s="494">
        <v>0</v>
      </c>
      <c r="M141" s="494">
        <v>0</v>
      </c>
      <c r="N141" s="494">
        <v>0</v>
      </c>
      <c r="O141" s="494">
        <v>0</v>
      </c>
      <c r="P141" s="488"/>
      <c r="Q141" s="517">
        <v>140</v>
      </c>
      <c r="R141" s="544" t="s">
        <v>66</v>
      </c>
      <c r="S141" s="176">
        <f t="shared" si="59"/>
        <v>0</v>
      </c>
      <c r="T141" s="176">
        <f t="shared" si="60"/>
        <v>0</v>
      </c>
      <c r="U141" s="176">
        <f t="shared" si="61"/>
        <v>0</v>
      </c>
      <c r="V141" s="176">
        <f t="shared" si="62"/>
        <v>0</v>
      </c>
      <c r="W141" s="176">
        <f t="shared" si="63"/>
        <v>0</v>
      </c>
      <c r="X141" s="176">
        <f t="shared" si="64"/>
        <v>0</v>
      </c>
      <c r="Y141" s="176">
        <f t="shared" si="65"/>
        <v>0</v>
      </c>
      <c r="Z141" s="176">
        <f t="shared" si="66"/>
        <v>0</v>
      </c>
      <c r="AA141" s="176">
        <f t="shared" si="67"/>
        <v>0</v>
      </c>
      <c r="AB141" s="176">
        <f t="shared" si="68"/>
        <v>0</v>
      </c>
      <c r="AC141" s="176">
        <f t="shared" si="69"/>
        <v>0</v>
      </c>
      <c r="AD141" s="462">
        <f t="shared" si="70"/>
        <v>0</v>
      </c>
      <c r="AE141" s="469">
        <v>140</v>
      </c>
      <c r="AF141" s="492">
        <v>1.9999999999999998</v>
      </c>
    </row>
    <row r="142" spans="1:32" x14ac:dyDescent="0.35">
      <c r="B142" s="485">
        <v>141</v>
      </c>
      <c r="C142" s="543" t="s">
        <v>67</v>
      </c>
      <c r="D142" s="494">
        <v>3</v>
      </c>
      <c r="E142" s="494">
        <v>3</v>
      </c>
      <c r="F142" s="494">
        <v>3</v>
      </c>
      <c r="G142" s="494">
        <v>5</v>
      </c>
      <c r="H142" s="494">
        <v>5</v>
      </c>
      <c r="I142" s="494">
        <v>4</v>
      </c>
      <c r="J142" s="494">
        <v>6</v>
      </c>
      <c r="K142" s="494">
        <v>3</v>
      </c>
      <c r="L142" s="494">
        <v>2</v>
      </c>
      <c r="M142" s="494">
        <v>5</v>
      </c>
      <c r="N142" s="494">
        <v>3</v>
      </c>
      <c r="O142" s="494">
        <v>3</v>
      </c>
      <c r="P142" s="488"/>
      <c r="Q142" s="517">
        <v>141</v>
      </c>
      <c r="R142" s="544" t="s">
        <v>67</v>
      </c>
      <c r="S142" s="176">
        <f t="shared" si="59"/>
        <v>3</v>
      </c>
      <c r="T142" s="176">
        <f t="shared" si="60"/>
        <v>6</v>
      </c>
      <c r="U142" s="176">
        <f t="shared" si="61"/>
        <v>9</v>
      </c>
      <c r="V142" s="176">
        <f t="shared" si="62"/>
        <v>14</v>
      </c>
      <c r="W142" s="176">
        <f t="shared" si="63"/>
        <v>19</v>
      </c>
      <c r="X142" s="176">
        <f t="shared" si="64"/>
        <v>23</v>
      </c>
      <c r="Y142" s="176">
        <f t="shared" si="65"/>
        <v>29</v>
      </c>
      <c r="Z142" s="176">
        <f t="shared" si="66"/>
        <v>32</v>
      </c>
      <c r="AA142" s="176">
        <f t="shared" si="67"/>
        <v>34</v>
      </c>
      <c r="AB142" s="176">
        <f t="shared" si="68"/>
        <v>39</v>
      </c>
      <c r="AC142" s="176">
        <f t="shared" si="69"/>
        <v>42</v>
      </c>
      <c r="AD142" s="462">
        <f t="shared" si="70"/>
        <v>45</v>
      </c>
      <c r="AE142" s="469">
        <v>141</v>
      </c>
      <c r="AF142" s="492">
        <v>44.999999999999993</v>
      </c>
    </row>
    <row r="143" spans="1:32" ht="23" x14ac:dyDescent="0.5">
      <c r="B143" s="485">
        <v>142</v>
      </c>
      <c r="C143" s="547" t="s">
        <v>59</v>
      </c>
      <c r="D143" s="487"/>
      <c r="E143" s="487"/>
      <c r="F143" s="487"/>
      <c r="G143" s="487"/>
      <c r="H143" s="487"/>
      <c r="I143" s="487"/>
      <c r="J143" s="487"/>
      <c r="K143" s="487"/>
      <c r="L143" s="487"/>
      <c r="M143" s="487"/>
      <c r="N143" s="487"/>
      <c r="O143" s="487"/>
      <c r="P143" s="488"/>
      <c r="Q143" s="517">
        <v>142</v>
      </c>
      <c r="R143" s="547" t="s">
        <v>59</v>
      </c>
      <c r="S143" s="489"/>
      <c r="T143" s="489"/>
      <c r="U143" s="489"/>
      <c r="V143" s="489"/>
      <c r="W143" s="489"/>
      <c r="X143" s="489"/>
      <c r="Y143" s="489"/>
      <c r="Z143" s="489"/>
      <c r="AA143" s="489"/>
      <c r="AB143" s="489"/>
      <c r="AC143" s="489"/>
      <c r="AD143" s="490"/>
      <c r="AE143" s="491">
        <v>142</v>
      </c>
      <c r="AF143" s="492"/>
    </row>
    <row r="144" spans="1:32" x14ac:dyDescent="0.35">
      <c r="B144" s="486">
        <v>143</v>
      </c>
      <c r="C144" s="548" t="s">
        <v>56</v>
      </c>
      <c r="D144" s="432" t="s">
        <v>386</v>
      </c>
      <c r="E144" s="432" t="s">
        <v>387</v>
      </c>
      <c r="F144" s="432" t="s">
        <v>388</v>
      </c>
      <c r="G144" s="432" t="s">
        <v>389</v>
      </c>
      <c r="H144" s="432" t="s">
        <v>390</v>
      </c>
      <c r="I144" s="432" t="s">
        <v>391</v>
      </c>
      <c r="J144" s="432" t="s">
        <v>392</v>
      </c>
      <c r="K144" s="432" t="s">
        <v>393</v>
      </c>
      <c r="L144" s="432" t="s">
        <v>394</v>
      </c>
      <c r="M144" s="432" t="s">
        <v>395</v>
      </c>
      <c r="N144" s="432" t="s">
        <v>396</v>
      </c>
      <c r="O144" s="460" t="s">
        <v>397</v>
      </c>
      <c r="P144" s="488"/>
      <c r="Q144" s="517">
        <v>143</v>
      </c>
      <c r="R144" s="549" t="s">
        <v>56</v>
      </c>
      <c r="S144" s="501" t="s">
        <v>19</v>
      </c>
      <c r="T144" s="501" t="s">
        <v>20</v>
      </c>
      <c r="U144" s="501" t="s">
        <v>21</v>
      </c>
      <c r="V144" s="501" t="s">
        <v>22</v>
      </c>
      <c r="W144" s="501" t="s">
        <v>23</v>
      </c>
      <c r="X144" s="501" t="s">
        <v>24</v>
      </c>
      <c r="Y144" s="501" t="s">
        <v>25</v>
      </c>
      <c r="Z144" s="501" t="s">
        <v>26</v>
      </c>
      <c r="AA144" s="501" t="s">
        <v>27</v>
      </c>
      <c r="AB144" s="501" t="s">
        <v>28</v>
      </c>
      <c r="AC144" s="501" t="s">
        <v>29</v>
      </c>
      <c r="AD144" s="502" t="s">
        <v>30</v>
      </c>
      <c r="AE144" s="469">
        <v>143</v>
      </c>
      <c r="AF144" s="492">
        <v>0</v>
      </c>
    </row>
    <row r="145" spans="1:32" ht="16.5" customHeight="1" x14ac:dyDescent="0.35">
      <c r="B145" s="485">
        <v>144</v>
      </c>
      <c r="C145" s="548" t="s">
        <v>33</v>
      </c>
      <c r="D145" s="487">
        <v>569</v>
      </c>
      <c r="E145" s="487">
        <v>642</v>
      </c>
      <c r="F145" s="487">
        <v>622</v>
      </c>
      <c r="G145" s="487">
        <v>699</v>
      </c>
      <c r="H145" s="487">
        <v>663</v>
      </c>
      <c r="I145" s="487">
        <v>610</v>
      </c>
      <c r="J145" s="487">
        <v>695</v>
      </c>
      <c r="K145" s="487">
        <v>624</v>
      </c>
      <c r="L145" s="487">
        <v>622</v>
      </c>
      <c r="M145" s="487">
        <v>597</v>
      </c>
      <c r="N145" s="487">
        <v>570</v>
      </c>
      <c r="O145" s="487">
        <v>626</v>
      </c>
      <c r="P145" s="488"/>
      <c r="Q145" s="517">
        <v>144</v>
      </c>
      <c r="R145" s="549" t="s">
        <v>33</v>
      </c>
      <c r="S145" s="176">
        <f t="shared" ref="S145" si="71">D145</f>
        <v>569</v>
      </c>
      <c r="T145" s="176">
        <f t="shared" ref="T145" si="72">S145+E145</f>
        <v>1211</v>
      </c>
      <c r="U145" s="176">
        <f t="shared" ref="U145" si="73">T145+F145</f>
        <v>1833</v>
      </c>
      <c r="V145" s="176">
        <f t="shared" ref="V145" si="74">U145+G145</f>
        <v>2532</v>
      </c>
      <c r="W145" s="176">
        <f t="shared" ref="W145" si="75">V145+H145</f>
        <v>3195</v>
      </c>
      <c r="X145" s="176">
        <f t="shared" ref="X145" si="76">W145+I145</f>
        <v>3805</v>
      </c>
      <c r="Y145" s="176">
        <f t="shared" ref="Y145" si="77">X145+J145</f>
        <v>4500</v>
      </c>
      <c r="Z145" s="176">
        <f t="shared" ref="Z145" si="78">Y145+K145</f>
        <v>5124</v>
      </c>
      <c r="AA145" s="176">
        <f t="shared" ref="AA145" si="79">Z145+L145</f>
        <v>5746</v>
      </c>
      <c r="AB145" s="176">
        <f t="shared" ref="AB145" si="80">AA145+M145</f>
        <v>6343</v>
      </c>
      <c r="AC145" s="176">
        <f t="shared" ref="AC145" si="81">AB145+N145</f>
        <v>6913</v>
      </c>
      <c r="AD145" s="462">
        <f t="shared" ref="AD145" si="82">AC145+O145</f>
        <v>7539</v>
      </c>
      <c r="AE145" s="469">
        <v>144</v>
      </c>
      <c r="AF145" s="492">
        <v>7537</v>
      </c>
    </row>
    <row r="146" spans="1:32" x14ac:dyDescent="0.35">
      <c r="B146" s="485">
        <v>145</v>
      </c>
      <c r="C146" s="548" t="s">
        <v>39</v>
      </c>
      <c r="D146" s="487">
        <v>68</v>
      </c>
      <c r="E146" s="487">
        <v>69</v>
      </c>
      <c r="F146" s="487">
        <v>64</v>
      </c>
      <c r="G146" s="487">
        <v>81</v>
      </c>
      <c r="H146" s="487">
        <v>72</v>
      </c>
      <c r="I146" s="487">
        <v>67</v>
      </c>
      <c r="J146" s="487">
        <v>82</v>
      </c>
      <c r="K146" s="487">
        <v>73</v>
      </c>
      <c r="L146" s="487">
        <v>78</v>
      </c>
      <c r="M146" s="487">
        <v>67</v>
      </c>
      <c r="N146" s="487">
        <v>63</v>
      </c>
      <c r="O146" s="487">
        <v>64</v>
      </c>
      <c r="P146" s="488"/>
      <c r="Q146" s="517">
        <v>145</v>
      </c>
      <c r="R146" s="549" t="s">
        <v>39</v>
      </c>
      <c r="S146" s="176">
        <f t="shared" ref="S146:S187" si="83">D146</f>
        <v>68</v>
      </c>
      <c r="T146" s="176">
        <f t="shared" ref="T146:T187" si="84">S146+E146</f>
        <v>137</v>
      </c>
      <c r="U146" s="176">
        <f t="shared" ref="U146:U187" si="85">T146+F146</f>
        <v>201</v>
      </c>
      <c r="V146" s="176">
        <f t="shared" ref="V146:V187" si="86">U146+G146</f>
        <v>282</v>
      </c>
      <c r="W146" s="176">
        <f t="shared" ref="W146:W187" si="87">V146+H146</f>
        <v>354</v>
      </c>
      <c r="X146" s="176">
        <f t="shared" ref="X146:X187" si="88">W146+I146</f>
        <v>421</v>
      </c>
      <c r="Y146" s="176">
        <f t="shared" ref="Y146:Y187" si="89">X146+J146</f>
        <v>503</v>
      </c>
      <c r="Z146" s="176">
        <f t="shared" ref="Z146:Z187" si="90">Y146+K146</f>
        <v>576</v>
      </c>
      <c r="AA146" s="176">
        <f t="shared" ref="AA146:AA187" si="91">Z146+L146</f>
        <v>654</v>
      </c>
      <c r="AB146" s="176">
        <f t="shared" ref="AB146:AB187" si="92">AA146+M146</f>
        <v>721</v>
      </c>
      <c r="AC146" s="176">
        <f t="shared" ref="AC146:AC187" si="93">AB146+N146</f>
        <v>784</v>
      </c>
      <c r="AD146" s="462">
        <f t="shared" ref="AD146:AD187" si="94">AC146+O146</f>
        <v>848</v>
      </c>
      <c r="AE146" s="469">
        <v>145</v>
      </c>
      <c r="AF146" s="492">
        <v>846.33333333333337</v>
      </c>
    </row>
    <row r="147" spans="1:32" x14ac:dyDescent="0.35">
      <c r="B147" s="485">
        <v>146</v>
      </c>
      <c r="C147" s="548" t="s">
        <v>40</v>
      </c>
      <c r="D147" s="487">
        <v>149</v>
      </c>
      <c r="E147" s="487">
        <v>152</v>
      </c>
      <c r="F147" s="487">
        <v>160</v>
      </c>
      <c r="G147" s="487">
        <v>177</v>
      </c>
      <c r="H147" s="487">
        <v>161</v>
      </c>
      <c r="I147" s="487">
        <v>154</v>
      </c>
      <c r="J147" s="487">
        <v>188</v>
      </c>
      <c r="K147" s="487">
        <v>174</v>
      </c>
      <c r="L147" s="487">
        <v>172</v>
      </c>
      <c r="M147" s="487">
        <v>143</v>
      </c>
      <c r="N147" s="487">
        <v>149</v>
      </c>
      <c r="O147" s="487">
        <v>151</v>
      </c>
      <c r="P147" s="488"/>
      <c r="Q147" s="517">
        <v>146</v>
      </c>
      <c r="R147" s="549" t="s">
        <v>40</v>
      </c>
      <c r="S147" s="176">
        <f t="shared" si="83"/>
        <v>149</v>
      </c>
      <c r="T147" s="176">
        <f t="shared" si="84"/>
        <v>301</v>
      </c>
      <c r="U147" s="176">
        <f t="shared" si="85"/>
        <v>461</v>
      </c>
      <c r="V147" s="176">
        <f t="shared" si="86"/>
        <v>638</v>
      </c>
      <c r="W147" s="176">
        <f t="shared" si="87"/>
        <v>799</v>
      </c>
      <c r="X147" s="176">
        <f t="shared" si="88"/>
        <v>953</v>
      </c>
      <c r="Y147" s="176">
        <f t="shared" si="89"/>
        <v>1141</v>
      </c>
      <c r="Z147" s="176">
        <f t="shared" si="90"/>
        <v>1315</v>
      </c>
      <c r="AA147" s="176">
        <f t="shared" si="91"/>
        <v>1487</v>
      </c>
      <c r="AB147" s="176">
        <f t="shared" si="92"/>
        <v>1630</v>
      </c>
      <c r="AC147" s="176">
        <f t="shared" si="93"/>
        <v>1779</v>
      </c>
      <c r="AD147" s="462">
        <f t="shared" si="94"/>
        <v>1930</v>
      </c>
      <c r="AE147" s="469">
        <v>146</v>
      </c>
      <c r="AF147" s="492">
        <v>1929.0000000000002</v>
      </c>
    </row>
    <row r="148" spans="1:32" x14ac:dyDescent="0.35">
      <c r="B148" s="485">
        <v>147</v>
      </c>
      <c r="C148" s="548" t="s">
        <v>5</v>
      </c>
      <c r="D148" s="487">
        <v>7</v>
      </c>
      <c r="E148" s="487">
        <v>7</v>
      </c>
      <c r="F148" s="487">
        <v>6</v>
      </c>
      <c r="G148" s="487">
        <v>7</v>
      </c>
      <c r="H148" s="487">
        <v>10</v>
      </c>
      <c r="I148" s="487">
        <v>5</v>
      </c>
      <c r="J148" s="487">
        <v>8</v>
      </c>
      <c r="K148" s="487">
        <v>9</v>
      </c>
      <c r="L148" s="487">
        <v>10</v>
      </c>
      <c r="M148" s="487">
        <v>10</v>
      </c>
      <c r="N148" s="487">
        <v>6</v>
      </c>
      <c r="O148" s="487">
        <v>9</v>
      </c>
      <c r="P148" s="488"/>
      <c r="Q148" s="517">
        <v>147</v>
      </c>
      <c r="R148" s="549" t="s">
        <v>5</v>
      </c>
      <c r="S148" s="176">
        <f t="shared" si="83"/>
        <v>7</v>
      </c>
      <c r="T148" s="176">
        <f t="shared" si="84"/>
        <v>14</v>
      </c>
      <c r="U148" s="176">
        <f t="shared" si="85"/>
        <v>20</v>
      </c>
      <c r="V148" s="176">
        <f t="shared" si="86"/>
        <v>27</v>
      </c>
      <c r="W148" s="176">
        <f t="shared" si="87"/>
        <v>37</v>
      </c>
      <c r="X148" s="176">
        <f t="shared" si="88"/>
        <v>42</v>
      </c>
      <c r="Y148" s="176">
        <f t="shared" si="89"/>
        <v>50</v>
      </c>
      <c r="Z148" s="176">
        <f t="shared" si="90"/>
        <v>59</v>
      </c>
      <c r="AA148" s="176">
        <f t="shared" si="91"/>
        <v>69</v>
      </c>
      <c r="AB148" s="176">
        <f t="shared" si="92"/>
        <v>79</v>
      </c>
      <c r="AC148" s="176">
        <f t="shared" si="93"/>
        <v>85</v>
      </c>
      <c r="AD148" s="462">
        <f t="shared" si="94"/>
        <v>94</v>
      </c>
      <c r="AE148" s="491">
        <v>147</v>
      </c>
      <c r="AF148" s="492">
        <v>94.666666666666657</v>
      </c>
    </row>
    <row r="149" spans="1:32" x14ac:dyDescent="0.35">
      <c r="B149" s="486">
        <v>148</v>
      </c>
      <c r="C149" s="548" t="s">
        <v>35</v>
      </c>
      <c r="D149" s="487">
        <v>13</v>
      </c>
      <c r="E149" s="487">
        <v>13</v>
      </c>
      <c r="F149" s="487">
        <v>14</v>
      </c>
      <c r="G149" s="487">
        <v>19</v>
      </c>
      <c r="H149" s="487">
        <v>12</v>
      </c>
      <c r="I149" s="487">
        <v>9</v>
      </c>
      <c r="J149" s="487">
        <v>12</v>
      </c>
      <c r="K149" s="487">
        <v>16</v>
      </c>
      <c r="L149" s="487">
        <v>15</v>
      </c>
      <c r="M149" s="487">
        <v>16</v>
      </c>
      <c r="N149" s="487">
        <v>11</v>
      </c>
      <c r="O149" s="487">
        <v>16</v>
      </c>
      <c r="P149" s="488"/>
      <c r="Q149" s="517">
        <v>148</v>
      </c>
      <c r="R149" s="549" t="s">
        <v>35</v>
      </c>
      <c r="S149" s="176">
        <f t="shared" si="83"/>
        <v>13</v>
      </c>
      <c r="T149" s="176">
        <f t="shared" si="84"/>
        <v>26</v>
      </c>
      <c r="U149" s="176">
        <f t="shared" si="85"/>
        <v>40</v>
      </c>
      <c r="V149" s="176">
        <f t="shared" si="86"/>
        <v>59</v>
      </c>
      <c r="W149" s="176">
        <f t="shared" si="87"/>
        <v>71</v>
      </c>
      <c r="X149" s="176">
        <f t="shared" si="88"/>
        <v>80</v>
      </c>
      <c r="Y149" s="176">
        <f t="shared" si="89"/>
        <v>92</v>
      </c>
      <c r="Z149" s="176">
        <f t="shared" si="90"/>
        <v>108</v>
      </c>
      <c r="AA149" s="176">
        <f t="shared" si="91"/>
        <v>123</v>
      </c>
      <c r="AB149" s="176">
        <f t="shared" si="92"/>
        <v>139</v>
      </c>
      <c r="AC149" s="176">
        <f t="shared" si="93"/>
        <v>150</v>
      </c>
      <c r="AD149" s="462">
        <f t="shared" si="94"/>
        <v>166</v>
      </c>
      <c r="AE149" s="469">
        <v>148</v>
      </c>
      <c r="AF149" s="492">
        <v>166.33333333333337</v>
      </c>
    </row>
    <row r="150" spans="1:32" x14ac:dyDescent="0.35">
      <c r="B150" s="485">
        <v>149</v>
      </c>
      <c r="C150" s="548" t="s">
        <v>36</v>
      </c>
      <c r="D150" s="487">
        <v>1</v>
      </c>
      <c r="E150" s="487">
        <v>1</v>
      </c>
      <c r="F150" s="487">
        <v>0</v>
      </c>
      <c r="G150" s="487">
        <v>2</v>
      </c>
      <c r="H150" s="487">
        <v>2</v>
      </c>
      <c r="I150" s="487">
        <v>4</v>
      </c>
      <c r="J150" s="487">
        <v>3</v>
      </c>
      <c r="K150" s="487">
        <v>1</v>
      </c>
      <c r="L150" s="487">
        <v>1</v>
      </c>
      <c r="M150" s="487">
        <v>1</v>
      </c>
      <c r="N150" s="487">
        <v>3</v>
      </c>
      <c r="O150" s="487">
        <v>2</v>
      </c>
      <c r="P150" s="488"/>
      <c r="Q150" s="517">
        <v>149</v>
      </c>
      <c r="R150" s="549" t="s">
        <v>36</v>
      </c>
      <c r="S150" s="176">
        <f t="shared" si="83"/>
        <v>1</v>
      </c>
      <c r="T150" s="176">
        <f t="shared" si="84"/>
        <v>2</v>
      </c>
      <c r="U150" s="176">
        <f t="shared" si="85"/>
        <v>2</v>
      </c>
      <c r="V150" s="176">
        <f t="shared" si="86"/>
        <v>4</v>
      </c>
      <c r="W150" s="176">
        <f t="shared" si="87"/>
        <v>6</v>
      </c>
      <c r="X150" s="176">
        <f t="shared" si="88"/>
        <v>10</v>
      </c>
      <c r="Y150" s="176">
        <f t="shared" si="89"/>
        <v>13</v>
      </c>
      <c r="Z150" s="176">
        <f t="shared" si="90"/>
        <v>14</v>
      </c>
      <c r="AA150" s="176">
        <f t="shared" si="91"/>
        <v>15</v>
      </c>
      <c r="AB150" s="176">
        <f t="shared" si="92"/>
        <v>16</v>
      </c>
      <c r="AC150" s="176">
        <f t="shared" si="93"/>
        <v>19</v>
      </c>
      <c r="AD150" s="462">
        <f t="shared" si="94"/>
        <v>21</v>
      </c>
      <c r="AE150" s="469">
        <v>149</v>
      </c>
      <c r="AF150" s="492"/>
    </row>
    <row r="151" spans="1:32" x14ac:dyDescent="0.35">
      <c r="A151" s="227" t="s">
        <v>178</v>
      </c>
      <c r="B151" s="485">
        <v>150</v>
      </c>
      <c r="C151" s="548" t="s">
        <v>37</v>
      </c>
      <c r="D151" s="487">
        <v>7</v>
      </c>
      <c r="E151" s="487">
        <v>7</v>
      </c>
      <c r="F151" s="487">
        <v>4</v>
      </c>
      <c r="G151" s="487">
        <v>8</v>
      </c>
      <c r="H151" s="487">
        <v>7</v>
      </c>
      <c r="I151" s="487">
        <v>6</v>
      </c>
      <c r="J151" s="487">
        <v>8</v>
      </c>
      <c r="K151" s="487">
        <v>6</v>
      </c>
      <c r="L151" s="487">
        <v>7</v>
      </c>
      <c r="M151" s="487">
        <v>4</v>
      </c>
      <c r="N151" s="487">
        <v>4</v>
      </c>
      <c r="O151" s="487">
        <v>6</v>
      </c>
      <c r="P151" s="488"/>
      <c r="Q151" s="517">
        <v>150</v>
      </c>
      <c r="R151" s="549" t="s">
        <v>37</v>
      </c>
      <c r="S151" s="176">
        <f t="shared" si="83"/>
        <v>7</v>
      </c>
      <c r="T151" s="176">
        <f t="shared" si="84"/>
        <v>14</v>
      </c>
      <c r="U151" s="176">
        <f t="shared" si="85"/>
        <v>18</v>
      </c>
      <c r="V151" s="176">
        <f t="shared" si="86"/>
        <v>26</v>
      </c>
      <c r="W151" s="176">
        <f t="shared" si="87"/>
        <v>33</v>
      </c>
      <c r="X151" s="176">
        <f t="shared" si="88"/>
        <v>39</v>
      </c>
      <c r="Y151" s="176">
        <f t="shared" si="89"/>
        <v>47</v>
      </c>
      <c r="Z151" s="176">
        <f t="shared" si="90"/>
        <v>53</v>
      </c>
      <c r="AA151" s="176">
        <f t="shared" si="91"/>
        <v>60</v>
      </c>
      <c r="AB151" s="176">
        <f t="shared" si="92"/>
        <v>64</v>
      </c>
      <c r="AC151" s="176">
        <f t="shared" si="93"/>
        <v>68</v>
      </c>
      <c r="AD151" s="462">
        <f t="shared" si="94"/>
        <v>74</v>
      </c>
      <c r="AE151" s="491">
        <v>150</v>
      </c>
      <c r="AF151" s="492">
        <v>74.666666666666657</v>
      </c>
    </row>
    <row r="152" spans="1:32" x14ac:dyDescent="0.35">
      <c r="B152" s="485">
        <v>151</v>
      </c>
      <c r="C152" s="550" t="s">
        <v>31</v>
      </c>
      <c r="D152" s="487">
        <v>23</v>
      </c>
      <c r="E152" s="487">
        <v>27</v>
      </c>
      <c r="F152" s="487">
        <v>29</v>
      </c>
      <c r="G152" s="487">
        <v>27</v>
      </c>
      <c r="H152" s="487">
        <v>31</v>
      </c>
      <c r="I152" s="487">
        <v>30</v>
      </c>
      <c r="J152" s="487">
        <v>40</v>
      </c>
      <c r="K152" s="487">
        <v>28</v>
      </c>
      <c r="L152" s="487">
        <v>29</v>
      </c>
      <c r="M152" s="487">
        <v>30</v>
      </c>
      <c r="N152" s="487">
        <v>25</v>
      </c>
      <c r="O152" s="487">
        <v>29</v>
      </c>
      <c r="P152" s="488"/>
      <c r="Q152" s="517">
        <v>151</v>
      </c>
      <c r="R152" s="551" t="s">
        <v>31</v>
      </c>
      <c r="S152" s="176">
        <f t="shared" si="83"/>
        <v>23</v>
      </c>
      <c r="T152" s="176">
        <f t="shared" si="84"/>
        <v>50</v>
      </c>
      <c r="U152" s="176">
        <f t="shared" si="85"/>
        <v>79</v>
      </c>
      <c r="V152" s="176">
        <f t="shared" si="86"/>
        <v>106</v>
      </c>
      <c r="W152" s="176">
        <f t="shared" si="87"/>
        <v>137</v>
      </c>
      <c r="X152" s="176">
        <f t="shared" si="88"/>
        <v>167</v>
      </c>
      <c r="Y152" s="176">
        <f t="shared" si="89"/>
        <v>207</v>
      </c>
      <c r="Z152" s="176">
        <f t="shared" si="90"/>
        <v>235</v>
      </c>
      <c r="AA152" s="176">
        <f t="shared" si="91"/>
        <v>264</v>
      </c>
      <c r="AB152" s="176">
        <f t="shared" si="92"/>
        <v>294</v>
      </c>
      <c r="AC152" s="176">
        <f t="shared" si="93"/>
        <v>319</v>
      </c>
      <c r="AD152" s="462">
        <f t="shared" si="94"/>
        <v>348</v>
      </c>
      <c r="AE152" s="469">
        <v>151</v>
      </c>
      <c r="AF152" s="492">
        <v>348.33333333333337</v>
      </c>
    </row>
    <row r="153" spans="1:32" x14ac:dyDescent="0.35">
      <c r="B153" s="485">
        <v>152</v>
      </c>
      <c r="C153" s="550" t="s">
        <v>55</v>
      </c>
      <c r="D153" s="487">
        <v>11</v>
      </c>
      <c r="E153" s="487">
        <v>14</v>
      </c>
      <c r="F153" s="487">
        <v>10</v>
      </c>
      <c r="G153" s="487">
        <v>15</v>
      </c>
      <c r="H153" s="487">
        <v>13</v>
      </c>
      <c r="I153" s="487">
        <v>9</v>
      </c>
      <c r="J153" s="487">
        <v>15</v>
      </c>
      <c r="K153" s="487">
        <v>12</v>
      </c>
      <c r="L153" s="487">
        <v>13</v>
      </c>
      <c r="M153" s="487">
        <v>14</v>
      </c>
      <c r="N153" s="487">
        <v>24</v>
      </c>
      <c r="O153" s="487">
        <v>13</v>
      </c>
      <c r="P153" s="488"/>
      <c r="Q153" s="517">
        <v>152</v>
      </c>
      <c r="R153" s="551" t="s">
        <v>55</v>
      </c>
      <c r="S153" s="176">
        <f t="shared" si="83"/>
        <v>11</v>
      </c>
      <c r="T153" s="176">
        <f t="shared" si="84"/>
        <v>25</v>
      </c>
      <c r="U153" s="176">
        <f t="shared" si="85"/>
        <v>35</v>
      </c>
      <c r="V153" s="176">
        <f t="shared" si="86"/>
        <v>50</v>
      </c>
      <c r="W153" s="176">
        <f t="shared" si="87"/>
        <v>63</v>
      </c>
      <c r="X153" s="176">
        <f t="shared" si="88"/>
        <v>72</v>
      </c>
      <c r="Y153" s="176">
        <f t="shared" si="89"/>
        <v>87</v>
      </c>
      <c r="Z153" s="176">
        <f t="shared" si="90"/>
        <v>99</v>
      </c>
      <c r="AA153" s="176">
        <f t="shared" si="91"/>
        <v>112</v>
      </c>
      <c r="AB153" s="176">
        <f t="shared" si="92"/>
        <v>126</v>
      </c>
      <c r="AC153" s="176">
        <f t="shared" si="93"/>
        <v>150</v>
      </c>
      <c r="AD153" s="462">
        <f t="shared" si="94"/>
        <v>163</v>
      </c>
      <c r="AE153" s="469">
        <v>152</v>
      </c>
      <c r="AF153" s="492">
        <v>161.66666666666666</v>
      </c>
    </row>
    <row r="154" spans="1:32" x14ac:dyDescent="0.35">
      <c r="B154" s="486">
        <v>153</v>
      </c>
      <c r="C154" s="548" t="s">
        <v>38</v>
      </c>
      <c r="D154" s="487">
        <v>56</v>
      </c>
      <c r="E154" s="487">
        <v>76</v>
      </c>
      <c r="F154" s="487">
        <v>50</v>
      </c>
      <c r="G154" s="487">
        <v>64</v>
      </c>
      <c r="H154" s="487">
        <v>64</v>
      </c>
      <c r="I154" s="487">
        <v>67</v>
      </c>
      <c r="J154" s="487">
        <v>57</v>
      </c>
      <c r="K154" s="487">
        <v>52</v>
      </c>
      <c r="L154" s="487">
        <v>50</v>
      </c>
      <c r="M154" s="487">
        <v>55</v>
      </c>
      <c r="N154" s="487">
        <v>47</v>
      </c>
      <c r="O154" s="487">
        <v>56</v>
      </c>
      <c r="P154" s="488"/>
      <c r="Q154" s="517">
        <v>153</v>
      </c>
      <c r="R154" s="549" t="s">
        <v>38</v>
      </c>
      <c r="S154" s="176">
        <f t="shared" si="83"/>
        <v>56</v>
      </c>
      <c r="T154" s="176">
        <f t="shared" si="84"/>
        <v>132</v>
      </c>
      <c r="U154" s="176">
        <f t="shared" si="85"/>
        <v>182</v>
      </c>
      <c r="V154" s="176">
        <f t="shared" si="86"/>
        <v>246</v>
      </c>
      <c r="W154" s="176">
        <f t="shared" si="87"/>
        <v>310</v>
      </c>
      <c r="X154" s="176">
        <f t="shared" si="88"/>
        <v>377</v>
      </c>
      <c r="Y154" s="176">
        <f t="shared" si="89"/>
        <v>434</v>
      </c>
      <c r="Z154" s="176">
        <f t="shared" si="90"/>
        <v>486</v>
      </c>
      <c r="AA154" s="176">
        <f t="shared" si="91"/>
        <v>536</v>
      </c>
      <c r="AB154" s="176">
        <f t="shared" si="92"/>
        <v>591</v>
      </c>
      <c r="AC154" s="176">
        <f t="shared" si="93"/>
        <v>638</v>
      </c>
      <c r="AD154" s="462">
        <f t="shared" si="94"/>
        <v>694</v>
      </c>
      <c r="AE154" s="469">
        <v>153</v>
      </c>
      <c r="AF154" s="492">
        <v>694.66666666666674</v>
      </c>
    </row>
    <row r="155" spans="1:32" x14ac:dyDescent="0.35">
      <c r="B155" s="485">
        <v>154</v>
      </c>
      <c r="C155" s="548" t="s">
        <v>17</v>
      </c>
      <c r="D155" s="487">
        <v>38</v>
      </c>
      <c r="E155" s="487">
        <v>45</v>
      </c>
      <c r="F155" s="487">
        <v>41</v>
      </c>
      <c r="G155" s="487">
        <v>50</v>
      </c>
      <c r="H155" s="487">
        <v>52</v>
      </c>
      <c r="I155" s="487">
        <v>40</v>
      </c>
      <c r="J155" s="487">
        <v>54</v>
      </c>
      <c r="K155" s="487">
        <v>48</v>
      </c>
      <c r="L155" s="487">
        <v>35</v>
      </c>
      <c r="M155" s="487">
        <v>52</v>
      </c>
      <c r="N155" s="487">
        <v>54</v>
      </c>
      <c r="O155" s="487">
        <v>56</v>
      </c>
      <c r="P155" s="488"/>
      <c r="Q155" s="517">
        <v>154</v>
      </c>
      <c r="R155" s="549" t="s">
        <v>17</v>
      </c>
      <c r="S155" s="176">
        <f t="shared" si="83"/>
        <v>38</v>
      </c>
      <c r="T155" s="176">
        <f t="shared" si="84"/>
        <v>83</v>
      </c>
      <c r="U155" s="176">
        <f t="shared" si="85"/>
        <v>124</v>
      </c>
      <c r="V155" s="176">
        <f t="shared" si="86"/>
        <v>174</v>
      </c>
      <c r="W155" s="176">
        <f t="shared" si="87"/>
        <v>226</v>
      </c>
      <c r="X155" s="176">
        <f t="shared" si="88"/>
        <v>266</v>
      </c>
      <c r="Y155" s="176">
        <f t="shared" si="89"/>
        <v>320</v>
      </c>
      <c r="Z155" s="176">
        <f t="shared" si="90"/>
        <v>368</v>
      </c>
      <c r="AA155" s="176">
        <f t="shared" si="91"/>
        <v>403</v>
      </c>
      <c r="AB155" s="176">
        <f t="shared" si="92"/>
        <v>455</v>
      </c>
      <c r="AC155" s="176">
        <f t="shared" si="93"/>
        <v>509</v>
      </c>
      <c r="AD155" s="462">
        <f t="shared" si="94"/>
        <v>565</v>
      </c>
      <c r="AE155" s="469">
        <v>154</v>
      </c>
      <c r="AF155" s="492">
        <v>564</v>
      </c>
    </row>
    <row r="156" spans="1:32" x14ac:dyDescent="0.35">
      <c r="B156" s="485">
        <v>155</v>
      </c>
      <c r="C156" s="548" t="s">
        <v>34</v>
      </c>
      <c r="D156" s="487">
        <v>63</v>
      </c>
      <c r="E156" s="487">
        <v>72</v>
      </c>
      <c r="F156" s="487">
        <v>63</v>
      </c>
      <c r="G156" s="487">
        <v>77</v>
      </c>
      <c r="H156" s="487">
        <v>62</v>
      </c>
      <c r="I156" s="487">
        <v>61</v>
      </c>
      <c r="J156" s="487">
        <v>71</v>
      </c>
      <c r="K156" s="487">
        <v>59</v>
      </c>
      <c r="L156" s="487">
        <v>72</v>
      </c>
      <c r="M156" s="487">
        <v>62</v>
      </c>
      <c r="N156" s="487">
        <v>56</v>
      </c>
      <c r="O156" s="487">
        <v>65</v>
      </c>
      <c r="P156" s="488"/>
      <c r="Q156" s="517">
        <v>155</v>
      </c>
      <c r="R156" s="549" t="s">
        <v>34</v>
      </c>
      <c r="S156" s="176">
        <f t="shared" si="83"/>
        <v>63</v>
      </c>
      <c r="T156" s="176">
        <f t="shared" si="84"/>
        <v>135</v>
      </c>
      <c r="U156" s="176">
        <f t="shared" si="85"/>
        <v>198</v>
      </c>
      <c r="V156" s="176">
        <f t="shared" si="86"/>
        <v>275</v>
      </c>
      <c r="W156" s="176">
        <f t="shared" si="87"/>
        <v>337</v>
      </c>
      <c r="X156" s="176">
        <f t="shared" si="88"/>
        <v>398</v>
      </c>
      <c r="Y156" s="176">
        <f t="shared" si="89"/>
        <v>469</v>
      </c>
      <c r="Z156" s="176">
        <f t="shared" si="90"/>
        <v>528</v>
      </c>
      <c r="AA156" s="176">
        <f t="shared" si="91"/>
        <v>600</v>
      </c>
      <c r="AB156" s="176">
        <f t="shared" si="92"/>
        <v>662</v>
      </c>
      <c r="AC156" s="176">
        <f t="shared" si="93"/>
        <v>718</v>
      </c>
      <c r="AD156" s="462">
        <f t="shared" si="94"/>
        <v>783</v>
      </c>
      <c r="AE156" s="491">
        <v>155</v>
      </c>
      <c r="AF156" s="492">
        <v>783</v>
      </c>
    </row>
    <row r="157" spans="1:32" x14ac:dyDescent="0.35">
      <c r="B157" s="485">
        <v>156</v>
      </c>
      <c r="C157" s="548" t="s">
        <v>41</v>
      </c>
      <c r="D157" s="487">
        <v>8</v>
      </c>
      <c r="E157" s="487">
        <v>8</v>
      </c>
      <c r="F157" s="487">
        <v>4</v>
      </c>
      <c r="G157" s="487">
        <v>9</v>
      </c>
      <c r="H157" s="487">
        <v>7</v>
      </c>
      <c r="I157" s="487">
        <v>7</v>
      </c>
      <c r="J157" s="487">
        <v>9</v>
      </c>
      <c r="K157" s="487">
        <v>8</v>
      </c>
      <c r="L157" s="487">
        <v>8</v>
      </c>
      <c r="M157" s="487">
        <v>5</v>
      </c>
      <c r="N157" s="487">
        <v>6</v>
      </c>
      <c r="O157" s="487">
        <v>6</v>
      </c>
      <c r="P157" s="488"/>
      <c r="Q157" s="517">
        <v>156</v>
      </c>
      <c r="R157" s="549" t="s">
        <v>41</v>
      </c>
      <c r="S157" s="176">
        <f t="shared" si="83"/>
        <v>8</v>
      </c>
      <c r="T157" s="176">
        <f t="shared" si="84"/>
        <v>16</v>
      </c>
      <c r="U157" s="176">
        <f t="shared" si="85"/>
        <v>20</v>
      </c>
      <c r="V157" s="176">
        <f t="shared" si="86"/>
        <v>29</v>
      </c>
      <c r="W157" s="176">
        <f t="shared" si="87"/>
        <v>36</v>
      </c>
      <c r="X157" s="176">
        <f t="shared" si="88"/>
        <v>43</v>
      </c>
      <c r="Y157" s="176">
        <f t="shared" si="89"/>
        <v>52</v>
      </c>
      <c r="Z157" s="176">
        <f t="shared" si="90"/>
        <v>60</v>
      </c>
      <c r="AA157" s="176">
        <f t="shared" si="91"/>
        <v>68</v>
      </c>
      <c r="AB157" s="176">
        <f t="shared" si="92"/>
        <v>73</v>
      </c>
      <c r="AC157" s="176">
        <f t="shared" si="93"/>
        <v>79</v>
      </c>
      <c r="AD157" s="462">
        <f t="shared" si="94"/>
        <v>85</v>
      </c>
      <c r="AE157" s="469">
        <v>156</v>
      </c>
      <c r="AF157" s="492">
        <v>84.666666666666657</v>
      </c>
    </row>
    <row r="158" spans="1:32" x14ac:dyDescent="0.35">
      <c r="B158" s="485">
        <v>157</v>
      </c>
      <c r="C158" s="548" t="s">
        <v>42</v>
      </c>
      <c r="D158" s="487">
        <v>237</v>
      </c>
      <c r="E158" s="487">
        <v>240</v>
      </c>
      <c r="F158" s="487">
        <v>244</v>
      </c>
      <c r="G158" s="487">
        <v>284</v>
      </c>
      <c r="H158" s="487">
        <v>255</v>
      </c>
      <c r="I158" s="487">
        <v>235</v>
      </c>
      <c r="J158" s="487">
        <v>291</v>
      </c>
      <c r="K158" s="487">
        <v>271</v>
      </c>
      <c r="L158" s="487">
        <v>274</v>
      </c>
      <c r="M158" s="487">
        <v>236</v>
      </c>
      <c r="N158" s="487">
        <v>229</v>
      </c>
      <c r="O158" s="487">
        <v>241</v>
      </c>
      <c r="P158" s="488"/>
      <c r="Q158" s="517">
        <v>157</v>
      </c>
      <c r="R158" s="549" t="s">
        <v>42</v>
      </c>
      <c r="S158" s="176">
        <f t="shared" si="83"/>
        <v>237</v>
      </c>
      <c r="T158" s="176">
        <f t="shared" si="84"/>
        <v>477</v>
      </c>
      <c r="U158" s="176">
        <f t="shared" si="85"/>
        <v>721</v>
      </c>
      <c r="V158" s="176">
        <f t="shared" si="86"/>
        <v>1005</v>
      </c>
      <c r="W158" s="176">
        <f t="shared" si="87"/>
        <v>1260</v>
      </c>
      <c r="X158" s="176">
        <f t="shared" si="88"/>
        <v>1495</v>
      </c>
      <c r="Y158" s="176">
        <f t="shared" si="89"/>
        <v>1786</v>
      </c>
      <c r="Z158" s="176">
        <f t="shared" si="90"/>
        <v>2057</v>
      </c>
      <c r="AA158" s="176">
        <f t="shared" si="91"/>
        <v>2331</v>
      </c>
      <c r="AB158" s="176">
        <f t="shared" si="92"/>
        <v>2567</v>
      </c>
      <c r="AC158" s="176">
        <f t="shared" si="93"/>
        <v>2796</v>
      </c>
      <c r="AD158" s="462">
        <f t="shared" si="94"/>
        <v>3037</v>
      </c>
      <c r="AE158" s="469">
        <v>157</v>
      </c>
      <c r="AF158" s="492">
        <v>3038.0000000000005</v>
      </c>
    </row>
    <row r="159" spans="1:32" x14ac:dyDescent="0.35">
      <c r="B159" s="486">
        <v>158</v>
      </c>
      <c r="C159" s="548" t="s">
        <v>43</v>
      </c>
      <c r="D159" s="487">
        <v>11</v>
      </c>
      <c r="E159" s="487">
        <v>9</v>
      </c>
      <c r="F159" s="487">
        <v>12</v>
      </c>
      <c r="G159" s="487">
        <v>13</v>
      </c>
      <c r="H159" s="487">
        <v>14</v>
      </c>
      <c r="I159" s="487">
        <v>7</v>
      </c>
      <c r="J159" s="487">
        <v>10</v>
      </c>
      <c r="K159" s="487">
        <v>10</v>
      </c>
      <c r="L159" s="487">
        <v>17</v>
      </c>
      <c r="M159" s="487">
        <v>11</v>
      </c>
      <c r="N159" s="487">
        <v>8</v>
      </c>
      <c r="O159" s="487">
        <v>10</v>
      </c>
      <c r="P159" s="488"/>
      <c r="Q159" s="517">
        <v>158</v>
      </c>
      <c r="R159" s="549" t="s">
        <v>43</v>
      </c>
      <c r="S159" s="176">
        <f t="shared" si="83"/>
        <v>11</v>
      </c>
      <c r="T159" s="176">
        <f t="shared" si="84"/>
        <v>20</v>
      </c>
      <c r="U159" s="176">
        <f t="shared" si="85"/>
        <v>32</v>
      </c>
      <c r="V159" s="176">
        <f t="shared" si="86"/>
        <v>45</v>
      </c>
      <c r="W159" s="176">
        <f t="shared" si="87"/>
        <v>59</v>
      </c>
      <c r="X159" s="176">
        <f t="shared" si="88"/>
        <v>66</v>
      </c>
      <c r="Y159" s="176">
        <f t="shared" si="89"/>
        <v>76</v>
      </c>
      <c r="Z159" s="176">
        <f t="shared" si="90"/>
        <v>86</v>
      </c>
      <c r="AA159" s="176">
        <f t="shared" si="91"/>
        <v>103</v>
      </c>
      <c r="AB159" s="176">
        <f t="shared" si="92"/>
        <v>114</v>
      </c>
      <c r="AC159" s="176">
        <f t="shared" si="93"/>
        <v>122</v>
      </c>
      <c r="AD159" s="462">
        <f t="shared" si="94"/>
        <v>132</v>
      </c>
      <c r="AE159" s="491">
        <v>158</v>
      </c>
      <c r="AF159" s="492">
        <v>131.33333333333334</v>
      </c>
    </row>
    <row r="160" spans="1:32" x14ac:dyDescent="0.35">
      <c r="B160" s="485">
        <v>159</v>
      </c>
      <c r="C160" s="548" t="s">
        <v>198</v>
      </c>
      <c r="D160" s="487">
        <v>12</v>
      </c>
      <c r="E160" s="487">
        <v>13</v>
      </c>
      <c r="F160" s="487">
        <v>13</v>
      </c>
      <c r="G160" s="487">
        <v>16</v>
      </c>
      <c r="H160" s="487">
        <v>15</v>
      </c>
      <c r="I160" s="487">
        <v>10</v>
      </c>
      <c r="J160" s="487">
        <v>13</v>
      </c>
      <c r="K160" s="487">
        <v>17</v>
      </c>
      <c r="L160" s="487">
        <v>14</v>
      </c>
      <c r="M160" s="487">
        <v>9</v>
      </c>
      <c r="N160" s="487">
        <v>11</v>
      </c>
      <c r="O160" s="487">
        <v>12</v>
      </c>
      <c r="P160" s="488"/>
      <c r="Q160" s="517">
        <v>159</v>
      </c>
      <c r="R160" s="549" t="s">
        <v>198</v>
      </c>
      <c r="S160" s="176">
        <f t="shared" si="83"/>
        <v>12</v>
      </c>
      <c r="T160" s="176">
        <f t="shared" si="84"/>
        <v>25</v>
      </c>
      <c r="U160" s="176">
        <f t="shared" si="85"/>
        <v>38</v>
      </c>
      <c r="V160" s="176">
        <f t="shared" si="86"/>
        <v>54</v>
      </c>
      <c r="W160" s="176">
        <f t="shared" si="87"/>
        <v>69</v>
      </c>
      <c r="X160" s="176">
        <f t="shared" si="88"/>
        <v>79</v>
      </c>
      <c r="Y160" s="176">
        <f t="shared" si="89"/>
        <v>92</v>
      </c>
      <c r="Z160" s="176">
        <f t="shared" si="90"/>
        <v>109</v>
      </c>
      <c r="AA160" s="176">
        <f t="shared" si="91"/>
        <v>123</v>
      </c>
      <c r="AB160" s="176">
        <f t="shared" si="92"/>
        <v>132</v>
      </c>
      <c r="AC160" s="176">
        <f t="shared" si="93"/>
        <v>143</v>
      </c>
      <c r="AD160" s="462">
        <f t="shared" si="94"/>
        <v>155</v>
      </c>
      <c r="AE160" s="469">
        <v>159</v>
      </c>
      <c r="AF160" s="492">
        <v>154.33333333333334</v>
      </c>
    </row>
    <row r="161" spans="1:32" x14ac:dyDescent="0.35">
      <c r="A161" s="227" t="s">
        <v>128</v>
      </c>
      <c r="B161" s="485">
        <v>160</v>
      </c>
      <c r="C161" s="548" t="s">
        <v>204</v>
      </c>
      <c r="D161" s="493">
        <v>23</v>
      </c>
      <c r="E161" s="493">
        <v>23</v>
      </c>
      <c r="F161" s="493">
        <v>25</v>
      </c>
      <c r="G161" s="493">
        <v>29</v>
      </c>
      <c r="H161" s="493">
        <v>28</v>
      </c>
      <c r="I161" s="493">
        <v>16</v>
      </c>
      <c r="J161" s="493">
        <v>23</v>
      </c>
      <c r="K161" s="493">
        <v>27</v>
      </c>
      <c r="L161" s="493">
        <v>31</v>
      </c>
      <c r="M161" s="493">
        <v>20</v>
      </c>
      <c r="N161" s="493">
        <v>19</v>
      </c>
      <c r="O161" s="493">
        <v>21</v>
      </c>
      <c r="P161" s="488"/>
      <c r="Q161" s="517">
        <v>160</v>
      </c>
      <c r="R161" s="548" t="s">
        <v>204</v>
      </c>
      <c r="S161" s="176">
        <f t="shared" si="83"/>
        <v>23</v>
      </c>
      <c r="T161" s="176">
        <f t="shared" si="84"/>
        <v>46</v>
      </c>
      <c r="U161" s="176">
        <f t="shared" si="85"/>
        <v>71</v>
      </c>
      <c r="V161" s="176">
        <f t="shared" si="86"/>
        <v>100</v>
      </c>
      <c r="W161" s="176">
        <f t="shared" si="87"/>
        <v>128</v>
      </c>
      <c r="X161" s="176">
        <f t="shared" si="88"/>
        <v>144</v>
      </c>
      <c r="Y161" s="176">
        <f t="shared" si="89"/>
        <v>167</v>
      </c>
      <c r="Z161" s="176">
        <f t="shared" si="90"/>
        <v>194</v>
      </c>
      <c r="AA161" s="176">
        <f t="shared" si="91"/>
        <v>225</v>
      </c>
      <c r="AB161" s="176">
        <f t="shared" si="92"/>
        <v>245</v>
      </c>
      <c r="AC161" s="176">
        <f t="shared" si="93"/>
        <v>264</v>
      </c>
      <c r="AD161" s="462">
        <f t="shared" si="94"/>
        <v>285</v>
      </c>
      <c r="AE161" s="469">
        <v>160</v>
      </c>
      <c r="AF161" s="492"/>
    </row>
    <row r="162" spans="1:32" x14ac:dyDescent="0.35">
      <c r="B162" s="485">
        <v>161</v>
      </c>
      <c r="C162" s="548" t="s">
        <v>44</v>
      </c>
      <c r="D162" s="487">
        <v>0</v>
      </c>
      <c r="E162" s="487">
        <v>0</v>
      </c>
      <c r="F162" s="487">
        <v>2</v>
      </c>
      <c r="G162" s="487">
        <v>0</v>
      </c>
      <c r="H162" s="487">
        <v>1</v>
      </c>
      <c r="I162" s="487">
        <v>0</v>
      </c>
      <c r="J162" s="487">
        <v>1</v>
      </c>
      <c r="K162" s="487">
        <v>0</v>
      </c>
      <c r="L162" s="487">
        <v>1</v>
      </c>
      <c r="M162" s="487">
        <v>0</v>
      </c>
      <c r="N162" s="487">
        <v>0</v>
      </c>
      <c r="O162" s="487">
        <v>0</v>
      </c>
      <c r="P162" s="488"/>
      <c r="Q162" s="517">
        <v>161</v>
      </c>
      <c r="R162" s="549" t="s">
        <v>44</v>
      </c>
      <c r="S162" s="176">
        <f t="shared" si="83"/>
        <v>0</v>
      </c>
      <c r="T162" s="176">
        <f t="shared" si="84"/>
        <v>0</v>
      </c>
      <c r="U162" s="176">
        <f t="shared" si="85"/>
        <v>2</v>
      </c>
      <c r="V162" s="176">
        <f t="shared" si="86"/>
        <v>2</v>
      </c>
      <c r="W162" s="176">
        <f t="shared" si="87"/>
        <v>3</v>
      </c>
      <c r="X162" s="176">
        <f t="shared" si="88"/>
        <v>3</v>
      </c>
      <c r="Y162" s="176">
        <f t="shared" si="89"/>
        <v>4</v>
      </c>
      <c r="Z162" s="176">
        <f t="shared" si="90"/>
        <v>4</v>
      </c>
      <c r="AA162" s="176">
        <f t="shared" si="91"/>
        <v>5</v>
      </c>
      <c r="AB162" s="176">
        <f t="shared" si="92"/>
        <v>5</v>
      </c>
      <c r="AC162" s="176">
        <f t="shared" si="93"/>
        <v>5</v>
      </c>
      <c r="AD162" s="462">
        <f t="shared" si="94"/>
        <v>5</v>
      </c>
      <c r="AE162" s="469">
        <v>161</v>
      </c>
      <c r="AF162" s="492">
        <v>6.9999999999999991</v>
      </c>
    </row>
    <row r="163" spans="1:32" x14ac:dyDescent="0.35">
      <c r="B163" s="485">
        <v>162</v>
      </c>
      <c r="C163" s="548" t="s">
        <v>199</v>
      </c>
      <c r="D163" s="487">
        <v>1</v>
      </c>
      <c r="E163" s="487">
        <v>1</v>
      </c>
      <c r="F163" s="487">
        <v>1</v>
      </c>
      <c r="G163" s="487">
        <v>2</v>
      </c>
      <c r="H163" s="487">
        <v>1</v>
      </c>
      <c r="I163" s="487">
        <v>1</v>
      </c>
      <c r="J163" s="487">
        <v>1</v>
      </c>
      <c r="K163" s="487">
        <v>1</v>
      </c>
      <c r="L163" s="487">
        <v>0</v>
      </c>
      <c r="M163" s="487">
        <v>0</v>
      </c>
      <c r="N163" s="487">
        <v>1</v>
      </c>
      <c r="O163" s="487">
        <v>1</v>
      </c>
      <c r="P163" s="488"/>
      <c r="Q163" s="517">
        <v>162</v>
      </c>
      <c r="R163" s="549" t="s">
        <v>199</v>
      </c>
      <c r="S163" s="176">
        <f t="shared" si="83"/>
        <v>1</v>
      </c>
      <c r="T163" s="176">
        <f t="shared" si="84"/>
        <v>2</v>
      </c>
      <c r="U163" s="176">
        <f t="shared" si="85"/>
        <v>3</v>
      </c>
      <c r="V163" s="176">
        <f t="shared" si="86"/>
        <v>5</v>
      </c>
      <c r="W163" s="176">
        <f t="shared" si="87"/>
        <v>6</v>
      </c>
      <c r="X163" s="176">
        <f t="shared" si="88"/>
        <v>7</v>
      </c>
      <c r="Y163" s="176">
        <f t="shared" si="89"/>
        <v>8</v>
      </c>
      <c r="Z163" s="176">
        <f t="shared" si="90"/>
        <v>9</v>
      </c>
      <c r="AA163" s="176">
        <f t="shared" si="91"/>
        <v>9</v>
      </c>
      <c r="AB163" s="176">
        <f t="shared" si="92"/>
        <v>9</v>
      </c>
      <c r="AC163" s="176">
        <f t="shared" si="93"/>
        <v>10</v>
      </c>
      <c r="AD163" s="462">
        <f t="shared" si="94"/>
        <v>11</v>
      </c>
      <c r="AE163" s="469">
        <v>162</v>
      </c>
      <c r="AF163" s="492">
        <v>10.666666666666668</v>
      </c>
    </row>
    <row r="164" spans="1:32" x14ac:dyDescent="0.35">
      <c r="A164" s="227" t="s">
        <v>128</v>
      </c>
      <c r="B164" s="486">
        <v>163</v>
      </c>
      <c r="C164" s="548" t="s">
        <v>205</v>
      </c>
      <c r="D164" s="493">
        <v>1</v>
      </c>
      <c r="E164" s="493">
        <v>1</v>
      </c>
      <c r="F164" s="493">
        <v>2</v>
      </c>
      <c r="G164" s="493">
        <v>2</v>
      </c>
      <c r="H164" s="493">
        <v>2</v>
      </c>
      <c r="I164" s="493">
        <v>1</v>
      </c>
      <c r="J164" s="493">
        <v>2</v>
      </c>
      <c r="K164" s="493">
        <v>1</v>
      </c>
      <c r="L164" s="493">
        <v>1</v>
      </c>
      <c r="M164" s="493">
        <v>1</v>
      </c>
      <c r="N164" s="493">
        <v>1</v>
      </c>
      <c r="O164" s="493">
        <v>1</v>
      </c>
      <c r="P164" s="488"/>
      <c r="Q164" s="517">
        <v>163</v>
      </c>
      <c r="R164" s="548" t="s">
        <v>205</v>
      </c>
      <c r="S164" s="176">
        <f t="shared" si="83"/>
        <v>1</v>
      </c>
      <c r="T164" s="176">
        <f t="shared" si="84"/>
        <v>2</v>
      </c>
      <c r="U164" s="176">
        <f t="shared" si="85"/>
        <v>4</v>
      </c>
      <c r="V164" s="176">
        <f t="shared" si="86"/>
        <v>6</v>
      </c>
      <c r="W164" s="176">
        <f t="shared" si="87"/>
        <v>8</v>
      </c>
      <c r="X164" s="176">
        <f t="shared" si="88"/>
        <v>9</v>
      </c>
      <c r="Y164" s="176">
        <f t="shared" si="89"/>
        <v>11</v>
      </c>
      <c r="Z164" s="176">
        <f t="shared" si="90"/>
        <v>12</v>
      </c>
      <c r="AA164" s="176">
        <f t="shared" si="91"/>
        <v>13</v>
      </c>
      <c r="AB164" s="176">
        <f t="shared" si="92"/>
        <v>14</v>
      </c>
      <c r="AC164" s="176">
        <f t="shared" si="93"/>
        <v>15</v>
      </c>
      <c r="AD164" s="462">
        <f t="shared" si="94"/>
        <v>16</v>
      </c>
      <c r="AE164" s="491">
        <v>163</v>
      </c>
      <c r="AF164" s="492"/>
    </row>
    <row r="165" spans="1:32" x14ac:dyDescent="0.35">
      <c r="B165" s="485">
        <v>164</v>
      </c>
      <c r="C165" s="548" t="s">
        <v>45</v>
      </c>
      <c r="D165" s="487">
        <v>32</v>
      </c>
      <c r="E165" s="487">
        <v>21</v>
      </c>
      <c r="F165" s="487">
        <v>23</v>
      </c>
      <c r="G165" s="487">
        <v>32</v>
      </c>
      <c r="H165" s="487">
        <v>23</v>
      </c>
      <c r="I165" s="487">
        <v>21</v>
      </c>
      <c r="J165" s="487">
        <v>28</v>
      </c>
      <c r="K165" s="487">
        <v>28</v>
      </c>
      <c r="L165" s="487">
        <v>32</v>
      </c>
      <c r="M165" s="487">
        <v>29</v>
      </c>
      <c r="N165" s="487">
        <v>25</v>
      </c>
      <c r="O165" s="487">
        <v>22</v>
      </c>
      <c r="P165" s="488"/>
      <c r="Q165" s="517">
        <v>164</v>
      </c>
      <c r="R165" s="549" t="s">
        <v>45</v>
      </c>
      <c r="S165" s="176">
        <f t="shared" si="83"/>
        <v>32</v>
      </c>
      <c r="T165" s="176">
        <f t="shared" si="84"/>
        <v>53</v>
      </c>
      <c r="U165" s="176">
        <f t="shared" si="85"/>
        <v>76</v>
      </c>
      <c r="V165" s="176">
        <f t="shared" si="86"/>
        <v>108</v>
      </c>
      <c r="W165" s="176">
        <f t="shared" si="87"/>
        <v>131</v>
      </c>
      <c r="X165" s="176">
        <f t="shared" si="88"/>
        <v>152</v>
      </c>
      <c r="Y165" s="176">
        <f t="shared" si="89"/>
        <v>180</v>
      </c>
      <c r="Z165" s="176">
        <f t="shared" si="90"/>
        <v>208</v>
      </c>
      <c r="AA165" s="176">
        <f t="shared" si="91"/>
        <v>240</v>
      </c>
      <c r="AB165" s="176">
        <f t="shared" si="92"/>
        <v>269</v>
      </c>
      <c r="AC165" s="176">
        <f t="shared" si="93"/>
        <v>294</v>
      </c>
      <c r="AD165" s="462">
        <f t="shared" si="94"/>
        <v>316</v>
      </c>
      <c r="AE165" s="469">
        <v>164</v>
      </c>
      <c r="AF165" s="492">
        <v>316.33333333333331</v>
      </c>
    </row>
    <row r="166" spans="1:32" x14ac:dyDescent="0.35">
      <c r="B166" s="485">
        <v>165</v>
      </c>
      <c r="C166" s="548" t="s">
        <v>191</v>
      </c>
      <c r="D166" s="487">
        <v>69</v>
      </c>
      <c r="E166" s="487">
        <v>61</v>
      </c>
      <c r="F166" s="487">
        <v>69</v>
      </c>
      <c r="G166" s="487">
        <v>77</v>
      </c>
      <c r="H166" s="487">
        <v>71</v>
      </c>
      <c r="I166" s="487">
        <v>70</v>
      </c>
      <c r="J166" s="487">
        <v>68</v>
      </c>
      <c r="K166" s="487">
        <v>65</v>
      </c>
      <c r="L166" s="487">
        <v>74</v>
      </c>
      <c r="M166" s="487">
        <v>59</v>
      </c>
      <c r="N166" s="487">
        <v>61</v>
      </c>
      <c r="O166" s="487">
        <v>53</v>
      </c>
      <c r="P166" s="488"/>
      <c r="Q166" s="517">
        <v>165</v>
      </c>
      <c r="R166" s="549" t="s">
        <v>191</v>
      </c>
      <c r="S166" s="176">
        <f t="shared" si="83"/>
        <v>69</v>
      </c>
      <c r="T166" s="176">
        <f t="shared" si="84"/>
        <v>130</v>
      </c>
      <c r="U166" s="176">
        <f t="shared" si="85"/>
        <v>199</v>
      </c>
      <c r="V166" s="176">
        <f t="shared" si="86"/>
        <v>276</v>
      </c>
      <c r="W166" s="176">
        <f t="shared" si="87"/>
        <v>347</v>
      </c>
      <c r="X166" s="176">
        <f t="shared" si="88"/>
        <v>417</v>
      </c>
      <c r="Y166" s="176">
        <f t="shared" si="89"/>
        <v>485</v>
      </c>
      <c r="Z166" s="176">
        <f t="shared" si="90"/>
        <v>550</v>
      </c>
      <c r="AA166" s="176">
        <f t="shared" si="91"/>
        <v>624</v>
      </c>
      <c r="AB166" s="176">
        <f t="shared" si="92"/>
        <v>683</v>
      </c>
      <c r="AC166" s="176">
        <f t="shared" si="93"/>
        <v>744</v>
      </c>
      <c r="AD166" s="462">
        <f t="shared" si="94"/>
        <v>797</v>
      </c>
      <c r="AE166" s="469">
        <v>165</v>
      </c>
      <c r="AF166" s="492">
        <v>796</v>
      </c>
    </row>
    <row r="167" spans="1:32" x14ac:dyDescent="0.35">
      <c r="B167" s="485">
        <v>166</v>
      </c>
      <c r="C167" s="548" t="s">
        <v>53</v>
      </c>
      <c r="D167" s="487">
        <v>6</v>
      </c>
      <c r="E167" s="487">
        <v>4</v>
      </c>
      <c r="F167" s="487">
        <v>5</v>
      </c>
      <c r="G167" s="487">
        <v>7</v>
      </c>
      <c r="H167" s="487">
        <v>8</v>
      </c>
      <c r="I167" s="487">
        <v>10</v>
      </c>
      <c r="J167" s="487">
        <v>5</v>
      </c>
      <c r="K167" s="487">
        <v>6</v>
      </c>
      <c r="L167" s="487">
        <v>8</v>
      </c>
      <c r="M167" s="487">
        <v>5</v>
      </c>
      <c r="N167" s="487">
        <v>5</v>
      </c>
      <c r="O167" s="487">
        <v>7</v>
      </c>
      <c r="P167" s="488"/>
      <c r="Q167" s="517">
        <v>166</v>
      </c>
      <c r="R167" s="549" t="s">
        <v>53</v>
      </c>
      <c r="S167" s="176">
        <f t="shared" si="83"/>
        <v>6</v>
      </c>
      <c r="T167" s="176">
        <f t="shared" si="84"/>
        <v>10</v>
      </c>
      <c r="U167" s="176">
        <f t="shared" si="85"/>
        <v>15</v>
      </c>
      <c r="V167" s="176">
        <f t="shared" si="86"/>
        <v>22</v>
      </c>
      <c r="W167" s="176">
        <f t="shared" si="87"/>
        <v>30</v>
      </c>
      <c r="X167" s="176">
        <f t="shared" si="88"/>
        <v>40</v>
      </c>
      <c r="Y167" s="176">
        <f t="shared" si="89"/>
        <v>45</v>
      </c>
      <c r="Z167" s="176">
        <f t="shared" si="90"/>
        <v>51</v>
      </c>
      <c r="AA167" s="176">
        <f t="shared" si="91"/>
        <v>59</v>
      </c>
      <c r="AB167" s="176">
        <f t="shared" si="92"/>
        <v>64</v>
      </c>
      <c r="AC167" s="176">
        <f t="shared" si="93"/>
        <v>69</v>
      </c>
      <c r="AD167" s="462">
        <f t="shared" si="94"/>
        <v>76</v>
      </c>
      <c r="AE167" s="491">
        <v>166</v>
      </c>
      <c r="AF167" s="492">
        <v>75.999999999999986</v>
      </c>
    </row>
    <row r="168" spans="1:32" x14ac:dyDescent="0.35">
      <c r="B168" s="485">
        <v>167</v>
      </c>
      <c r="C168" s="548" t="s">
        <v>54</v>
      </c>
      <c r="D168" s="487">
        <v>3</v>
      </c>
      <c r="E168" s="487">
        <v>5</v>
      </c>
      <c r="F168" s="487">
        <v>4</v>
      </c>
      <c r="G168" s="487">
        <v>5</v>
      </c>
      <c r="H168" s="487">
        <v>5</v>
      </c>
      <c r="I168" s="487">
        <v>2</v>
      </c>
      <c r="J168" s="487">
        <v>5</v>
      </c>
      <c r="K168" s="487">
        <v>6</v>
      </c>
      <c r="L168" s="487">
        <v>3</v>
      </c>
      <c r="M168" s="487">
        <v>2</v>
      </c>
      <c r="N168" s="487">
        <v>5</v>
      </c>
      <c r="O168" s="487">
        <v>4</v>
      </c>
      <c r="P168" s="488"/>
      <c r="Q168" s="517">
        <v>167</v>
      </c>
      <c r="R168" s="549" t="s">
        <v>54</v>
      </c>
      <c r="S168" s="176">
        <f t="shared" si="83"/>
        <v>3</v>
      </c>
      <c r="T168" s="176">
        <f t="shared" si="84"/>
        <v>8</v>
      </c>
      <c r="U168" s="176">
        <f t="shared" si="85"/>
        <v>12</v>
      </c>
      <c r="V168" s="176">
        <f t="shared" si="86"/>
        <v>17</v>
      </c>
      <c r="W168" s="176">
        <f t="shared" si="87"/>
        <v>22</v>
      </c>
      <c r="X168" s="176">
        <f t="shared" si="88"/>
        <v>24</v>
      </c>
      <c r="Y168" s="176">
        <f t="shared" si="89"/>
        <v>29</v>
      </c>
      <c r="Z168" s="176">
        <f t="shared" si="90"/>
        <v>35</v>
      </c>
      <c r="AA168" s="176">
        <f t="shared" si="91"/>
        <v>38</v>
      </c>
      <c r="AB168" s="176">
        <f t="shared" si="92"/>
        <v>40</v>
      </c>
      <c r="AC168" s="176">
        <f t="shared" si="93"/>
        <v>45</v>
      </c>
      <c r="AD168" s="462">
        <f t="shared" si="94"/>
        <v>49</v>
      </c>
      <c r="AE168" s="469">
        <v>167</v>
      </c>
      <c r="AF168" s="492">
        <v>49.333333333333329</v>
      </c>
    </row>
    <row r="169" spans="1:32" x14ac:dyDescent="0.35">
      <c r="B169" s="486">
        <v>168</v>
      </c>
      <c r="C169" s="548" t="s">
        <v>46</v>
      </c>
      <c r="D169" s="487">
        <v>1</v>
      </c>
      <c r="E169" s="487">
        <v>2</v>
      </c>
      <c r="F169" s="487">
        <v>1</v>
      </c>
      <c r="G169" s="487">
        <v>1</v>
      </c>
      <c r="H169" s="487">
        <v>1</v>
      </c>
      <c r="I169" s="487">
        <v>1</v>
      </c>
      <c r="J169" s="487">
        <v>1</v>
      </c>
      <c r="K169" s="487">
        <v>1</v>
      </c>
      <c r="L169" s="487">
        <v>1</v>
      </c>
      <c r="M169" s="487">
        <v>1</v>
      </c>
      <c r="N169" s="487">
        <v>0</v>
      </c>
      <c r="O169" s="487">
        <v>1</v>
      </c>
      <c r="P169" s="488"/>
      <c r="Q169" s="517">
        <v>168</v>
      </c>
      <c r="R169" s="549" t="s">
        <v>46</v>
      </c>
      <c r="S169" s="176">
        <f t="shared" si="83"/>
        <v>1</v>
      </c>
      <c r="T169" s="176">
        <f t="shared" si="84"/>
        <v>3</v>
      </c>
      <c r="U169" s="176">
        <f t="shared" si="85"/>
        <v>4</v>
      </c>
      <c r="V169" s="176">
        <f t="shared" si="86"/>
        <v>5</v>
      </c>
      <c r="W169" s="176">
        <f t="shared" si="87"/>
        <v>6</v>
      </c>
      <c r="X169" s="176">
        <f t="shared" si="88"/>
        <v>7</v>
      </c>
      <c r="Y169" s="176">
        <f t="shared" si="89"/>
        <v>8</v>
      </c>
      <c r="Z169" s="176">
        <f t="shared" si="90"/>
        <v>9</v>
      </c>
      <c r="AA169" s="176">
        <f t="shared" si="91"/>
        <v>10</v>
      </c>
      <c r="AB169" s="176">
        <f t="shared" si="92"/>
        <v>11</v>
      </c>
      <c r="AC169" s="176">
        <f t="shared" si="93"/>
        <v>11</v>
      </c>
      <c r="AD169" s="462">
        <f t="shared" si="94"/>
        <v>12</v>
      </c>
      <c r="AE169" s="469">
        <v>168</v>
      </c>
      <c r="AF169" s="492">
        <v>12.333333333333336</v>
      </c>
    </row>
    <row r="170" spans="1:32" x14ac:dyDescent="0.35">
      <c r="B170" s="485">
        <v>169</v>
      </c>
      <c r="C170" s="548" t="s">
        <v>47</v>
      </c>
      <c r="D170" s="487">
        <v>8</v>
      </c>
      <c r="E170" s="487">
        <v>13</v>
      </c>
      <c r="F170" s="487">
        <v>8</v>
      </c>
      <c r="G170" s="487">
        <v>18</v>
      </c>
      <c r="H170" s="487">
        <v>15</v>
      </c>
      <c r="I170" s="487">
        <v>12</v>
      </c>
      <c r="J170" s="487">
        <v>10</v>
      </c>
      <c r="K170" s="487">
        <v>10</v>
      </c>
      <c r="L170" s="487">
        <v>6</v>
      </c>
      <c r="M170" s="487">
        <v>10</v>
      </c>
      <c r="N170" s="487">
        <v>9</v>
      </c>
      <c r="O170" s="487">
        <v>6</v>
      </c>
      <c r="P170" s="488"/>
      <c r="Q170" s="517">
        <v>169</v>
      </c>
      <c r="R170" s="549" t="s">
        <v>47</v>
      </c>
      <c r="S170" s="176">
        <f t="shared" si="83"/>
        <v>8</v>
      </c>
      <c r="T170" s="176">
        <f t="shared" si="84"/>
        <v>21</v>
      </c>
      <c r="U170" s="176">
        <f t="shared" si="85"/>
        <v>29</v>
      </c>
      <c r="V170" s="176">
        <f t="shared" si="86"/>
        <v>47</v>
      </c>
      <c r="W170" s="176">
        <f t="shared" si="87"/>
        <v>62</v>
      </c>
      <c r="X170" s="176">
        <f t="shared" si="88"/>
        <v>74</v>
      </c>
      <c r="Y170" s="176">
        <f t="shared" si="89"/>
        <v>84</v>
      </c>
      <c r="Z170" s="176">
        <f t="shared" si="90"/>
        <v>94</v>
      </c>
      <c r="AA170" s="176">
        <f t="shared" si="91"/>
        <v>100</v>
      </c>
      <c r="AB170" s="176">
        <f t="shared" si="92"/>
        <v>110</v>
      </c>
      <c r="AC170" s="176">
        <f t="shared" si="93"/>
        <v>119</v>
      </c>
      <c r="AD170" s="462">
        <f t="shared" si="94"/>
        <v>125</v>
      </c>
      <c r="AE170" s="469">
        <v>169</v>
      </c>
      <c r="AF170" s="492">
        <v>124.66666666666666</v>
      </c>
    </row>
    <row r="171" spans="1:32" x14ac:dyDescent="0.35">
      <c r="B171" s="485">
        <v>170</v>
      </c>
      <c r="C171" s="548" t="s">
        <v>48</v>
      </c>
      <c r="D171" s="487">
        <v>38</v>
      </c>
      <c r="E171" s="487">
        <v>48</v>
      </c>
      <c r="F171" s="487">
        <v>30</v>
      </c>
      <c r="G171" s="487">
        <v>35</v>
      </c>
      <c r="H171" s="487">
        <v>35</v>
      </c>
      <c r="I171" s="487">
        <v>43</v>
      </c>
      <c r="J171" s="487">
        <v>36</v>
      </c>
      <c r="K171" s="487">
        <v>29</v>
      </c>
      <c r="L171" s="487">
        <v>28</v>
      </c>
      <c r="M171" s="487">
        <v>36</v>
      </c>
      <c r="N171" s="487">
        <v>30</v>
      </c>
      <c r="O171" s="487">
        <v>37</v>
      </c>
      <c r="P171" s="488"/>
      <c r="Q171" s="517">
        <v>170</v>
      </c>
      <c r="R171" s="549" t="s">
        <v>48</v>
      </c>
      <c r="S171" s="176">
        <f t="shared" si="83"/>
        <v>38</v>
      </c>
      <c r="T171" s="176">
        <f t="shared" si="84"/>
        <v>86</v>
      </c>
      <c r="U171" s="176">
        <f t="shared" si="85"/>
        <v>116</v>
      </c>
      <c r="V171" s="176">
        <f t="shared" si="86"/>
        <v>151</v>
      </c>
      <c r="W171" s="176">
        <f t="shared" si="87"/>
        <v>186</v>
      </c>
      <c r="X171" s="176">
        <f t="shared" si="88"/>
        <v>229</v>
      </c>
      <c r="Y171" s="176">
        <f t="shared" si="89"/>
        <v>265</v>
      </c>
      <c r="Z171" s="176">
        <f t="shared" si="90"/>
        <v>294</v>
      </c>
      <c r="AA171" s="176">
        <f t="shared" si="91"/>
        <v>322</v>
      </c>
      <c r="AB171" s="176">
        <f t="shared" si="92"/>
        <v>358</v>
      </c>
      <c r="AC171" s="176">
        <f t="shared" si="93"/>
        <v>388</v>
      </c>
      <c r="AD171" s="462">
        <f t="shared" si="94"/>
        <v>425</v>
      </c>
      <c r="AE171" s="469">
        <v>170</v>
      </c>
      <c r="AF171" s="492">
        <v>426.33333333333326</v>
      </c>
    </row>
    <row r="172" spans="1:32" x14ac:dyDescent="0.35">
      <c r="B172" s="485">
        <v>171</v>
      </c>
      <c r="C172" s="548" t="s">
        <v>49</v>
      </c>
      <c r="D172" s="487">
        <v>10</v>
      </c>
      <c r="E172" s="487">
        <v>14</v>
      </c>
      <c r="F172" s="487">
        <v>11</v>
      </c>
      <c r="G172" s="487">
        <v>9</v>
      </c>
      <c r="H172" s="487">
        <v>13</v>
      </c>
      <c r="I172" s="487">
        <v>11</v>
      </c>
      <c r="J172" s="487">
        <v>10</v>
      </c>
      <c r="K172" s="487">
        <v>11</v>
      </c>
      <c r="L172" s="487">
        <v>14</v>
      </c>
      <c r="M172" s="487">
        <v>8</v>
      </c>
      <c r="N172" s="487">
        <v>8</v>
      </c>
      <c r="O172" s="487">
        <v>11</v>
      </c>
      <c r="P172" s="488"/>
      <c r="Q172" s="517">
        <v>171</v>
      </c>
      <c r="R172" s="549" t="s">
        <v>49</v>
      </c>
      <c r="S172" s="176">
        <f t="shared" si="83"/>
        <v>10</v>
      </c>
      <c r="T172" s="176">
        <f t="shared" si="84"/>
        <v>24</v>
      </c>
      <c r="U172" s="176">
        <f t="shared" si="85"/>
        <v>35</v>
      </c>
      <c r="V172" s="176">
        <f t="shared" si="86"/>
        <v>44</v>
      </c>
      <c r="W172" s="176">
        <f t="shared" si="87"/>
        <v>57</v>
      </c>
      <c r="X172" s="176">
        <f t="shared" si="88"/>
        <v>68</v>
      </c>
      <c r="Y172" s="176">
        <f t="shared" si="89"/>
        <v>78</v>
      </c>
      <c r="Z172" s="176">
        <f t="shared" si="90"/>
        <v>89</v>
      </c>
      <c r="AA172" s="176">
        <f t="shared" si="91"/>
        <v>103</v>
      </c>
      <c r="AB172" s="176">
        <f t="shared" si="92"/>
        <v>111</v>
      </c>
      <c r="AC172" s="176">
        <f t="shared" si="93"/>
        <v>119</v>
      </c>
      <c r="AD172" s="462">
        <f t="shared" si="94"/>
        <v>130</v>
      </c>
      <c r="AE172" s="491">
        <v>171</v>
      </c>
      <c r="AF172" s="492">
        <v>131.33333333333334</v>
      </c>
    </row>
    <row r="173" spans="1:32" x14ac:dyDescent="0.35">
      <c r="A173" s="227" t="s">
        <v>128</v>
      </c>
      <c r="B173" s="485">
        <v>172</v>
      </c>
      <c r="C173" s="548" t="s">
        <v>50</v>
      </c>
      <c r="D173" s="487">
        <v>56</v>
      </c>
      <c r="E173" s="487">
        <v>76</v>
      </c>
      <c r="F173" s="487">
        <v>50</v>
      </c>
      <c r="G173" s="487">
        <v>64</v>
      </c>
      <c r="H173" s="487">
        <v>64</v>
      </c>
      <c r="I173" s="487">
        <v>67</v>
      </c>
      <c r="J173" s="487">
        <v>57</v>
      </c>
      <c r="K173" s="487">
        <v>52</v>
      </c>
      <c r="L173" s="487">
        <v>50</v>
      </c>
      <c r="M173" s="487">
        <v>55</v>
      </c>
      <c r="N173" s="487">
        <v>47</v>
      </c>
      <c r="O173" s="487">
        <v>56</v>
      </c>
      <c r="P173" s="488"/>
      <c r="Q173" s="517">
        <v>172</v>
      </c>
      <c r="R173" s="549" t="s">
        <v>50</v>
      </c>
      <c r="S173" s="176">
        <f t="shared" si="83"/>
        <v>56</v>
      </c>
      <c r="T173" s="176">
        <f t="shared" si="84"/>
        <v>132</v>
      </c>
      <c r="U173" s="176">
        <f t="shared" si="85"/>
        <v>182</v>
      </c>
      <c r="V173" s="176">
        <f t="shared" si="86"/>
        <v>246</v>
      </c>
      <c r="W173" s="176">
        <f t="shared" si="87"/>
        <v>310</v>
      </c>
      <c r="X173" s="176">
        <f t="shared" si="88"/>
        <v>377</v>
      </c>
      <c r="Y173" s="176">
        <f t="shared" si="89"/>
        <v>434</v>
      </c>
      <c r="Z173" s="176">
        <f t="shared" si="90"/>
        <v>486</v>
      </c>
      <c r="AA173" s="176">
        <f t="shared" si="91"/>
        <v>536</v>
      </c>
      <c r="AB173" s="176">
        <f t="shared" si="92"/>
        <v>591</v>
      </c>
      <c r="AC173" s="176">
        <f t="shared" si="93"/>
        <v>638</v>
      </c>
      <c r="AD173" s="462">
        <f t="shared" si="94"/>
        <v>694</v>
      </c>
      <c r="AE173" s="469">
        <v>172</v>
      </c>
      <c r="AF173" s="492">
        <v>694.66666666666674</v>
      </c>
    </row>
    <row r="174" spans="1:32" x14ac:dyDescent="0.35">
      <c r="B174" s="486">
        <v>173</v>
      </c>
      <c r="C174" s="548" t="s">
        <v>348</v>
      </c>
      <c r="D174" s="487">
        <v>17</v>
      </c>
      <c r="E174" s="487">
        <v>13</v>
      </c>
      <c r="F174" s="487">
        <v>18</v>
      </c>
      <c r="G174" s="487">
        <v>20</v>
      </c>
      <c r="H174" s="487">
        <v>16</v>
      </c>
      <c r="I174" s="487">
        <v>16</v>
      </c>
      <c r="J174" s="487">
        <v>15</v>
      </c>
      <c r="K174" s="487">
        <v>15</v>
      </c>
      <c r="L174" s="487">
        <v>15</v>
      </c>
      <c r="M174" s="487">
        <v>14</v>
      </c>
      <c r="N174" s="487">
        <v>16</v>
      </c>
      <c r="O174" s="487">
        <v>15</v>
      </c>
      <c r="P174" s="488"/>
      <c r="Q174" s="517">
        <v>173</v>
      </c>
      <c r="R174" s="549" t="s">
        <v>348</v>
      </c>
      <c r="S174" s="176">
        <f t="shared" si="83"/>
        <v>17</v>
      </c>
      <c r="T174" s="176">
        <f t="shared" si="84"/>
        <v>30</v>
      </c>
      <c r="U174" s="176">
        <f t="shared" si="85"/>
        <v>48</v>
      </c>
      <c r="V174" s="176">
        <f t="shared" si="86"/>
        <v>68</v>
      </c>
      <c r="W174" s="176">
        <f t="shared" si="87"/>
        <v>84</v>
      </c>
      <c r="X174" s="176">
        <f t="shared" si="88"/>
        <v>100</v>
      </c>
      <c r="Y174" s="176">
        <f t="shared" si="89"/>
        <v>115</v>
      </c>
      <c r="Z174" s="176">
        <f t="shared" si="90"/>
        <v>130</v>
      </c>
      <c r="AA174" s="176">
        <f t="shared" si="91"/>
        <v>145</v>
      </c>
      <c r="AB174" s="176">
        <f t="shared" si="92"/>
        <v>159</v>
      </c>
      <c r="AC174" s="176">
        <f t="shared" si="93"/>
        <v>175</v>
      </c>
      <c r="AD174" s="462">
        <f t="shared" si="94"/>
        <v>190</v>
      </c>
      <c r="AE174" s="469">
        <v>173</v>
      </c>
      <c r="AF174" s="492">
        <v>189</v>
      </c>
    </row>
    <row r="175" spans="1:32" x14ac:dyDescent="0.35">
      <c r="B175" s="485">
        <v>174</v>
      </c>
      <c r="C175" s="550" t="s">
        <v>349</v>
      </c>
      <c r="D175" s="487">
        <v>173</v>
      </c>
      <c r="E175" s="487">
        <v>167</v>
      </c>
      <c r="F175" s="487">
        <v>190</v>
      </c>
      <c r="G175" s="487">
        <v>216</v>
      </c>
      <c r="H175" s="487">
        <v>182</v>
      </c>
      <c r="I175" s="487">
        <v>182</v>
      </c>
      <c r="J175" s="487">
        <v>179</v>
      </c>
      <c r="K175" s="487">
        <v>178</v>
      </c>
      <c r="L175" s="487">
        <v>180</v>
      </c>
      <c r="M175" s="487">
        <v>169</v>
      </c>
      <c r="N175" s="487">
        <v>159</v>
      </c>
      <c r="O175" s="487">
        <v>155</v>
      </c>
      <c r="P175" s="488"/>
      <c r="Q175" s="517">
        <v>174</v>
      </c>
      <c r="R175" s="551" t="s">
        <v>349</v>
      </c>
      <c r="S175" s="176">
        <f t="shared" si="83"/>
        <v>173</v>
      </c>
      <c r="T175" s="176">
        <f t="shared" si="84"/>
        <v>340</v>
      </c>
      <c r="U175" s="176">
        <f t="shared" si="85"/>
        <v>530</v>
      </c>
      <c r="V175" s="176">
        <f t="shared" si="86"/>
        <v>746</v>
      </c>
      <c r="W175" s="176">
        <f t="shared" si="87"/>
        <v>928</v>
      </c>
      <c r="X175" s="176">
        <f t="shared" si="88"/>
        <v>1110</v>
      </c>
      <c r="Y175" s="176">
        <f t="shared" si="89"/>
        <v>1289</v>
      </c>
      <c r="Z175" s="176">
        <f t="shared" si="90"/>
        <v>1467</v>
      </c>
      <c r="AA175" s="176">
        <f t="shared" si="91"/>
        <v>1647</v>
      </c>
      <c r="AB175" s="176">
        <f t="shared" si="92"/>
        <v>1816</v>
      </c>
      <c r="AC175" s="176">
        <f t="shared" si="93"/>
        <v>1975</v>
      </c>
      <c r="AD175" s="462">
        <f t="shared" si="94"/>
        <v>2130</v>
      </c>
      <c r="AE175" s="491">
        <v>174</v>
      </c>
      <c r="AF175" s="492">
        <v>2129.3333333333335</v>
      </c>
    </row>
    <row r="176" spans="1:32" x14ac:dyDescent="0.35">
      <c r="B176" s="485">
        <v>175</v>
      </c>
      <c r="C176" s="550" t="s">
        <v>352</v>
      </c>
      <c r="D176" s="487">
        <v>77</v>
      </c>
      <c r="E176" s="487">
        <v>98</v>
      </c>
      <c r="F176" s="487">
        <v>99</v>
      </c>
      <c r="G176" s="487">
        <v>102</v>
      </c>
      <c r="H176" s="487">
        <v>72</v>
      </c>
      <c r="I176" s="487">
        <v>89</v>
      </c>
      <c r="J176" s="487">
        <v>86</v>
      </c>
      <c r="K176" s="487">
        <v>94</v>
      </c>
      <c r="L176" s="487">
        <v>83</v>
      </c>
      <c r="M176" s="487">
        <v>75</v>
      </c>
      <c r="N176" s="487">
        <v>74</v>
      </c>
      <c r="O176" s="487">
        <v>83</v>
      </c>
      <c r="P176" s="488"/>
      <c r="Q176" s="517">
        <v>175</v>
      </c>
      <c r="R176" s="551" t="s">
        <v>352</v>
      </c>
      <c r="S176" s="176">
        <f t="shared" si="83"/>
        <v>77</v>
      </c>
      <c r="T176" s="176">
        <f t="shared" si="84"/>
        <v>175</v>
      </c>
      <c r="U176" s="176">
        <f t="shared" si="85"/>
        <v>274</v>
      </c>
      <c r="V176" s="176">
        <f t="shared" si="86"/>
        <v>376</v>
      </c>
      <c r="W176" s="176">
        <f t="shared" si="87"/>
        <v>448</v>
      </c>
      <c r="X176" s="176">
        <f t="shared" si="88"/>
        <v>537</v>
      </c>
      <c r="Y176" s="176">
        <f t="shared" si="89"/>
        <v>623</v>
      </c>
      <c r="Z176" s="176">
        <f t="shared" si="90"/>
        <v>717</v>
      </c>
      <c r="AA176" s="176">
        <f t="shared" si="91"/>
        <v>800</v>
      </c>
      <c r="AB176" s="176">
        <f t="shared" si="92"/>
        <v>875</v>
      </c>
      <c r="AC176" s="176">
        <f t="shared" si="93"/>
        <v>949</v>
      </c>
      <c r="AD176" s="462">
        <f t="shared" si="94"/>
        <v>1032</v>
      </c>
      <c r="AE176" s="469">
        <v>175</v>
      </c>
      <c r="AF176" s="492">
        <v>1029</v>
      </c>
    </row>
    <row r="177" spans="1:32" x14ac:dyDescent="0.35">
      <c r="B177" s="485">
        <v>176</v>
      </c>
      <c r="C177" s="550" t="s">
        <v>350</v>
      </c>
      <c r="D177" s="487">
        <v>2</v>
      </c>
      <c r="E177" s="487">
        <v>5</v>
      </c>
      <c r="F177" s="487">
        <v>2</v>
      </c>
      <c r="G177" s="487">
        <v>2</v>
      </c>
      <c r="H177" s="487">
        <v>2</v>
      </c>
      <c r="I177" s="487">
        <v>1</v>
      </c>
      <c r="J177" s="487">
        <v>2</v>
      </c>
      <c r="K177" s="487">
        <v>3</v>
      </c>
      <c r="L177" s="487">
        <v>3</v>
      </c>
      <c r="M177" s="487">
        <v>6</v>
      </c>
      <c r="N177" s="487">
        <v>2</v>
      </c>
      <c r="O177" s="487">
        <v>2</v>
      </c>
      <c r="P177" s="488"/>
      <c r="Q177" s="517">
        <v>176</v>
      </c>
      <c r="R177" s="551" t="s">
        <v>350</v>
      </c>
      <c r="S177" s="176">
        <f t="shared" si="83"/>
        <v>2</v>
      </c>
      <c r="T177" s="176">
        <f t="shared" si="84"/>
        <v>7</v>
      </c>
      <c r="U177" s="176">
        <f t="shared" si="85"/>
        <v>9</v>
      </c>
      <c r="V177" s="176">
        <f t="shared" si="86"/>
        <v>11</v>
      </c>
      <c r="W177" s="176">
        <f t="shared" si="87"/>
        <v>13</v>
      </c>
      <c r="X177" s="176">
        <f t="shared" si="88"/>
        <v>14</v>
      </c>
      <c r="Y177" s="176">
        <f t="shared" si="89"/>
        <v>16</v>
      </c>
      <c r="Z177" s="176">
        <f t="shared" si="90"/>
        <v>19</v>
      </c>
      <c r="AA177" s="176">
        <f t="shared" si="91"/>
        <v>22</v>
      </c>
      <c r="AB177" s="176">
        <f t="shared" si="92"/>
        <v>28</v>
      </c>
      <c r="AC177" s="176">
        <f t="shared" si="93"/>
        <v>30</v>
      </c>
      <c r="AD177" s="462">
        <f t="shared" si="94"/>
        <v>32</v>
      </c>
      <c r="AE177" s="469">
        <v>176</v>
      </c>
      <c r="AF177" s="492">
        <v>32.333333333333336</v>
      </c>
    </row>
    <row r="178" spans="1:32" x14ac:dyDescent="0.35">
      <c r="B178" s="485">
        <v>177</v>
      </c>
      <c r="C178" s="548" t="s">
        <v>52</v>
      </c>
      <c r="D178" s="487">
        <v>61</v>
      </c>
      <c r="E178" s="487">
        <v>76</v>
      </c>
      <c r="F178" s="487">
        <v>75</v>
      </c>
      <c r="G178" s="487">
        <v>88</v>
      </c>
      <c r="H178" s="487">
        <v>87</v>
      </c>
      <c r="I178" s="487">
        <v>74</v>
      </c>
      <c r="J178" s="487">
        <v>105</v>
      </c>
      <c r="K178" s="487">
        <v>85</v>
      </c>
      <c r="L178" s="487">
        <v>82</v>
      </c>
      <c r="M178" s="487">
        <v>91</v>
      </c>
      <c r="N178" s="487">
        <v>99</v>
      </c>
      <c r="O178" s="487">
        <v>101</v>
      </c>
      <c r="P178" s="488"/>
      <c r="Q178" s="517">
        <v>177</v>
      </c>
      <c r="R178" s="549" t="s">
        <v>52</v>
      </c>
      <c r="S178" s="176">
        <f t="shared" si="83"/>
        <v>61</v>
      </c>
      <c r="T178" s="176">
        <f t="shared" si="84"/>
        <v>137</v>
      </c>
      <c r="U178" s="176">
        <f t="shared" si="85"/>
        <v>212</v>
      </c>
      <c r="V178" s="176">
        <f t="shared" si="86"/>
        <v>300</v>
      </c>
      <c r="W178" s="176">
        <f t="shared" si="87"/>
        <v>387</v>
      </c>
      <c r="X178" s="176">
        <f t="shared" si="88"/>
        <v>461</v>
      </c>
      <c r="Y178" s="176">
        <f t="shared" si="89"/>
        <v>566</v>
      </c>
      <c r="Z178" s="176">
        <f t="shared" si="90"/>
        <v>651</v>
      </c>
      <c r="AA178" s="176">
        <f t="shared" si="91"/>
        <v>733</v>
      </c>
      <c r="AB178" s="176">
        <f t="shared" si="92"/>
        <v>824</v>
      </c>
      <c r="AC178" s="176">
        <f t="shared" si="93"/>
        <v>923</v>
      </c>
      <c r="AD178" s="462">
        <f t="shared" si="94"/>
        <v>1024</v>
      </c>
      <c r="AE178" s="469">
        <v>177</v>
      </c>
      <c r="AF178" s="492">
        <v>1023.3333333333333</v>
      </c>
    </row>
    <row r="179" spans="1:32" x14ac:dyDescent="0.35">
      <c r="B179" s="486">
        <v>178</v>
      </c>
      <c r="C179" s="548" t="s">
        <v>81</v>
      </c>
      <c r="D179" s="487">
        <v>17</v>
      </c>
      <c r="E179" s="487">
        <v>18</v>
      </c>
      <c r="F179" s="487">
        <v>20</v>
      </c>
      <c r="G179" s="487">
        <v>19</v>
      </c>
      <c r="H179" s="487">
        <v>19</v>
      </c>
      <c r="I179" s="487">
        <v>18</v>
      </c>
      <c r="J179" s="487">
        <v>26</v>
      </c>
      <c r="K179" s="487">
        <v>20</v>
      </c>
      <c r="L179" s="487">
        <v>21</v>
      </c>
      <c r="M179" s="487">
        <v>22</v>
      </c>
      <c r="N179" s="487">
        <v>18</v>
      </c>
      <c r="O179" s="487">
        <v>18</v>
      </c>
      <c r="P179" s="488"/>
      <c r="Q179" s="517">
        <v>178</v>
      </c>
      <c r="R179" s="549" t="s">
        <v>81</v>
      </c>
      <c r="S179" s="176">
        <f t="shared" si="83"/>
        <v>17</v>
      </c>
      <c r="T179" s="176">
        <f t="shared" si="84"/>
        <v>35</v>
      </c>
      <c r="U179" s="176">
        <f t="shared" si="85"/>
        <v>55</v>
      </c>
      <c r="V179" s="176">
        <f t="shared" si="86"/>
        <v>74</v>
      </c>
      <c r="W179" s="176">
        <f t="shared" si="87"/>
        <v>93</v>
      </c>
      <c r="X179" s="176">
        <f t="shared" si="88"/>
        <v>111</v>
      </c>
      <c r="Y179" s="176">
        <f t="shared" si="89"/>
        <v>137</v>
      </c>
      <c r="Z179" s="176">
        <f t="shared" si="90"/>
        <v>157</v>
      </c>
      <c r="AA179" s="176">
        <f t="shared" si="91"/>
        <v>178</v>
      </c>
      <c r="AB179" s="176">
        <f t="shared" si="92"/>
        <v>200</v>
      </c>
      <c r="AC179" s="176">
        <f t="shared" si="93"/>
        <v>218</v>
      </c>
      <c r="AD179" s="462">
        <f t="shared" si="94"/>
        <v>236</v>
      </c>
      <c r="AE179" s="469">
        <v>178</v>
      </c>
      <c r="AF179" s="492">
        <v>236.33333333333331</v>
      </c>
    </row>
    <row r="180" spans="1:32" x14ac:dyDescent="0.35">
      <c r="B180" s="485">
        <v>179</v>
      </c>
      <c r="C180" s="552" t="s">
        <v>76</v>
      </c>
      <c r="D180" s="494">
        <v>300</v>
      </c>
      <c r="E180" s="494">
        <v>305</v>
      </c>
      <c r="F180" s="494">
        <v>227</v>
      </c>
      <c r="G180" s="494">
        <v>250</v>
      </c>
      <c r="H180" s="494">
        <v>216</v>
      </c>
      <c r="I180" s="494">
        <v>177</v>
      </c>
      <c r="J180" s="494">
        <v>165</v>
      </c>
      <c r="K180" s="494">
        <v>136</v>
      </c>
      <c r="L180" s="494">
        <v>152</v>
      </c>
      <c r="M180" s="494">
        <v>154</v>
      </c>
      <c r="N180" s="494">
        <v>159</v>
      </c>
      <c r="O180" s="494">
        <v>169</v>
      </c>
      <c r="P180" s="488"/>
      <c r="Q180" s="517">
        <v>179</v>
      </c>
      <c r="R180" s="549" t="s">
        <v>76</v>
      </c>
      <c r="S180" s="176">
        <f t="shared" si="83"/>
        <v>300</v>
      </c>
      <c r="T180" s="176">
        <f t="shared" si="84"/>
        <v>605</v>
      </c>
      <c r="U180" s="176">
        <f t="shared" si="85"/>
        <v>832</v>
      </c>
      <c r="V180" s="176">
        <f t="shared" si="86"/>
        <v>1082</v>
      </c>
      <c r="W180" s="176">
        <f t="shared" si="87"/>
        <v>1298</v>
      </c>
      <c r="X180" s="176">
        <f t="shared" si="88"/>
        <v>1475</v>
      </c>
      <c r="Y180" s="176">
        <f t="shared" si="89"/>
        <v>1640</v>
      </c>
      <c r="Z180" s="176">
        <f t="shared" si="90"/>
        <v>1776</v>
      </c>
      <c r="AA180" s="176">
        <f t="shared" si="91"/>
        <v>1928</v>
      </c>
      <c r="AB180" s="176">
        <f t="shared" si="92"/>
        <v>2082</v>
      </c>
      <c r="AC180" s="176">
        <f t="shared" si="93"/>
        <v>2241</v>
      </c>
      <c r="AD180" s="462">
        <f t="shared" si="94"/>
        <v>2410</v>
      </c>
      <c r="AE180" s="491">
        <v>179</v>
      </c>
      <c r="AF180" s="492">
        <v>2409.3333333333335</v>
      </c>
    </row>
    <row r="181" spans="1:32" x14ac:dyDescent="0.35">
      <c r="B181" s="485">
        <v>180</v>
      </c>
      <c r="C181" s="552" t="s">
        <v>86</v>
      </c>
      <c r="D181" s="494">
        <v>38</v>
      </c>
      <c r="E181" s="494">
        <v>39</v>
      </c>
      <c r="F181" s="494">
        <v>34</v>
      </c>
      <c r="G181" s="494">
        <v>37</v>
      </c>
      <c r="H181" s="494">
        <v>28</v>
      </c>
      <c r="I181" s="494">
        <v>33</v>
      </c>
      <c r="J181" s="494">
        <v>30</v>
      </c>
      <c r="K181" s="494">
        <v>25</v>
      </c>
      <c r="L181" s="494">
        <v>25</v>
      </c>
      <c r="M181" s="494">
        <v>24</v>
      </c>
      <c r="N181" s="494">
        <v>24</v>
      </c>
      <c r="O181" s="494">
        <v>26</v>
      </c>
      <c r="P181" s="488"/>
      <c r="Q181" s="517">
        <v>180</v>
      </c>
      <c r="R181" s="549" t="s">
        <v>86</v>
      </c>
      <c r="S181" s="176">
        <f t="shared" si="83"/>
        <v>38</v>
      </c>
      <c r="T181" s="176">
        <f t="shared" si="84"/>
        <v>77</v>
      </c>
      <c r="U181" s="176">
        <f t="shared" si="85"/>
        <v>111</v>
      </c>
      <c r="V181" s="176">
        <f t="shared" si="86"/>
        <v>148</v>
      </c>
      <c r="W181" s="176">
        <f t="shared" si="87"/>
        <v>176</v>
      </c>
      <c r="X181" s="176">
        <f t="shared" si="88"/>
        <v>209</v>
      </c>
      <c r="Y181" s="176">
        <f t="shared" si="89"/>
        <v>239</v>
      </c>
      <c r="Z181" s="176">
        <f t="shared" si="90"/>
        <v>264</v>
      </c>
      <c r="AA181" s="176">
        <f t="shared" si="91"/>
        <v>289</v>
      </c>
      <c r="AB181" s="176">
        <f t="shared" si="92"/>
        <v>313</v>
      </c>
      <c r="AC181" s="176">
        <f t="shared" si="93"/>
        <v>337</v>
      </c>
      <c r="AD181" s="462">
        <f t="shared" si="94"/>
        <v>363</v>
      </c>
      <c r="AE181" s="469">
        <v>180</v>
      </c>
      <c r="AF181" s="492">
        <v>363.66666666666674</v>
      </c>
    </row>
    <row r="182" spans="1:32" x14ac:dyDescent="0.35">
      <c r="B182" s="485">
        <v>181</v>
      </c>
      <c r="C182" s="552" t="s">
        <v>88</v>
      </c>
      <c r="D182" s="494">
        <v>185</v>
      </c>
      <c r="E182" s="494">
        <v>216</v>
      </c>
      <c r="F182" s="494">
        <v>163</v>
      </c>
      <c r="G182" s="494">
        <v>185</v>
      </c>
      <c r="H182" s="494">
        <v>168</v>
      </c>
      <c r="I182" s="494">
        <v>127</v>
      </c>
      <c r="J182" s="494">
        <v>121</v>
      </c>
      <c r="K182" s="494">
        <v>95</v>
      </c>
      <c r="L182" s="494">
        <v>107</v>
      </c>
      <c r="M182" s="494">
        <v>100</v>
      </c>
      <c r="N182" s="494">
        <v>111</v>
      </c>
      <c r="O182" s="494">
        <v>118</v>
      </c>
      <c r="P182" s="488"/>
      <c r="Q182" s="517">
        <v>181</v>
      </c>
      <c r="R182" s="549" t="s">
        <v>88</v>
      </c>
      <c r="S182" s="176">
        <f t="shared" si="83"/>
        <v>185</v>
      </c>
      <c r="T182" s="176">
        <f t="shared" si="84"/>
        <v>401</v>
      </c>
      <c r="U182" s="176">
        <f t="shared" si="85"/>
        <v>564</v>
      </c>
      <c r="V182" s="176">
        <f t="shared" si="86"/>
        <v>749</v>
      </c>
      <c r="W182" s="176">
        <f t="shared" si="87"/>
        <v>917</v>
      </c>
      <c r="X182" s="176">
        <f t="shared" si="88"/>
        <v>1044</v>
      </c>
      <c r="Y182" s="176">
        <f t="shared" si="89"/>
        <v>1165</v>
      </c>
      <c r="Z182" s="176">
        <f t="shared" si="90"/>
        <v>1260</v>
      </c>
      <c r="AA182" s="176">
        <f t="shared" si="91"/>
        <v>1367</v>
      </c>
      <c r="AB182" s="176">
        <f t="shared" si="92"/>
        <v>1467</v>
      </c>
      <c r="AC182" s="176">
        <f t="shared" si="93"/>
        <v>1578</v>
      </c>
      <c r="AD182" s="462">
        <f t="shared" si="94"/>
        <v>1696</v>
      </c>
      <c r="AE182" s="469">
        <v>181</v>
      </c>
      <c r="AF182" s="492">
        <v>1697.333333333333</v>
      </c>
    </row>
    <row r="183" spans="1:32" x14ac:dyDescent="0.35">
      <c r="B183" s="485">
        <v>182</v>
      </c>
      <c r="C183" s="552" t="s">
        <v>87</v>
      </c>
      <c r="D183" s="494">
        <v>77</v>
      </c>
      <c r="E183" s="494">
        <v>50</v>
      </c>
      <c r="F183" s="494">
        <v>29</v>
      </c>
      <c r="G183" s="494">
        <v>28</v>
      </c>
      <c r="H183" s="494">
        <v>20</v>
      </c>
      <c r="I183" s="494">
        <v>16</v>
      </c>
      <c r="J183" s="494">
        <v>14</v>
      </c>
      <c r="K183" s="494">
        <v>16</v>
      </c>
      <c r="L183" s="494">
        <v>20</v>
      </c>
      <c r="M183" s="494">
        <v>30</v>
      </c>
      <c r="N183" s="494">
        <v>24</v>
      </c>
      <c r="O183" s="494">
        <v>26</v>
      </c>
      <c r="P183" s="488"/>
      <c r="Q183" s="517">
        <v>182</v>
      </c>
      <c r="R183" s="549" t="s">
        <v>87</v>
      </c>
      <c r="S183" s="176">
        <f t="shared" si="83"/>
        <v>77</v>
      </c>
      <c r="T183" s="176">
        <f t="shared" si="84"/>
        <v>127</v>
      </c>
      <c r="U183" s="176">
        <f t="shared" si="85"/>
        <v>156</v>
      </c>
      <c r="V183" s="176">
        <f t="shared" si="86"/>
        <v>184</v>
      </c>
      <c r="W183" s="176">
        <f t="shared" si="87"/>
        <v>204</v>
      </c>
      <c r="X183" s="176">
        <f t="shared" si="88"/>
        <v>220</v>
      </c>
      <c r="Y183" s="176">
        <f t="shared" si="89"/>
        <v>234</v>
      </c>
      <c r="Z183" s="176">
        <f t="shared" si="90"/>
        <v>250</v>
      </c>
      <c r="AA183" s="176">
        <f t="shared" si="91"/>
        <v>270</v>
      </c>
      <c r="AB183" s="176">
        <f t="shared" si="92"/>
        <v>300</v>
      </c>
      <c r="AC183" s="176">
        <f t="shared" si="93"/>
        <v>324</v>
      </c>
      <c r="AD183" s="462">
        <f t="shared" si="94"/>
        <v>350</v>
      </c>
      <c r="AE183" s="491">
        <v>182</v>
      </c>
      <c r="AF183" s="492">
        <v>348.33333333333331</v>
      </c>
    </row>
    <row r="184" spans="1:32" x14ac:dyDescent="0.35">
      <c r="B184" s="486">
        <v>183</v>
      </c>
      <c r="C184" s="548" t="s">
        <v>90</v>
      </c>
      <c r="D184" s="498">
        <v>8</v>
      </c>
      <c r="E184" s="498">
        <v>7</v>
      </c>
      <c r="F184" s="498">
        <v>3</v>
      </c>
      <c r="G184" s="498">
        <v>7</v>
      </c>
      <c r="H184" s="498">
        <v>7</v>
      </c>
      <c r="I184" s="498">
        <v>4</v>
      </c>
      <c r="J184" s="498">
        <v>1</v>
      </c>
      <c r="K184" s="498">
        <v>2</v>
      </c>
      <c r="L184" s="498">
        <v>2</v>
      </c>
      <c r="M184" s="498">
        <v>1</v>
      </c>
      <c r="N184" s="498">
        <v>2</v>
      </c>
      <c r="O184" s="498">
        <v>5</v>
      </c>
      <c r="P184" s="488"/>
      <c r="Q184" s="517">
        <v>183</v>
      </c>
      <c r="R184" s="549" t="s">
        <v>90</v>
      </c>
      <c r="S184" s="176">
        <f t="shared" si="83"/>
        <v>8</v>
      </c>
      <c r="T184" s="176">
        <f t="shared" si="84"/>
        <v>15</v>
      </c>
      <c r="U184" s="176">
        <f t="shared" si="85"/>
        <v>18</v>
      </c>
      <c r="V184" s="176">
        <f t="shared" si="86"/>
        <v>25</v>
      </c>
      <c r="W184" s="176">
        <f t="shared" si="87"/>
        <v>32</v>
      </c>
      <c r="X184" s="176">
        <f t="shared" si="88"/>
        <v>36</v>
      </c>
      <c r="Y184" s="176">
        <f t="shared" si="89"/>
        <v>37</v>
      </c>
      <c r="Z184" s="176">
        <f t="shared" si="90"/>
        <v>39</v>
      </c>
      <c r="AA184" s="176">
        <f t="shared" si="91"/>
        <v>41</v>
      </c>
      <c r="AB184" s="176">
        <f t="shared" si="92"/>
        <v>42</v>
      </c>
      <c r="AC184" s="176">
        <f t="shared" si="93"/>
        <v>44</v>
      </c>
      <c r="AD184" s="462">
        <f t="shared" si="94"/>
        <v>49</v>
      </c>
      <c r="AE184" s="469">
        <v>183</v>
      </c>
      <c r="AF184" s="492">
        <v>48.333333333333329</v>
      </c>
    </row>
    <row r="185" spans="1:32" x14ac:dyDescent="0.35">
      <c r="A185" s="227" t="s">
        <v>128</v>
      </c>
      <c r="B185" s="485">
        <v>184</v>
      </c>
      <c r="C185" s="548" t="s">
        <v>89</v>
      </c>
      <c r="D185" s="494">
        <v>3</v>
      </c>
      <c r="E185" s="494">
        <v>6</v>
      </c>
      <c r="F185" s="494">
        <v>6</v>
      </c>
      <c r="G185" s="494">
        <v>4</v>
      </c>
      <c r="H185" s="494">
        <v>7</v>
      </c>
      <c r="I185" s="494">
        <v>6</v>
      </c>
      <c r="J185" s="494">
        <v>1</v>
      </c>
      <c r="K185" s="494">
        <v>6</v>
      </c>
      <c r="L185" s="494">
        <v>5</v>
      </c>
      <c r="M185" s="494">
        <v>3</v>
      </c>
      <c r="N185" s="494">
        <v>3</v>
      </c>
      <c r="O185" s="494">
        <v>2</v>
      </c>
      <c r="P185" s="488"/>
      <c r="Q185" s="517">
        <v>184</v>
      </c>
      <c r="R185" s="549" t="s">
        <v>89</v>
      </c>
      <c r="S185" s="176">
        <f t="shared" si="83"/>
        <v>3</v>
      </c>
      <c r="T185" s="176">
        <f t="shared" si="84"/>
        <v>9</v>
      </c>
      <c r="U185" s="176">
        <f t="shared" si="85"/>
        <v>15</v>
      </c>
      <c r="V185" s="176">
        <f t="shared" si="86"/>
        <v>19</v>
      </c>
      <c r="W185" s="176">
        <f t="shared" si="87"/>
        <v>26</v>
      </c>
      <c r="X185" s="176">
        <f t="shared" si="88"/>
        <v>32</v>
      </c>
      <c r="Y185" s="176">
        <f t="shared" si="89"/>
        <v>33</v>
      </c>
      <c r="Z185" s="176">
        <f t="shared" si="90"/>
        <v>39</v>
      </c>
      <c r="AA185" s="176">
        <f t="shared" si="91"/>
        <v>44</v>
      </c>
      <c r="AB185" s="176">
        <f t="shared" si="92"/>
        <v>47</v>
      </c>
      <c r="AC185" s="176">
        <f t="shared" si="93"/>
        <v>50</v>
      </c>
      <c r="AD185" s="462">
        <f t="shared" si="94"/>
        <v>52</v>
      </c>
      <c r="AE185" s="469">
        <v>184</v>
      </c>
      <c r="AF185" s="492">
        <v>52.333333333333336</v>
      </c>
    </row>
    <row r="186" spans="1:32" x14ac:dyDescent="0.35">
      <c r="B186" s="485">
        <v>185</v>
      </c>
      <c r="C186" s="548" t="s">
        <v>66</v>
      </c>
      <c r="D186" s="494">
        <v>0</v>
      </c>
      <c r="E186" s="494">
        <v>0</v>
      </c>
      <c r="F186" s="494">
        <v>1</v>
      </c>
      <c r="G186" s="494">
        <v>1</v>
      </c>
      <c r="H186" s="494">
        <v>0</v>
      </c>
      <c r="I186" s="494">
        <v>0</v>
      </c>
      <c r="J186" s="494">
        <v>0</v>
      </c>
      <c r="K186" s="494">
        <v>0</v>
      </c>
      <c r="L186" s="494">
        <v>0</v>
      </c>
      <c r="M186" s="494">
        <v>0</v>
      </c>
      <c r="N186" s="494">
        <v>0</v>
      </c>
      <c r="O186" s="494">
        <v>0</v>
      </c>
      <c r="P186" s="488"/>
      <c r="Q186" s="517">
        <v>185</v>
      </c>
      <c r="R186" s="549" t="s">
        <v>66</v>
      </c>
      <c r="S186" s="176">
        <f t="shared" si="83"/>
        <v>0</v>
      </c>
      <c r="T186" s="176">
        <f t="shared" si="84"/>
        <v>0</v>
      </c>
      <c r="U186" s="176">
        <f t="shared" si="85"/>
        <v>1</v>
      </c>
      <c r="V186" s="176">
        <f t="shared" si="86"/>
        <v>2</v>
      </c>
      <c r="W186" s="176">
        <f t="shared" si="87"/>
        <v>2</v>
      </c>
      <c r="X186" s="176">
        <f t="shared" si="88"/>
        <v>2</v>
      </c>
      <c r="Y186" s="176">
        <f t="shared" si="89"/>
        <v>2</v>
      </c>
      <c r="Z186" s="176">
        <f t="shared" si="90"/>
        <v>2</v>
      </c>
      <c r="AA186" s="176">
        <f t="shared" si="91"/>
        <v>2</v>
      </c>
      <c r="AB186" s="176">
        <f t="shared" si="92"/>
        <v>2</v>
      </c>
      <c r="AC186" s="176">
        <f t="shared" si="93"/>
        <v>2</v>
      </c>
      <c r="AD186" s="462">
        <f t="shared" si="94"/>
        <v>2</v>
      </c>
      <c r="AE186" s="469">
        <v>185</v>
      </c>
      <c r="AF186" s="492">
        <v>4.333333333333333</v>
      </c>
    </row>
    <row r="187" spans="1:32" x14ac:dyDescent="0.35">
      <c r="B187" s="485">
        <v>186</v>
      </c>
      <c r="C187" s="548" t="s">
        <v>67</v>
      </c>
      <c r="D187" s="494">
        <v>3</v>
      </c>
      <c r="E187" s="494">
        <v>5</v>
      </c>
      <c r="F187" s="494">
        <v>5</v>
      </c>
      <c r="G187" s="494">
        <v>3</v>
      </c>
      <c r="H187" s="494">
        <v>6</v>
      </c>
      <c r="I187" s="494">
        <v>6</v>
      </c>
      <c r="J187" s="494">
        <v>1</v>
      </c>
      <c r="K187" s="494">
        <v>6</v>
      </c>
      <c r="L187" s="494">
        <v>5</v>
      </c>
      <c r="M187" s="494">
        <v>3</v>
      </c>
      <c r="N187" s="494">
        <v>2</v>
      </c>
      <c r="O187" s="494">
        <v>1</v>
      </c>
      <c r="P187" s="488"/>
      <c r="Q187" s="517">
        <v>186</v>
      </c>
      <c r="R187" s="549" t="s">
        <v>67</v>
      </c>
      <c r="S187" s="176">
        <f t="shared" si="83"/>
        <v>3</v>
      </c>
      <c r="T187" s="176">
        <f t="shared" si="84"/>
        <v>8</v>
      </c>
      <c r="U187" s="176">
        <f t="shared" si="85"/>
        <v>13</v>
      </c>
      <c r="V187" s="176">
        <f t="shared" si="86"/>
        <v>16</v>
      </c>
      <c r="W187" s="176">
        <f t="shared" si="87"/>
        <v>22</v>
      </c>
      <c r="X187" s="176">
        <f t="shared" si="88"/>
        <v>28</v>
      </c>
      <c r="Y187" s="176">
        <f t="shared" si="89"/>
        <v>29</v>
      </c>
      <c r="Z187" s="176">
        <f t="shared" si="90"/>
        <v>35</v>
      </c>
      <c r="AA187" s="176">
        <f t="shared" si="91"/>
        <v>40</v>
      </c>
      <c r="AB187" s="176">
        <f t="shared" si="92"/>
        <v>43</v>
      </c>
      <c r="AC187" s="176">
        <f t="shared" si="93"/>
        <v>45</v>
      </c>
      <c r="AD187" s="462">
        <f t="shared" si="94"/>
        <v>46</v>
      </c>
      <c r="AE187" s="469">
        <v>186</v>
      </c>
      <c r="AF187" s="492">
        <v>48</v>
      </c>
    </row>
    <row r="188" spans="1:32" ht="23" x14ac:dyDescent="0.5">
      <c r="B188" s="485">
        <v>187</v>
      </c>
      <c r="C188" s="553" t="s">
        <v>60</v>
      </c>
      <c r="D188" s="487"/>
      <c r="E188" s="487"/>
      <c r="F188" s="487"/>
      <c r="G188" s="487"/>
      <c r="H188" s="487"/>
      <c r="I188" s="487"/>
      <c r="J188" s="487"/>
      <c r="K188" s="487"/>
      <c r="L188" s="487"/>
      <c r="M188" s="487"/>
      <c r="N188" s="487"/>
      <c r="O188" s="487"/>
      <c r="P188" s="488"/>
      <c r="Q188" s="517">
        <v>187</v>
      </c>
      <c r="R188" s="553" t="s">
        <v>60</v>
      </c>
      <c r="S188" s="489"/>
      <c r="T188" s="489"/>
      <c r="U188" s="489"/>
      <c r="V188" s="489"/>
      <c r="W188" s="489"/>
      <c r="X188" s="489"/>
      <c r="Y188" s="489"/>
      <c r="Z188" s="489"/>
      <c r="AA188" s="489"/>
      <c r="AB188" s="489"/>
      <c r="AC188" s="489"/>
      <c r="AD188" s="490"/>
      <c r="AE188" s="491">
        <v>187</v>
      </c>
      <c r="AF188" s="492"/>
    </row>
    <row r="189" spans="1:32" x14ac:dyDescent="0.35">
      <c r="B189" s="486">
        <v>188</v>
      </c>
      <c r="C189" s="554" t="s">
        <v>56</v>
      </c>
      <c r="D189" s="432" t="s">
        <v>386</v>
      </c>
      <c r="E189" s="432" t="s">
        <v>387</v>
      </c>
      <c r="F189" s="432" t="s">
        <v>388</v>
      </c>
      <c r="G189" s="432" t="s">
        <v>389</v>
      </c>
      <c r="H189" s="432" t="s">
        <v>390</v>
      </c>
      <c r="I189" s="432" t="s">
        <v>391</v>
      </c>
      <c r="J189" s="432" t="s">
        <v>392</v>
      </c>
      <c r="K189" s="432" t="s">
        <v>393</v>
      </c>
      <c r="L189" s="432" t="s">
        <v>394</v>
      </c>
      <c r="M189" s="432" t="s">
        <v>395</v>
      </c>
      <c r="N189" s="432" t="s">
        <v>396</v>
      </c>
      <c r="O189" s="460" t="s">
        <v>397</v>
      </c>
      <c r="P189" s="488"/>
      <c r="Q189" s="517">
        <v>188</v>
      </c>
      <c r="R189" s="555" t="s">
        <v>56</v>
      </c>
      <c r="S189" s="501" t="s">
        <v>19</v>
      </c>
      <c r="T189" s="501" t="s">
        <v>20</v>
      </c>
      <c r="U189" s="501" t="s">
        <v>21</v>
      </c>
      <c r="V189" s="501" t="s">
        <v>22</v>
      </c>
      <c r="W189" s="501" t="s">
        <v>23</v>
      </c>
      <c r="X189" s="501" t="s">
        <v>24</v>
      </c>
      <c r="Y189" s="501" t="s">
        <v>25</v>
      </c>
      <c r="Z189" s="501" t="s">
        <v>26</v>
      </c>
      <c r="AA189" s="501" t="s">
        <v>27</v>
      </c>
      <c r="AB189" s="501" t="s">
        <v>28</v>
      </c>
      <c r="AC189" s="501" t="s">
        <v>29</v>
      </c>
      <c r="AD189" s="502" t="s">
        <v>30</v>
      </c>
      <c r="AE189" s="469">
        <v>188</v>
      </c>
      <c r="AF189" s="492">
        <v>0</v>
      </c>
    </row>
    <row r="190" spans="1:32" x14ac:dyDescent="0.35">
      <c r="B190" s="485">
        <v>189</v>
      </c>
      <c r="C190" s="554" t="s">
        <v>33</v>
      </c>
      <c r="D190" s="487">
        <v>578</v>
      </c>
      <c r="E190" s="487">
        <v>599</v>
      </c>
      <c r="F190" s="487">
        <v>637</v>
      </c>
      <c r="G190" s="487">
        <v>683</v>
      </c>
      <c r="H190" s="487">
        <v>655</v>
      </c>
      <c r="I190" s="487">
        <v>624</v>
      </c>
      <c r="J190" s="487">
        <v>638</v>
      </c>
      <c r="K190" s="487">
        <v>579</v>
      </c>
      <c r="L190" s="487">
        <v>577</v>
      </c>
      <c r="M190" s="487">
        <v>554</v>
      </c>
      <c r="N190" s="487">
        <v>548</v>
      </c>
      <c r="O190" s="487">
        <v>604</v>
      </c>
      <c r="P190" s="488"/>
      <c r="Q190" s="517">
        <v>189</v>
      </c>
      <c r="R190" s="555" t="s">
        <v>33</v>
      </c>
      <c r="S190" s="176">
        <f t="shared" ref="S190" si="95">D190</f>
        <v>578</v>
      </c>
      <c r="T190" s="176">
        <f t="shared" ref="T190" si="96">S190+E190</f>
        <v>1177</v>
      </c>
      <c r="U190" s="176">
        <f t="shared" ref="U190" si="97">T190+F190</f>
        <v>1814</v>
      </c>
      <c r="V190" s="176">
        <f t="shared" ref="V190" si="98">U190+G190</f>
        <v>2497</v>
      </c>
      <c r="W190" s="176">
        <f t="shared" ref="W190" si="99">V190+H190</f>
        <v>3152</v>
      </c>
      <c r="X190" s="176">
        <f t="shared" ref="X190" si="100">W190+I190</f>
        <v>3776</v>
      </c>
      <c r="Y190" s="176">
        <f t="shared" ref="Y190" si="101">X190+J190</f>
        <v>4414</v>
      </c>
      <c r="Z190" s="176">
        <f t="shared" ref="Z190" si="102">Y190+K190</f>
        <v>4993</v>
      </c>
      <c r="AA190" s="176">
        <f t="shared" ref="AA190" si="103">Z190+L190</f>
        <v>5570</v>
      </c>
      <c r="AB190" s="176">
        <f t="shared" ref="AB190" si="104">AA190+M190</f>
        <v>6124</v>
      </c>
      <c r="AC190" s="176">
        <f t="shared" ref="AC190" si="105">AB190+N190</f>
        <v>6672</v>
      </c>
      <c r="AD190" s="462">
        <f t="shared" ref="AD190" si="106">AC190+O190</f>
        <v>7276</v>
      </c>
      <c r="AE190" s="469">
        <v>189</v>
      </c>
      <c r="AF190" s="492">
        <v>7276.9999999999991</v>
      </c>
    </row>
    <row r="191" spans="1:32" x14ac:dyDescent="0.35">
      <c r="B191" s="485">
        <v>190</v>
      </c>
      <c r="C191" s="554" t="s">
        <v>39</v>
      </c>
      <c r="D191" s="487">
        <v>49</v>
      </c>
      <c r="E191" s="487">
        <v>63</v>
      </c>
      <c r="F191" s="487">
        <v>61</v>
      </c>
      <c r="G191" s="487">
        <v>69</v>
      </c>
      <c r="H191" s="487">
        <v>53</v>
      </c>
      <c r="I191" s="487">
        <v>52</v>
      </c>
      <c r="J191" s="487">
        <v>64</v>
      </c>
      <c r="K191" s="487">
        <v>46</v>
      </c>
      <c r="L191" s="487">
        <v>64</v>
      </c>
      <c r="M191" s="487">
        <v>44</v>
      </c>
      <c r="N191" s="487">
        <v>45</v>
      </c>
      <c r="O191" s="487">
        <v>49</v>
      </c>
      <c r="P191" s="488"/>
      <c r="Q191" s="517">
        <v>190</v>
      </c>
      <c r="R191" s="555" t="s">
        <v>39</v>
      </c>
      <c r="S191" s="176">
        <f t="shared" ref="S191:S235" si="107">D191</f>
        <v>49</v>
      </c>
      <c r="T191" s="176">
        <f t="shared" ref="T191:T235" si="108">S191+E191</f>
        <v>112</v>
      </c>
      <c r="U191" s="176">
        <f t="shared" ref="U191:U235" si="109">T191+F191</f>
        <v>173</v>
      </c>
      <c r="V191" s="176">
        <f t="shared" ref="V191:V235" si="110">U191+G191</f>
        <v>242</v>
      </c>
      <c r="W191" s="176">
        <f t="shared" ref="W191:W235" si="111">V191+H191</f>
        <v>295</v>
      </c>
      <c r="X191" s="176">
        <f t="shared" ref="X191:X235" si="112">W191+I191</f>
        <v>347</v>
      </c>
      <c r="Y191" s="176">
        <f t="shared" ref="Y191:Y235" si="113">X191+J191</f>
        <v>411</v>
      </c>
      <c r="Z191" s="176">
        <f t="shared" ref="Z191:Z235" si="114">Y191+K191</f>
        <v>457</v>
      </c>
      <c r="AA191" s="176">
        <f t="shared" ref="AA191:AA235" si="115">Z191+L191</f>
        <v>521</v>
      </c>
      <c r="AB191" s="176">
        <f t="shared" ref="AB191:AB235" si="116">AA191+M191</f>
        <v>565</v>
      </c>
      <c r="AC191" s="176">
        <f t="shared" ref="AC191:AC235" si="117">AB191+N191</f>
        <v>610</v>
      </c>
      <c r="AD191" s="462">
        <f t="shared" ref="AD191:AD235" si="118">AC191+O191</f>
        <v>659</v>
      </c>
      <c r="AE191" s="491">
        <v>190</v>
      </c>
      <c r="AF191" s="492">
        <v>659.66666666666663</v>
      </c>
    </row>
    <row r="192" spans="1:32" x14ac:dyDescent="0.35">
      <c r="B192" s="485">
        <v>191</v>
      </c>
      <c r="C192" s="554" t="s">
        <v>40</v>
      </c>
      <c r="D192" s="487">
        <v>118</v>
      </c>
      <c r="E192" s="487">
        <v>119</v>
      </c>
      <c r="F192" s="487">
        <v>144</v>
      </c>
      <c r="G192" s="487">
        <v>147</v>
      </c>
      <c r="H192" s="487">
        <v>141</v>
      </c>
      <c r="I192" s="487">
        <v>134</v>
      </c>
      <c r="J192" s="487">
        <v>138</v>
      </c>
      <c r="K192" s="487">
        <v>141</v>
      </c>
      <c r="L192" s="487">
        <v>125</v>
      </c>
      <c r="M192" s="487">
        <v>123</v>
      </c>
      <c r="N192" s="487">
        <v>124</v>
      </c>
      <c r="O192" s="487">
        <v>143</v>
      </c>
      <c r="P192" s="488"/>
      <c r="Q192" s="517">
        <v>191</v>
      </c>
      <c r="R192" s="555" t="s">
        <v>40</v>
      </c>
      <c r="S192" s="176">
        <f t="shared" si="107"/>
        <v>118</v>
      </c>
      <c r="T192" s="176">
        <f t="shared" si="108"/>
        <v>237</v>
      </c>
      <c r="U192" s="176">
        <f t="shared" si="109"/>
        <v>381</v>
      </c>
      <c r="V192" s="176">
        <f t="shared" si="110"/>
        <v>528</v>
      </c>
      <c r="W192" s="176">
        <f t="shared" si="111"/>
        <v>669</v>
      </c>
      <c r="X192" s="176">
        <f t="shared" si="112"/>
        <v>803</v>
      </c>
      <c r="Y192" s="176">
        <f t="shared" si="113"/>
        <v>941</v>
      </c>
      <c r="Z192" s="176">
        <f t="shared" si="114"/>
        <v>1082</v>
      </c>
      <c r="AA192" s="176">
        <f t="shared" si="115"/>
        <v>1207</v>
      </c>
      <c r="AB192" s="176">
        <f t="shared" si="116"/>
        <v>1330</v>
      </c>
      <c r="AC192" s="176">
        <f t="shared" si="117"/>
        <v>1454</v>
      </c>
      <c r="AD192" s="462">
        <f t="shared" si="118"/>
        <v>1597</v>
      </c>
      <c r="AE192" s="469">
        <v>191</v>
      </c>
      <c r="AF192" s="492">
        <v>1597.3333333333333</v>
      </c>
    </row>
    <row r="193" spans="2:32" x14ac:dyDescent="0.35">
      <c r="B193" s="485">
        <v>192</v>
      </c>
      <c r="C193" s="554" t="s">
        <v>5</v>
      </c>
      <c r="D193" s="487">
        <v>5</v>
      </c>
      <c r="E193" s="487">
        <v>7</v>
      </c>
      <c r="F193" s="487">
        <v>7</v>
      </c>
      <c r="G193" s="487">
        <v>6</v>
      </c>
      <c r="H193" s="487">
        <v>9</v>
      </c>
      <c r="I193" s="487">
        <v>6</v>
      </c>
      <c r="J193" s="487">
        <v>7</v>
      </c>
      <c r="K193" s="487">
        <v>4</v>
      </c>
      <c r="L193" s="487">
        <v>6</v>
      </c>
      <c r="M193" s="487">
        <v>5</v>
      </c>
      <c r="N193" s="487">
        <v>6</v>
      </c>
      <c r="O193" s="487">
        <v>6</v>
      </c>
      <c r="P193" s="488"/>
      <c r="Q193" s="517">
        <v>192</v>
      </c>
      <c r="R193" s="555" t="s">
        <v>5</v>
      </c>
      <c r="S193" s="176">
        <f t="shared" si="107"/>
        <v>5</v>
      </c>
      <c r="T193" s="176">
        <f t="shared" si="108"/>
        <v>12</v>
      </c>
      <c r="U193" s="176">
        <f t="shared" si="109"/>
        <v>19</v>
      </c>
      <c r="V193" s="176">
        <f t="shared" si="110"/>
        <v>25</v>
      </c>
      <c r="W193" s="176">
        <f t="shared" si="111"/>
        <v>34</v>
      </c>
      <c r="X193" s="176">
        <f t="shared" si="112"/>
        <v>40</v>
      </c>
      <c r="Y193" s="176">
        <f t="shared" si="113"/>
        <v>47</v>
      </c>
      <c r="Z193" s="176">
        <f t="shared" si="114"/>
        <v>51</v>
      </c>
      <c r="AA193" s="176">
        <f t="shared" si="115"/>
        <v>57</v>
      </c>
      <c r="AB193" s="176">
        <f t="shared" si="116"/>
        <v>62</v>
      </c>
      <c r="AC193" s="176">
        <f t="shared" si="117"/>
        <v>68</v>
      </c>
      <c r="AD193" s="462">
        <f t="shared" si="118"/>
        <v>74</v>
      </c>
      <c r="AE193" s="469">
        <v>192</v>
      </c>
      <c r="AF193" s="492">
        <v>72</v>
      </c>
    </row>
    <row r="194" spans="2:32" x14ac:dyDescent="0.35">
      <c r="B194" s="486">
        <v>193</v>
      </c>
      <c r="C194" s="554" t="s">
        <v>35</v>
      </c>
      <c r="D194" s="487">
        <v>12</v>
      </c>
      <c r="E194" s="487">
        <v>13</v>
      </c>
      <c r="F194" s="487">
        <v>10</v>
      </c>
      <c r="G194" s="487">
        <v>16</v>
      </c>
      <c r="H194" s="487">
        <v>14</v>
      </c>
      <c r="I194" s="487">
        <v>16</v>
      </c>
      <c r="J194" s="487">
        <v>12</v>
      </c>
      <c r="K194" s="487">
        <v>11</v>
      </c>
      <c r="L194" s="487">
        <v>10</v>
      </c>
      <c r="M194" s="487">
        <v>13</v>
      </c>
      <c r="N194" s="487">
        <v>12</v>
      </c>
      <c r="O194" s="487">
        <v>12</v>
      </c>
      <c r="P194" s="488"/>
      <c r="Q194" s="517">
        <v>193</v>
      </c>
      <c r="R194" s="555" t="s">
        <v>35</v>
      </c>
      <c r="S194" s="176">
        <f t="shared" si="107"/>
        <v>12</v>
      </c>
      <c r="T194" s="176">
        <f t="shared" si="108"/>
        <v>25</v>
      </c>
      <c r="U194" s="176">
        <f t="shared" si="109"/>
        <v>35</v>
      </c>
      <c r="V194" s="176">
        <f t="shared" si="110"/>
        <v>51</v>
      </c>
      <c r="W194" s="176">
        <f t="shared" si="111"/>
        <v>65</v>
      </c>
      <c r="X194" s="176">
        <f t="shared" si="112"/>
        <v>81</v>
      </c>
      <c r="Y194" s="176">
        <f t="shared" si="113"/>
        <v>93</v>
      </c>
      <c r="Z194" s="176">
        <f t="shared" si="114"/>
        <v>104</v>
      </c>
      <c r="AA194" s="176">
        <f t="shared" si="115"/>
        <v>114</v>
      </c>
      <c r="AB194" s="176">
        <f t="shared" si="116"/>
        <v>127</v>
      </c>
      <c r="AC194" s="176">
        <f t="shared" si="117"/>
        <v>139</v>
      </c>
      <c r="AD194" s="462">
        <f t="shared" si="118"/>
        <v>151</v>
      </c>
      <c r="AE194" s="469">
        <v>193</v>
      </c>
      <c r="AF194" s="492">
        <v>151</v>
      </c>
    </row>
    <row r="195" spans="2:32" x14ac:dyDescent="0.35">
      <c r="B195" s="485">
        <v>194</v>
      </c>
      <c r="C195" s="554" t="s">
        <v>36</v>
      </c>
      <c r="D195" s="487">
        <v>0</v>
      </c>
      <c r="E195" s="487">
        <v>1</v>
      </c>
      <c r="F195" s="487">
        <v>2</v>
      </c>
      <c r="G195" s="487">
        <v>2</v>
      </c>
      <c r="H195" s="487">
        <v>1</v>
      </c>
      <c r="I195" s="487">
        <v>1</v>
      </c>
      <c r="J195" s="487">
        <v>2</v>
      </c>
      <c r="K195" s="487">
        <v>0</v>
      </c>
      <c r="L195" s="487">
        <v>1</v>
      </c>
      <c r="M195" s="487">
        <v>1</v>
      </c>
      <c r="N195" s="487">
        <v>2</v>
      </c>
      <c r="O195" s="487">
        <v>1</v>
      </c>
      <c r="P195" s="488"/>
      <c r="Q195" s="517">
        <v>194</v>
      </c>
      <c r="R195" s="555" t="s">
        <v>36</v>
      </c>
      <c r="S195" s="176">
        <f t="shared" si="107"/>
        <v>0</v>
      </c>
      <c r="T195" s="176">
        <f t="shared" si="108"/>
        <v>1</v>
      </c>
      <c r="U195" s="176">
        <f t="shared" si="109"/>
        <v>3</v>
      </c>
      <c r="V195" s="176">
        <f t="shared" si="110"/>
        <v>5</v>
      </c>
      <c r="W195" s="176">
        <f t="shared" si="111"/>
        <v>6</v>
      </c>
      <c r="X195" s="176">
        <f t="shared" si="112"/>
        <v>7</v>
      </c>
      <c r="Y195" s="176">
        <f t="shared" si="113"/>
        <v>9</v>
      </c>
      <c r="Z195" s="176">
        <f t="shared" si="114"/>
        <v>9</v>
      </c>
      <c r="AA195" s="176">
        <f t="shared" si="115"/>
        <v>10</v>
      </c>
      <c r="AB195" s="176">
        <f t="shared" si="116"/>
        <v>11</v>
      </c>
      <c r="AC195" s="176">
        <f t="shared" si="117"/>
        <v>13</v>
      </c>
      <c r="AD195" s="462">
        <f t="shared" si="118"/>
        <v>14</v>
      </c>
      <c r="AE195" s="469">
        <v>194</v>
      </c>
      <c r="AF195" s="492">
        <v>13</v>
      </c>
    </row>
    <row r="196" spans="2:32" x14ac:dyDescent="0.35">
      <c r="B196" s="485">
        <v>195</v>
      </c>
      <c r="C196" s="554" t="s">
        <v>37</v>
      </c>
      <c r="D196" s="487">
        <v>6</v>
      </c>
      <c r="E196" s="487">
        <v>4</v>
      </c>
      <c r="F196" s="487">
        <v>5</v>
      </c>
      <c r="G196" s="487">
        <v>3</v>
      </c>
      <c r="H196" s="487">
        <v>5</v>
      </c>
      <c r="I196" s="487">
        <v>3</v>
      </c>
      <c r="J196" s="487">
        <v>7</v>
      </c>
      <c r="K196" s="487">
        <v>6</v>
      </c>
      <c r="L196" s="487">
        <v>3</v>
      </c>
      <c r="M196" s="487">
        <v>4</v>
      </c>
      <c r="N196" s="487">
        <v>2</v>
      </c>
      <c r="O196" s="487">
        <v>3</v>
      </c>
      <c r="P196" s="488"/>
      <c r="Q196" s="517">
        <v>195</v>
      </c>
      <c r="R196" s="555" t="s">
        <v>37</v>
      </c>
      <c r="S196" s="176">
        <f t="shared" si="107"/>
        <v>6</v>
      </c>
      <c r="T196" s="176">
        <f t="shared" si="108"/>
        <v>10</v>
      </c>
      <c r="U196" s="176">
        <f t="shared" si="109"/>
        <v>15</v>
      </c>
      <c r="V196" s="176">
        <f t="shared" si="110"/>
        <v>18</v>
      </c>
      <c r="W196" s="176">
        <f t="shared" si="111"/>
        <v>23</v>
      </c>
      <c r="X196" s="176">
        <f t="shared" si="112"/>
        <v>26</v>
      </c>
      <c r="Y196" s="176">
        <f t="shared" si="113"/>
        <v>33</v>
      </c>
      <c r="Z196" s="176">
        <f t="shared" si="114"/>
        <v>39</v>
      </c>
      <c r="AA196" s="176">
        <f t="shared" si="115"/>
        <v>42</v>
      </c>
      <c r="AB196" s="176">
        <f t="shared" si="116"/>
        <v>46</v>
      </c>
      <c r="AC196" s="176">
        <f t="shared" si="117"/>
        <v>48</v>
      </c>
      <c r="AD196" s="462">
        <f t="shared" si="118"/>
        <v>51</v>
      </c>
      <c r="AE196" s="491">
        <v>195</v>
      </c>
      <c r="AF196" s="492">
        <v>52.666666666666671</v>
      </c>
    </row>
    <row r="197" spans="2:32" x14ac:dyDescent="0.35">
      <c r="B197" s="485">
        <v>196</v>
      </c>
      <c r="C197" s="556" t="s">
        <v>31</v>
      </c>
      <c r="D197" s="487">
        <v>51</v>
      </c>
      <c r="E197" s="487">
        <v>44</v>
      </c>
      <c r="F197" s="487">
        <v>46</v>
      </c>
      <c r="G197" s="487">
        <v>49</v>
      </c>
      <c r="H197" s="487">
        <v>60</v>
      </c>
      <c r="I197" s="487">
        <v>37</v>
      </c>
      <c r="J197" s="487">
        <v>48</v>
      </c>
      <c r="K197" s="487">
        <v>49</v>
      </c>
      <c r="L197" s="487">
        <v>52</v>
      </c>
      <c r="M197" s="487">
        <v>48</v>
      </c>
      <c r="N197" s="487">
        <v>34</v>
      </c>
      <c r="O197" s="487">
        <v>40</v>
      </c>
      <c r="P197" s="488"/>
      <c r="Q197" s="517">
        <v>196</v>
      </c>
      <c r="R197" s="557" t="s">
        <v>31</v>
      </c>
      <c r="S197" s="176">
        <f t="shared" si="107"/>
        <v>51</v>
      </c>
      <c r="T197" s="176">
        <f t="shared" si="108"/>
        <v>95</v>
      </c>
      <c r="U197" s="176">
        <f t="shared" si="109"/>
        <v>141</v>
      </c>
      <c r="V197" s="176">
        <f t="shared" si="110"/>
        <v>190</v>
      </c>
      <c r="W197" s="176">
        <f t="shared" si="111"/>
        <v>250</v>
      </c>
      <c r="X197" s="176">
        <f t="shared" si="112"/>
        <v>287</v>
      </c>
      <c r="Y197" s="176">
        <f t="shared" si="113"/>
        <v>335</v>
      </c>
      <c r="Z197" s="176">
        <f t="shared" si="114"/>
        <v>384</v>
      </c>
      <c r="AA197" s="176">
        <f t="shared" si="115"/>
        <v>436</v>
      </c>
      <c r="AB197" s="176">
        <f t="shared" si="116"/>
        <v>484</v>
      </c>
      <c r="AC197" s="176">
        <f t="shared" si="117"/>
        <v>518</v>
      </c>
      <c r="AD197" s="462">
        <f t="shared" si="118"/>
        <v>558</v>
      </c>
      <c r="AE197" s="469">
        <v>196</v>
      </c>
      <c r="AF197" s="492">
        <v>557.33333333333326</v>
      </c>
    </row>
    <row r="198" spans="2:32" x14ac:dyDescent="0.35">
      <c r="B198" s="485">
        <v>197</v>
      </c>
      <c r="C198" s="556" t="s">
        <v>55</v>
      </c>
      <c r="D198" s="487">
        <v>26</v>
      </c>
      <c r="E198" s="487">
        <v>22</v>
      </c>
      <c r="F198" s="487">
        <v>27</v>
      </c>
      <c r="G198" s="487">
        <v>18</v>
      </c>
      <c r="H198" s="487">
        <v>23</v>
      </c>
      <c r="I198" s="487">
        <v>21</v>
      </c>
      <c r="J198" s="487">
        <v>23</v>
      </c>
      <c r="K198" s="487">
        <v>19</v>
      </c>
      <c r="L198" s="487">
        <v>17</v>
      </c>
      <c r="M198" s="487">
        <v>23</v>
      </c>
      <c r="N198" s="487">
        <v>22</v>
      </c>
      <c r="O198" s="487">
        <v>28</v>
      </c>
      <c r="P198" s="488"/>
      <c r="Q198" s="517">
        <v>197</v>
      </c>
      <c r="R198" s="557" t="s">
        <v>55</v>
      </c>
      <c r="S198" s="176">
        <f t="shared" si="107"/>
        <v>26</v>
      </c>
      <c r="T198" s="176">
        <f t="shared" si="108"/>
        <v>48</v>
      </c>
      <c r="U198" s="176">
        <f t="shared" si="109"/>
        <v>75</v>
      </c>
      <c r="V198" s="176">
        <f t="shared" si="110"/>
        <v>93</v>
      </c>
      <c r="W198" s="176">
        <f t="shared" si="111"/>
        <v>116</v>
      </c>
      <c r="X198" s="176">
        <f t="shared" si="112"/>
        <v>137</v>
      </c>
      <c r="Y198" s="176">
        <f t="shared" si="113"/>
        <v>160</v>
      </c>
      <c r="Z198" s="176">
        <f t="shared" si="114"/>
        <v>179</v>
      </c>
      <c r="AA198" s="176">
        <f t="shared" si="115"/>
        <v>196</v>
      </c>
      <c r="AB198" s="176">
        <f t="shared" si="116"/>
        <v>219</v>
      </c>
      <c r="AC198" s="176">
        <f t="shared" si="117"/>
        <v>241</v>
      </c>
      <c r="AD198" s="462">
        <f t="shared" si="118"/>
        <v>269</v>
      </c>
      <c r="AE198" s="469">
        <v>197</v>
      </c>
      <c r="AF198" s="492">
        <v>269.66666666666669</v>
      </c>
    </row>
    <row r="199" spans="2:32" x14ac:dyDescent="0.35">
      <c r="B199" s="486">
        <v>198</v>
      </c>
      <c r="C199" s="554" t="s">
        <v>38</v>
      </c>
      <c r="D199" s="487">
        <v>61</v>
      </c>
      <c r="E199" s="487">
        <v>63</v>
      </c>
      <c r="F199" s="487">
        <v>61</v>
      </c>
      <c r="G199" s="487">
        <v>64</v>
      </c>
      <c r="H199" s="487">
        <v>51</v>
      </c>
      <c r="I199" s="487">
        <v>87</v>
      </c>
      <c r="J199" s="487">
        <v>81</v>
      </c>
      <c r="K199" s="487">
        <v>68</v>
      </c>
      <c r="L199" s="487">
        <v>61</v>
      </c>
      <c r="M199" s="487">
        <v>75</v>
      </c>
      <c r="N199" s="487">
        <v>79</v>
      </c>
      <c r="O199" s="487">
        <v>60</v>
      </c>
      <c r="P199" s="488"/>
      <c r="Q199" s="517">
        <v>198</v>
      </c>
      <c r="R199" s="555" t="s">
        <v>38</v>
      </c>
      <c r="S199" s="176">
        <f t="shared" si="107"/>
        <v>61</v>
      </c>
      <c r="T199" s="176">
        <f t="shared" si="108"/>
        <v>124</v>
      </c>
      <c r="U199" s="176">
        <f t="shared" si="109"/>
        <v>185</v>
      </c>
      <c r="V199" s="176">
        <f t="shared" si="110"/>
        <v>249</v>
      </c>
      <c r="W199" s="176">
        <f t="shared" si="111"/>
        <v>300</v>
      </c>
      <c r="X199" s="176">
        <f t="shared" si="112"/>
        <v>387</v>
      </c>
      <c r="Y199" s="176">
        <f t="shared" si="113"/>
        <v>468</v>
      </c>
      <c r="Z199" s="176">
        <f t="shared" si="114"/>
        <v>536</v>
      </c>
      <c r="AA199" s="176">
        <f t="shared" si="115"/>
        <v>597</v>
      </c>
      <c r="AB199" s="176">
        <f t="shared" si="116"/>
        <v>672</v>
      </c>
      <c r="AC199" s="176">
        <f t="shared" si="117"/>
        <v>751</v>
      </c>
      <c r="AD199" s="462">
        <f t="shared" si="118"/>
        <v>811</v>
      </c>
      <c r="AE199" s="491">
        <v>198</v>
      </c>
      <c r="AF199" s="492">
        <v>810.33333333333314</v>
      </c>
    </row>
    <row r="200" spans="2:32" x14ac:dyDescent="0.35">
      <c r="B200" s="485">
        <v>199</v>
      </c>
      <c r="C200" s="554" t="s">
        <v>17</v>
      </c>
      <c r="D200" s="487">
        <v>45</v>
      </c>
      <c r="E200" s="487">
        <v>36</v>
      </c>
      <c r="F200" s="487">
        <v>32</v>
      </c>
      <c r="G200" s="487">
        <v>51</v>
      </c>
      <c r="H200" s="487">
        <v>49</v>
      </c>
      <c r="I200" s="487">
        <v>40</v>
      </c>
      <c r="J200" s="487">
        <v>46</v>
      </c>
      <c r="K200" s="487">
        <v>43</v>
      </c>
      <c r="L200" s="487">
        <v>41</v>
      </c>
      <c r="M200" s="487">
        <v>33</v>
      </c>
      <c r="N200" s="487">
        <v>33</v>
      </c>
      <c r="O200" s="487">
        <v>41</v>
      </c>
      <c r="P200" s="488"/>
      <c r="Q200" s="517">
        <v>199</v>
      </c>
      <c r="R200" s="555" t="s">
        <v>17</v>
      </c>
      <c r="S200" s="176">
        <f t="shared" si="107"/>
        <v>45</v>
      </c>
      <c r="T200" s="176">
        <f t="shared" si="108"/>
        <v>81</v>
      </c>
      <c r="U200" s="176">
        <f t="shared" si="109"/>
        <v>113</v>
      </c>
      <c r="V200" s="176">
        <f t="shared" si="110"/>
        <v>164</v>
      </c>
      <c r="W200" s="176">
        <f t="shared" si="111"/>
        <v>213</v>
      </c>
      <c r="X200" s="176">
        <f t="shared" si="112"/>
        <v>253</v>
      </c>
      <c r="Y200" s="176">
        <f t="shared" si="113"/>
        <v>299</v>
      </c>
      <c r="Z200" s="176">
        <f t="shared" si="114"/>
        <v>342</v>
      </c>
      <c r="AA200" s="176">
        <f t="shared" si="115"/>
        <v>383</v>
      </c>
      <c r="AB200" s="176">
        <f t="shared" si="116"/>
        <v>416</v>
      </c>
      <c r="AC200" s="176">
        <f t="shared" si="117"/>
        <v>449</v>
      </c>
      <c r="AD200" s="462">
        <f t="shared" si="118"/>
        <v>490</v>
      </c>
      <c r="AE200" s="469">
        <v>199</v>
      </c>
      <c r="AF200" s="492">
        <v>490.00000000000006</v>
      </c>
    </row>
    <row r="201" spans="2:32" x14ac:dyDescent="0.35">
      <c r="B201" s="485">
        <v>200</v>
      </c>
      <c r="C201" s="554" t="s">
        <v>34</v>
      </c>
      <c r="D201" s="487">
        <v>54</v>
      </c>
      <c r="E201" s="487">
        <v>54</v>
      </c>
      <c r="F201" s="487">
        <v>61</v>
      </c>
      <c r="G201" s="487">
        <v>66</v>
      </c>
      <c r="H201" s="487">
        <v>66</v>
      </c>
      <c r="I201" s="487">
        <v>58</v>
      </c>
      <c r="J201" s="487">
        <v>56</v>
      </c>
      <c r="K201" s="487">
        <v>45</v>
      </c>
      <c r="L201" s="487">
        <v>59</v>
      </c>
      <c r="M201" s="487">
        <v>52</v>
      </c>
      <c r="N201" s="487">
        <v>47</v>
      </c>
      <c r="O201" s="487">
        <v>47</v>
      </c>
      <c r="P201" s="488"/>
      <c r="Q201" s="517">
        <v>200</v>
      </c>
      <c r="R201" s="555" t="s">
        <v>34</v>
      </c>
      <c r="S201" s="176">
        <f t="shared" si="107"/>
        <v>54</v>
      </c>
      <c r="T201" s="176">
        <f t="shared" si="108"/>
        <v>108</v>
      </c>
      <c r="U201" s="176">
        <f t="shared" si="109"/>
        <v>169</v>
      </c>
      <c r="V201" s="176">
        <f t="shared" si="110"/>
        <v>235</v>
      </c>
      <c r="W201" s="176">
        <f t="shared" si="111"/>
        <v>301</v>
      </c>
      <c r="X201" s="176">
        <f t="shared" si="112"/>
        <v>359</v>
      </c>
      <c r="Y201" s="176">
        <f t="shared" si="113"/>
        <v>415</v>
      </c>
      <c r="Z201" s="176">
        <f t="shared" si="114"/>
        <v>460</v>
      </c>
      <c r="AA201" s="176">
        <f t="shared" si="115"/>
        <v>519</v>
      </c>
      <c r="AB201" s="176">
        <f t="shared" si="116"/>
        <v>571</v>
      </c>
      <c r="AC201" s="176">
        <f t="shared" si="117"/>
        <v>618</v>
      </c>
      <c r="AD201" s="462">
        <f t="shared" si="118"/>
        <v>665</v>
      </c>
      <c r="AE201" s="469">
        <v>200</v>
      </c>
      <c r="AF201" s="492">
        <v>663.99999999999989</v>
      </c>
    </row>
    <row r="202" spans="2:32" x14ac:dyDescent="0.35">
      <c r="B202" s="485">
        <v>201</v>
      </c>
      <c r="C202" s="554" t="s">
        <v>41</v>
      </c>
      <c r="D202" s="487">
        <v>6</v>
      </c>
      <c r="E202" s="487">
        <v>4</v>
      </c>
      <c r="F202" s="487">
        <v>6</v>
      </c>
      <c r="G202" s="487">
        <v>4</v>
      </c>
      <c r="H202" s="487">
        <v>6</v>
      </c>
      <c r="I202" s="487">
        <v>4</v>
      </c>
      <c r="J202" s="487">
        <v>8</v>
      </c>
      <c r="K202" s="487">
        <v>6</v>
      </c>
      <c r="L202" s="487">
        <v>4</v>
      </c>
      <c r="M202" s="487">
        <v>4</v>
      </c>
      <c r="N202" s="487">
        <v>3</v>
      </c>
      <c r="O202" s="487">
        <v>4</v>
      </c>
      <c r="P202" s="488"/>
      <c r="Q202" s="517">
        <v>201</v>
      </c>
      <c r="R202" s="555" t="s">
        <v>41</v>
      </c>
      <c r="S202" s="176">
        <f t="shared" si="107"/>
        <v>6</v>
      </c>
      <c r="T202" s="176">
        <f t="shared" si="108"/>
        <v>10</v>
      </c>
      <c r="U202" s="176">
        <f t="shared" si="109"/>
        <v>16</v>
      </c>
      <c r="V202" s="176">
        <f t="shared" si="110"/>
        <v>20</v>
      </c>
      <c r="W202" s="176">
        <f t="shared" si="111"/>
        <v>26</v>
      </c>
      <c r="X202" s="176">
        <f t="shared" si="112"/>
        <v>30</v>
      </c>
      <c r="Y202" s="176">
        <f t="shared" si="113"/>
        <v>38</v>
      </c>
      <c r="Z202" s="176">
        <f t="shared" si="114"/>
        <v>44</v>
      </c>
      <c r="AA202" s="176">
        <f t="shared" si="115"/>
        <v>48</v>
      </c>
      <c r="AB202" s="176">
        <f t="shared" si="116"/>
        <v>52</v>
      </c>
      <c r="AC202" s="176">
        <f t="shared" si="117"/>
        <v>55</v>
      </c>
      <c r="AD202" s="462">
        <f t="shared" si="118"/>
        <v>59</v>
      </c>
      <c r="AE202" s="469">
        <v>201</v>
      </c>
      <c r="AF202" s="492">
        <v>58.666666666666671</v>
      </c>
    </row>
    <row r="203" spans="2:32" x14ac:dyDescent="0.35">
      <c r="B203" s="485">
        <v>202</v>
      </c>
      <c r="C203" s="554" t="s">
        <v>42</v>
      </c>
      <c r="D203" s="487">
        <v>184</v>
      </c>
      <c r="E203" s="487">
        <v>202</v>
      </c>
      <c r="F203" s="487">
        <v>223</v>
      </c>
      <c r="G203" s="487">
        <v>238</v>
      </c>
      <c r="H203" s="487">
        <v>217</v>
      </c>
      <c r="I203" s="487">
        <v>208</v>
      </c>
      <c r="J203" s="487">
        <v>220</v>
      </c>
      <c r="K203" s="487">
        <v>201</v>
      </c>
      <c r="L203" s="487">
        <v>205</v>
      </c>
      <c r="M203" s="487">
        <v>184</v>
      </c>
      <c r="N203" s="487">
        <v>187</v>
      </c>
      <c r="O203" s="487">
        <v>210</v>
      </c>
      <c r="P203" s="488"/>
      <c r="Q203" s="517">
        <v>202</v>
      </c>
      <c r="R203" s="555" t="s">
        <v>42</v>
      </c>
      <c r="S203" s="176">
        <f t="shared" si="107"/>
        <v>184</v>
      </c>
      <c r="T203" s="176">
        <f t="shared" si="108"/>
        <v>386</v>
      </c>
      <c r="U203" s="176">
        <f t="shared" si="109"/>
        <v>609</v>
      </c>
      <c r="V203" s="176">
        <f t="shared" si="110"/>
        <v>847</v>
      </c>
      <c r="W203" s="176">
        <f t="shared" si="111"/>
        <v>1064</v>
      </c>
      <c r="X203" s="176">
        <f t="shared" si="112"/>
        <v>1272</v>
      </c>
      <c r="Y203" s="176">
        <f t="shared" si="113"/>
        <v>1492</v>
      </c>
      <c r="Z203" s="176">
        <f t="shared" si="114"/>
        <v>1693</v>
      </c>
      <c r="AA203" s="176">
        <f t="shared" si="115"/>
        <v>1898</v>
      </c>
      <c r="AB203" s="176">
        <f t="shared" si="116"/>
        <v>2082</v>
      </c>
      <c r="AC203" s="176">
        <f t="shared" si="117"/>
        <v>2269</v>
      </c>
      <c r="AD203" s="462">
        <f t="shared" si="118"/>
        <v>2479</v>
      </c>
      <c r="AE203" s="469">
        <v>202</v>
      </c>
      <c r="AF203" s="492">
        <v>2480.333333333333</v>
      </c>
    </row>
    <row r="204" spans="2:32" x14ac:dyDescent="0.35">
      <c r="B204" s="486">
        <v>203</v>
      </c>
      <c r="C204" s="554" t="s">
        <v>43</v>
      </c>
      <c r="D204" s="487">
        <v>6</v>
      </c>
      <c r="E204" s="487">
        <v>9</v>
      </c>
      <c r="F204" s="487">
        <v>8</v>
      </c>
      <c r="G204" s="487">
        <v>12</v>
      </c>
      <c r="H204" s="487">
        <v>10</v>
      </c>
      <c r="I204" s="487">
        <v>5</v>
      </c>
      <c r="J204" s="487">
        <v>11</v>
      </c>
      <c r="K204" s="487">
        <v>6</v>
      </c>
      <c r="L204" s="487">
        <v>12</v>
      </c>
      <c r="M204" s="487">
        <v>5</v>
      </c>
      <c r="N204" s="487">
        <v>6</v>
      </c>
      <c r="O204" s="487">
        <v>7</v>
      </c>
      <c r="P204" s="488"/>
      <c r="Q204" s="517">
        <v>203</v>
      </c>
      <c r="R204" s="555" t="s">
        <v>43</v>
      </c>
      <c r="S204" s="176">
        <f t="shared" si="107"/>
        <v>6</v>
      </c>
      <c r="T204" s="176">
        <f t="shared" si="108"/>
        <v>15</v>
      </c>
      <c r="U204" s="176">
        <f t="shared" si="109"/>
        <v>23</v>
      </c>
      <c r="V204" s="176">
        <f t="shared" si="110"/>
        <v>35</v>
      </c>
      <c r="W204" s="176">
        <f t="shared" si="111"/>
        <v>45</v>
      </c>
      <c r="X204" s="176">
        <f t="shared" si="112"/>
        <v>50</v>
      </c>
      <c r="Y204" s="176">
        <f t="shared" si="113"/>
        <v>61</v>
      </c>
      <c r="Z204" s="176">
        <f t="shared" si="114"/>
        <v>67</v>
      </c>
      <c r="AA204" s="176">
        <f t="shared" si="115"/>
        <v>79</v>
      </c>
      <c r="AB204" s="176">
        <f t="shared" si="116"/>
        <v>84</v>
      </c>
      <c r="AC204" s="176">
        <f t="shared" si="117"/>
        <v>90</v>
      </c>
      <c r="AD204" s="462">
        <f t="shared" si="118"/>
        <v>97</v>
      </c>
      <c r="AE204" s="491">
        <v>203</v>
      </c>
      <c r="AF204" s="492">
        <v>95.666666666666671</v>
      </c>
    </row>
    <row r="205" spans="2:32" x14ac:dyDescent="0.35">
      <c r="B205" s="485">
        <v>204</v>
      </c>
      <c r="C205" s="554" t="s">
        <v>198</v>
      </c>
      <c r="D205" s="487">
        <v>10</v>
      </c>
      <c r="E205" s="487">
        <v>9</v>
      </c>
      <c r="F205" s="487">
        <v>9</v>
      </c>
      <c r="G205" s="487">
        <v>9</v>
      </c>
      <c r="H205" s="487">
        <v>11</v>
      </c>
      <c r="I205" s="487">
        <v>12</v>
      </c>
      <c r="J205" s="487">
        <v>9</v>
      </c>
      <c r="K205" s="487">
        <v>10</v>
      </c>
      <c r="L205" s="487">
        <v>10</v>
      </c>
      <c r="M205" s="487">
        <v>6</v>
      </c>
      <c r="N205" s="487">
        <v>8</v>
      </c>
      <c r="O205" s="487">
        <v>10</v>
      </c>
      <c r="P205" s="488"/>
      <c r="Q205" s="517">
        <v>204</v>
      </c>
      <c r="R205" s="555" t="s">
        <v>198</v>
      </c>
      <c r="S205" s="176">
        <f t="shared" si="107"/>
        <v>10</v>
      </c>
      <c r="T205" s="176">
        <f t="shared" si="108"/>
        <v>19</v>
      </c>
      <c r="U205" s="176">
        <f t="shared" si="109"/>
        <v>28</v>
      </c>
      <c r="V205" s="176">
        <f t="shared" si="110"/>
        <v>37</v>
      </c>
      <c r="W205" s="176">
        <f t="shared" si="111"/>
        <v>48</v>
      </c>
      <c r="X205" s="176">
        <f t="shared" si="112"/>
        <v>60</v>
      </c>
      <c r="Y205" s="176">
        <f t="shared" si="113"/>
        <v>69</v>
      </c>
      <c r="Z205" s="176">
        <f t="shared" si="114"/>
        <v>79</v>
      </c>
      <c r="AA205" s="176">
        <f t="shared" si="115"/>
        <v>89</v>
      </c>
      <c r="AB205" s="176">
        <f t="shared" si="116"/>
        <v>95</v>
      </c>
      <c r="AC205" s="176">
        <f t="shared" si="117"/>
        <v>103</v>
      </c>
      <c r="AD205" s="462">
        <f t="shared" si="118"/>
        <v>113</v>
      </c>
      <c r="AE205" s="469">
        <v>204</v>
      </c>
      <c r="AF205" s="492">
        <v>113.33333333333333</v>
      </c>
    </row>
    <row r="206" spans="2:32" x14ac:dyDescent="0.35">
      <c r="B206" s="485">
        <v>205</v>
      </c>
      <c r="C206" s="554" t="s">
        <v>204</v>
      </c>
      <c r="D206" s="493">
        <v>16</v>
      </c>
      <c r="E206" s="493">
        <v>18</v>
      </c>
      <c r="F206" s="493">
        <v>17</v>
      </c>
      <c r="G206" s="493">
        <v>21</v>
      </c>
      <c r="H206" s="493">
        <v>21</v>
      </c>
      <c r="I206" s="493">
        <v>17</v>
      </c>
      <c r="J206" s="493">
        <v>20</v>
      </c>
      <c r="K206" s="493">
        <v>16</v>
      </c>
      <c r="L206" s="493">
        <v>21</v>
      </c>
      <c r="M206" s="493">
        <v>11</v>
      </c>
      <c r="N206" s="493">
        <v>14</v>
      </c>
      <c r="O206" s="493">
        <v>17</v>
      </c>
      <c r="P206" s="488"/>
      <c r="Q206" s="517">
        <v>205</v>
      </c>
      <c r="R206" s="554" t="s">
        <v>204</v>
      </c>
      <c r="S206" s="176">
        <f t="shared" si="107"/>
        <v>16</v>
      </c>
      <c r="T206" s="176">
        <f t="shared" si="108"/>
        <v>34</v>
      </c>
      <c r="U206" s="176">
        <f t="shared" si="109"/>
        <v>51</v>
      </c>
      <c r="V206" s="176">
        <f t="shared" si="110"/>
        <v>72</v>
      </c>
      <c r="W206" s="176">
        <f t="shared" si="111"/>
        <v>93</v>
      </c>
      <c r="X206" s="176">
        <f t="shared" si="112"/>
        <v>110</v>
      </c>
      <c r="Y206" s="176">
        <f t="shared" si="113"/>
        <v>130</v>
      </c>
      <c r="Z206" s="176">
        <f t="shared" si="114"/>
        <v>146</v>
      </c>
      <c r="AA206" s="176">
        <f t="shared" si="115"/>
        <v>167</v>
      </c>
      <c r="AB206" s="176">
        <f t="shared" si="116"/>
        <v>178</v>
      </c>
      <c r="AC206" s="176">
        <f t="shared" si="117"/>
        <v>192</v>
      </c>
      <c r="AD206" s="462">
        <f t="shared" si="118"/>
        <v>209</v>
      </c>
      <c r="AE206" s="469">
        <v>205</v>
      </c>
      <c r="AF206" s="492"/>
    </row>
    <row r="207" spans="2:32" x14ac:dyDescent="0.35">
      <c r="B207" s="485">
        <v>206</v>
      </c>
      <c r="C207" s="554" t="s">
        <v>44</v>
      </c>
      <c r="D207" s="487">
        <v>0</v>
      </c>
      <c r="E207" s="487">
        <v>0</v>
      </c>
      <c r="F207" s="487">
        <v>0</v>
      </c>
      <c r="G207" s="487">
        <v>1</v>
      </c>
      <c r="H207" s="487">
        <v>1</v>
      </c>
      <c r="I207" s="487">
        <v>0</v>
      </c>
      <c r="J207" s="487">
        <v>2</v>
      </c>
      <c r="K207" s="487">
        <v>2</v>
      </c>
      <c r="L207" s="487">
        <v>1</v>
      </c>
      <c r="M207" s="487">
        <v>0</v>
      </c>
      <c r="N207" s="487">
        <v>1</v>
      </c>
      <c r="O207" s="487">
        <v>1</v>
      </c>
      <c r="P207" s="488"/>
      <c r="Q207" s="517">
        <v>206</v>
      </c>
      <c r="R207" s="555" t="s">
        <v>44</v>
      </c>
      <c r="S207" s="176">
        <f t="shared" si="107"/>
        <v>0</v>
      </c>
      <c r="T207" s="176">
        <f t="shared" si="108"/>
        <v>0</v>
      </c>
      <c r="U207" s="176">
        <f t="shared" si="109"/>
        <v>0</v>
      </c>
      <c r="V207" s="176">
        <f t="shared" si="110"/>
        <v>1</v>
      </c>
      <c r="W207" s="176">
        <f t="shared" si="111"/>
        <v>2</v>
      </c>
      <c r="X207" s="176">
        <f t="shared" si="112"/>
        <v>2</v>
      </c>
      <c r="Y207" s="176">
        <f t="shared" si="113"/>
        <v>4</v>
      </c>
      <c r="Z207" s="176">
        <f t="shared" si="114"/>
        <v>6</v>
      </c>
      <c r="AA207" s="176">
        <f t="shared" si="115"/>
        <v>7</v>
      </c>
      <c r="AB207" s="176">
        <f t="shared" si="116"/>
        <v>7</v>
      </c>
      <c r="AC207" s="176">
        <f t="shared" si="117"/>
        <v>8</v>
      </c>
      <c r="AD207" s="462">
        <f t="shared" si="118"/>
        <v>9</v>
      </c>
      <c r="AE207" s="491">
        <v>206</v>
      </c>
      <c r="AF207" s="492">
        <v>9</v>
      </c>
    </row>
    <row r="208" spans="2:32" x14ac:dyDescent="0.35">
      <c r="B208" s="485">
        <v>207</v>
      </c>
      <c r="C208" s="554" t="s">
        <v>199</v>
      </c>
      <c r="D208" s="487">
        <v>0</v>
      </c>
      <c r="E208" s="487">
        <v>1</v>
      </c>
      <c r="F208" s="487">
        <v>0</v>
      </c>
      <c r="G208" s="487">
        <v>1</v>
      </c>
      <c r="H208" s="487">
        <v>2</v>
      </c>
      <c r="I208" s="487">
        <v>1</v>
      </c>
      <c r="J208" s="487">
        <v>0</v>
      </c>
      <c r="K208" s="487">
        <v>1</v>
      </c>
      <c r="L208" s="487">
        <v>0</v>
      </c>
      <c r="M208" s="487">
        <v>0</v>
      </c>
      <c r="N208" s="487">
        <v>0</v>
      </c>
      <c r="O208" s="487">
        <v>0</v>
      </c>
      <c r="P208" s="488"/>
      <c r="Q208" s="517">
        <v>207</v>
      </c>
      <c r="R208" s="555" t="s">
        <v>199</v>
      </c>
      <c r="S208" s="176">
        <f t="shared" si="107"/>
        <v>0</v>
      </c>
      <c r="T208" s="176">
        <f t="shared" si="108"/>
        <v>1</v>
      </c>
      <c r="U208" s="176">
        <f t="shared" si="109"/>
        <v>1</v>
      </c>
      <c r="V208" s="176">
        <f t="shared" si="110"/>
        <v>2</v>
      </c>
      <c r="W208" s="176">
        <f t="shared" si="111"/>
        <v>4</v>
      </c>
      <c r="X208" s="176">
        <f t="shared" si="112"/>
        <v>5</v>
      </c>
      <c r="Y208" s="176">
        <f t="shared" si="113"/>
        <v>5</v>
      </c>
      <c r="Z208" s="176">
        <f t="shared" si="114"/>
        <v>6</v>
      </c>
      <c r="AA208" s="176">
        <f t="shared" si="115"/>
        <v>6</v>
      </c>
      <c r="AB208" s="176">
        <f t="shared" si="116"/>
        <v>6</v>
      </c>
      <c r="AC208" s="176">
        <f t="shared" si="117"/>
        <v>6</v>
      </c>
      <c r="AD208" s="462">
        <f t="shared" si="118"/>
        <v>6</v>
      </c>
      <c r="AE208" s="469">
        <v>207</v>
      </c>
      <c r="AF208" s="492">
        <v>7.3333333333333321</v>
      </c>
    </row>
    <row r="209" spans="1:32" x14ac:dyDescent="0.35">
      <c r="A209" s="227" t="s">
        <v>128</v>
      </c>
      <c r="B209" s="486">
        <v>208</v>
      </c>
      <c r="C209" s="554" t="s">
        <v>205</v>
      </c>
      <c r="D209" s="493">
        <v>0</v>
      </c>
      <c r="E209" s="493">
        <v>1</v>
      </c>
      <c r="F209" s="493">
        <v>0</v>
      </c>
      <c r="G209" s="493">
        <v>2</v>
      </c>
      <c r="H209" s="493">
        <v>3</v>
      </c>
      <c r="I209" s="493">
        <v>1</v>
      </c>
      <c r="J209" s="493">
        <v>2</v>
      </c>
      <c r="K209" s="493">
        <v>3</v>
      </c>
      <c r="L209" s="493">
        <v>1</v>
      </c>
      <c r="M209" s="493">
        <v>1</v>
      </c>
      <c r="N209" s="493">
        <v>1</v>
      </c>
      <c r="O209" s="493">
        <v>1</v>
      </c>
      <c r="P209" s="488"/>
      <c r="Q209" s="517">
        <v>208</v>
      </c>
      <c r="R209" s="554" t="s">
        <v>205</v>
      </c>
      <c r="S209" s="176">
        <f t="shared" si="107"/>
        <v>0</v>
      </c>
      <c r="T209" s="176">
        <f t="shared" si="108"/>
        <v>1</v>
      </c>
      <c r="U209" s="176">
        <f t="shared" si="109"/>
        <v>1</v>
      </c>
      <c r="V209" s="176">
        <f t="shared" si="110"/>
        <v>3</v>
      </c>
      <c r="W209" s="176">
        <f t="shared" si="111"/>
        <v>6</v>
      </c>
      <c r="X209" s="176">
        <f t="shared" si="112"/>
        <v>7</v>
      </c>
      <c r="Y209" s="176">
        <f t="shared" si="113"/>
        <v>9</v>
      </c>
      <c r="Z209" s="176">
        <f t="shared" si="114"/>
        <v>12</v>
      </c>
      <c r="AA209" s="176">
        <f t="shared" si="115"/>
        <v>13</v>
      </c>
      <c r="AB209" s="176">
        <f t="shared" si="116"/>
        <v>14</v>
      </c>
      <c r="AC209" s="176">
        <f t="shared" si="117"/>
        <v>15</v>
      </c>
      <c r="AD209" s="462">
        <f t="shared" si="118"/>
        <v>16</v>
      </c>
      <c r="AE209" s="469">
        <v>208</v>
      </c>
      <c r="AF209" s="492"/>
    </row>
    <row r="210" spans="1:32" x14ac:dyDescent="0.35">
      <c r="A210" s="227" t="s">
        <v>128</v>
      </c>
      <c r="B210" s="485">
        <v>209</v>
      </c>
      <c r="C210" s="554" t="s">
        <v>84</v>
      </c>
      <c r="D210" s="493">
        <v>16</v>
      </c>
      <c r="E210" s="493">
        <v>19</v>
      </c>
      <c r="F210" s="493">
        <v>17</v>
      </c>
      <c r="G210" s="493">
        <v>23</v>
      </c>
      <c r="H210" s="493">
        <v>24</v>
      </c>
      <c r="I210" s="493">
        <v>18</v>
      </c>
      <c r="J210" s="493">
        <v>22</v>
      </c>
      <c r="K210" s="493">
        <v>19</v>
      </c>
      <c r="L210" s="493">
        <v>22</v>
      </c>
      <c r="M210" s="493">
        <v>12</v>
      </c>
      <c r="N210" s="493">
        <v>15</v>
      </c>
      <c r="O210" s="493">
        <v>18</v>
      </c>
      <c r="P210" s="488"/>
      <c r="Q210" s="517">
        <v>209</v>
      </c>
      <c r="R210" s="555" t="s">
        <v>84</v>
      </c>
      <c r="S210" s="176">
        <f t="shared" si="107"/>
        <v>16</v>
      </c>
      <c r="T210" s="176">
        <f t="shared" si="108"/>
        <v>35</v>
      </c>
      <c r="U210" s="176">
        <f t="shared" si="109"/>
        <v>52</v>
      </c>
      <c r="V210" s="176">
        <f t="shared" si="110"/>
        <v>75</v>
      </c>
      <c r="W210" s="176">
        <f t="shared" si="111"/>
        <v>99</v>
      </c>
      <c r="X210" s="176">
        <f t="shared" si="112"/>
        <v>117</v>
      </c>
      <c r="Y210" s="176">
        <f t="shared" si="113"/>
        <v>139</v>
      </c>
      <c r="Z210" s="176">
        <f t="shared" si="114"/>
        <v>158</v>
      </c>
      <c r="AA210" s="176">
        <f t="shared" si="115"/>
        <v>180</v>
      </c>
      <c r="AB210" s="176">
        <f t="shared" si="116"/>
        <v>192</v>
      </c>
      <c r="AC210" s="176">
        <f t="shared" si="117"/>
        <v>207</v>
      </c>
      <c r="AD210" s="462">
        <f t="shared" si="118"/>
        <v>225</v>
      </c>
      <c r="AE210" s="469">
        <v>209</v>
      </c>
      <c r="AF210" s="492">
        <v>225.33333333333334</v>
      </c>
    </row>
    <row r="211" spans="1:32" x14ac:dyDescent="0.35">
      <c r="B211" s="485">
        <v>210</v>
      </c>
      <c r="C211" s="554" t="s">
        <v>45</v>
      </c>
      <c r="D211" s="487">
        <v>21</v>
      </c>
      <c r="E211" s="487">
        <v>17</v>
      </c>
      <c r="F211" s="487">
        <v>25</v>
      </c>
      <c r="G211" s="487">
        <v>28</v>
      </c>
      <c r="H211" s="487">
        <v>18</v>
      </c>
      <c r="I211" s="487">
        <v>18</v>
      </c>
      <c r="J211" s="487">
        <v>29</v>
      </c>
      <c r="K211" s="487">
        <v>17</v>
      </c>
      <c r="L211" s="487">
        <v>30</v>
      </c>
      <c r="M211" s="487">
        <v>18</v>
      </c>
      <c r="N211" s="487">
        <v>20</v>
      </c>
      <c r="O211" s="487">
        <v>20</v>
      </c>
      <c r="P211" s="488"/>
      <c r="Q211" s="517">
        <v>210</v>
      </c>
      <c r="R211" s="555" t="s">
        <v>45</v>
      </c>
      <c r="S211" s="176">
        <f t="shared" si="107"/>
        <v>21</v>
      </c>
      <c r="T211" s="176">
        <f t="shared" si="108"/>
        <v>38</v>
      </c>
      <c r="U211" s="176">
        <f t="shared" si="109"/>
        <v>63</v>
      </c>
      <c r="V211" s="176">
        <f t="shared" si="110"/>
        <v>91</v>
      </c>
      <c r="W211" s="176">
        <f t="shared" si="111"/>
        <v>109</v>
      </c>
      <c r="X211" s="176">
        <f t="shared" si="112"/>
        <v>127</v>
      </c>
      <c r="Y211" s="176">
        <f t="shared" si="113"/>
        <v>156</v>
      </c>
      <c r="Z211" s="176">
        <f t="shared" si="114"/>
        <v>173</v>
      </c>
      <c r="AA211" s="176">
        <f t="shared" si="115"/>
        <v>203</v>
      </c>
      <c r="AB211" s="176">
        <f t="shared" si="116"/>
        <v>221</v>
      </c>
      <c r="AC211" s="176">
        <f t="shared" si="117"/>
        <v>241</v>
      </c>
      <c r="AD211" s="462">
        <f t="shared" si="118"/>
        <v>261</v>
      </c>
      <c r="AE211" s="469">
        <v>210</v>
      </c>
      <c r="AF211" s="492">
        <v>260.66666666666663</v>
      </c>
    </row>
    <row r="212" spans="1:32" x14ac:dyDescent="0.35">
      <c r="B212" s="485">
        <v>211</v>
      </c>
      <c r="C212" s="554" t="s">
        <v>191</v>
      </c>
      <c r="D212" s="487">
        <v>49</v>
      </c>
      <c r="E212" s="487">
        <v>53</v>
      </c>
      <c r="F212" s="487">
        <v>61</v>
      </c>
      <c r="G212" s="487">
        <v>59</v>
      </c>
      <c r="H212" s="487">
        <v>60</v>
      </c>
      <c r="I212" s="487">
        <v>58</v>
      </c>
      <c r="J212" s="487">
        <v>53</v>
      </c>
      <c r="K212" s="487">
        <v>55</v>
      </c>
      <c r="L212" s="487">
        <v>56</v>
      </c>
      <c r="M212" s="487">
        <v>51</v>
      </c>
      <c r="N212" s="487">
        <v>49</v>
      </c>
      <c r="O212" s="487">
        <v>59</v>
      </c>
      <c r="P212" s="488"/>
      <c r="Q212" s="517">
        <v>211</v>
      </c>
      <c r="R212" s="555" t="s">
        <v>191</v>
      </c>
      <c r="S212" s="176">
        <f t="shared" si="107"/>
        <v>49</v>
      </c>
      <c r="T212" s="176">
        <f t="shared" si="108"/>
        <v>102</v>
      </c>
      <c r="U212" s="176">
        <f t="shared" si="109"/>
        <v>163</v>
      </c>
      <c r="V212" s="176">
        <f t="shared" si="110"/>
        <v>222</v>
      </c>
      <c r="W212" s="176">
        <f t="shared" si="111"/>
        <v>282</v>
      </c>
      <c r="X212" s="176">
        <f t="shared" si="112"/>
        <v>340</v>
      </c>
      <c r="Y212" s="176">
        <f t="shared" si="113"/>
        <v>393</v>
      </c>
      <c r="Z212" s="176">
        <f t="shared" si="114"/>
        <v>448</v>
      </c>
      <c r="AA212" s="176">
        <f t="shared" si="115"/>
        <v>504</v>
      </c>
      <c r="AB212" s="176">
        <f t="shared" si="116"/>
        <v>555</v>
      </c>
      <c r="AC212" s="176">
        <f t="shared" si="117"/>
        <v>604</v>
      </c>
      <c r="AD212" s="462">
        <f t="shared" si="118"/>
        <v>663</v>
      </c>
      <c r="AE212" s="491">
        <v>211</v>
      </c>
      <c r="AF212" s="492">
        <v>662.66666666666663</v>
      </c>
    </row>
    <row r="213" spans="1:32" x14ac:dyDescent="0.35">
      <c r="B213" s="485">
        <v>212</v>
      </c>
      <c r="C213" s="554" t="s">
        <v>53</v>
      </c>
      <c r="D213" s="487">
        <v>1</v>
      </c>
      <c r="E213" s="487">
        <v>3</v>
      </c>
      <c r="F213" s="487">
        <v>3</v>
      </c>
      <c r="G213" s="487">
        <v>3</v>
      </c>
      <c r="H213" s="487">
        <v>3</v>
      </c>
      <c r="I213" s="487">
        <v>4</v>
      </c>
      <c r="J213" s="487">
        <v>4</v>
      </c>
      <c r="K213" s="487">
        <v>2</v>
      </c>
      <c r="L213" s="487">
        <v>3</v>
      </c>
      <c r="M213" s="487">
        <v>2</v>
      </c>
      <c r="N213" s="487">
        <v>3</v>
      </c>
      <c r="O213" s="487">
        <v>1</v>
      </c>
      <c r="P213" s="488"/>
      <c r="Q213" s="517">
        <v>212</v>
      </c>
      <c r="R213" s="555" t="s">
        <v>53</v>
      </c>
      <c r="S213" s="176">
        <f t="shared" si="107"/>
        <v>1</v>
      </c>
      <c r="T213" s="176">
        <f t="shared" si="108"/>
        <v>4</v>
      </c>
      <c r="U213" s="176">
        <f t="shared" si="109"/>
        <v>7</v>
      </c>
      <c r="V213" s="176">
        <f t="shared" si="110"/>
        <v>10</v>
      </c>
      <c r="W213" s="176">
        <f t="shared" si="111"/>
        <v>13</v>
      </c>
      <c r="X213" s="176">
        <f t="shared" si="112"/>
        <v>17</v>
      </c>
      <c r="Y213" s="176">
        <f t="shared" si="113"/>
        <v>21</v>
      </c>
      <c r="Z213" s="176">
        <f t="shared" si="114"/>
        <v>23</v>
      </c>
      <c r="AA213" s="176">
        <f t="shared" si="115"/>
        <v>26</v>
      </c>
      <c r="AB213" s="176">
        <f t="shared" si="116"/>
        <v>28</v>
      </c>
      <c r="AC213" s="176">
        <f t="shared" si="117"/>
        <v>31</v>
      </c>
      <c r="AD213" s="462">
        <f t="shared" si="118"/>
        <v>32</v>
      </c>
      <c r="AE213" s="469">
        <v>212</v>
      </c>
      <c r="AF213" s="492">
        <v>32</v>
      </c>
    </row>
    <row r="214" spans="1:32" x14ac:dyDescent="0.35">
      <c r="B214" s="486">
        <v>213</v>
      </c>
      <c r="C214" s="554" t="s">
        <v>54</v>
      </c>
      <c r="D214" s="487">
        <v>3</v>
      </c>
      <c r="E214" s="487">
        <v>4</v>
      </c>
      <c r="F214" s="487">
        <v>1</v>
      </c>
      <c r="G214" s="487">
        <v>4</v>
      </c>
      <c r="H214" s="487">
        <v>4</v>
      </c>
      <c r="I214" s="487">
        <v>2</v>
      </c>
      <c r="J214" s="487">
        <v>3</v>
      </c>
      <c r="K214" s="487">
        <v>1</v>
      </c>
      <c r="L214" s="487">
        <v>5</v>
      </c>
      <c r="M214" s="487">
        <v>1</v>
      </c>
      <c r="N214" s="487">
        <v>3</v>
      </c>
      <c r="O214" s="487">
        <v>3</v>
      </c>
      <c r="P214" s="488"/>
      <c r="Q214" s="517">
        <v>213</v>
      </c>
      <c r="R214" s="555" t="s">
        <v>54</v>
      </c>
      <c r="S214" s="176">
        <f t="shared" si="107"/>
        <v>3</v>
      </c>
      <c r="T214" s="176">
        <f t="shared" si="108"/>
        <v>7</v>
      </c>
      <c r="U214" s="176">
        <f t="shared" si="109"/>
        <v>8</v>
      </c>
      <c r="V214" s="176">
        <f t="shared" si="110"/>
        <v>12</v>
      </c>
      <c r="W214" s="176">
        <f t="shared" si="111"/>
        <v>16</v>
      </c>
      <c r="X214" s="176">
        <f t="shared" si="112"/>
        <v>18</v>
      </c>
      <c r="Y214" s="176">
        <f t="shared" si="113"/>
        <v>21</v>
      </c>
      <c r="Z214" s="176">
        <f t="shared" si="114"/>
        <v>22</v>
      </c>
      <c r="AA214" s="176">
        <f t="shared" si="115"/>
        <v>27</v>
      </c>
      <c r="AB214" s="176">
        <f t="shared" si="116"/>
        <v>28</v>
      </c>
      <c r="AC214" s="176">
        <f t="shared" si="117"/>
        <v>31</v>
      </c>
      <c r="AD214" s="462">
        <f t="shared" si="118"/>
        <v>34</v>
      </c>
      <c r="AE214" s="469">
        <v>213</v>
      </c>
      <c r="AF214" s="492">
        <v>33.666666666666664</v>
      </c>
    </row>
    <row r="215" spans="1:32" x14ac:dyDescent="0.35">
      <c r="B215" s="485">
        <v>214</v>
      </c>
      <c r="C215" s="554" t="s">
        <v>46</v>
      </c>
      <c r="D215" s="487">
        <v>1</v>
      </c>
      <c r="E215" s="487">
        <v>0</v>
      </c>
      <c r="F215" s="487">
        <v>1</v>
      </c>
      <c r="G215" s="487">
        <v>0</v>
      </c>
      <c r="H215" s="487">
        <v>1</v>
      </c>
      <c r="I215" s="487">
        <v>0</v>
      </c>
      <c r="J215" s="487">
        <v>0</v>
      </c>
      <c r="K215" s="487">
        <v>1</v>
      </c>
      <c r="L215" s="487">
        <v>0</v>
      </c>
      <c r="M215" s="487">
        <v>0</v>
      </c>
      <c r="N215" s="487">
        <v>1</v>
      </c>
      <c r="O215" s="487">
        <v>1</v>
      </c>
      <c r="P215" s="488"/>
      <c r="Q215" s="517">
        <v>214</v>
      </c>
      <c r="R215" s="555" t="s">
        <v>46</v>
      </c>
      <c r="S215" s="176">
        <f t="shared" si="107"/>
        <v>1</v>
      </c>
      <c r="T215" s="176">
        <f t="shared" si="108"/>
        <v>1</v>
      </c>
      <c r="U215" s="176">
        <f t="shared" si="109"/>
        <v>2</v>
      </c>
      <c r="V215" s="176">
        <f t="shared" si="110"/>
        <v>2</v>
      </c>
      <c r="W215" s="176">
        <f t="shared" si="111"/>
        <v>3</v>
      </c>
      <c r="X215" s="176">
        <f t="shared" si="112"/>
        <v>3</v>
      </c>
      <c r="Y215" s="176">
        <f t="shared" si="113"/>
        <v>3</v>
      </c>
      <c r="Z215" s="176">
        <f t="shared" si="114"/>
        <v>4</v>
      </c>
      <c r="AA215" s="176">
        <f t="shared" si="115"/>
        <v>4</v>
      </c>
      <c r="AB215" s="176">
        <f t="shared" si="116"/>
        <v>4</v>
      </c>
      <c r="AC215" s="176">
        <f t="shared" si="117"/>
        <v>5</v>
      </c>
      <c r="AD215" s="462">
        <f t="shared" si="118"/>
        <v>6</v>
      </c>
      <c r="AE215" s="491">
        <v>214</v>
      </c>
      <c r="AF215" s="492">
        <v>6.6666666666666661</v>
      </c>
    </row>
    <row r="216" spans="1:32" x14ac:dyDescent="0.35">
      <c r="B216" s="485">
        <v>215</v>
      </c>
      <c r="C216" s="554" t="s">
        <v>47</v>
      </c>
      <c r="D216" s="487">
        <v>8</v>
      </c>
      <c r="E216" s="487">
        <v>8</v>
      </c>
      <c r="F216" s="487">
        <v>12</v>
      </c>
      <c r="G216" s="487">
        <v>10</v>
      </c>
      <c r="H216" s="487">
        <v>9</v>
      </c>
      <c r="I216" s="487">
        <v>19</v>
      </c>
      <c r="J216" s="487">
        <v>18</v>
      </c>
      <c r="K216" s="487">
        <v>12</v>
      </c>
      <c r="L216" s="487">
        <v>10</v>
      </c>
      <c r="M216" s="487">
        <v>15</v>
      </c>
      <c r="N216" s="487">
        <v>19</v>
      </c>
      <c r="O216" s="487">
        <v>12</v>
      </c>
      <c r="P216" s="488"/>
      <c r="Q216" s="517">
        <v>215</v>
      </c>
      <c r="R216" s="555" t="s">
        <v>47</v>
      </c>
      <c r="S216" s="176">
        <f t="shared" si="107"/>
        <v>8</v>
      </c>
      <c r="T216" s="176">
        <f t="shared" si="108"/>
        <v>16</v>
      </c>
      <c r="U216" s="176">
        <f t="shared" si="109"/>
        <v>28</v>
      </c>
      <c r="V216" s="176">
        <f t="shared" si="110"/>
        <v>38</v>
      </c>
      <c r="W216" s="176">
        <f t="shared" si="111"/>
        <v>47</v>
      </c>
      <c r="X216" s="176">
        <f t="shared" si="112"/>
        <v>66</v>
      </c>
      <c r="Y216" s="176">
        <f t="shared" si="113"/>
        <v>84</v>
      </c>
      <c r="Z216" s="176">
        <f t="shared" si="114"/>
        <v>96</v>
      </c>
      <c r="AA216" s="176">
        <f t="shared" si="115"/>
        <v>106</v>
      </c>
      <c r="AB216" s="176">
        <f t="shared" si="116"/>
        <v>121</v>
      </c>
      <c r="AC216" s="176">
        <f t="shared" si="117"/>
        <v>140</v>
      </c>
      <c r="AD216" s="462">
        <f t="shared" si="118"/>
        <v>152</v>
      </c>
      <c r="AE216" s="469">
        <v>215</v>
      </c>
      <c r="AF216" s="492">
        <v>151.66666666666666</v>
      </c>
    </row>
    <row r="217" spans="1:32" x14ac:dyDescent="0.35">
      <c r="B217" s="485">
        <v>216</v>
      </c>
      <c r="C217" s="554" t="s">
        <v>48</v>
      </c>
      <c r="D217" s="487">
        <v>43</v>
      </c>
      <c r="E217" s="487">
        <v>43</v>
      </c>
      <c r="F217" s="487">
        <v>36</v>
      </c>
      <c r="G217" s="487">
        <v>39</v>
      </c>
      <c r="H217" s="487">
        <v>29</v>
      </c>
      <c r="I217" s="487">
        <v>52</v>
      </c>
      <c r="J217" s="487">
        <v>55</v>
      </c>
      <c r="K217" s="487">
        <v>45</v>
      </c>
      <c r="L217" s="487">
        <v>38</v>
      </c>
      <c r="M217" s="487">
        <v>48</v>
      </c>
      <c r="N217" s="487">
        <v>49</v>
      </c>
      <c r="O217" s="487">
        <v>35</v>
      </c>
      <c r="P217" s="488"/>
      <c r="Q217" s="517">
        <v>216</v>
      </c>
      <c r="R217" s="555" t="s">
        <v>48</v>
      </c>
      <c r="S217" s="176">
        <f t="shared" si="107"/>
        <v>43</v>
      </c>
      <c r="T217" s="176">
        <f t="shared" si="108"/>
        <v>86</v>
      </c>
      <c r="U217" s="176">
        <f t="shared" si="109"/>
        <v>122</v>
      </c>
      <c r="V217" s="176">
        <f t="shared" si="110"/>
        <v>161</v>
      </c>
      <c r="W217" s="176">
        <f t="shared" si="111"/>
        <v>190</v>
      </c>
      <c r="X217" s="176">
        <f t="shared" si="112"/>
        <v>242</v>
      </c>
      <c r="Y217" s="176">
        <f t="shared" si="113"/>
        <v>297</v>
      </c>
      <c r="Z217" s="176">
        <f t="shared" si="114"/>
        <v>342</v>
      </c>
      <c r="AA217" s="176">
        <f t="shared" si="115"/>
        <v>380</v>
      </c>
      <c r="AB217" s="176">
        <f t="shared" si="116"/>
        <v>428</v>
      </c>
      <c r="AC217" s="176">
        <f t="shared" si="117"/>
        <v>477</v>
      </c>
      <c r="AD217" s="462">
        <f t="shared" si="118"/>
        <v>512</v>
      </c>
      <c r="AE217" s="469">
        <v>216</v>
      </c>
      <c r="AF217" s="492">
        <v>512</v>
      </c>
    </row>
    <row r="218" spans="1:32" x14ac:dyDescent="0.35">
      <c r="B218" s="485">
        <v>217</v>
      </c>
      <c r="C218" s="554" t="s">
        <v>49</v>
      </c>
      <c r="D218" s="487">
        <v>10</v>
      </c>
      <c r="E218" s="487">
        <v>11</v>
      </c>
      <c r="F218" s="487">
        <v>12</v>
      </c>
      <c r="G218" s="487">
        <v>15</v>
      </c>
      <c r="H218" s="487">
        <v>12</v>
      </c>
      <c r="I218" s="487">
        <v>16</v>
      </c>
      <c r="J218" s="487">
        <v>9</v>
      </c>
      <c r="K218" s="487">
        <v>10</v>
      </c>
      <c r="L218" s="487">
        <v>12</v>
      </c>
      <c r="M218" s="487">
        <v>11</v>
      </c>
      <c r="N218" s="487">
        <v>10</v>
      </c>
      <c r="O218" s="487">
        <v>12</v>
      </c>
      <c r="P218" s="488"/>
      <c r="Q218" s="517">
        <v>217</v>
      </c>
      <c r="R218" s="555" t="s">
        <v>49</v>
      </c>
      <c r="S218" s="176">
        <f t="shared" si="107"/>
        <v>10</v>
      </c>
      <c r="T218" s="176">
        <f t="shared" si="108"/>
        <v>21</v>
      </c>
      <c r="U218" s="176">
        <f t="shared" si="109"/>
        <v>33</v>
      </c>
      <c r="V218" s="176">
        <f t="shared" si="110"/>
        <v>48</v>
      </c>
      <c r="W218" s="176">
        <f t="shared" si="111"/>
        <v>60</v>
      </c>
      <c r="X218" s="176">
        <f t="shared" si="112"/>
        <v>76</v>
      </c>
      <c r="Y218" s="176">
        <f t="shared" si="113"/>
        <v>85</v>
      </c>
      <c r="Z218" s="176">
        <f t="shared" si="114"/>
        <v>95</v>
      </c>
      <c r="AA218" s="176">
        <f t="shared" si="115"/>
        <v>107</v>
      </c>
      <c r="AB218" s="176">
        <f t="shared" si="116"/>
        <v>118</v>
      </c>
      <c r="AC218" s="176">
        <f t="shared" si="117"/>
        <v>128</v>
      </c>
      <c r="AD218" s="462">
        <f t="shared" si="118"/>
        <v>140</v>
      </c>
      <c r="AE218" s="469">
        <v>217</v>
      </c>
      <c r="AF218" s="492">
        <v>140</v>
      </c>
    </row>
    <row r="219" spans="1:32" x14ac:dyDescent="0.35">
      <c r="A219" s="227" t="s">
        <v>128</v>
      </c>
      <c r="B219" s="486">
        <v>218</v>
      </c>
      <c r="C219" s="554" t="s">
        <v>85</v>
      </c>
      <c r="D219" s="493">
        <v>11</v>
      </c>
      <c r="E219" s="493">
        <v>11</v>
      </c>
      <c r="F219" s="493">
        <v>13</v>
      </c>
      <c r="G219" s="493">
        <v>15</v>
      </c>
      <c r="H219" s="493">
        <v>13</v>
      </c>
      <c r="I219" s="493">
        <v>16</v>
      </c>
      <c r="J219" s="493">
        <v>9</v>
      </c>
      <c r="K219" s="493">
        <v>11</v>
      </c>
      <c r="L219" s="493">
        <v>12</v>
      </c>
      <c r="M219" s="493">
        <v>12</v>
      </c>
      <c r="N219" s="493">
        <v>11</v>
      </c>
      <c r="O219" s="493">
        <v>13</v>
      </c>
      <c r="P219" s="488"/>
      <c r="Q219" s="517">
        <v>218</v>
      </c>
      <c r="R219" s="555" t="s">
        <v>85</v>
      </c>
      <c r="S219" s="176">
        <f t="shared" si="107"/>
        <v>11</v>
      </c>
      <c r="T219" s="176">
        <f t="shared" si="108"/>
        <v>22</v>
      </c>
      <c r="U219" s="176">
        <f t="shared" si="109"/>
        <v>35</v>
      </c>
      <c r="V219" s="176">
        <f t="shared" si="110"/>
        <v>50</v>
      </c>
      <c r="W219" s="176">
        <f t="shared" si="111"/>
        <v>63</v>
      </c>
      <c r="X219" s="176">
        <f t="shared" si="112"/>
        <v>79</v>
      </c>
      <c r="Y219" s="176">
        <f t="shared" si="113"/>
        <v>88</v>
      </c>
      <c r="Z219" s="176">
        <f t="shared" si="114"/>
        <v>99</v>
      </c>
      <c r="AA219" s="176">
        <f t="shared" si="115"/>
        <v>111</v>
      </c>
      <c r="AB219" s="176">
        <f t="shared" si="116"/>
        <v>123</v>
      </c>
      <c r="AC219" s="176">
        <f t="shared" si="117"/>
        <v>134</v>
      </c>
      <c r="AD219" s="462">
        <f t="shared" si="118"/>
        <v>147</v>
      </c>
      <c r="AE219" s="469">
        <v>218</v>
      </c>
      <c r="AF219" s="492">
        <v>146.66666666666666</v>
      </c>
    </row>
    <row r="220" spans="1:32" x14ac:dyDescent="0.35">
      <c r="B220" s="485">
        <v>219</v>
      </c>
      <c r="C220" s="554" t="s">
        <v>50</v>
      </c>
      <c r="D220" s="487">
        <v>61</v>
      </c>
      <c r="E220" s="487">
        <v>63</v>
      </c>
      <c r="F220" s="487">
        <v>61</v>
      </c>
      <c r="G220" s="487">
        <v>64</v>
      </c>
      <c r="H220" s="487">
        <v>51</v>
      </c>
      <c r="I220" s="487">
        <v>87</v>
      </c>
      <c r="J220" s="487">
        <v>81</v>
      </c>
      <c r="K220" s="487">
        <v>68</v>
      </c>
      <c r="L220" s="487">
        <v>61</v>
      </c>
      <c r="M220" s="487">
        <v>75</v>
      </c>
      <c r="N220" s="487">
        <v>79</v>
      </c>
      <c r="O220" s="487">
        <v>60</v>
      </c>
      <c r="P220" s="488"/>
      <c r="Q220" s="517">
        <v>219</v>
      </c>
      <c r="R220" s="555" t="s">
        <v>50</v>
      </c>
      <c r="S220" s="176">
        <f t="shared" si="107"/>
        <v>61</v>
      </c>
      <c r="T220" s="176">
        <f t="shared" si="108"/>
        <v>124</v>
      </c>
      <c r="U220" s="176">
        <f t="shared" si="109"/>
        <v>185</v>
      </c>
      <c r="V220" s="176">
        <f t="shared" si="110"/>
        <v>249</v>
      </c>
      <c r="W220" s="176">
        <f t="shared" si="111"/>
        <v>300</v>
      </c>
      <c r="X220" s="176">
        <f t="shared" si="112"/>
        <v>387</v>
      </c>
      <c r="Y220" s="176">
        <f t="shared" si="113"/>
        <v>468</v>
      </c>
      <c r="Z220" s="176">
        <f t="shared" si="114"/>
        <v>536</v>
      </c>
      <c r="AA220" s="176">
        <f t="shared" si="115"/>
        <v>597</v>
      </c>
      <c r="AB220" s="176">
        <f t="shared" si="116"/>
        <v>672</v>
      </c>
      <c r="AC220" s="176">
        <f t="shared" si="117"/>
        <v>751</v>
      </c>
      <c r="AD220" s="462">
        <f t="shared" si="118"/>
        <v>811</v>
      </c>
      <c r="AE220" s="491">
        <v>219</v>
      </c>
      <c r="AF220" s="492">
        <v>810.33333333333314</v>
      </c>
    </row>
    <row r="221" spans="1:32" x14ac:dyDescent="0.35">
      <c r="B221" s="485">
        <v>220</v>
      </c>
      <c r="C221" s="558" t="s">
        <v>348</v>
      </c>
      <c r="D221" s="487">
        <v>8</v>
      </c>
      <c r="E221" s="487">
        <v>12</v>
      </c>
      <c r="F221" s="487">
        <v>12</v>
      </c>
      <c r="G221" s="487">
        <v>11</v>
      </c>
      <c r="H221" s="487">
        <v>10</v>
      </c>
      <c r="I221" s="487">
        <v>10</v>
      </c>
      <c r="J221" s="487">
        <v>8</v>
      </c>
      <c r="K221" s="487">
        <v>12</v>
      </c>
      <c r="L221" s="487">
        <v>6</v>
      </c>
      <c r="M221" s="487">
        <v>9</v>
      </c>
      <c r="N221" s="487">
        <v>9</v>
      </c>
      <c r="O221" s="487">
        <v>8</v>
      </c>
      <c r="P221" s="488"/>
      <c r="Q221" s="517">
        <v>220</v>
      </c>
      <c r="R221" s="555" t="s">
        <v>348</v>
      </c>
      <c r="S221" s="176">
        <f t="shared" si="107"/>
        <v>8</v>
      </c>
      <c r="T221" s="176">
        <f t="shared" si="108"/>
        <v>20</v>
      </c>
      <c r="U221" s="176">
        <f t="shared" si="109"/>
        <v>32</v>
      </c>
      <c r="V221" s="176">
        <f t="shared" si="110"/>
        <v>43</v>
      </c>
      <c r="W221" s="176">
        <f t="shared" si="111"/>
        <v>53</v>
      </c>
      <c r="X221" s="176">
        <f t="shared" si="112"/>
        <v>63</v>
      </c>
      <c r="Y221" s="176">
        <f t="shared" si="113"/>
        <v>71</v>
      </c>
      <c r="Z221" s="176">
        <f t="shared" si="114"/>
        <v>83</v>
      </c>
      <c r="AA221" s="176">
        <f t="shared" si="115"/>
        <v>89</v>
      </c>
      <c r="AB221" s="176">
        <f t="shared" si="116"/>
        <v>98</v>
      </c>
      <c r="AC221" s="176">
        <f t="shared" si="117"/>
        <v>107</v>
      </c>
      <c r="AD221" s="462">
        <f t="shared" si="118"/>
        <v>115</v>
      </c>
      <c r="AE221" s="469">
        <v>220</v>
      </c>
      <c r="AF221" s="492">
        <v>113</v>
      </c>
    </row>
    <row r="222" spans="1:32" x14ac:dyDescent="0.35">
      <c r="B222" s="485">
        <v>221</v>
      </c>
      <c r="C222" s="559" t="s">
        <v>349</v>
      </c>
      <c r="D222" s="487">
        <v>130</v>
      </c>
      <c r="E222" s="487">
        <v>151</v>
      </c>
      <c r="F222" s="487">
        <v>162</v>
      </c>
      <c r="G222" s="487">
        <v>162</v>
      </c>
      <c r="H222" s="487">
        <v>156</v>
      </c>
      <c r="I222" s="487">
        <v>147</v>
      </c>
      <c r="J222" s="487">
        <v>156</v>
      </c>
      <c r="K222" s="487">
        <v>144</v>
      </c>
      <c r="L222" s="487">
        <v>161</v>
      </c>
      <c r="M222" s="487">
        <v>136</v>
      </c>
      <c r="N222" s="487">
        <v>138</v>
      </c>
      <c r="O222" s="487">
        <v>155</v>
      </c>
      <c r="P222" s="488"/>
      <c r="Q222" s="517">
        <v>221</v>
      </c>
      <c r="R222" s="557" t="s">
        <v>349</v>
      </c>
      <c r="S222" s="176">
        <f t="shared" si="107"/>
        <v>130</v>
      </c>
      <c r="T222" s="176">
        <f t="shared" si="108"/>
        <v>281</v>
      </c>
      <c r="U222" s="176">
        <f t="shared" si="109"/>
        <v>443</v>
      </c>
      <c r="V222" s="176">
        <f t="shared" si="110"/>
        <v>605</v>
      </c>
      <c r="W222" s="176">
        <f t="shared" si="111"/>
        <v>761</v>
      </c>
      <c r="X222" s="176">
        <f t="shared" si="112"/>
        <v>908</v>
      </c>
      <c r="Y222" s="176">
        <f t="shared" si="113"/>
        <v>1064</v>
      </c>
      <c r="Z222" s="176">
        <f t="shared" si="114"/>
        <v>1208</v>
      </c>
      <c r="AA222" s="176">
        <f t="shared" si="115"/>
        <v>1369</v>
      </c>
      <c r="AB222" s="176">
        <f t="shared" si="116"/>
        <v>1505</v>
      </c>
      <c r="AC222" s="176">
        <f t="shared" si="117"/>
        <v>1643</v>
      </c>
      <c r="AD222" s="462">
        <f t="shared" si="118"/>
        <v>1798</v>
      </c>
      <c r="AE222" s="469">
        <v>221</v>
      </c>
      <c r="AF222" s="492">
        <v>1799.0000000000002</v>
      </c>
    </row>
    <row r="223" spans="1:32" x14ac:dyDescent="0.35">
      <c r="B223" s="485">
        <v>222</v>
      </c>
      <c r="C223" s="559" t="s">
        <v>352</v>
      </c>
      <c r="D223" s="487">
        <v>74</v>
      </c>
      <c r="E223" s="487">
        <v>97</v>
      </c>
      <c r="F223" s="487">
        <v>103</v>
      </c>
      <c r="G223" s="487">
        <v>116</v>
      </c>
      <c r="H223" s="487">
        <v>109</v>
      </c>
      <c r="I223" s="487">
        <v>101</v>
      </c>
      <c r="J223" s="487">
        <v>83</v>
      </c>
      <c r="K223" s="487">
        <v>90</v>
      </c>
      <c r="L223" s="487">
        <v>70</v>
      </c>
      <c r="M223" s="487">
        <v>81</v>
      </c>
      <c r="N223" s="487">
        <v>82</v>
      </c>
      <c r="O223" s="487">
        <v>102</v>
      </c>
      <c r="P223" s="488"/>
      <c r="Q223" s="517">
        <v>222</v>
      </c>
      <c r="R223" s="557" t="s">
        <v>352</v>
      </c>
      <c r="S223" s="176">
        <f t="shared" si="107"/>
        <v>74</v>
      </c>
      <c r="T223" s="176">
        <f t="shared" si="108"/>
        <v>171</v>
      </c>
      <c r="U223" s="176">
        <f t="shared" si="109"/>
        <v>274</v>
      </c>
      <c r="V223" s="176">
        <f t="shared" si="110"/>
        <v>390</v>
      </c>
      <c r="W223" s="176">
        <f t="shared" si="111"/>
        <v>499</v>
      </c>
      <c r="X223" s="176">
        <f t="shared" si="112"/>
        <v>600</v>
      </c>
      <c r="Y223" s="176">
        <f t="shared" si="113"/>
        <v>683</v>
      </c>
      <c r="Z223" s="176">
        <f t="shared" si="114"/>
        <v>773</v>
      </c>
      <c r="AA223" s="176">
        <f t="shared" si="115"/>
        <v>843</v>
      </c>
      <c r="AB223" s="176">
        <f t="shared" si="116"/>
        <v>924</v>
      </c>
      <c r="AC223" s="176">
        <f t="shared" si="117"/>
        <v>1006</v>
      </c>
      <c r="AD223" s="462">
        <f t="shared" si="118"/>
        <v>1108</v>
      </c>
      <c r="AE223" s="491">
        <v>222</v>
      </c>
      <c r="AF223" s="492">
        <v>1106</v>
      </c>
    </row>
    <row r="224" spans="1:32" x14ac:dyDescent="0.35">
      <c r="B224" s="499">
        <v>223</v>
      </c>
      <c r="C224" s="559" t="s">
        <v>350</v>
      </c>
      <c r="D224" s="487">
        <v>3</v>
      </c>
      <c r="E224" s="487">
        <v>2</v>
      </c>
      <c r="F224" s="487">
        <v>3</v>
      </c>
      <c r="G224" s="487">
        <v>4</v>
      </c>
      <c r="H224" s="487">
        <v>3</v>
      </c>
      <c r="I224" s="487">
        <v>3</v>
      </c>
      <c r="J224" s="487">
        <v>1</v>
      </c>
      <c r="K224" s="487">
        <v>2</v>
      </c>
      <c r="L224" s="487">
        <v>2</v>
      </c>
      <c r="M224" s="487">
        <v>1</v>
      </c>
      <c r="N224" s="487">
        <v>2</v>
      </c>
      <c r="O224" s="487">
        <v>1</v>
      </c>
      <c r="P224" s="488"/>
      <c r="Q224" s="517">
        <v>223</v>
      </c>
      <c r="R224" s="557" t="s">
        <v>350</v>
      </c>
      <c r="S224" s="176">
        <f t="shared" si="107"/>
        <v>3</v>
      </c>
      <c r="T224" s="176">
        <f t="shared" si="108"/>
        <v>5</v>
      </c>
      <c r="U224" s="176">
        <f t="shared" si="109"/>
        <v>8</v>
      </c>
      <c r="V224" s="176">
        <f t="shared" si="110"/>
        <v>12</v>
      </c>
      <c r="W224" s="176">
        <f t="shared" si="111"/>
        <v>15</v>
      </c>
      <c r="X224" s="176">
        <f t="shared" si="112"/>
        <v>18</v>
      </c>
      <c r="Y224" s="176">
        <f t="shared" si="113"/>
        <v>19</v>
      </c>
      <c r="Z224" s="176">
        <f t="shared" si="114"/>
        <v>21</v>
      </c>
      <c r="AA224" s="176">
        <f t="shared" si="115"/>
        <v>23</v>
      </c>
      <c r="AB224" s="176">
        <f t="shared" si="116"/>
        <v>24</v>
      </c>
      <c r="AC224" s="176">
        <f t="shared" si="117"/>
        <v>26</v>
      </c>
      <c r="AD224" s="462">
        <f t="shared" si="118"/>
        <v>27</v>
      </c>
      <c r="AE224" s="469">
        <v>223</v>
      </c>
      <c r="AF224" s="492">
        <v>25.833333333333332</v>
      </c>
    </row>
    <row r="225" spans="1:32" x14ac:dyDescent="0.35">
      <c r="B225" s="485">
        <v>224</v>
      </c>
      <c r="C225" s="560" t="s">
        <v>52</v>
      </c>
      <c r="D225" s="487">
        <v>96</v>
      </c>
      <c r="E225" s="487">
        <v>93</v>
      </c>
      <c r="F225" s="487">
        <v>110</v>
      </c>
      <c r="G225" s="487">
        <v>121</v>
      </c>
      <c r="H225" s="487">
        <v>116</v>
      </c>
      <c r="I225" s="487">
        <v>101</v>
      </c>
      <c r="J225" s="487">
        <v>109</v>
      </c>
      <c r="K225" s="487">
        <v>87</v>
      </c>
      <c r="L225" s="487">
        <v>94</v>
      </c>
      <c r="M225" s="487">
        <v>88</v>
      </c>
      <c r="N225" s="487">
        <v>94</v>
      </c>
      <c r="O225" s="487">
        <v>109</v>
      </c>
      <c r="P225" s="488"/>
      <c r="Q225" s="517">
        <v>224</v>
      </c>
      <c r="R225" s="555" t="s">
        <v>52</v>
      </c>
      <c r="S225" s="176">
        <f t="shared" si="107"/>
        <v>96</v>
      </c>
      <c r="T225" s="176">
        <f t="shared" si="108"/>
        <v>189</v>
      </c>
      <c r="U225" s="176">
        <f t="shared" si="109"/>
        <v>299</v>
      </c>
      <c r="V225" s="176">
        <f t="shared" si="110"/>
        <v>420</v>
      </c>
      <c r="W225" s="176">
        <f t="shared" si="111"/>
        <v>536</v>
      </c>
      <c r="X225" s="176">
        <f t="shared" si="112"/>
        <v>637</v>
      </c>
      <c r="Y225" s="176">
        <f t="shared" si="113"/>
        <v>746</v>
      </c>
      <c r="Z225" s="176">
        <f t="shared" si="114"/>
        <v>833</v>
      </c>
      <c r="AA225" s="176">
        <f t="shared" si="115"/>
        <v>927</v>
      </c>
      <c r="AB225" s="176">
        <f t="shared" si="116"/>
        <v>1015</v>
      </c>
      <c r="AC225" s="176">
        <f t="shared" si="117"/>
        <v>1109</v>
      </c>
      <c r="AD225" s="462">
        <f t="shared" si="118"/>
        <v>1218</v>
      </c>
      <c r="AE225" s="469">
        <v>224</v>
      </c>
      <c r="AF225" s="492">
        <v>1218.3333333333335</v>
      </c>
    </row>
    <row r="226" spans="1:32" x14ac:dyDescent="0.35">
      <c r="B226" s="485">
        <v>225</v>
      </c>
      <c r="C226" s="554" t="s">
        <v>81</v>
      </c>
      <c r="D226" s="487">
        <v>27</v>
      </c>
      <c r="E226" s="487">
        <v>28</v>
      </c>
      <c r="F226" s="487">
        <v>25</v>
      </c>
      <c r="G226" s="487">
        <v>27</v>
      </c>
      <c r="H226" s="487">
        <v>45</v>
      </c>
      <c r="I226" s="487">
        <v>23</v>
      </c>
      <c r="J226" s="487">
        <v>26</v>
      </c>
      <c r="K226" s="487">
        <v>32</v>
      </c>
      <c r="L226" s="487">
        <v>33</v>
      </c>
      <c r="M226" s="487">
        <v>30</v>
      </c>
      <c r="N226" s="487">
        <v>19</v>
      </c>
      <c r="O226" s="487">
        <v>18</v>
      </c>
      <c r="P226" s="488"/>
      <c r="Q226" s="517">
        <v>225</v>
      </c>
      <c r="R226" s="555" t="s">
        <v>81</v>
      </c>
      <c r="S226" s="176">
        <f t="shared" si="107"/>
        <v>27</v>
      </c>
      <c r="T226" s="176">
        <f t="shared" si="108"/>
        <v>55</v>
      </c>
      <c r="U226" s="176">
        <f t="shared" si="109"/>
        <v>80</v>
      </c>
      <c r="V226" s="176">
        <f t="shared" si="110"/>
        <v>107</v>
      </c>
      <c r="W226" s="176">
        <f t="shared" si="111"/>
        <v>152</v>
      </c>
      <c r="X226" s="176">
        <f t="shared" si="112"/>
        <v>175</v>
      </c>
      <c r="Y226" s="176">
        <f t="shared" si="113"/>
        <v>201</v>
      </c>
      <c r="Z226" s="176">
        <f t="shared" si="114"/>
        <v>233</v>
      </c>
      <c r="AA226" s="176">
        <f t="shared" si="115"/>
        <v>266</v>
      </c>
      <c r="AB226" s="176">
        <f t="shared" si="116"/>
        <v>296</v>
      </c>
      <c r="AC226" s="176">
        <f t="shared" si="117"/>
        <v>315</v>
      </c>
      <c r="AD226" s="462">
        <f t="shared" si="118"/>
        <v>333</v>
      </c>
      <c r="AE226" s="469">
        <v>225</v>
      </c>
      <c r="AF226" s="492">
        <v>334.33333333333331</v>
      </c>
    </row>
    <row r="227" spans="1:32" x14ac:dyDescent="0.35">
      <c r="A227" s="227" t="s">
        <v>128</v>
      </c>
      <c r="B227" s="485">
        <v>226</v>
      </c>
      <c r="C227" s="554" t="s">
        <v>75</v>
      </c>
      <c r="D227" s="497">
        <v>137</v>
      </c>
      <c r="E227" s="497">
        <v>130</v>
      </c>
      <c r="F227" s="497">
        <v>125</v>
      </c>
      <c r="G227" s="497">
        <v>134</v>
      </c>
      <c r="H227" s="497">
        <v>152</v>
      </c>
      <c r="I227" s="497">
        <v>132</v>
      </c>
      <c r="J227" s="497">
        <v>145</v>
      </c>
      <c r="K227" s="497">
        <v>144</v>
      </c>
      <c r="L227" s="497">
        <v>138</v>
      </c>
      <c r="M227" s="497">
        <v>142</v>
      </c>
      <c r="N227" s="497">
        <v>115</v>
      </c>
      <c r="O227" s="497">
        <v>110</v>
      </c>
      <c r="P227" s="488"/>
      <c r="Q227" s="517">
        <v>226</v>
      </c>
      <c r="R227" s="555" t="s">
        <v>75</v>
      </c>
      <c r="S227" s="176">
        <f t="shared" si="107"/>
        <v>137</v>
      </c>
      <c r="T227" s="176">
        <f t="shared" si="108"/>
        <v>267</v>
      </c>
      <c r="U227" s="176">
        <f t="shared" si="109"/>
        <v>392</v>
      </c>
      <c r="V227" s="176">
        <f t="shared" si="110"/>
        <v>526</v>
      </c>
      <c r="W227" s="176">
        <f t="shared" si="111"/>
        <v>678</v>
      </c>
      <c r="X227" s="176">
        <f t="shared" si="112"/>
        <v>810</v>
      </c>
      <c r="Y227" s="176">
        <f t="shared" si="113"/>
        <v>955</v>
      </c>
      <c r="Z227" s="176">
        <f t="shared" si="114"/>
        <v>1099</v>
      </c>
      <c r="AA227" s="176">
        <f t="shared" si="115"/>
        <v>1237</v>
      </c>
      <c r="AB227" s="176">
        <f t="shared" si="116"/>
        <v>1379</v>
      </c>
      <c r="AC227" s="176">
        <f t="shared" si="117"/>
        <v>1494</v>
      </c>
      <c r="AD227" s="462">
        <f t="shared" si="118"/>
        <v>1604</v>
      </c>
      <c r="AE227" s="469">
        <v>226</v>
      </c>
      <c r="AF227" s="492">
        <v>1603</v>
      </c>
    </row>
    <row r="228" spans="1:32" x14ac:dyDescent="0.35">
      <c r="B228" s="485">
        <v>227</v>
      </c>
      <c r="C228" s="554" t="s">
        <v>76</v>
      </c>
      <c r="D228" s="494">
        <v>287</v>
      </c>
      <c r="E228" s="494">
        <v>317</v>
      </c>
      <c r="F228" s="494">
        <v>273</v>
      </c>
      <c r="G228" s="494">
        <v>246</v>
      </c>
      <c r="H228" s="494">
        <v>238</v>
      </c>
      <c r="I228" s="494">
        <v>202</v>
      </c>
      <c r="J228" s="494">
        <v>177</v>
      </c>
      <c r="K228" s="494">
        <v>143</v>
      </c>
      <c r="L228" s="494">
        <v>135</v>
      </c>
      <c r="M228" s="494">
        <v>157</v>
      </c>
      <c r="N228" s="494">
        <v>129</v>
      </c>
      <c r="O228" s="494">
        <v>190</v>
      </c>
      <c r="P228" s="488"/>
      <c r="Q228" s="517">
        <v>227</v>
      </c>
      <c r="R228" s="555" t="s">
        <v>76</v>
      </c>
      <c r="S228" s="176">
        <f t="shared" si="107"/>
        <v>287</v>
      </c>
      <c r="T228" s="176">
        <f t="shared" si="108"/>
        <v>604</v>
      </c>
      <c r="U228" s="176">
        <f t="shared" si="109"/>
        <v>877</v>
      </c>
      <c r="V228" s="176">
        <f t="shared" si="110"/>
        <v>1123</v>
      </c>
      <c r="W228" s="176">
        <f t="shared" si="111"/>
        <v>1361</v>
      </c>
      <c r="X228" s="176">
        <f t="shared" si="112"/>
        <v>1563</v>
      </c>
      <c r="Y228" s="176">
        <f t="shared" si="113"/>
        <v>1740</v>
      </c>
      <c r="Z228" s="176">
        <f t="shared" si="114"/>
        <v>1883</v>
      </c>
      <c r="AA228" s="176">
        <f t="shared" si="115"/>
        <v>2018</v>
      </c>
      <c r="AB228" s="176">
        <f t="shared" si="116"/>
        <v>2175</v>
      </c>
      <c r="AC228" s="176">
        <f t="shared" si="117"/>
        <v>2304</v>
      </c>
      <c r="AD228" s="462">
        <f t="shared" si="118"/>
        <v>2494</v>
      </c>
      <c r="AE228" s="491">
        <v>227</v>
      </c>
      <c r="AF228" s="492">
        <v>2494.3333333333335</v>
      </c>
    </row>
    <row r="229" spans="1:32" x14ac:dyDescent="0.35">
      <c r="B229" s="486">
        <v>228</v>
      </c>
      <c r="C229" s="554" t="s">
        <v>86</v>
      </c>
      <c r="D229" s="494">
        <v>47</v>
      </c>
      <c r="E229" s="494">
        <v>47</v>
      </c>
      <c r="F229" s="494">
        <v>36</v>
      </c>
      <c r="G229" s="494">
        <v>34</v>
      </c>
      <c r="H229" s="494">
        <v>34</v>
      </c>
      <c r="I229" s="494">
        <v>38</v>
      </c>
      <c r="J229" s="494">
        <v>28</v>
      </c>
      <c r="K229" s="494">
        <v>22</v>
      </c>
      <c r="L229" s="494">
        <v>18</v>
      </c>
      <c r="M229" s="494">
        <v>21</v>
      </c>
      <c r="N229" s="494">
        <v>17</v>
      </c>
      <c r="O229" s="494">
        <v>22</v>
      </c>
      <c r="P229" s="488"/>
      <c r="Q229" s="517">
        <v>228</v>
      </c>
      <c r="R229" s="555" t="s">
        <v>86</v>
      </c>
      <c r="S229" s="176">
        <f t="shared" si="107"/>
        <v>47</v>
      </c>
      <c r="T229" s="176">
        <f t="shared" si="108"/>
        <v>94</v>
      </c>
      <c r="U229" s="176">
        <f t="shared" si="109"/>
        <v>130</v>
      </c>
      <c r="V229" s="176">
        <f t="shared" si="110"/>
        <v>164</v>
      </c>
      <c r="W229" s="176">
        <f t="shared" si="111"/>
        <v>198</v>
      </c>
      <c r="X229" s="176">
        <f t="shared" si="112"/>
        <v>236</v>
      </c>
      <c r="Y229" s="176">
        <f t="shared" si="113"/>
        <v>264</v>
      </c>
      <c r="Z229" s="176">
        <f t="shared" si="114"/>
        <v>286</v>
      </c>
      <c r="AA229" s="176">
        <f t="shared" si="115"/>
        <v>304</v>
      </c>
      <c r="AB229" s="176">
        <f t="shared" si="116"/>
        <v>325</v>
      </c>
      <c r="AC229" s="176">
        <f t="shared" si="117"/>
        <v>342</v>
      </c>
      <c r="AD229" s="462">
        <f t="shared" si="118"/>
        <v>364</v>
      </c>
      <c r="AE229" s="469">
        <v>228</v>
      </c>
      <c r="AF229" s="492">
        <v>365.99999999999994</v>
      </c>
    </row>
    <row r="230" spans="1:32" x14ac:dyDescent="0.35">
      <c r="B230" s="485">
        <v>229</v>
      </c>
      <c r="C230" s="554" t="s">
        <v>88</v>
      </c>
      <c r="D230" s="494">
        <v>182</v>
      </c>
      <c r="E230" s="494">
        <v>219</v>
      </c>
      <c r="F230" s="494">
        <v>205</v>
      </c>
      <c r="G230" s="494">
        <v>187</v>
      </c>
      <c r="H230" s="494">
        <v>180</v>
      </c>
      <c r="I230" s="494">
        <v>146</v>
      </c>
      <c r="J230" s="494">
        <v>127</v>
      </c>
      <c r="K230" s="494">
        <v>101</v>
      </c>
      <c r="L230" s="494">
        <v>103</v>
      </c>
      <c r="M230" s="494">
        <v>114</v>
      </c>
      <c r="N230" s="494">
        <v>94</v>
      </c>
      <c r="O230" s="494">
        <v>143</v>
      </c>
      <c r="P230" s="488"/>
      <c r="Q230" s="517">
        <v>229</v>
      </c>
      <c r="R230" s="555" t="s">
        <v>88</v>
      </c>
      <c r="S230" s="176">
        <f t="shared" si="107"/>
        <v>182</v>
      </c>
      <c r="T230" s="176">
        <f t="shared" si="108"/>
        <v>401</v>
      </c>
      <c r="U230" s="176">
        <f t="shared" si="109"/>
        <v>606</v>
      </c>
      <c r="V230" s="176">
        <f t="shared" si="110"/>
        <v>793</v>
      </c>
      <c r="W230" s="176">
        <f t="shared" si="111"/>
        <v>973</v>
      </c>
      <c r="X230" s="176">
        <f t="shared" si="112"/>
        <v>1119</v>
      </c>
      <c r="Y230" s="176">
        <f t="shared" si="113"/>
        <v>1246</v>
      </c>
      <c r="Z230" s="176">
        <f t="shared" si="114"/>
        <v>1347</v>
      </c>
      <c r="AA230" s="176">
        <f t="shared" si="115"/>
        <v>1450</v>
      </c>
      <c r="AB230" s="176">
        <f t="shared" si="116"/>
        <v>1564</v>
      </c>
      <c r="AC230" s="176">
        <f t="shared" si="117"/>
        <v>1658</v>
      </c>
      <c r="AD230" s="462">
        <f t="shared" si="118"/>
        <v>1801</v>
      </c>
      <c r="AE230" s="469">
        <v>229</v>
      </c>
      <c r="AF230" s="492">
        <v>1801.9999999999998</v>
      </c>
    </row>
    <row r="231" spans="1:32" x14ac:dyDescent="0.35">
      <c r="B231" s="485">
        <v>230</v>
      </c>
      <c r="C231" s="554" t="s">
        <v>87</v>
      </c>
      <c r="D231" s="494">
        <v>58</v>
      </c>
      <c r="E231" s="494">
        <v>50</v>
      </c>
      <c r="F231" s="494">
        <v>32</v>
      </c>
      <c r="G231" s="494">
        <v>25</v>
      </c>
      <c r="H231" s="494">
        <v>24</v>
      </c>
      <c r="I231" s="494">
        <v>17</v>
      </c>
      <c r="J231" s="494">
        <v>22</v>
      </c>
      <c r="K231" s="494">
        <v>20</v>
      </c>
      <c r="L231" s="494">
        <v>14</v>
      </c>
      <c r="M231" s="494">
        <v>22</v>
      </c>
      <c r="N231" s="494">
        <v>17</v>
      </c>
      <c r="O231" s="494">
        <v>25</v>
      </c>
      <c r="P231" s="488"/>
      <c r="Q231" s="517">
        <v>230</v>
      </c>
      <c r="R231" s="555" t="s">
        <v>87</v>
      </c>
      <c r="S231" s="176">
        <f t="shared" si="107"/>
        <v>58</v>
      </c>
      <c r="T231" s="176">
        <f t="shared" si="108"/>
        <v>108</v>
      </c>
      <c r="U231" s="176">
        <f t="shared" si="109"/>
        <v>140</v>
      </c>
      <c r="V231" s="176">
        <f t="shared" si="110"/>
        <v>165</v>
      </c>
      <c r="W231" s="176">
        <f t="shared" si="111"/>
        <v>189</v>
      </c>
      <c r="X231" s="176">
        <f t="shared" si="112"/>
        <v>206</v>
      </c>
      <c r="Y231" s="176">
        <f t="shared" si="113"/>
        <v>228</v>
      </c>
      <c r="Z231" s="176">
        <f t="shared" si="114"/>
        <v>248</v>
      </c>
      <c r="AA231" s="176">
        <f t="shared" si="115"/>
        <v>262</v>
      </c>
      <c r="AB231" s="176">
        <f t="shared" si="116"/>
        <v>284</v>
      </c>
      <c r="AC231" s="176">
        <f t="shared" si="117"/>
        <v>301</v>
      </c>
      <c r="AD231" s="462">
        <f t="shared" si="118"/>
        <v>326</v>
      </c>
      <c r="AE231" s="491">
        <v>230</v>
      </c>
      <c r="AF231" s="492">
        <v>326.33333333333337</v>
      </c>
    </row>
    <row r="232" spans="1:32" x14ac:dyDescent="0.35">
      <c r="B232" s="485">
        <v>231</v>
      </c>
      <c r="C232" s="554" t="s">
        <v>90</v>
      </c>
      <c r="D232" s="498">
        <v>2</v>
      </c>
      <c r="E232" s="498">
        <v>2</v>
      </c>
      <c r="F232" s="498">
        <v>1</v>
      </c>
      <c r="G232" s="498">
        <v>3</v>
      </c>
      <c r="H232" s="498">
        <v>1</v>
      </c>
      <c r="I232" s="498">
        <v>1</v>
      </c>
      <c r="J232" s="498">
        <v>1</v>
      </c>
      <c r="K232" s="498">
        <v>0</v>
      </c>
      <c r="L232" s="498">
        <v>0</v>
      </c>
      <c r="M232" s="498">
        <v>0</v>
      </c>
      <c r="N232" s="498">
        <v>1</v>
      </c>
      <c r="O232" s="498">
        <v>1</v>
      </c>
      <c r="P232" s="488"/>
      <c r="Q232" s="517">
        <v>231</v>
      </c>
      <c r="R232" s="555" t="s">
        <v>90</v>
      </c>
      <c r="S232" s="176">
        <f t="shared" si="107"/>
        <v>2</v>
      </c>
      <c r="T232" s="176">
        <f t="shared" si="108"/>
        <v>4</v>
      </c>
      <c r="U232" s="176">
        <f t="shared" si="109"/>
        <v>5</v>
      </c>
      <c r="V232" s="176">
        <f t="shared" si="110"/>
        <v>8</v>
      </c>
      <c r="W232" s="176">
        <f t="shared" si="111"/>
        <v>9</v>
      </c>
      <c r="X232" s="176">
        <f t="shared" si="112"/>
        <v>10</v>
      </c>
      <c r="Y232" s="176">
        <f t="shared" si="113"/>
        <v>11</v>
      </c>
      <c r="Z232" s="176">
        <f t="shared" si="114"/>
        <v>11</v>
      </c>
      <c r="AA232" s="176">
        <f t="shared" si="115"/>
        <v>11</v>
      </c>
      <c r="AB232" s="176">
        <f t="shared" si="116"/>
        <v>11</v>
      </c>
      <c r="AC232" s="176">
        <f t="shared" si="117"/>
        <v>12</v>
      </c>
      <c r="AD232" s="462">
        <f t="shared" si="118"/>
        <v>13</v>
      </c>
      <c r="AE232" s="469">
        <v>231</v>
      </c>
      <c r="AF232" s="492">
        <v>13.333333333333334</v>
      </c>
    </row>
    <row r="233" spans="1:32" x14ac:dyDescent="0.35">
      <c r="A233" s="227" t="s">
        <v>128</v>
      </c>
      <c r="B233" s="485">
        <v>232</v>
      </c>
      <c r="C233" s="554" t="s">
        <v>89</v>
      </c>
      <c r="D233" s="494">
        <v>10</v>
      </c>
      <c r="E233" s="494">
        <v>4</v>
      </c>
      <c r="F233" s="494">
        <v>8</v>
      </c>
      <c r="G233" s="494">
        <v>6</v>
      </c>
      <c r="H233" s="494">
        <v>9</v>
      </c>
      <c r="I233" s="494">
        <v>12</v>
      </c>
      <c r="J233" s="494">
        <v>11</v>
      </c>
      <c r="K233" s="494">
        <v>7</v>
      </c>
      <c r="L233" s="494">
        <v>5</v>
      </c>
      <c r="M233" s="494">
        <v>4</v>
      </c>
      <c r="N233" s="494">
        <v>3</v>
      </c>
      <c r="O233" s="494">
        <v>3</v>
      </c>
      <c r="P233" s="488"/>
      <c r="Q233" s="517">
        <v>232</v>
      </c>
      <c r="R233" s="555" t="s">
        <v>89</v>
      </c>
      <c r="S233" s="176">
        <f t="shared" si="107"/>
        <v>10</v>
      </c>
      <c r="T233" s="176">
        <f t="shared" si="108"/>
        <v>14</v>
      </c>
      <c r="U233" s="176">
        <f t="shared" si="109"/>
        <v>22</v>
      </c>
      <c r="V233" s="176">
        <f t="shared" si="110"/>
        <v>28</v>
      </c>
      <c r="W233" s="176">
        <f t="shared" si="111"/>
        <v>37</v>
      </c>
      <c r="X233" s="176">
        <f t="shared" si="112"/>
        <v>49</v>
      </c>
      <c r="Y233" s="176">
        <f t="shared" si="113"/>
        <v>60</v>
      </c>
      <c r="Z233" s="176">
        <f t="shared" si="114"/>
        <v>67</v>
      </c>
      <c r="AA233" s="176">
        <f t="shared" si="115"/>
        <v>72</v>
      </c>
      <c r="AB233" s="176">
        <f t="shared" si="116"/>
        <v>76</v>
      </c>
      <c r="AC233" s="176">
        <f t="shared" si="117"/>
        <v>79</v>
      </c>
      <c r="AD233" s="462">
        <f t="shared" si="118"/>
        <v>82</v>
      </c>
      <c r="AE233" s="469">
        <v>232</v>
      </c>
      <c r="AF233" s="492">
        <v>82</v>
      </c>
    </row>
    <row r="234" spans="1:32" x14ac:dyDescent="0.35">
      <c r="B234" s="486">
        <v>233</v>
      </c>
      <c r="C234" s="554" t="s">
        <v>66</v>
      </c>
      <c r="D234" s="494">
        <v>1</v>
      </c>
      <c r="E234" s="494">
        <v>0</v>
      </c>
      <c r="F234" s="494">
        <v>1</v>
      </c>
      <c r="G234" s="494">
        <v>1</v>
      </c>
      <c r="H234" s="494">
        <v>1</v>
      </c>
      <c r="I234" s="494">
        <v>1</v>
      </c>
      <c r="J234" s="494">
        <v>2</v>
      </c>
      <c r="K234" s="494">
        <v>1</v>
      </c>
      <c r="L234" s="494">
        <v>1</v>
      </c>
      <c r="M234" s="494">
        <v>0</v>
      </c>
      <c r="N234" s="494">
        <v>0</v>
      </c>
      <c r="O234" s="494">
        <v>0</v>
      </c>
      <c r="P234" s="488"/>
      <c r="Q234" s="517">
        <v>233</v>
      </c>
      <c r="R234" s="555" t="s">
        <v>66</v>
      </c>
      <c r="S234" s="176">
        <f t="shared" si="107"/>
        <v>1</v>
      </c>
      <c r="T234" s="176">
        <f t="shared" si="108"/>
        <v>1</v>
      </c>
      <c r="U234" s="176">
        <f t="shared" si="109"/>
        <v>2</v>
      </c>
      <c r="V234" s="176">
        <f t="shared" si="110"/>
        <v>3</v>
      </c>
      <c r="W234" s="176">
        <f t="shared" si="111"/>
        <v>4</v>
      </c>
      <c r="X234" s="176">
        <f t="shared" si="112"/>
        <v>5</v>
      </c>
      <c r="Y234" s="176">
        <f t="shared" si="113"/>
        <v>7</v>
      </c>
      <c r="Z234" s="176">
        <f t="shared" si="114"/>
        <v>8</v>
      </c>
      <c r="AA234" s="176">
        <f t="shared" si="115"/>
        <v>9</v>
      </c>
      <c r="AB234" s="176">
        <f t="shared" si="116"/>
        <v>9</v>
      </c>
      <c r="AC234" s="176">
        <f t="shared" si="117"/>
        <v>9</v>
      </c>
      <c r="AD234" s="462">
        <f t="shared" si="118"/>
        <v>9</v>
      </c>
      <c r="AE234" s="469">
        <v>233</v>
      </c>
      <c r="AF234" s="492">
        <v>9</v>
      </c>
    </row>
    <row r="235" spans="1:32" x14ac:dyDescent="0.35">
      <c r="B235" s="485">
        <v>234</v>
      </c>
      <c r="C235" s="554" t="s">
        <v>67</v>
      </c>
      <c r="D235" s="494">
        <v>9</v>
      </c>
      <c r="E235" s="494">
        <v>4</v>
      </c>
      <c r="F235" s="494">
        <v>7</v>
      </c>
      <c r="G235" s="494">
        <v>6</v>
      </c>
      <c r="H235" s="494">
        <v>8</v>
      </c>
      <c r="I235" s="494">
        <v>11</v>
      </c>
      <c r="J235" s="494">
        <v>9</v>
      </c>
      <c r="K235" s="494">
        <v>6</v>
      </c>
      <c r="L235" s="494">
        <v>4</v>
      </c>
      <c r="M235" s="494">
        <v>3</v>
      </c>
      <c r="N235" s="494">
        <v>3</v>
      </c>
      <c r="O235" s="494">
        <v>3</v>
      </c>
      <c r="P235" s="488"/>
      <c r="Q235" s="517">
        <v>234</v>
      </c>
      <c r="R235" s="555" t="s">
        <v>67</v>
      </c>
      <c r="S235" s="176">
        <f t="shared" si="107"/>
        <v>9</v>
      </c>
      <c r="T235" s="176">
        <f t="shared" si="108"/>
        <v>13</v>
      </c>
      <c r="U235" s="176">
        <f t="shared" si="109"/>
        <v>20</v>
      </c>
      <c r="V235" s="176">
        <f t="shared" si="110"/>
        <v>26</v>
      </c>
      <c r="W235" s="176">
        <f t="shared" si="111"/>
        <v>34</v>
      </c>
      <c r="X235" s="176">
        <f t="shared" si="112"/>
        <v>45</v>
      </c>
      <c r="Y235" s="176">
        <f t="shared" si="113"/>
        <v>54</v>
      </c>
      <c r="Z235" s="176">
        <f t="shared" si="114"/>
        <v>60</v>
      </c>
      <c r="AA235" s="176">
        <f t="shared" si="115"/>
        <v>64</v>
      </c>
      <c r="AB235" s="176">
        <f t="shared" si="116"/>
        <v>67</v>
      </c>
      <c r="AC235" s="176">
        <f t="shared" si="117"/>
        <v>70</v>
      </c>
      <c r="AD235" s="462">
        <f t="shared" si="118"/>
        <v>73</v>
      </c>
      <c r="AE235" s="469">
        <v>234</v>
      </c>
      <c r="AF235" s="492">
        <v>73</v>
      </c>
    </row>
    <row r="236" spans="1:32" ht="23" x14ac:dyDescent="0.5">
      <c r="B236" s="485">
        <v>235</v>
      </c>
      <c r="C236" s="561" t="s">
        <v>61</v>
      </c>
      <c r="D236" s="487"/>
      <c r="E236" s="487"/>
      <c r="F236" s="487"/>
      <c r="G236" s="487"/>
      <c r="H236" s="487"/>
      <c r="I236" s="487"/>
      <c r="J236" s="487"/>
      <c r="K236" s="487"/>
      <c r="L236" s="487"/>
      <c r="M236" s="487"/>
      <c r="N236" s="487"/>
      <c r="O236" s="487"/>
      <c r="P236" s="488"/>
      <c r="Q236" s="517">
        <v>235</v>
      </c>
      <c r="R236" s="561" t="s">
        <v>61</v>
      </c>
      <c r="S236" s="489"/>
      <c r="T236" s="489"/>
      <c r="U236" s="489"/>
      <c r="V236" s="489"/>
      <c r="W236" s="489"/>
      <c r="X236" s="489"/>
      <c r="Y236" s="489"/>
      <c r="Z236" s="489"/>
      <c r="AA236" s="489"/>
      <c r="AB236" s="489"/>
      <c r="AC236" s="489"/>
      <c r="AD236" s="490"/>
      <c r="AE236" s="491">
        <v>235</v>
      </c>
      <c r="AF236" s="492"/>
    </row>
    <row r="237" spans="1:32" x14ac:dyDescent="0.35">
      <c r="B237" s="485">
        <v>236</v>
      </c>
      <c r="C237" s="562" t="s">
        <v>56</v>
      </c>
      <c r="D237" s="432" t="s">
        <v>386</v>
      </c>
      <c r="E237" s="432" t="s">
        <v>387</v>
      </c>
      <c r="F237" s="432" t="s">
        <v>388</v>
      </c>
      <c r="G237" s="432" t="s">
        <v>389</v>
      </c>
      <c r="H237" s="432" t="s">
        <v>390</v>
      </c>
      <c r="I237" s="432" t="s">
        <v>391</v>
      </c>
      <c r="J237" s="432" t="s">
        <v>392</v>
      </c>
      <c r="K237" s="432" t="s">
        <v>393</v>
      </c>
      <c r="L237" s="432" t="s">
        <v>394</v>
      </c>
      <c r="M237" s="432" t="s">
        <v>395</v>
      </c>
      <c r="N237" s="432" t="s">
        <v>396</v>
      </c>
      <c r="O237" s="460" t="s">
        <v>397</v>
      </c>
      <c r="P237" s="488"/>
      <c r="Q237" s="517">
        <v>236</v>
      </c>
      <c r="R237" s="563" t="s">
        <v>56</v>
      </c>
      <c r="S237" s="501" t="s">
        <v>19</v>
      </c>
      <c r="T237" s="501" t="s">
        <v>20</v>
      </c>
      <c r="U237" s="501" t="s">
        <v>21</v>
      </c>
      <c r="V237" s="501" t="s">
        <v>22</v>
      </c>
      <c r="W237" s="501" t="s">
        <v>23</v>
      </c>
      <c r="X237" s="501" t="s">
        <v>24</v>
      </c>
      <c r="Y237" s="501" t="s">
        <v>25</v>
      </c>
      <c r="Z237" s="501" t="s">
        <v>26</v>
      </c>
      <c r="AA237" s="501" t="s">
        <v>27</v>
      </c>
      <c r="AB237" s="501" t="s">
        <v>28</v>
      </c>
      <c r="AC237" s="501" t="s">
        <v>29</v>
      </c>
      <c r="AD237" s="502" t="s">
        <v>30</v>
      </c>
      <c r="AE237" s="469">
        <v>236</v>
      </c>
      <c r="AF237" s="492">
        <v>0</v>
      </c>
    </row>
    <row r="238" spans="1:32" x14ac:dyDescent="0.35">
      <c r="B238" s="485">
        <v>237</v>
      </c>
      <c r="C238" s="562" t="s">
        <v>33</v>
      </c>
      <c r="D238" s="487">
        <v>750</v>
      </c>
      <c r="E238" s="487">
        <v>806</v>
      </c>
      <c r="F238" s="487">
        <v>839</v>
      </c>
      <c r="G238" s="487">
        <v>836</v>
      </c>
      <c r="H238" s="487">
        <v>871</v>
      </c>
      <c r="I238" s="487">
        <v>894</v>
      </c>
      <c r="J238" s="487">
        <v>869</v>
      </c>
      <c r="K238" s="487">
        <v>861</v>
      </c>
      <c r="L238" s="487">
        <v>768</v>
      </c>
      <c r="M238" s="487">
        <v>739</v>
      </c>
      <c r="N238" s="487">
        <v>703</v>
      </c>
      <c r="O238" s="487">
        <v>767</v>
      </c>
      <c r="P238" s="488"/>
      <c r="Q238" s="517">
        <v>237</v>
      </c>
      <c r="R238" s="563" t="s">
        <v>33</v>
      </c>
      <c r="S238" s="176">
        <f t="shared" ref="S238" si="119">D238</f>
        <v>750</v>
      </c>
      <c r="T238" s="176">
        <f t="shared" ref="T238" si="120">S238+E238</f>
        <v>1556</v>
      </c>
      <c r="U238" s="176">
        <f t="shared" ref="U238" si="121">T238+F238</f>
        <v>2395</v>
      </c>
      <c r="V238" s="176">
        <f t="shared" ref="V238" si="122">U238+G238</f>
        <v>3231</v>
      </c>
      <c r="W238" s="176">
        <f t="shared" ref="W238" si="123">V238+H238</f>
        <v>4102</v>
      </c>
      <c r="X238" s="176">
        <f t="shared" ref="X238" si="124">W238+I238</f>
        <v>4996</v>
      </c>
      <c r="Y238" s="176">
        <f t="shared" ref="Y238" si="125">X238+J238</f>
        <v>5865</v>
      </c>
      <c r="Z238" s="176">
        <f t="shared" ref="Z238" si="126">Y238+K238</f>
        <v>6726</v>
      </c>
      <c r="AA238" s="176">
        <f t="shared" ref="AA238" si="127">Z238+L238</f>
        <v>7494</v>
      </c>
      <c r="AB238" s="176">
        <f t="shared" ref="AB238" si="128">AA238+M238</f>
        <v>8233</v>
      </c>
      <c r="AC238" s="176">
        <f t="shared" ref="AC238" si="129">AB238+N238</f>
        <v>8936</v>
      </c>
      <c r="AD238" s="462">
        <f t="shared" ref="AD238" si="130">AC238+O238</f>
        <v>9703</v>
      </c>
      <c r="AE238" s="469">
        <v>237</v>
      </c>
      <c r="AF238" s="492">
        <v>9701.3333333333321</v>
      </c>
    </row>
    <row r="239" spans="1:32" x14ac:dyDescent="0.35">
      <c r="B239" s="486">
        <v>238</v>
      </c>
      <c r="C239" s="562" t="s">
        <v>39</v>
      </c>
      <c r="D239" s="487">
        <v>70</v>
      </c>
      <c r="E239" s="487">
        <v>89</v>
      </c>
      <c r="F239" s="487">
        <v>92</v>
      </c>
      <c r="G239" s="487">
        <v>86</v>
      </c>
      <c r="H239" s="487">
        <v>95</v>
      </c>
      <c r="I239" s="487">
        <v>86</v>
      </c>
      <c r="J239" s="487">
        <v>80</v>
      </c>
      <c r="K239" s="487">
        <v>79</v>
      </c>
      <c r="L239" s="487">
        <v>87</v>
      </c>
      <c r="M239" s="487">
        <v>75</v>
      </c>
      <c r="N239" s="487">
        <v>65</v>
      </c>
      <c r="O239" s="487">
        <v>85</v>
      </c>
      <c r="P239" s="488"/>
      <c r="Q239" s="517">
        <v>238</v>
      </c>
      <c r="R239" s="563" t="s">
        <v>39</v>
      </c>
      <c r="S239" s="176">
        <f t="shared" ref="S239:S283" si="131">D239</f>
        <v>70</v>
      </c>
      <c r="T239" s="176">
        <f t="shared" ref="T239:T283" si="132">S239+E239</f>
        <v>159</v>
      </c>
      <c r="U239" s="176">
        <f t="shared" ref="U239:U283" si="133">T239+F239</f>
        <v>251</v>
      </c>
      <c r="V239" s="176">
        <f t="shared" ref="V239:V283" si="134">U239+G239</f>
        <v>337</v>
      </c>
      <c r="W239" s="176">
        <f t="shared" ref="W239:W283" si="135">V239+H239</f>
        <v>432</v>
      </c>
      <c r="X239" s="176">
        <f t="shared" ref="X239:X283" si="136">W239+I239</f>
        <v>518</v>
      </c>
      <c r="Y239" s="176">
        <f t="shared" ref="Y239:Y283" si="137">X239+J239</f>
        <v>598</v>
      </c>
      <c r="Z239" s="176">
        <f t="shared" ref="Z239:Z283" si="138">Y239+K239</f>
        <v>677</v>
      </c>
      <c r="AA239" s="176">
        <f t="shared" ref="AA239:AA283" si="139">Z239+L239</f>
        <v>764</v>
      </c>
      <c r="AB239" s="176">
        <f t="shared" ref="AB239:AB283" si="140">AA239+M239</f>
        <v>839</v>
      </c>
      <c r="AC239" s="176">
        <f t="shared" ref="AC239:AC283" si="141">AB239+N239</f>
        <v>904</v>
      </c>
      <c r="AD239" s="462">
        <f t="shared" ref="AD239:AD283" si="142">AC239+O239</f>
        <v>989</v>
      </c>
      <c r="AE239" s="491">
        <v>238</v>
      </c>
      <c r="AF239" s="492">
        <v>989.33333333333326</v>
      </c>
    </row>
    <row r="240" spans="1:32" x14ac:dyDescent="0.35">
      <c r="B240" s="485">
        <v>239</v>
      </c>
      <c r="C240" s="562" t="s">
        <v>40</v>
      </c>
      <c r="D240" s="487">
        <v>165</v>
      </c>
      <c r="E240" s="487">
        <v>177</v>
      </c>
      <c r="F240" s="487">
        <v>196</v>
      </c>
      <c r="G240" s="487">
        <v>206</v>
      </c>
      <c r="H240" s="487">
        <v>205</v>
      </c>
      <c r="I240" s="487">
        <v>211</v>
      </c>
      <c r="J240" s="487">
        <v>198</v>
      </c>
      <c r="K240" s="487">
        <v>199</v>
      </c>
      <c r="L240" s="487">
        <v>186</v>
      </c>
      <c r="M240" s="487">
        <v>181</v>
      </c>
      <c r="N240" s="487">
        <v>171</v>
      </c>
      <c r="O240" s="487">
        <v>193</v>
      </c>
      <c r="P240" s="488"/>
      <c r="Q240" s="517">
        <v>239</v>
      </c>
      <c r="R240" s="563" t="s">
        <v>40</v>
      </c>
      <c r="S240" s="176">
        <f t="shared" si="131"/>
        <v>165</v>
      </c>
      <c r="T240" s="176">
        <f t="shared" si="132"/>
        <v>342</v>
      </c>
      <c r="U240" s="176">
        <f t="shared" si="133"/>
        <v>538</v>
      </c>
      <c r="V240" s="176">
        <f t="shared" si="134"/>
        <v>744</v>
      </c>
      <c r="W240" s="176">
        <f t="shared" si="135"/>
        <v>949</v>
      </c>
      <c r="X240" s="176">
        <f t="shared" si="136"/>
        <v>1160</v>
      </c>
      <c r="Y240" s="176">
        <f t="shared" si="137"/>
        <v>1358</v>
      </c>
      <c r="Z240" s="176">
        <f t="shared" si="138"/>
        <v>1557</v>
      </c>
      <c r="AA240" s="176">
        <f t="shared" si="139"/>
        <v>1743</v>
      </c>
      <c r="AB240" s="176">
        <f t="shared" si="140"/>
        <v>1924</v>
      </c>
      <c r="AC240" s="176">
        <f t="shared" si="141"/>
        <v>2095</v>
      </c>
      <c r="AD240" s="462">
        <f t="shared" si="142"/>
        <v>2288</v>
      </c>
      <c r="AE240" s="469">
        <v>239</v>
      </c>
      <c r="AF240" s="492">
        <v>2286</v>
      </c>
    </row>
    <row r="241" spans="1:32" x14ac:dyDescent="0.35">
      <c r="B241" s="485">
        <v>240</v>
      </c>
      <c r="C241" s="562" t="s">
        <v>5</v>
      </c>
      <c r="D241" s="487">
        <v>7</v>
      </c>
      <c r="E241" s="487">
        <v>11</v>
      </c>
      <c r="F241" s="487">
        <v>10</v>
      </c>
      <c r="G241" s="487">
        <v>11</v>
      </c>
      <c r="H241" s="487">
        <v>9</v>
      </c>
      <c r="I241" s="487">
        <v>10</v>
      </c>
      <c r="J241" s="487">
        <v>9</v>
      </c>
      <c r="K241" s="487">
        <v>10</v>
      </c>
      <c r="L241" s="487">
        <v>10</v>
      </c>
      <c r="M241" s="487">
        <v>8</v>
      </c>
      <c r="N241" s="487">
        <v>6</v>
      </c>
      <c r="O241" s="487">
        <v>12</v>
      </c>
      <c r="P241" s="488"/>
      <c r="Q241" s="517">
        <v>240</v>
      </c>
      <c r="R241" s="563" t="s">
        <v>5</v>
      </c>
      <c r="S241" s="176">
        <f t="shared" si="131"/>
        <v>7</v>
      </c>
      <c r="T241" s="176">
        <f t="shared" si="132"/>
        <v>18</v>
      </c>
      <c r="U241" s="176">
        <f t="shared" si="133"/>
        <v>28</v>
      </c>
      <c r="V241" s="176">
        <f t="shared" si="134"/>
        <v>39</v>
      </c>
      <c r="W241" s="176">
        <f t="shared" si="135"/>
        <v>48</v>
      </c>
      <c r="X241" s="176">
        <f t="shared" si="136"/>
        <v>58</v>
      </c>
      <c r="Y241" s="176">
        <f t="shared" si="137"/>
        <v>67</v>
      </c>
      <c r="Z241" s="176">
        <f t="shared" si="138"/>
        <v>77</v>
      </c>
      <c r="AA241" s="176">
        <f t="shared" si="139"/>
        <v>87</v>
      </c>
      <c r="AB241" s="176">
        <f t="shared" si="140"/>
        <v>95</v>
      </c>
      <c r="AC241" s="176">
        <f t="shared" si="141"/>
        <v>101</v>
      </c>
      <c r="AD241" s="462">
        <f t="shared" si="142"/>
        <v>113</v>
      </c>
      <c r="AE241" s="469">
        <v>240</v>
      </c>
      <c r="AF241" s="492">
        <v>113.66666666666667</v>
      </c>
    </row>
    <row r="242" spans="1:32" x14ac:dyDescent="0.35">
      <c r="B242" s="485">
        <v>241</v>
      </c>
      <c r="C242" s="562" t="s">
        <v>35</v>
      </c>
      <c r="D242" s="487">
        <v>18</v>
      </c>
      <c r="E242" s="487">
        <v>17</v>
      </c>
      <c r="F242" s="487">
        <v>19</v>
      </c>
      <c r="G242" s="487">
        <v>21</v>
      </c>
      <c r="H242" s="487">
        <v>16</v>
      </c>
      <c r="I242" s="487">
        <v>19</v>
      </c>
      <c r="J242" s="487">
        <v>17</v>
      </c>
      <c r="K242" s="487">
        <v>20</v>
      </c>
      <c r="L242" s="487">
        <v>18</v>
      </c>
      <c r="M242" s="487">
        <v>13</v>
      </c>
      <c r="N242" s="487">
        <v>21</v>
      </c>
      <c r="O242" s="487">
        <v>17</v>
      </c>
      <c r="P242" s="488"/>
      <c r="Q242" s="517">
        <v>241</v>
      </c>
      <c r="R242" s="563" t="s">
        <v>35</v>
      </c>
      <c r="S242" s="176">
        <f t="shared" si="131"/>
        <v>18</v>
      </c>
      <c r="T242" s="176">
        <f t="shared" si="132"/>
        <v>35</v>
      </c>
      <c r="U242" s="176">
        <f t="shared" si="133"/>
        <v>54</v>
      </c>
      <c r="V242" s="176">
        <f t="shared" si="134"/>
        <v>75</v>
      </c>
      <c r="W242" s="176">
        <f t="shared" si="135"/>
        <v>91</v>
      </c>
      <c r="X242" s="176">
        <f t="shared" si="136"/>
        <v>110</v>
      </c>
      <c r="Y242" s="176">
        <f t="shared" si="137"/>
        <v>127</v>
      </c>
      <c r="Z242" s="176">
        <f t="shared" si="138"/>
        <v>147</v>
      </c>
      <c r="AA242" s="176">
        <f t="shared" si="139"/>
        <v>165</v>
      </c>
      <c r="AB242" s="176">
        <f t="shared" si="140"/>
        <v>178</v>
      </c>
      <c r="AC242" s="176">
        <f t="shared" si="141"/>
        <v>199</v>
      </c>
      <c r="AD242" s="462">
        <f t="shared" si="142"/>
        <v>216</v>
      </c>
      <c r="AE242" s="469">
        <v>241</v>
      </c>
      <c r="AF242" s="492">
        <v>215.33333333333334</v>
      </c>
    </row>
    <row r="243" spans="1:32" x14ac:dyDescent="0.35">
      <c r="B243" s="485">
        <v>242</v>
      </c>
      <c r="C243" s="562" t="s">
        <v>36</v>
      </c>
      <c r="D243" s="487">
        <v>3</v>
      </c>
      <c r="E243" s="487">
        <v>0</v>
      </c>
      <c r="F243" s="487">
        <v>3</v>
      </c>
      <c r="G243" s="487">
        <v>0</v>
      </c>
      <c r="H243" s="487">
        <v>2</v>
      </c>
      <c r="I243" s="487">
        <v>1</v>
      </c>
      <c r="J243" s="487">
        <v>2</v>
      </c>
      <c r="K243" s="487">
        <v>1</v>
      </c>
      <c r="L243" s="487">
        <v>2</v>
      </c>
      <c r="M243" s="487">
        <v>2</v>
      </c>
      <c r="N243" s="487">
        <v>1</v>
      </c>
      <c r="O243" s="487">
        <v>1</v>
      </c>
      <c r="P243" s="488"/>
      <c r="Q243" s="517">
        <v>242</v>
      </c>
      <c r="R243" s="563" t="s">
        <v>36</v>
      </c>
      <c r="S243" s="176">
        <f t="shared" si="131"/>
        <v>3</v>
      </c>
      <c r="T243" s="176">
        <f t="shared" si="132"/>
        <v>3</v>
      </c>
      <c r="U243" s="176">
        <f t="shared" si="133"/>
        <v>6</v>
      </c>
      <c r="V243" s="176">
        <f t="shared" si="134"/>
        <v>6</v>
      </c>
      <c r="W243" s="176">
        <f t="shared" si="135"/>
        <v>8</v>
      </c>
      <c r="X243" s="176">
        <f t="shared" si="136"/>
        <v>9</v>
      </c>
      <c r="Y243" s="176">
        <f t="shared" si="137"/>
        <v>11</v>
      </c>
      <c r="Z243" s="176">
        <f t="shared" si="138"/>
        <v>12</v>
      </c>
      <c r="AA243" s="176">
        <f t="shared" si="139"/>
        <v>14</v>
      </c>
      <c r="AB243" s="176">
        <f t="shared" si="140"/>
        <v>16</v>
      </c>
      <c r="AC243" s="176">
        <f t="shared" si="141"/>
        <v>17</v>
      </c>
      <c r="AD243" s="462">
        <f t="shared" si="142"/>
        <v>18</v>
      </c>
      <c r="AE243" s="469">
        <v>242</v>
      </c>
      <c r="AF243" s="492">
        <v>16.5</v>
      </c>
    </row>
    <row r="244" spans="1:32" x14ac:dyDescent="0.35">
      <c r="B244" s="486">
        <v>243</v>
      </c>
      <c r="C244" s="562" t="s">
        <v>37</v>
      </c>
      <c r="D244" s="487">
        <v>6</v>
      </c>
      <c r="E244" s="487">
        <v>4</v>
      </c>
      <c r="F244" s="487">
        <v>6</v>
      </c>
      <c r="G244" s="487">
        <v>6</v>
      </c>
      <c r="H244" s="487">
        <v>3</v>
      </c>
      <c r="I244" s="487">
        <v>8</v>
      </c>
      <c r="J244" s="487">
        <v>8</v>
      </c>
      <c r="K244" s="487">
        <v>9</v>
      </c>
      <c r="L244" s="487">
        <v>7</v>
      </c>
      <c r="M244" s="487">
        <v>6</v>
      </c>
      <c r="N244" s="487">
        <v>6</v>
      </c>
      <c r="O244" s="487">
        <v>5</v>
      </c>
      <c r="P244" s="488"/>
      <c r="Q244" s="517">
        <v>243</v>
      </c>
      <c r="R244" s="563" t="s">
        <v>37</v>
      </c>
      <c r="S244" s="176">
        <f t="shared" si="131"/>
        <v>6</v>
      </c>
      <c r="T244" s="176">
        <f t="shared" si="132"/>
        <v>10</v>
      </c>
      <c r="U244" s="176">
        <f t="shared" si="133"/>
        <v>16</v>
      </c>
      <c r="V244" s="176">
        <f t="shared" si="134"/>
        <v>22</v>
      </c>
      <c r="W244" s="176">
        <f t="shared" si="135"/>
        <v>25</v>
      </c>
      <c r="X244" s="176">
        <f t="shared" si="136"/>
        <v>33</v>
      </c>
      <c r="Y244" s="176">
        <f t="shared" si="137"/>
        <v>41</v>
      </c>
      <c r="Z244" s="176">
        <f t="shared" si="138"/>
        <v>50</v>
      </c>
      <c r="AA244" s="176">
        <f t="shared" si="139"/>
        <v>57</v>
      </c>
      <c r="AB244" s="176">
        <f t="shared" si="140"/>
        <v>63</v>
      </c>
      <c r="AC244" s="176">
        <f t="shared" si="141"/>
        <v>69</v>
      </c>
      <c r="AD244" s="462">
        <f t="shared" si="142"/>
        <v>74</v>
      </c>
      <c r="AE244" s="491">
        <v>243</v>
      </c>
      <c r="AF244" s="492">
        <v>74</v>
      </c>
    </row>
    <row r="245" spans="1:32" x14ac:dyDescent="0.35">
      <c r="B245" s="485">
        <v>244</v>
      </c>
      <c r="C245" s="564" t="s">
        <v>31</v>
      </c>
      <c r="D245" s="487">
        <v>50</v>
      </c>
      <c r="E245" s="487">
        <v>41</v>
      </c>
      <c r="F245" s="487">
        <v>40</v>
      </c>
      <c r="G245" s="487">
        <v>44</v>
      </c>
      <c r="H245" s="487">
        <v>62</v>
      </c>
      <c r="I245" s="487">
        <v>53</v>
      </c>
      <c r="J245" s="487">
        <v>55</v>
      </c>
      <c r="K245" s="487">
        <v>55</v>
      </c>
      <c r="L245" s="487">
        <v>41</v>
      </c>
      <c r="M245" s="487">
        <v>39</v>
      </c>
      <c r="N245" s="487">
        <v>29</v>
      </c>
      <c r="O245" s="487">
        <v>34</v>
      </c>
      <c r="P245" s="488"/>
      <c r="Q245" s="517">
        <v>244</v>
      </c>
      <c r="R245" s="565" t="s">
        <v>31</v>
      </c>
      <c r="S245" s="176">
        <f t="shared" si="131"/>
        <v>50</v>
      </c>
      <c r="T245" s="176">
        <f t="shared" si="132"/>
        <v>91</v>
      </c>
      <c r="U245" s="176">
        <f t="shared" si="133"/>
        <v>131</v>
      </c>
      <c r="V245" s="176">
        <f t="shared" si="134"/>
        <v>175</v>
      </c>
      <c r="W245" s="176">
        <f t="shared" si="135"/>
        <v>237</v>
      </c>
      <c r="X245" s="176">
        <f t="shared" si="136"/>
        <v>290</v>
      </c>
      <c r="Y245" s="176">
        <f t="shared" si="137"/>
        <v>345</v>
      </c>
      <c r="Z245" s="176">
        <f t="shared" si="138"/>
        <v>400</v>
      </c>
      <c r="AA245" s="176">
        <f t="shared" si="139"/>
        <v>441</v>
      </c>
      <c r="AB245" s="176">
        <f t="shared" si="140"/>
        <v>480</v>
      </c>
      <c r="AC245" s="176">
        <f t="shared" si="141"/>
        <v>509</v>
      </c>
      <c r="AD245" s="462">
        <f t="shared" si="142"/>
        <v>543</v>
      </c>
      <c r="AE245" s="469">
        <v>244</v>
      </c>
      <c r="AF245" s="492">
        <v>542.66666666666674</v>
      </c>
    </row>
    <row r="246" spans="1:32" x14ac:dyDescent="0.35">
      <c r="B246" s="485">
        <v>245</v>
      </c>
      <c r="C246" s="564" t="s">
        <v>55</v>
      </c>
      <c r="D246" s="487">
        <v>13</v>
      </c>
      <c r="E246" s="487">
        <v>15</v>
      </c>
      <c r="F246" s="487">
        <v>11</v>
      </c>
      <c r="G246" s="487">
        <v>17</v>
      </c>
      <c r="H246" s="487">
        <v>19</v>
      </c>
      <c r="I246" s="487">
        <v>17</v>
      </c>
      <c r="J246" s="487">
        <v>15</v>
      </c>
      <c r="K246" s="487">
        <v>22</v>
      </c>
      <c r="L246" s="487">
        <v>14</v>
      </c>
      <c r="M246" s="487">
        <v>12</v>
      </c>
      <c r="N246" s="487">
        <v>15</v>
      </c>
      <c r="O246" s="487">
        <v>13</v>
      </c>
      <c r="P246" s="488"/>
      <c r="Q246" s="517">
        <v>245</v>
      </c>
      <c r="R246" s="565" t="s">
        <v>55</v>
      </c>
      <c r="S246" s="176">
        <f t="shared" si="131"/>
        <v>13</v>
      </c>
      <c r="T246" s="176">
        <f t="shared" si="132"/>
        <v>28</v>
      </c>
      <c r="U246" s="176">
        <f t="shared" si="133"/>
        <v>39</v>
      </c>
      <c r="V246" s="176">
        <f t="shared" si="134"/>
        <v>56</v>
      </c>
      <c r="W246" s="176">
        <f t="shared" si="135"/>
        <v>75</v>
      </c>
      <c r="X246" s="176">
        <f t="shared" si="136"/>
        <v>92</v>
      </c>
      <c r="Y246" s="176">
        <f t="shared" si="137"/>
        <v>107</v>
      </c>
      <c r="Z246" s="176">
        <f t="shared" si="138"/>
        <v>129</v>
      </c>
      <c r="AA246" s="176">
        <f t="shared" si="139"/>
        <v>143</v>
      </c>
      <c r="AB246" s="176">
        <f t="shared" si="140"/>
        <v>155</v>
      </c>
      <c r="AC246" s="176">
        <f t="shared" si="141"/>
        <v>170</v>
      </c>
      <c r="AD246" s="462">
        <f t="shared" si="142"/>
        <v>183</v>
      </c>
      <c r="AE246" s="469">
        <v>245</v>
      </c>
      <c r="AF246" s="492">
        <v>183.66666666666669</v>
      </c>
    </row>
    <row r="247" spans="1:32" x14ac:dyDescent="0.35">
      <c r="B247" s="485">
        <v>246</v>
      </c>
      <c r="C247" s="562" t="s">
        <v>38</v>
      </c>
      <c r="D247" s="487">
        <v>70</v>
      </c>
      <c r="E247" s="487">
        <v>72</v>
      </c>
      <c r="F247" s="487">
        <v>79</v>
      </c>
      <c r="G247" s="487">
        <v>70</v>
      </c>
      <c r="H247" s="487">
        <v>85</v>
      </c>
      <c r="I247" s="487">
        <v>99</v>
      </c>
      <c r="J247" s="487">
        <v>119</v>
      </c>
      <c r="K247" s="487">
        <v>118</v>
      </c>
      <c r="L247" s="487">
        <v>86</v>
      </c>
      <c r="M247" s="487">
        <v>98</v>
      </c>
      <c r="N247" s="487">
        <v>86</v>
      </c>
      <c r="O247" s="487">
        <v>76</v>
      </c>
      <c r="P247" s="488"/>
      <c r="Q247" s="517">
        <v>246</v>
      </c>
      <c r="R247" s="563" t="s">
        <v>38</v>
      </c>
      <c r="S247" s="176">
        <f t="shared" si="131"/>
        <v>70</v>
      </c>
      <c r="T247" s="176">
        <f t="shared" si="132"/>
        <v>142</v>
      </c>
      <c r="U247" s="176">
        <f t="shared" si="133"/>
        <v>221</v>
      </c>
      <c r="V247" s="176">
        <f t="shared" si="134"/>
        <v>291</v>
      </c>
      <c r="W247" s="176">
        <f t="shared" si="135"/>
        <v>376</v>
      </c>
      <c r="X247" s="176">
        <f t="shared" si="136"/>
        <v>475</v>
      </c>
      <c r="Y247" s="176">
        <f t="shared" si="137"/>
        <v>594</v>
      </c>
      <c r="Z247" s="176">
        <f t="shared" si="138"/>
        <v>712</v>
      </c>
      <c r="AA247" s="176">
        <f t="shared" si="139"/>
        <v>798</v>
      </c>
      <c r="AB247" s="176">
        <f t="shared" si="140"/>
        <v>896</v>
      </c>
      <c r="AC247" s="176">
        <f t="shared" si="141"/>
        <v>982</v>
      </c>
      <c r="AD247" s="462">
        <f t="shared" si="142"/>
        <v>1058</v>
      </c>
      <c r="AE247" s="491">
        <v>246</v>
      </c>
      <c r="AF247" s="492">
        <v>1059</v>
      </c>
    </row>
    <row r="248" spans="1:32" x14ac:dyDescent="0.35">
      <c r="B248" s="485">
        <v>247</v>
      </c>
      <c r="C248" s="562" t="s">
        <v>17</v>
      </c>
      <c r="D248" s="487">
        <v>75</v>
      </c>
      <c r="E248" s="487">
        <v>88</v>
      </c>
      <c r="F248" s="487">
        <v>96</v>
      </c>
      <c r="G248" s="487">
        <v>91</v>
      </c>
      <c r="H248" s="487">
        <v>76</v>
      </c>
      <c r="I248" s="487">
        <v>91</v>
      </c>
      <c r="J248" s="487">
        <v>79</v>
      </c>
      <c r="K248" s="487">
        <v>65</v>
      </c>
      <c r="L248" s="487">
        <v>68</v>
      </c>
      <c r="M248" s="487">
        <v>63</v>
      </c>
      <c r="N248" s="487">
        <v>60</v>
      </c>
      <c r="O248" s="487">
        <v>59</v>
      </c>
      <c r="P248" s="488"/>
      <c r="Q248" s="517">
        <v>247</v>
      </c>
      <c r="R248" s="563" t="s">
        <v>17</v>
      </c>
      <c r="S248" s="176">
        <f t="shared" si="131"/>
        <v>75</v>
      </c>
      <c r="T248" s="176">
        <f t="shared" si="132"/>
        <v>163</v>
      </c>
      <c r="U248" s="176">
        <f t="shared" si="133"/>
        <v>259</v>
      </c>
      <c r="V248" s="176">
        <f t="shared" si="134"/>
        <v>350</v>
      </c>
      <c r="W248" s="176">
        <f t="shared" si="135"/>
        <v>426</v>
      </c>
      <c r="X248" s="176">
        <f t="shared" si="136"/>
        <v>517</v>
      </c>
      <c r="Y248" s="176">
        <f t="shared" si="137"/>
        <v>596</v>
      </c>
      <c r="Z248" s="176">
        <f t="shared" si="138"/>
        <v>661</v>
      </c>
      <c r="AA248" s="176">
        <f t="shared" si="139"/>
        <v>729</v>
      </c>
      <c r="AB248" s="176">
        <f t="shared" si="140"/>
        <v>792</v>
      </c>
      <c r="AC248" s="176">
        <f t="shared" si="141"/>
        <v>852</v>
      </c>
      <c r="AD248" s="462">
        <f t="shared" si="142"/>
        <v>911</v>
      </c>
      <c r="AE248" s="469">
        <v>247</v>
      </c>
      <c r="AF248" s="492">
        <v>910.33333333333337</v>
      </c>
    </row>
    <row r="249" spans="1:32" x14ac:dyDescent="0.35">
      <c r="B249" s="486">
        <v>248</v>
      </c>
      <c r="C249" s="562" t="s">
        <v>34</v>
      </c>
      <c r="D249" s="487">
        <v>89</v>
      </c>
      <c r="E249" s="487">
        <v>80</v>
      </c>
      <c r="F249" s="487">
        <v>84</v>
      </c>
      <c r="G249" s="487">
        <v>94</v>
      </c>
      <c r="H249" s="487">
        <v>99</v>
      </c>
      <c r="I249" s="487">
        <v>87</v>
      </c>
      <c r="J249" s="487">
        <v>87</v>
      </c>
      <c r="K249" s="487">
        <v>85</v>
      </c>
      <c r="L249" s="487">
        <v>69</v>
      </c>
      <c r="M249" s="487">
        <v>76</v>
      </c>
      <c r="N249" s="487">
        <v>77</v>
      </c>
      <c r="O249" s="487">
        <v>86</v>
      </c>
      <c r="P249" s="488"/>
      <c r="Q249" s="517">
        <v>248</v>
      </c>
      <c r="R249" s="563" t="s">
        <v>34</v>
      </c>
      <c r="S249" s="176">
        <f t="shared" si="131"/>
        <v>89</v>
      </c>
      <c r="T249" s="176">
        <f t="shared" si="132"/>
        <v>169</v>
      </c>
      <c r="U249" s="176">
        <f t="shared" si="133"/>
        <v>253</v>
      </c>
      <c r="V249" s="176">
        <f t="shared" si="134"/>
        <v>347</v>
      </c>
      <c r="W249" s="176">
        <f t="shared" si="135"/>
        <v>446</v>
      </c>
      <c r="X249" s="176">
        <f t="shared" si="136"/>
        <v>533</v>
      </c>
      <c r="Y249" s="176">
        <f t="shared" si="137"/>
        <v>620</v>
      </c>
      <c r="Z249" s="176">
        <f t="shared" si="138"/>
        <v>705</v>
      </c>
      <c r="AA249" s="176">
        <f t="shared" si="139"/>
        <v>774</v>
      </c>
      <c r="AB249" s="176">
        <f t="shared" si="140"/>
        <v>850</v>
      </c>
      <c r="AC249" s="176">
        <f t="shared" si="141"/>
        <v>927</v>
      </c>
      <c r="AD249" s="462">
        <f t="shared" si="142"/>
        <v>1013</v>
      </c>
      <c r="AE249" s="469">
        <v>248</v>
      </c>
      <c r="AF249" s="492">
        <v>1013</v>
      </c>
    </row>
    <row r="250" spans="1:32" x14ac:dyDescent="0.35">
      <c r="B250" s="485">
        <v>249</v>
      </c>
      <c r="C250" s="562" t="s">
        <v>41</v>
      </c>
      <c r="D250" s="487">
        <v>8</v>
      </c>
      <c r="E250" s="487">
        <v>4</v>
      </c>
      <c r="F250" s="487">
        <v>7</v>
      </c>
      <c r="G250" s="487">
        <v>6</v>
      </c>
      <c r="H250" s="487">
        <v>4</v>
      </c>
      <c r="I250" s="487">
        <v>9</v>
      </c>
      <c r="J250" s="487">
        <v>9</v>
      </c>
      <c r="K250" s="487">
        <v>10</v>
      </c>
      <c r="L250" s="487">
        <v>7</v>
      </c>
      <c r="M250" s="487">
        <v>7</v>
      </c>
      <c r="N250" s="487">
        <v>7</v>
      </c>
      <c r="O250" s="487">
        <v>5</v>
      </c>
      <c r="P250" s="488"/>
      <c r="Q250" s="517">
        <v>249</v>
      </c>
      <c r="R250" s="563" t="s">
        <v>41</v>
      </c>
      <c r="S250" s="176">
        <f t="shared" si="131"/>
        <v>8</v>
      </c>
      <c r="T250" s="176">
        <f t="shared" si="132"/>
        <v>12</v>
      </c>
      <c r="U250" s="176">
        <f t="shared" si="133"/>
        <v>19</v>
      </c>
      <c r="V250" s="176">
        <f t="shared" si="134"/>
        <v>25</v>
      </c>
      <c r="W250" s="176">
        <f t="shared" si="135"/>
        <v>29</v>
      </c>
      <c r="X250" s="176">
        <f t="shared" si="136"/>
        <v>38</v>
      </c>
      <c r="Y250" s="176">
        <f t="shared" si="137"/>
        <v>47</v>
      </c>
      <c r="Z250" s="176">
        <f t="shared" si="138"/>
        <v>57</v>
      </c>
      <c r="AA250" s="176">
        <f t="shared" si="139"/>
        <v>64</v>
      </c>
      <c r="AB250" s="176">
        <f t="shared" si="140"/>
        <v>71</v>
      </c>
      <c r="AC250" s="176">
        <f t="shared" si="141"/>
        <v>78</v>
      </c>
      <c r="AD250" s="462">
        <f t="shared" si="142"/>
        <v>83</v>
      </c>
      <c r="AE250" s="469">
        <v>249</v>
      </c>
      <c r="AF250" s="492">
        <v>82.666666666666657</v>
      </c>
    </row>
    <row r="251" spans="1:32" x14ac:dyDescent="0.35">
      <c r="B251" s="485">
        <v>250</v>
      </c>
      <c r="C251" s="562" t="s">
        <v>42</v>
      </c>
      <c r="D251" s="487">
        <v>260</v>
      </c>
      <c r="E251" s="487">
        <v>294</v>
      </c>
      <c r="F251" s="487">
        <v>318</v>
      </c>
      <c r="G251" s="487">
        <v>324</v>
      </c>
      <c r="H251" s="487">
        <v>326</v>
      </c>
      <c r="I251" s="487">
        <v>327</v>
      </c>
      <c r="J251" s="487">
        <v>304</v>
      </c>
      <c r="K251" s="487">
        <v>308</v>
      </c>
      <c r="L251" s="487">
        <v>301</v>
      </c>
      <c r="M251" s="487">
        <v>276</v>
      </c>
      <c r="N251" s="487">
        <v>263</v>
      </c>
      <c r="O251" s="487">
        <v>306</v>
      </c>
      <c r="P251" s="488"/>
      <c r="Q251" s="517">
        <v>250</v>
      </c>
      <c r="R251" s="563" t="s">
        <v>42</v>
      </c>
      <c r="S251" s="176">
        <f t="shared" si="131"/>
        <v>260</v>
      </c>
      <c r="T251" s="176">
        <f t="shared" si="132"/>
        <v>554</v>
      </c>
      <c r="U251" s="176">
        <f t="shared" si="133"/>
        <v>872</v>
      </c>
      <c r="V251" s="176">
        <f t="shared" si="134"/>
        <v>1196</v>
      </c>
      <c r="W251" s="176">
        <f t="shared" si="135"/>
        <v>1522</v>
      </c>
      <c r="X251" s="176">
        <f t="shared" si="136"/>
        <v>1849</v>
      </c>
      <c r="Y251" s="176">
        <f t="shared" si="137"/>
        <v>2153</v>
      </c>
      <c r="Z251" s="176">
        <f t="shared" si="138"/>
        <v>2461</v>
      </c>
      <c r="AA251" s="176">
        <f t="shared" si="139"/>
        <v>2762</v>
      </c>
      <c r="AB251" s="176">
        <f t="shared" si="140"/>
        <v>3038</v>
      </c>
      <c r="AC251" s="176">
        <f t="shared" si="141"/>
        <v>3301</v>
      </c>
      <c r="AD251" s="462">
        <f t="shared" si="142"/>
        <v>3607</v>
      </c>
      <c r="AE251" s="469">
        <v>250</v>
      </c>
      <c r="AF251" s="492">
        <v>3606.3333333333335</v>
      </c>
    </row>
    <row r="252" spans="1:32" x14ac:dyDescent="0.35">
      <c r="B252" s="485">
        <v>251</v>
      </c>
      <c r="C252" s="562" t="s">
        <v>43</v>
      </c>
      <c r="D252" s="487">
        <v>14</v>
      </c>
      <c r="E252" s="487">
        <v>12</v>
      </c>
      <c r="F252" s="487">
        <v>15</v>
      </c>
      <c r="G252" s="487">
        <v>13</v>
      </c>
      <c r="H252" s="487">
        <v>18</v>
      </c>
      <c r="I252" s="487">
        <v>15</v>
      </c>
      <c r="J252" s="487">
        <v>14</v>
      </c>
      <c r="K252" s="487">
        <v>10</v>
      </c>
      <c r="L252" s="487">
        <v>17</v>
      </c>
      <c r="M252" s="487">
        <v>9</v>
      </c>
      <c r="N252" s="487">
        <v>12</v>
      </c>
      <c r="O252" s="487">
        <v>8</v>
      </c>
      <c r="P252" s="488"/>
      <c r="Q252" s="517">
        <v>251</v>
      </c>
      <c r="R252" s="563" t="s">
        <v>43</v>
      </c>
      <c r="S252" s="176">
        <f t="shared" si="131"/>
        <v>14</v>
      </c>
      <c r="T252" s="176">
        <f t="shared" si="132"/>
        <v>26</v>
      </c>
      <c r="U252" s="176">
        <f t="shared" si="133"/>
        <v>41</v>
      </c>
      <c r="V252" s="176">
        <f t="shared" si="134"/>
        <v>54</v>
      </c>
      <c r="W252" s="176">
        <f t="shared" si="135"/>
        <v>72</v>
      </c>
      <c r="X252" s="176">
        <f t="shared" si="136"/>
        <v>87</v>
      </c>
      <c r="Y252" s="176">
        <f t="shared" si="137"/>
        <v>101</v>
      </c>
      <c r="Z252" s="176">
        <f t="shared" si="138"/>
        <v>111</v>
      </c>
      <c r="AA252" s="176">
        <f t="shared" si="139"/>
        <v>128</v>
      </c>
      <c r="AB252" s="176">
        <f t="shared" si="140"/>
        <v>137</v>
      </c>
      <c r="AC252" s="176">
        <f t="shared" si="141"/>
        <v>149</v>
      </c>
      <c r="AD252" s="462">
        <f t="shared" si="142"/>
        <v>157</v>
      </c>
      <c r="AE252" s="491">
        <v>251</v>
      </c>
      <c r="AF252" s="492">
        <v>157</v>
      </c>
    </row>
    <row r="253" spans="1:32" x14ac:dyDescent="0.35">
      <c r="B253" s="485">
        <v>252</v>
      </c>
      <c r="C253" s="562" t="s">
        <v>198</v>
      </c>
      <c r="D253" s="487">
        <v>19</v>
      </c>
      <c r="E253" s="487">
        <v>17</v>
      </c>
      <c r="F253" s="487">
        <v>17</v>
      </c>
      <c r="G253" s="487">
        <v>20</v>
      </c>
      <c r="H253" s="487">
        <v>19</v>
      </c>
      <c r="I253" s="487">
        <v>14</v>
      </c>
      <c r="J253" s="487">
        <v>16</v>
      </c>
      <c r="K253" s="487">
        <v>11</v>
      </c>
      <c r="L253" s="487">
        <v>18</v>
      </c>
      <c r="M253" s="487">
        <v>11</v>
      </c>
      <c r="N253" s="487">
        <v>15</v>
      </c>
      <c r="O253" s="487">
        <v>14</v>
      </c>
      <c r="P253" s="488"/>
      <c r="Q253" s="517">
        <v>252</v>
      </c>
      <c r="R253" s="563" t="s">
        <v>198</v>
      </c>
      <c r="S253" s="176">
        <f t="shared" si="131"/>
        <v>19</v>
      </c>
      <c r="T253" s="176">
        <f t="shared" si="132"/>
        <v>36</v>
      </c>
      <c r="U253" s="176">
        <f t="shared" si="133"/>
        <v>53</v>
      </c>
      <c r="V253" s="176">
        <f t="shared" si="134"/>
        <v>73</v>
      </c>
      <c r="W253" s="176">
        <f t="shared" si="135"/>
        <v>92</v>
      </c>
      <c r="X253" s="176">
        <f t="shared" si="136"/>
        <v>106</v>
      </c>
      <c r="Y253" s="176">
        <f t="shared" si="137"/>
        <v>122</v>
      </c>
      <c r="Z253" s="176">
        <f t="shared" si="138"/>
        <v>133</v>
      </c>
      <c r="AA253" s="176">
        <f t="shared" si="139"/>
        <v>151</v>
      </c>
      <c r="AB253" s="176">
        <f t="shared" si="140"/>
        <v>162</v>
      </c>
      <c r="AC253" s="176">
        <f t="shared" si="141"/>
        <v>177</v>
      </c>
      <c r="AD253" s="462">
        <f t="shared" si="142"/>
        <v>191</v>
      </c>
      <c r="AE253" s="469">
        <v>252</v>
      </c>
      <c r="AF253" s="492">
        <v>191</v>
      </c>
    </row>
    <row r="254" spans="1:32" x14ac:dyDescent="0.35">
      <c r="A254" s="227" t="s">
        <v>128</v>
      </c>
      <c r="B254" s="486">
        <v>253</v>
      </c>
      <c r="C254" s="562" t="s">
        <v>204</v>
      </c>
      <c r="D254" s="493">
        <v>33</v>
      </c>
      <c r="E254" s="493">
        <v>29</v>
      </c>
      <c r="F254" s="493">
        <v>32</v>
      </c>
      <c r="G254" s="493">
        <v>33</v>
      </c>
      <c r="H254" s="493">
        <v>37</v>
      </c>
      <c r="I254" s="493">
        <v>29</v>
      </c>
      <c r="J254" s="493">
        <v>30</v>
      </c>
      <c r="K254" s="493">
        <v>21</v>
      </c>
      <c r="L254" s="493">
        <v>35</v>
      </c>
      <c r="M254" s="493">
        <v>20</v>
      </c>
      <c r="N254" s="493">
        <v>27</v>
      </c>
      <c r="O254" s="493">
        <v>22</v>
      </c>
      <c r="P254" s="488"/>
      <c r="Q254" s="517">
        <v>253</v>
      </c>
      <c r="R254" s="562" t="s">
        <v>204</v>
      </c>
      <c r="S254" s="176">
        <f t="shared" si="131"/>
        <v>33</v>
      </c>
      <c r="T254" s="176">
        <f t="shared" si="132"/>
        <v>62</v>
      </c>
      <c r="U254" s="176">
        <f t="shared" si="133"/>
        <v>94</v>
      </c>
      <c r="V254" s="176">
        <f t="shared" si="134"/>
        <v>127</v>
      </c>
      <c r="W254" s="176">
        <f t="shared" si="135"/>
        <v>164</v>
      </c>
      <c r="X254" s="176">
        <f t="shared" si="136"/>
        <v>193</v>
      </c>
      <c r="Y254" s="176">
        <f t="shared" si="137"/>
        <v>223</v>
      </c>
      <c r="Z254" s="176">
        <f t="shared" si="138"/>
        <v>244</v>
      </c>
      <c r="AA254" s="176">
        <f t="shared" si="139"/>
        <v>279</v>
      </c>
      <c r="AB254" s="176">
        <f t="shared" si="140"/>
        <v>299</v>
      </c>
      <c r="AC254" s="176">
        <f t="shared" si="141"/>
        <v>326</v>
      </c>
      <c r="AD254" s="462">
        <f t="shared" si="142"/>
        <v>348</v>
      </c>
      <c r="AE254" s="469">
        <v>253</v>
      </c>
      <c r="AF254" s="492"/>
    </row>
    <row r="255" spans="1:32" x14ac:dyDescent="0.35">
      <c r="B255" s="485">
        <v>254</v>
      </c>
      <c r="C255" s="562" t="s">
        <v>44</v>
      </c>
      <c r="D255" s="487">
        <v>2</v>
      </c>
      <c r="E255" s="487">
        <v>2</v>
      </c>
      <c r="F255" s="487">
        <v>1</v>
      </c>
      <c r="G255" s="487">
        <v>2</v>
      </c>
      <c r="H255" s="487">
        <v>1</v>
      </c>
      <c r="I255" s="487">
        <v>2</v>
      </c>
      <c r="J255" s="487">
        <v>2</v>
      </c>
      <c r="K255" s="487">
        <v>1</v>
      </c>
      <c r="L255" s="487">
        <v>1</v>
      </c>
      <c r="M255" s="487">
        <v>1</v>
      </c>
      <c r="N255" s="487">
        <v>1</v>
      </c>
      <c r="O255" s="487">
        <v>0</v>
      </c>
      <c r="P255" s="488"/>
      <c r="Q255" s="517">
        <v>254</v>
      </c>
      <c r="R255" s="563" t="s">
        <v>44</v>
      </c>
      <c r="S255" s="176">
        <f t="shared" si="131"/>
        <v>2</v>
      </c>
      <c r="T255" s="176">
        <f t="shared" si="132"/>
        <v>4</v>
      </c>
      <c r="U255" s="176">
        <f t="shared" si="133"/>
        <v>5</v>
      </c>
      <c r="V255" s="176">
        <f t="shared" si="134"/>
        <v>7</v>
      </c>
      <c r="W255" s="176">
        <f t="shared" si="135"/>
        <v>8</v>
      </c>
      <c r="X255" s="176">
        <f t="shared" si="136"/>
        <v>10</v>
      </c>
      <c r="Y255" s="176">
        <f t="shared" si="137"/>
        <v>12</v>
      </c>
      <c r="Z255" s="176">
        <f t="shared" si="138"/>
        <v>13</v>
      </c>
      <c r="AA255" s="176">
        <f t="shared" si="139"/>
        <v>14</v>
      </c>
      <c r="AB255" s="176">
        <f t="shared" si="140"/>
        <v>15</v>
      </c>
      <c r="AC255" s="176">
        <f t="shared" si="141"/>
        <v>16</v>
      </c>
      <c r="AD255" s="462">
        <f t="shared" si="142"/>
        <v>16</v>
      </c>
      <c r="AE255" s="491">
        <v>254</v>
      </c>
      <c r="AF255" s="492">
        <v>15</v>
      </c>
    </row>
    <row r="256" spans="1:32" x14ac:dyDescent="0.35">
      <c r="B256" s="485">
        <v>255</v>
      </c>
      <c r="C256" s="562" t="s">
        <v>199</v>
      </c>
      <c r="D256" s="487">
        <v>2</v>
      </c>
      <c r="E256" s="487">
        <v>1</v>
      </c>
      <c r="F256" s="487">
        <v>2</v>
      </c>
      <c r="G256" s="487">
        <v>1</v>
      </c>
      <c r="H256" s="487">
        <v>1</v>
      </c>
      <c r="I256" s="487">
        <v>1</v>
      </c>
      <c r="J256" s="487">
        <v>1</v>
      </c>
      <c r="K256" s="487">
        <v>1</v>
      </c>
      <c r="L256" s="487">
        <v>1</v>
      </c>
      <c r="M256" s="487">
        <v>2</v>
      </c>
      <c r="N256" s="487">
        <v>1</v>
      </c>
      <c r="O256" s="487">
        <v>1</v>
      </c>
      <c r="P256" s="488"/>
      <c r="Q256" s="517">
        <v>255</v>
      </c>
      <c r="R256" s="563" t="s">
        <v>199</v>
      </c>
      <c r="S256" s="176">
        <f t="shared" si="131"/>
        <v>2</v>
      </c>
      <c r="T256" s="176">
        <f t="shared" si="132"/>
        <v>3</v>
      </c>
      <c r="U256" s="176">
        <f t="shared" si="133"/>
        <v>5</v>
      </c>
      <c r="V256" s="176">
        <f t="shared" si="134"/>
        <v>6</v>
      </c>
      <c r="W256" s="176">
        <f t="shared" si="135"/>
        <v>7</v>
      </c>
      <c r="X256" s="176">
        <f t="shared" si="136"/>
        <v>8</v>
      </c>
      <c r="Y256" s="176">
        <f t="shared" si="137"/>
        <v>9</v>
      </c>
      <c r="Z256" s="176">
        <f t="shared" si="138"/>
        <v>10</v>
      </c>
      <c r="AA256" s="176">
        <f t="shared" si="139"/>
        <v>11</v>
      </c>
      <c r="AB256" s="176">
        <f t="shared" si="140"/>
        <v>13</v>
      </c>
      <c r="AC256" s="176">
        <f t="shared" si="141"/>
        <v>14</v>
      </c>
      <c r="AD256" s="462">
        <f t="shared" si="142"/>
        <v>15</v>
      </c>
      <c r="AE256" s="469">
        <v>255</v>
      </c>
      <c r="AF256" s="492">
        <v>14.999999999999998</v>
      </c>
    </row>
    <row r="257" spans="1:32" x14ac:dyDescent="0.35">
      <c r="B257" s="485">
        <v>256</v>
      </c>
      <c r="C257" s="562" t="s">
        <v>205</v>
      </c>
      <c r="D257" s="493">
        <v>4</v>
      </c>
      <c r="E257" s="493">
        <v>3</v>
      </c>
      <c r="F257" s="493">
        <v>3</v>
      </c>
      <c r="G257" s="493">
        <v>3</v>
      </c>
      <c r="H257" s="493">
        <v>2</v>
      </c>
      <c r="I257" s="493">
        <v>3</v>
      </c>
      <c r="J257" s="493">
        <v>3</v>
      </c>
      <c r="K257" s="493">
        <v>2</v>
      </c>
      <c r="L257" s="493">
        <v>1</v>
      </c>
      <c r="M257" s="493">
        <v>3</v>
      </c>
      <c r="N257" s="493">
        <v>2</v>
      </c>
      <c r="O257" s="493">
        <v>1</v>
      </c>
      <c r="P257" s="488"/>
      <c r="Q257" s="517">
        <v>256</v>
      </c>
      <c r="R257" s="562" t="s">
        <v>205</v>
      </c>
      <c r="S257" s="176">
        <f t="shared" si="131"/>
        <v>4</v>
      </c>
      <c r="T257" s="176">
        <f t="shared" si="132"/>
        <v>7</v>
      </c>
      <c r="U257" s="176">
        <f t="shared" si="133"/>
        <v>10</v>
      </c>
      <c r="V257" s="176">
        <f t="shared" si="134"/>
        <v>13</v>
      </c>
      <c r="W257" s="176">
        <f t="shared" si="135"/>
        <v>15</v>
      </c>
      <c r="X257" s="176">
        <f t="shared" si="136"/>
        <v>18</v>
      </c>
      <c r="Y257" s="176">
        <f t="shared" si="137"/>
        <v>21</v>
      </c>
      <c r="Z257" s="176">
        <f t="shared" si="138"/>
        <v>23</v>
      </c>
      <c r="AA257" s="176">
        <f t="shared" si="139"/>
        <v>24</v>
      </c>
      <c r="AB257" s="176">
        <f t="shared" si="140"/>
        <v>27</v>
      </c>
      <c r="AC257" s="176">
        <f t="shared" si="141"/>
        <v>29</v>
      </c>
      <c r="AD257" s="462">
        <f t="shared" si="142"/>
        <v>30</v>
      </c>
      <c r="AE257" s="469">
        <v>256</v>
      </c>
      <c r="AF257" s="492"/>
    </row>
    <row r="258" spans="1:32" x14ac:dyDescent="0.35">
      <c r="A258" s="227" t="s">
        <v>128</v>
      </c>
      <c r="B258" s="485">
        <v>257</v>
      </c>
      <c r="C258" s="562" t="s">
        <v>84</v>
      </c>
      <c r="D258" s="493">
        <v>37</v>
      </c>
      <c r="E258" s="493">
        <v>32</v>
      </c>
      <c r="F258" s="493">
        <v>34</v>
      </c>
      <c r="G258" s="493">
        <v>36</v>
      </c>
      <c r="H258" s="493">
        <v>40</v>
      </c>
      <c r="I258" s="493">
        <v>31</v>
      </c>
      <c r="J258" s="493">
        <v>33</v>
      </c>
      <c r="K258" s="493">
        <v>23</v>
      </c>
      <c r="L258" s="493">
        <v>36</v>
      </c>
      <c r="M258" s="493">
        <v>23</v>
      </c>
      <c r="N258" s="493">
        <v>29</v>
      </c>
      <c r="O258" s="493">
        <v>23</v>
      </c>
      <c r="P258" s="488"/>
      <c r="Q258" s="517">
        <v>257</v>
      </c>
      <c r="R258" s="563" t="s">
        <v>84</v>
      </c>
      <c r="S258" s="176">
        <f t="shared" si="131"/>
        <v>37</v>
      </c>
      <c r="T258" s="176">
        <f t="shared" si="132"/>
        <v>69</v>
      </c>
      <c r="U258" s="176">
        <f t="shared" si="133"/>
        <v>103</v>
      </c>
      <c r="V258" s="176">
        <f t="shared" si="134"/>
        <v>139</v>
      </c>
      <c r="W258" s="176">
        <f t="shared" si="135"/>
        <v>179</v>
      </c>
      <c r="X258" s="176">
        <f t="shared" si="136"/>
        <v>210</v>
      </c>
      <c r="Y258" s="176">
        <f t="shared" si="137"/>
        <v>243</v>
      </c>
      <c r="Z258" s="176">
        <f t="shared" si="138"/>
        <v>266</v>
      </c>
      <c r="AA258" s="176">
        <f t="shared" si="139"/>
        <v>302</v>
      </c>
      <c r="AB258" s="176">
        <f t="shared" si="140"/>
        <v>325</v>
      </c>
      <c r="AC258" s="176">
        <f t="shared" si="141"/>
        <v>354</v>
      </c>
      <c r="AD258" s="462">
        <f t="shared" si="142"/>
        <v>377</v>
      </c>
      <c r="AE258" s="469">
        <v>257</v>
      </c>
      <c r="AF258" s="492">
        <v>378</v>
      </c>
    </row>
    <row r="259" spans="1:32" x14ac:dyDescent="0.35">
      <c r="B259" s="486">
        <v>258</v>
      </c>
      <c r="C259" s="562" t="s">
        <v>45</v>
      </c>
      <c r="D259" s="487">
        <v>27</v>
      </c>
      <c r="E259" s="487">
        <v>34</v>
      </c>
      <c r="F259" s="487">
        <v>29</v>
      </c>
      <c r="G259" s="487">
        <v>28</v>
      </c>
      <c r="H259" s="487">
        <v>33</v>
      </c>
      <c r="I259" s="487">
        <v>31</v>
      </c>
      <c r="J259" s="487">
        <v>26</v>
      </c>
      <c r="K259" s="487">
        <v>25</v>
      </c>
      <c r="L259" s="487">
        <v>32</v>
      </c>
      <c r="M259" s="487">
        <v>26</v>
      </c>
      <c r="N259" s="487">
        <v>21</v>
      </c>
      <c r="O259" s="487">
        <v>28</v>
      </c>
      <c r="P259" s="488"/>
      <c r="Q259" s="517">
        <v>258</v>
      </c>
      <c r="R259" s="563" t="s">
        <v>45</v>
      </c>
      <c r="S259" s="176">
        <f t="shared" si="131"/>
        <v>27</v>
      </c>
      <c r="T259" s="176">
        <f t="shared" si="132"/>
        <v>61</v>
      </c>
      <c r="U259" s="176">
        <f t="shared" si="133"/>
        <v>90</v>
      </c>
      <c r="V259" s="176">
        <f t="shared" si="134"/>
        <v>118</v>
      </c>
      <c r="W259" s="176">
        <f t="shared" si="135"/>
        <v>151</v>
      </c>
      <c r="X259" s="176">
        <f t="shared" si="136"/>
        <v>182</v>
      </c>
      <c r="Y259" s="176">
        <f t="shared" si="137"/>
        <v>208</v>
      </c>
      <c r="Z259" s="176">
        <f t="shared" si="138"/>
        <v>233</v>
      </c>
      <c r="AA259" s="176">
        <f t="shared" si="139"/>
        <v>265</v>
      </c>
      <c r="AB259" s="176">
        <f t="shared" si="140"/>
        <v>291</v>
      </c>
      <c r="AC259" s="176">
        <f t="shared" si="141"/>
        <v>312</v>
      </c>
      <c r="AD259" s="462">
        <f t="shared" si="142"/>
        <v>340</v>
      </c>
      <c r="AE259" s="469">
        <v>258</v>
      </c>
      <c r="AF259" s="492">
        <v>341.33333333333331</v>
      </c>
    </row>
    <row r="260" spans="1:32" x14ac:dyDescent="0.35">
      <c r="B260" s="485">
        <v>259</v>
      </c>
      <c r="C260" s="562" t="s">
        <v>191</v>
      </c>
      <c r="D260" s="487">
        <v>70</v>
      </c>
      <c r="E260" s="487">
        <v>75</v>
      </c>
      <c r="F260" s="487">
        <v>76</v>
      </c>
      <c r="G260" s="487">
        <v>79</v>
      </c>
      <c r="H260" s="487">
        <v>90</v>
      </c>
      <c r="I260" s="487">
        <v>83</v>
      </c>
      <c r="J260" s="487">
        <v>75</v>
      </c>
      <c r="K260" s="487">
        <v>80</v>
      </c>
      <c r="L260" s="487">
        <v>76</v>
      </c>
      <c r="M260" s="487">
        <v>74</v>
      </c>
      <c r="N260" s="487">
        <v>66</v>
      </c>
      <c r="O260" s="487">
        <v>67</v>
      </c>
      <c r="P260" s="488"/>
      <c r="Q260" s="517">
        <v>259</v>
      </c>
      <c r="R260" s="563" t="s">
        <v>191</v>
      </c>
      <c r="S260" s="176">
        <f t="shared" si="131"/>
        <v>70</v>
      </c>
      <c r="T260" s="176">
        <f t="shared" si="132"/>
        <v>145</v>
      </c>
      <c r="U260" s="176">
        <f t="shared" si="133"/>
        <v>221</v>
      </c>
      <c r="V260" s="176">
        <f t="shared" si="134"/>
        <v>300</v>
      </c>
      <c r="W260" s="176">
        <f t="shared" si="135"/>
        <v>390</v>
      </c>
      <c r="X260" s="176">
        <f t="shared" si="136"/>
        <v>473</v>
      </c>
      <c r="Y260" s="176">
        <f t="shared" si="137"/>
        <v>548</v>
      </c>
      <c r="Z260" s="176">
        <f t="shared" si="138"/>
        <v>628</v>
      </c>
      <c r="AA260" s="176">
        <f t="shared" si="139"/>
        <v>704</v>
      </c>
      <c r="AB260" s="176">
        <f t="shared" si="140"/>
        <v>778</v>
      </c>
      <c r="AC260" s="176">
        <f t="shared" si="141"/>
        <v>844</v>
      </c>
      <c r="AD260" s="462">
        <f t="shared" si="142"/>
        <v>911</v>
      </c>
      <c r="AE260" s="491">
        <v>259</v>
      </c>
      <c r="AF260" s="492">
        <v>910.66666666666674</v>
      </c>
    </row>
    <row r="261" spans="1:32" x14ac:dyDescent="0.35">
      <c r="B261" s="485">
        <v>260</v>
      </c>
      <c r="C261" s="562" t="s">
        <v>53</v>
      </c>
      <c r="D261" s="487">
        <v>4</v>
      </c>
      <c r="E261" s="487">
        <v>6</v>
      </c>
      <c r="F261" s="487">
        <v>5</v>
      </c>
      <c r="G261" s="487">
        <v>5</v>
      </c>
      <c r="H261" s="487">
        <v>6</v>
      </c>
      <c r="I261" s="487">
        <v>5</v>
      </c>
      <c r="J261" s="487">
        <v>8</v>
      </c>
      <c r="K261" s="487">
        <v>5</v>
      </c>
      <c r="L261" s="487">
        <v>5</v>
      </c>
      <c r="M261" s="487">
        <v>5</v>
      </c>
      <c r="N261" s="487">
        <v>3</v>
      </c>
      <c r="O261" s="487">
        <v>6</v>
      </c>
      <c r="P261" s="488"/>
      <c r="Q261" s="517">
        <v>260</v>
      </c>
      <c r="R261" s="563" t="s">
        <v>53</v>
      </c>
      <c r="S261" s="176">
        <f t="shared" si="131"/>
        <v>4</v>
      </c>
      <c r="T261" s="176">
        <f t="shared" si="132"/>
        <v>10</v>
      </c>
      <c r="U261" s="176">
        <f t="shared" si="133"/>
        <v>15</v>
      </c>
      <c r="V261" s="176">
        <f t="shared" si="134"/>
        <v>20</v>
      </c>
      <c r="W261" s="176">
        <f t="shared" si="135"/>
        <v>26</v>
      </c>
      <c r="X261" s="176">
        <f t="shared" si="136"/>
        <v>31</v>
      </c>
      <c r="Y261" s="176">
        <f t="shared" si="137"/>
        <v>39</v>
      </c>
      <c r="Z261" s="176">
        <f t="shared" si="138"/>
        <v>44</v>
      </c>
      <c r="AA261" s="176">
        <f t="shared" si="139"/>
        <v>49</v>
      </c>
      <c r="AB261" s="176">
        <f t="shared" si="140"/>
        <v>54</v>
      </c>
      <c r="AC261" s="176">
        <f t="shared" si="141"/>
        <v>57</v>
      </c>
      <c r="AD261" s="462">
        <f t="shared" si="142"/>
        <v>63</v>
      </c>
      <c r="AE261" s="469">
        <v>260</v>
      </c>
      <c r="AF261" s="492">
        <v>62.666666666666664</v>
      </c>
    </row>
    <row r="262" spans="1:32" x14ac:dyDescent="0.35">
      <c r="B262" s="485">
        <v>261</v>
      </c>
      <c r="C262" s="562" t="s">
        <v>54</v>
      </c>
      <c r="D262" s="487">
        <v>4</v>
      </c>
      <c r="E262" s="487">
        <v>4</v>
      </c>
      <c r="F262" s="487">
        <v>3</v>
      </c>
      <c r="G262" s="487">
        <v>5</v>
      </c>
      <c r="H262" s="487">
        <v>5</v>
      </c>
      <c r="I262" s="487">
        <v>4</v>
      </c>
      <c r="J262" s="487">
        <v>4</v>
      </c>
      <c r="K262" s="487">
        <v>4</v>
      </c>
      <c r="L262" s="487">
        <v>3</v>
      </c>
      <c r="M262" s="487">
        <v>1</v>
      </c>
      <c r="N262" s="487">
        <v>5</v>
      </c>
      <c r="O262" s="487">
        <v>3</v>
      </c>
      <c r="P262" s="488"/>
      <c r="Q262" s="517">
        <v>261</v>
      </c>
      <c r="R262" s="563" t="s">
        <v>54</v>
      </c>
      <c r="S262" s="176">
        <f t="shared" si="131"/>
        <v>4</v>
      </c>
      <c r="T262" s="176">
        <f t="shared" si="132"/>
        <v>8</v>
      </c>
      <c r="U262" s="176">
        <f t="shared" si="133"/>
        <v>11</v>
      </c>
      <c r="V262" s="176">
        <f t="shared" si="134"/>
        <v>16</v>
      </c>
      <c r="W262" s="176">
        <f t="shared" si="135"/>
        <v>21</v>
      </c>
      <c r="X262" s="176">
        <f t="shared" si="136"/>
        <v>25</v>
      </c>
      <c r="Y262" s="176">
        <f t="shared" si="137"/>
        <v>29</v>
      </c>
      <c r="Z262" s="176">
        <f t="shared" si="138"/>
        <v>33</v>
      </c>
      <c r="AA262" s="176">
        <f t="shared" si="139"/>
        <v>36</v>
      </c>
      <c r="AB262" s="176">
        <f t="shared" si="140"/>
        <v>37</v>
      </c>
      <c r="AC262" s="176">
        <f t="shared" si="141"/>
        <v>42</v>
      </c>
      <c r="AD262" s="462">
        <f t="shared" si="142"/>
        <v>45</v>
      </c>
      <c r="AE262" s="469">
        <v>261</v>
      </c>
      <c r="AF262" s="492">
        <v>45.333333333333336</v>
      </c>
    </row>
    <row r="263" spans="1:32" x14ac:dyDescent="0.35">
      <c r="B263" s="485">
        <v>262</v>
      </c>
      <c r="C263" s="562" t="s">
        <v>46</v>
      </c>
      <c r="D263" s="487">
        <v>1</v>
      </c>
      <c r="E263" s="487">
        <v>1</v>
      </c>
      <c r="F263" s="487">
        <v>1</v>
      </c>
      <c r="G263" s="487">
        <v>0</v>
      </c>
      <c r="H263" s="487">
        <v>1</v>
      </c>
      <c r="I263" s="487">
        <v>1</v>
      </c>
      <c r="J263" s="487">
        <v>1</v>
      </c>
      <c r="K263" s="487">
        <v>1</v>
      </c>
      <c r="L263" s="487">
        <v>0</v>
      </c>
      <c r="M263" s="487">
        <v>1</v>
      </c>
      <c r="N263" s="487">
        <v>0</v>
      </c>
      <c r="O263" s="487">
        <v>1</v>
      </c>
      <c r="P263" s="488"/>
      <c r="Q263" s="517">
        <v>262</v>
      </c>
      <c r="R263" s="563" t="s">
        <v>46</v>
      </c>
      <c r="S263" s="176">
        <f t="shared" si="131"/>
        <v>1</v>
      </c>
      <c r="T263" s="176">
        <f t="shared" si="132"/>
        <v>2</v>
      </c>
      <c r="U263" s="176">
        <f t="shared" si="133"/>
        <v>3</v>
      </c>
      <c r="V263" s="176">
        <f t="shared" si="134"/>
        <v>3</v>
      </c>
      <c r="W263" s="176">
        <f t="shared" si="135"/>
        <v>4</v>
      </c>
      <c r="X263" s="176">
        <f t="shared" si="136"/>
        <v>5</v>
      </c>
      <c r="Y263" s="176">
        <f t="shared" si="137"/>
        <v>6</v>
      </c>
      <c r="Z263" s="176">
        <f t="shared" si="138"/>
        <v>7</v>
      </c>
      <c r="AA263" s="176">
        <f t="shared" si="139"/>
        <v>7</v>
      </c>
      <c r="AB263" s="176">
        <f t="shared" si="140"/>
        <v>8</v>
      </c>
      <c r="AC263" s="176">
        <f t="shared" si="141"/>
        <v>8</v>
      </c>
      <c r="AD263" s="462">
        <f t="shared" si="142"/>
        <v>9</v>
      </c>
      <c r="AE263" s="491">
        <v>262</v>
      </c>
      <c r="AF263" s="492">
        <v>7.6666666666666661</v>
      </c>
    </row>
    <row r="264" spans="1:32" x14ac:dyDescent="0.35">
      <c r="B264" s="486">
        <v>263</v>
      </c>
      <c r="C264" s="562" t="s">
        <v>47</v>
      </c>
      <c r="D264" s="487">
        <v>14</v>
      </c>
      <c r="E264" s="487">
        <v>17</v>
      </c>
      <c r="F264" s="487">
        <v>10</v>
      </c>
      <c r="G264" s="487">
        <v>12</v>
      </c>
      <c r="H264" s="487">
        <v>14</v>
      </c>
      <c r="I264" s="487">
        <v>19</v>
      </c>
      <c r="J264" s="487">
        <v>24</v>
      </c>
      <c r="K264" s="487">
        <v>28</v>
      </c>
      <c r="L264" s="487">
        <v>16</v>
      </c>
      <c r="M264" s="487">
        <v>19</v>
      </c>
      <c r="N264" s="487">
        <v>21</v>
      </c>
      <c r="O264" s="487">
        <v>16</v>
      </c>
      <c r="P264" s="488"/>
      <c r="Q264" s="517">
        <v>263</v>
      </c>
      <c r="R264" s="563" t="s">
        <v>47</v>
      </c>
      <c r="S264" s="176">
        <f t="shared" si="131"/>
        <v>14</v>
      </c>
      <c r="T264" s="176">
        <f t="shared" si="132"/>
        <v>31</v>
      </c>
      <c r="U264" s="176">
        <f t="shared" si="133"/>
        <v>41</v>
      </c>
      <c r="V264" s="176">
        <f t="shared" si="134"/>
        <v>53</v>
      </c>
      <c r="W264" s="176">
        <f t="shared" si="135"/>
        <v>67</v>
      </c>
      <c r="X264" s="176">
        <f t="shared" si="136"/>
        <v>86</v>
      </c>
      <c r="Y264" s="176">
        <f t="shared" si="137"/>
        <v>110</v>
      </c>
      <c r="Z264" s="176">
        <f t="shared" si="138"/>
        <v>138</v>
      </c>
      <c r="AA264" s="176">
        <f t="shared" si="139"/>
        <v>154</v>
      </c>
      <c r="AB264" s="176">
        <f t="shared" si="140"/>
        <v>173</v>
      </c>
      <c r="AC264" s="176">
        <f t="shared" si="141"/>
        <v>194</v>
      </c>
      <c r="AD264" s="462">
        <f t="shared" si="142"/>
        <v>210</v>
      </c>
      <c r="AE264" s="469">
        <v>263</v>
      </c>
      <c r="AF264" s="492">
        <v>209.99999999999997</v>
      </c>
    </row>
    <row r="265" spans="1:32" x14ac:dyDescent="0.35">
      <c r="B265" s="485">
        <v>264</v>
      </c>
      <c r="C265" s="562" t="s">
        <v>48</v>
      </c>
      <c r="D265" s="487">
        <v>43</v>
      </c>
      <c r="E265" s="487">
        <v>43</v>
      </c>
      <c r="F265" s="487">
        <v>54</v>
      </c>
      <c r="G265" s="487">
        <v>44</v>
      </c>
      <c r="H265" s="487">
        <v>55</v>
      </c>
      <c r="I265" s="487">
        <v>68</v>
      </c>
      <c r="J265" s="487">
        <v>77</v>
      </c>
      <c r="K265" s="487">
        <v>76</v>
      </c>
      <c r="L265" s="487">
        <v>59</v>
      </c>
      <c r="M265" s="487">
        <v>67</v>
      </c>
      <c r="N265" s="487">
        <v>56</v>
      </c>
      <c r="O265" s="487">
        <v>47</v>
      </c>
      <c r="P265" s="488"/>
      <c r="Q265" s="517">
        <v>264</v>
      </c>
      <c r="R265" s="563" t="s">
        <v>48</v>
      </c>
      <c r="S265" s="176">
        <f t="shared" si="131"/>
        <v>43</v>
      </c>
      <c r="T265" s="176">
        <f t="shared" si="132"/>
        <v>86</v>
      </c>
      <c r="U265" s="176">
        <f t="shared" si="133"/>
        <v>140</v>
      </c>
      <c r="V265" s="176">
        <f t="shared" si="134"/>
        <v>184</v>
      </c>
      <c r="W265" s="176">
        <f t="shared" si="135"/>
        <v>239</v>
      </c>
      <c r="X265" s="176">
        <f t="shared" si="136"/>
        <v>307</v>
      </c>
      <c r="Y265" s="176">
        <f t="shared" si="137"/>
        <v>384</v>
      </c>
      <c r="Z265" s="176">
        <f t="shared" si="138"/>
        <v>460</v>
      </c>
      <c r="AA265" s="176">
        <f t="shared" si="139"/>
        <v>519</v>
      </c>
      <c r="AB265" s="176">
        <f t="shared" si="140"/>
        <v>586</v>
      </c>
      <c r="AC265" s="176">
        <f t="shared" si="141"/>
        <v>642</v>
      </c>
      <c r="AD265" s="462">
        <f t="shared" si="142"/>
        <v>689</v>
      </c>
      <c r="AE265" s="469">
        <v>264</v>
      </c>
      <c r="AF265" s="492">
        <v>689.33333333333337</v>
      </c>
    </row>
    <row r="266" spans="1:32" x14ac:dyDescent="0.35">
      <c r="B266" s="485">
        <v>265</v>
      </c>
      <c r="C266" s="562" t="s">
        <v>49</v>
      </c>
      <c r="D266" s="487">
        <v>12</v>
      </c>
      <c r="E266" s="487">
        <v>12</v>
      </c>
      <c r="F266" s="487">
        <v>14</v>
      </c>
      <c r="G266" s="487">
        <v>14</v>
      </c>
      <c r="H266" s="487">
        <v>15</v>
      </c>
      <c r="I266" s="487">
        <v>11</v>
      </c>
      <c r="J266" s="487">
        <v>17</v>
      </c>
      <c r="K266" s="487">
        <v>13</v>
      </c>
      <c r="L266" s="487">
        <v>12</v>
      </c>
      <c r="M266" s="487">
        <v>11</v>
      </c>
      <c r="N266" s="487">
        <v>9</v>
      </c>
      <c r="O266" s="487">
        <v>12</v>
      </c>
      <c r="P266" s="488"/>
      <c r="Q266" s="517">
        <v>265</v>
      </c>
      <c r="R266" s="563" t="s">
        <v>49</v>
      </c>
      <c r="S266" s="176">
        <f t="shared" si="131"/>
        <v>12</v>
      </c>
      <c r="T266" s="176">
        <f t="shared" si="132"/>
        <v>24</v>
      </c>
      <c r="U266" s="176">
        <f t="shared" si="133"/>
        <v>38</v>
      </c>
      <c r="V266" s="176">
        <f t="shared" si="134"/>
        <v>52</v>
      </c>
      <c r="W266" s="176">
        <f t="shared" si="135"/>
        <v>67</v>
      </c>
      <c r="X266" s="176">
        <f t="shared" si="136"/>
        <v>78</v>
      </c>
      <c r="Y266" s="176">
        <f t="shared" si="137"/>
        <v>95</v>
      </c>
      <c r="Z266" s="176">
        <f t="shared" si="138"/>
        <v>108</v>
      </c>
      <c r="AA266" s="176">
        <f t="shared" si="139"/>
        <v>120</v>
      </c>
      <c r="AB266" s="176">
        <f t="shared" si="140"/>
        <v>131</v>
      </c>
      <c r="AC266" s="176">
        <f t="shared" si="141"/>
        <v>140</v>
      </c>
      <c r="AD266" s="462">
        <f t="shared" si="142"/>
        <v>152</v>
      </c>
      <c r="AE266" s="469">
        <v>265</v>
      </c>
      <c r="AF266" s="492">
        <v>152</v>
      </c>
    </row>
    <row r="267" spans="1:32" x14ac:dyDescent="0.35">
      <c r="A267" s="227" t="s">
        <v>128</v>
      </c>
      <c r="B267" s="485">
        <v>266</v>
      </c>
      <c r="C267" s="562" t="s">
        <v>85</v>
      </c>
      <c r="D267" s="493">
        <v>13</v>
      </c>
      <c r="E267" s="493">
        <v>13</v>
      </c>
      <c r="F267" s="493">
        <v>15</v>
      </c>
      <c r="G267" s="493">
        <v>14</v>
      </c>
      <c r="H267" s="493">
        <v>16</v>
      </c>
      <c r="I267" s="493">
        <v>12</v>
      </c>
      <c r="J267" s="493">
        <v>18</v>
      </c>
      <c r="K267" s="493">
        <v>14</v>
      </c>
      <c r="L267" s="493">
        <v>12</v>
      </c>
      <c r="M267" s="493">
        <v>12</v>
      </c>
      <c r="N267" s="493">
        <v>9</v>
      </c>
      <c r="O267" s="493">
        <v>13</v>
      </c>
      <c r="P267" s="488"/>
      <c r="Q267" s="517">
        <v>266</v>
      </c>
      <c r="R267" s="563" t="s">
        <v>85</v>
      </c>
      <c r="S267" s="176">
        <f t="shared" si="131"/>
        <v>13</v>
      </c>
      <c r="T267" s="176">
        <f t="shared" si="132"/>
        <v>26</v>
      </c>
      <c r="U267" s="176">
        <f t="shared" si="133"/>
        <v>41</v>
      </c>
      <c r="V267" s="176">
        <f t="shared" si="134"/>
        <v>55</v>
      </c>
      <c r="W267" s="176">
        <f t="shared" si="135"/>
        <v>71</v>
      </c>
      <c r="X267" s="176">
        <f t="shared" si="136"/>
        <v>83</v>
      </c>
      <c r="Y267" s="176">
        <f t="shared" si="137"/>
        <v>101</v>
      </c>
      <c r="Z267" s="176">
        <f t="shared" si="138"/>
        <v>115</v>
      </c>
      <c r="AA267" s="176">
        <f t="shared" si="139"/>
        <v>127</v>
      </c>
      <c r="AB267" s="176">
        <f t="shared" si="140"/>
        <v>139</v>
      </c>
      <c r="AC267" s="176">
        <f t="shared" si="141"/>
        <v>148</v>
      </c>
      <c r="AD267" s="462">
        <f t="shared" si="142"/>
        <v>161</v>
      </c>
      <c r="AE267" s="469">
        <v>266</v>
      </c>
      <c r="AF267" s="492">
        <v>159.66666666666669</v>
      </c>
    </row>
    <row r="268" spans="1:32" x14ac:dyDescent="0.35">
      <c r="B268" s="485">
        <v>267</v>
      </c>
      <c r="C268" s="562" t="s">
        <v>50</v>
      </c>
      <c r="D268" s="487">
        <v>70</v>
      </c>
      <c r="E268" s="487">
        <v>72</v>
      </c>
      <c r="F268" s="487">
        <v>79</v>
      </c>
      <c r="G268" s="487">
        <v>70</v>
      </c>
      <c r="H268" s="487">
        <v>85</v>
      </c>
      <c r="I268" s="487">
        <v>99</v>
      </c>
      <c r="J268" s="487">
        <v>119</v>
      </c>
      <c r="K268" s="487">
        <v>118</v>
      </c>
      <c r="L268" s="487">
        <v>86</v>
      </c>
      <c r="M268" s="487">
        <v>98</v>
      </c>
      <c r="N268" s="487">
        <v>86</v>
      </c>
      <c r="O268" s="487">
        <v>76</v>
      </c>
      <c r="P268" s="488"/>
      <c r="Q268" s="517">
        <v>267</v>
      </c>
      <c r="R268" s="563" t="s">
        <v>50</v>
      </c>
      <c r="S268" s="176">
        <f t="shared" si="131"/>
        <v>70</v>
      </c>
      <c r="T268" s="176">
        <f t="shared" si="132"/>
        <v>142</v>
      </c>
      <c r="U268" s="176">
        <f t="shared" si="133"/>
        <v>221</v>
      </c>
      <c r="V268" s="176">
        <f t="shared" si="134"/>
        <v>291</v>
      </c>
      <c r="W268" s="176">
        <f t="shared" si="135"/>
        <v>376</v>
      </c>
      <c r="X268" s="176">
        <f t="shared" si="136"/>
        <v>475</v>
      </c>
      <c r="Y268" s="176">
        <f t="shared" si="137"/>
        <v>594</v>
      </c>
      <c r="Z268" s="176">
        <f t="shared" si="138"/>
        <v>712</v>
      </c>
      <c r="AA268" s="176">
        <f t="shared" si="139"/>
        <v>798</v>
      </c>
      <c r="AB268" s="176">
        <f t="shared" si="140"/>
        <v>896</v>
      </c>
      <c r="AC268" s="176">
        <f t="shared" si="141"/>
        <v>982</v>
      </c>
      <c r="AD268" s="462">
        <f t="shared" si="142"/>
        <v>1058</v>
      </c>
      <c r="AE268" s="491">
        <v>267</v>
      </c>
      <c r="AF268" s="492">
        <v>1059</v>
      </c>
    </row>
    <row r="269" spans="1:32" x14ac:dyDescent="0.35">
      <c r="B269" s="486">
        <v>268</v>
      </c>
      <c r="C269" s="566" t="s">
        <v>348</v>
      </c>
      <c r="D269" s="487">
        <v>18</v>
      </c>
      <c r="E269" s="487">
        <v>23</v>
      </c>
      <c r="F269" s="487">
        <v>26</v>
      </c>
      <c r="G269" s="487">
        <v>18</v>
      </c>
      <c r="H269" s="487">
        <v>24</v>
      </c>
      <c r="I269" s="487">
        <v>31</v>
      </c>
      <c r="J269" s="487">
        <v>19</v>
      </c>
      <c r="K269" s="487">
        <v>19</v>
      </c>
      <c r="L269" s="487">
        <v>11</v>
      </c>
      <c r="M269" s="487">
        <v>16</v>
      </c>
      <c r="N269" s="487">
        <v>13</v>
      </c>
      <c r="O269" s="487">
        <v>22</v>
      </c>
      <c r="P269" s="488"/>
      <c r="Q269" s="517">
        <v>268</v>
      </c>
      <c r="R269" s="563" t="s">
        <v>348</v>
      </c>
      <c r="S269" s="176">
        <f t="shared" si="131"/>
        <v>18</v>
      </c>
      <c r="T269" s="176">
        <f t="shared" si="132"/>
        <v>41</v>
      </c>
      <c r="U269" s="176">
        <f t="shared" si="133"/>
        <v>67</v>
      </c>
      <c r="V269" s="176">
        <f t="shared" si="134"/>
        <v>85</v>
      </c>
      <c r="W269" s="176">
        <f t="shared" si="135"/>
        <v>109</v>
      </c>
      <c r="X269" s="176">
        <f t="shared" si="136"/>
        <v>140</v>
      </c>
      <c r="Y269" s="176">
        <f t="shared" si="137"/>
        <v>159</v>
      </c>
      <c r="Z269" s="176">
        <f t="shared" si="138"/>
        <v>178</v>
      </c>
      <c r="AA269" s="176">
        <f t="shared" si="139"/>
        <v>189</v>
      </c>
      <c r="AB269" s="176">
        <f t="shared" si="140"/>
        <v>205</v>
      </c>
      <c r="AC269" s="176">
        <f t="shared" si="141"/>
        <v>218</v>
      </c>
      <c r="AD269" s="462">
        <f t="shared" si="142"/>
        <v>240</v>
      </c>
      <c r="AE269" s="469">
        <v>268</v>
      </c>
      <c r="AF269" s="492">
        <v>239.33333333333331</v>
      </c>
    </row>
    <row r="270" spans="1:32" x14ac:dyDescent="0.35">
      <c r="B270" s="485">
        <v>269</v>
      </c>
      <c r="C270" s="567" t="s">
        <v>349</v>
      </c>
      <c r="D270" s="487">
        <v>201</v>
      </c>
      <c r="E270" s="487">
        <v>240</v>
      </c>
      <c r="F270" s="487">
        <v>233</v>
      </c>
      <c r="G270" s="487">
        <v>212</v>
      </c>
      <c r="H270" s="487">
        <v>223</v>
      </c>
      <c r="I270" s="487">
        <v>213</v>
      </c>
      <c r="J270" s="487">
        <v>206</v>
      </c>
      <c r="K270" s="487">
        <v>207</v>
      </c>
      <c r="L270" s="487">
        <v>215</v>
      </c>
      <c r="M270" s="487">
        <v>186</v>
      </c>
      <c r="N270" s="487">
        <v>171</v>
      </c>
      <c r="O270" s="487">
        <v>200</v>
      </c>
      <c r="P270" s="488"/>
      <c r="Q270" s="517">
        <v>269</v>
      </c>
      <c r="R270" s="565" t="s">
        <v>349</v>
      </c>
      <c r="S270" s="176">
        <f t="shared" si="131"/>
        <v>201</v>
      </c>
      <c r="T270" s="176">
        <f t="shared" si="132"/>
        <v>441</v>
      </c>
      <c r="U270" s="176">
        <f t="shared" si="133"/>
        <v>674</v>
      </c>
      <c r="V270" s="176">
        <f t="shared" si="134"/>
        <v>886</v>
      </c>
      <c r="W270" s="176">
        <f t="shared" si="135"/>
        <v>1109</v>
      </c>
      <c r="X270" s="176">
        <f t="shared" si="136"/>
        <v>1322</v>
      </c>
      <c r="Y270" s="176">
        <f t="shared" si="137"/>
        <v>1528</v>
      </c>
      <c r="Z270" s="176">
        <f t="shared" si="138"/>
        <v>1735</v>
      </c>
      <c r="AA270" s="176">
        <f t="shared" si="139"/>
        <v>1950</v>
      </c>
      <c r="AB270" s="176">
        <f t="shared" si="140"/>
        <v>2136</v>
      </c>
      <c r="AC270" s="176">
        <f t="shared" si="141"/>
        <v>2307</v>
      </c>
      <c r="AD270" s="462">
        <f t="shared" si="142"/>
        <v>2507</v>
      </c>
      <c r="AE270" s="469">
        <v>269</v>
      </c>
      <c r="AF270" s="492">
        <v>2506.666666666667</v>
      </c>
    </row>
    <row r="271" spans="1:32" x14ac:dyDescent="0.35">
      <c r="B271" s="485">
        <v>270</v>
      </c>
      <c r="C271" s="567" t="s">
        <v>352</v>
      </c>
      <c r="D271" s="487">
        <v>112</v>
      </c>
      <c r="E271" s="487">
        <v>128</v>
      </c>
      <c r="F271" s="487">
        <v>134</v>
      </c>
      <c r="G271" s="487">
        <v>144</v>
      </c>
      <c r="H271" s="487">
        <v>131</v>
      </c>
      <c r="I271" s="487">
        <v>135</v>
      </c>
      <c r="J271" s="487">
        <v>120</v>
      </c>
      <c r="K271" s="487">
        <v>132</v>
      </c>
      <c r="L271" s="487">
        <v>124</v>
      </c>
      <c r="M271" s="487">
        <v>108</v>
      </c>
      <c r="N271" s="487">
        <v>93</v>
      </c>
      <c r="O271" s="487">
        <v>132</v>
      </c>
      <c r="P271" s="488"/>
      <c r="Q271" s="517">
        <v>270</v>
      </c>
      <c r="R271" s="565" t="s">
        <v>352</v>
      </c>
      <c r="S271" s="176">
        <f t="shared" si="131"/>
        <v>112</v>
      </c>
      <c r="T271" s="176">
        <f t="shared" si="132"/>
        <v>240</v>
      </c>
      <c r="U271" s="176">
        <f t="shared" si="133"/>
        <v>374</v>
      </c>
      <c r="V271" s="176">
        <f t="shared" si="134"/>
        <v>518</v>
      </c>
      <c r="W271" s="176">
        <f t="shared" si="135"/>
        <v>649</v>
      </c>
      <c r="X271" s="176">
        <f t="shared" si="136"/>
        <v>784</v>
      </c>
      <c r="Y271" s="176">
        <f t="shared" si="137"/>
        <v>904</v>
      </c>
      <c r="Z271" s="176">
        <f t="shared" si="138"/>
        <v>1036</v>
      </c>
      <c r="AA271" s="176">
        <f t="shared" si="139"/>
        <v>1160</v>
      </c>
      <c r="AB271" s="176">
        <f t="shared" si="140"/>
        <v>1268</v>
      </c>
      <c r="AC271" s="176">
        <f t="shared" si="141"/>
        <v>1361</v>
      </c>
      <c r="AD271" s="462">
        <f t="shared" si="142"/>
        <v>1493</v>
      </c>
      <c r="AE271" s="491">
        <v>270</v>
      </c>
      <c r="AF271" s="492">
        <v>1489.5</v>
      </c>
    </row>
    <row r="272" spans="1:32" x14ac:dyDescent="0.35">
      <c r="B272" s="485">
        <v>271</v>
      </c>
      <c r="C272" s="567" t="s">
        <v>350</v>
      </c>
      <c r="D272" s="487">
        <v>3</v>
      </c>
      <c r="E272" s="487">
        <v>1</v>
      </c>
      <c r="F272" s="487">
        <v>5</v>
      </c>
      <c r="G272" s="487">
        <v>4</v>
      </c>
      <c r="H272" s="487">
        <v>2</v>
      </c>
      <c r="I272" s="487">
        <v>3</v>
      </c>
      <c r="J272" s="487">
        <v>1</v>
      </c>
      <c r="K272" s="487">
        <v>4</v>
      </c>
      <c r="L272" s="487">
        <v>3</v>
      </c>
      <c r="M272" s="487">
        <v>2</v>
      </c>
      <c r="N272" s="487">
        <v>2</v>
      </c>
      <c r="O272" s="487">
        <v>0</v>
      </c>
      <c r="P272" s="488"/>
      <c r="Q272" s="517">
        <v>271</v>
      </c>
      <c r="R272" s="565" t="s">
        <v>350</v>
      </c>
      <c r="S272" s="176">
        <f t="shared" si="131"/>
        <v>3</v>
      </c>
      <c r="T272" s="176">
        <f t="shared" si="132"/>
        <v>4</v>
      </c>
      <c r="U272" s="176">
        <f t="shared" si="133"/>
        <v>9</v>
      </c>
      <c r="V272" s="176">
        <f t="shared" si="134"/>
        <v>13</v>
      </c>
      <c r="W272" s="176">
        <f t="shared" si="135"/>
        <v>15</v>
      </c>
      <c r="X272" s="176">
        <f t="shared" si="136"/>
        <v>18</v>
      </c>
      <c r="Y272" s="176">
        <f t="shared" si="137"/>
        <v>19</v>
      </c>
      <c r="Z272" s="176">
        <f t="shared" si="138"/>
        <v>23</v>
      </c>
      <c r="AA272" s="176">
        <f t="shared" si="139"/>
        <v>26</v>
      </c>
      <c r="AB272" s="176">
        <f t="shared" si="140"/>
        <v>28</v>
      </c>
      <c r="AC272" s="176">
        <f t="shared" si="141"/>
        <v>30</v>
      </c>
      <c r="AD272" s="462">
        <f t="shared" si="142"/>
        <v>30</v>
      </c>
      <c r="AE272" s="469">
        <v>271</v>
      </c>
      <c r="AF272" s="492">
        <v>28.666666666666664</v>
      </c>
    </row>
    <row r="273" spans="1:32" x14ac:dyDescent="0.35">
      <c r="B273" s="485">
        <v>272</v>
      </c>
      <c r="C273" s="568" t="s">
        <v>52</v>
      </c>
      <c r="D273" s="487">
        <v>106</v>
      </c>
      <c r="E273" s="487">
        <v>128</v>
      </c>
      <c r="F273" s="487">
        <v>137</v>
      </c>
      <c r="G273" s="487">
        <v>130</v>
      </c>
      <c r="H273" s="487">
        <v>113</v>
      </c>
      <c r="I273" s="487">
        <v>128</v>
      </c>
      <c r="J273" s="487">
        <v>134</v>
      </c>
      <c r="K273" s="487">
        <v>109</v>
      </c>
      <c r="L273" s="487">
        <v>115</v>
      </c>
      <c r="M273" s="487">
        <v>107</v>
      </c>
      <c r="N273" s="487">
        <v>107</v>
      </c>
      <c r="O273" s="487">
        <v>102</v>
      </c>
      <c r="P273" s="488"/>
      <c r="Q273" s="517">
        <v>272</v>
      </c>
      <c r="R273" s="563" t="s">
        <v>52</v>
      </c>
      <c r="S273" s="176">
        <f t="shared" si="131"/>
        <v>106</v>
      </c>
      <c r="T273" s="176">
        <f t="shared" si="132"/>
        <v>234</v>
      </c>
      <c r="U273" s="176">
        <f t="shared" si="133"/>
        <v>371</v>
      </c>
      <c r="V273" s="176">
        <f t="shared" si="134"/>
        <v>501</v>
      </c>
      <c r="W273" s="176">
        <f t="shared" si="135"/>
        <v>614</v>
      </c>
      <c r="X273" s="176">
        <f t="shared" si="136"/>
        <v>742</v>
      </c>
      <c r="Y273" s="176">
        <f t="shared" si="137"/>
        <v>876</v>
      </c>
      <c r="Z273" s="176">
        <f t="shared" si="138"/>
        <v>985</v>
      </c>
      <c r="AA273" s="176">
        <f t="shared" si="139"/>
        <v>1100</v>
      </c>
      <c r="AB273" s="176">
        <f t="shared" si="140"/>
        <v>1207</v>
      </c>
      <c r="AC273" s="176">
        <f t="shared" si="141"/>
        <v>1314</v>
      </c>
      <c r="AD273" s="462">
        <f t="shared" si="142"/>
        <v>1416</v>
      </c>
      <c r="AE273" s="469">
        <v>272</v>
      </c>
      <c r="AF273" s="492">
        <v>1416.3333333333333</v>
      </c>
    </row>
    <row r="274" spans="1:32" x14ac:dyDescent="0.35">
      <c r="B274" s="486">
        <v>273</v>
      </c>
      <c r="C274" s="562" t="s">
        <v>81</v>
      </c>
      <c r="D274" s="487">
        <v>32</v>
      </c>
      <c r="E274" s="487">
        <v>31</v>
      </c>
      <c r="F274" s="487">
        <v>28</v>
      </c>
      <c r="G274" s="487">
        <v>32</v>
      </c>
      <c r="H274" s="487">
        <v>43</v>
      </c>
      <c r="I274" s="487">
        <v>40</v>
      </c>
      <c r="J274" s="487">
        <v>45</v>
      </c>
      <c r="K274" s="487">
        <v>46</v>
      </c>
      <c r="L274" s="487">
        <v>34</v>
      </c>
      <c r="M274" s="487">
        <v>27</v>
      </c>
      <c r="N274" s="487">
        <v>22</v>
      </c>
      <c r="O274" s="487">
        <v>25</v>
      </c>
      <c r="P274" s="488"/>
      <c r="Q274" s="517">
        <v>273</v>
      </c>
      <c r="R274" s="563" t="s">
        <v>81</v>
      </c>
      <c r="S274" s="176">
        <f t="shared" si="131"/>
        <v>32</v>
      </c>
      <c r="T274" s="176">
        <f t="shared" si="132"/>
        <v>63</v>
      </c>
      <c r="U274" s="176">
        <f t="shared" si="133"/>
        <v>91</v>
      </c>
      <c r="V274" s="176">
        <f t="shared" si="134"/>
        <v>123</v>
      </c>
      <c r="W274" s="176">
        <f t="shared" si="135"/>
        <v>166</v>
      </c>
      <c r="X274" s="176">
        <f t="shared" si="136"/>
        <v>206</v>
      </c>
      <c r="Y274" s="176">
        <f t="shared" si="137"/>
        <v>251</v>
      </c>
      <c r="Z274" s="176">
        <f t="shared" si="138"/>
        <v>297</v>
      </c>
      <c r="AA274" s="176">
        <f t="shared" si="139"/>
        <v>331</v>
      </c>
      <c r="AB274" s="176">
        <f t="shared" si="140"/>
        <v>358</v>
      </c>
      <c r="AC274" s="176">
        <f t="shared" si="141"/>
        <v>380</v>
      </c>
      <c r="AD274" s="462">
        <f t="shared" si="142"/>
        <v>405</v>
      </c>
      <c r="AE274" s="469">
        <v>273</v>
      </c>
      <c r="AF274" s="492">
        <v>404.00000000000006</v>
      </c>
    </row>
    <row r="275" spans="1:32" x14ac:dyDescent="0.35">
      <c r="A275" s="227" t="s">
        <v>128</v>
      </c>
      <c r="B275" s="485">
        <v>274</v>
      </c>
      <c r="C275" s="562" t="s">
        <v>75</v>
      </c>
      <c r="D275" s="497">
        <v>144</v>
      </c>
      <c r="E275" s="497">
        <v>131</v>
      </c>
      <c r="F275" s="497">
        <v>142</v>
      </c>
      <c r="G275" s="497">
        <v>140</v>
      </c>
      <c r="H275" s="497">
        <v>179</v>
      </c>
      <c r="I275" s="497">
        <v>181</v>
      </c>
      <c r="J275" s="497">
        <v>203</v>
      </c>
      <c r="K275" s="497">
        <v>199</v>
      </c>
      <c r="L275" s="497">
        <v>152</v>
      </c>
      <c r="M275" s="497">
        <v>151</v>
      </c>
      <c r="N275" s="497">
        <v>123</v>
      </c>
      <c r="O275" s="497">
        <v>124</v>
      </c>
      <c r="P275" s="488"/>
      <c r="Q275" s="517">
        <v>274</v>
      </c>
      <c r="R275" s="563" t="s">
        <v>75</v>
      </c>
      <c r="S275" s="176">
        <f t="shared" si="131"/>
        <v>144</v>
      </c>
      <c r="T275" s="176">
        <f t="shared" si="132"/>
        <v>275</v>
      </c>
      <c r="U275" s="176">
        <f t="shared" si="133"/>
        <v>417</v>
      </c>
      <c r="V275" s="176">
        <f t="shared" si="134"/>
        <v>557</v>
      </c>
      <c r="W275" s="176">
        <f t="shared" si="135"/>
        <v>736</v>
      </c>
      <c r="X275" s="176">
        <f t="shared" si="136"/>
        <v>917</v>
      </c>
      <c r="Y275" s="176">
        <f t="shared" si="137"/>
        <v>1120</v>
      </c>
      <c r="Z275" s="176">
        <f t="shared" si="138"/>
        <v>1319</v>
      </c>
      <c r="AA275" s="176">
        <f t="shared" si="139"/>
        <v>1471</v>
      </c>
      <c r="AB275" s="176">
        <f t="shared" si="140"/>
        <v>1622</v>
      </c>
      <c r="AC275" s="176">
        <f t="shared" si="141"/>
        <v>1745</v>
      </c>
      <c r="AD275" s="462">
        <f t="shared" si="142"/>
        <v>1869</v>
      </c>
      <c r="AE275" s="469">
        <v>274</v>
      </c>
      <c r="AF275" s="492">
        <v>1869.6666666666665</v>
      </c>
    </row>
    <row r="276" spans="1:32" x14ac:dyDescent="0.35">
      <c r="B276" s="485">
        <v>275</v>
      </c>
      <c r="C276" s="562" t="s">
        <v>76</v>
      </c>
      <c r="D276" s="494">
        <v>366</v>
      </c>
      <c r="E276" s="494">
        <v>358</v>
      </c>
      <c r="F276" s="494">
        <v>334</v>
      </c>
      <c r="G276" s="494">
        <v>322</v>
      </c>
      <c r="H276" s="494">
        <v>308</v>
      </c>
      <c r="I276" s="494">
        <v>260</v>
      </c>
      <c r="J276" s="494">
        <v>235</v>
      </c>
      <c r="K276" s="494">
        <v>237</v>
      </c>
      <c r="L276" s="494">
        <v>226</v>
      </c>
      <c r="M276" s="494">
        <v>229</v>
      </c>
      <c r="N276" s="494">
        <v>226</v>
      </c>
      <c r="O276" s="494">
        <v>238</v>
      </c>
      <c r="P276" s="488"/>
      <c r="Q276" s="517">
        <v>275</v>
      </c>
      <c r="R276" s="563" t="s">
        <v>76</v>
      </c>
      <c r="S276" s="176">
        <f t="shared" si="131"/>
        <v>366</v>
      </c>
      <c r="T276" s="176">
        <f t="shared" si="132"/>
        <v>724</v>
      </c>
      <c r="U276" s="176">
        <f t="shared" si="133"/>
        <v>1058</v>
      </c>
      <c r="V276" s="176">
        <f t="shared" si="134"/>
        <v>1380</v>
      </c>
      <c r="W276" s="176">
        <f t="shared" si="135"/>
        <v>1688</v>
      </c>
      <c r="X276" s="176">
        <f t="shared" si="136"/>
        <v>1948</v>
      </c>
      <c r="Y276" s="176">
        <f t="shared" si="137"/>
        <v>2183</v>
      </c>
      <c r="Z276" s="176">
        <f t="shared" si="138"/>
        <v>2420</v>
      </c>
      <c r="AA276" s="176">
        <f t="shared" si="139"/>
        <v>2646</v>
      </c>
      <c r="AB276" s="176">
        <f t="shared" si="140"/>
        <v>2875</v>
      </c>
      <c r="AC276" s="176">
        <f t="shared" si="141"/>
        <v>3101</v>
      </c>
      <c r="AD276" s="462">
        <f t="shared" si="142"/>
        <v>3339</v>
      </c>
      <c r="AE276" s="491">
        <v>275</v>
      </c>
      <c r="AF276" s="492">
        <v>3341</v>
      </c>
    </row>
    <row r="277" spans="1:32" x14ac:dyDescent="0.35">
      <c r="B277" s="485">
        <v>276</v>
      </c>
      <c r="C277" s="562" t="s">
        <v>86</v>
      </c>
      <c r="D277" s="494">
        <v>52</v>
      </c>
      <c r="E277" s="494">
        <v>54</v>
      </c>
      <c r="F277" s="494">
        <v>49</v>
      </c>
      <c r="G277" s="494">
        <v>45</v>
      </c>
      <c r="H277" s="494">
        <v>39</v>
      </c>
      <c r="I277" s="494">
        <v>41</v>
      </c>
      <c r="J277" s="494">
        <v>34</v>
      </c>
      <c r="K277" s="494">
        <v>32</v>
      </c>
      <c r="L277" s="494">
        <v>25</v>
      </c>
      <c r="M277" s="494">
        <v>31</v>
      </c>
      <c r="N277" s="494">
        <v>36</v>
      </c>
      <c r="O277" s="494">
        <v>41</v>
      </c>
      <c r="P277" s="488"/>
      <c r="Q277" s="517">
        <v>276</v>
      </c>
      <c r="R277" s="563" t="s">
        <v>86</v>
      </c>
      <c r="S277" s="176">
        <f t="shared" si="131"/>
        <v>52</v>
      </c>
      <c r="T277" s="176">
        <f t="shared" si="132"/>
        <v>106</v>
      </c>
      <c r="U277" s="176">
        <f t="shared" si="133"/>
        <v>155</v>
      </c>
      <c r="V277" s="176">
        <f t="shared" si="134"/>
        <v>200</v>
      </c>
      <c r="W277" s="176">
        <f t="shared" si="135"/>
        <v>239</v>
      </c>
      <c r="X277" s="176">
        <f t="shared" si="136"/>
        <v>280</v>
      </c>
      <c r="Y277" s="176">
        <f t="shared" si="137"/>
        <v>314</v>
      </c>
      <c r="Z277" s="176">
        <f t="shared" si="138"/>
        <v>346</v>
      </c>
      <c r="AA277" s="176">
        <f t="shared" si="139"/>
        <v>371</v>
      </c>
      <c r="AB277" s="176">
        <f t="shared" si="140"/>
        <v>402</v>
      </c>
      <c r="AC277" s="176">
        <f t="shared" si="141"/>
        <v>438</v>
      </c>
      <c r="AD277" s="462">
        <f t="shared" si="142"/>
        <v>479</v>
      </c>
      <c r="AE277" s="469">
        <v>276</v>
      </c>
      <c r="AF277" s="492">
        <v>479.33333333333331</v>
      </c>
    </row>
    <row r="278" spans="1:32" x14ac:dyDescent="0.35">
      <c r="B278" s="485">
        <v>277</v>
      </c>
      <c r="C278" s="562" t="s">
        <v>88</v>
      </c>
      <c r="D278" s="494">
        <v>244</v>
      </c>
      <c r="E278" s="494">
        <v>251</v>
      </c>
      <c r="F278" s="494">
        <v>246</v>
      </c>
      <c r="G278" s="494">
        <v>252</v>
      </c>
      <c r="H278" s="494">
        <v>243</v>
      </c>
      <c r="I278" s="494">
        <v>193</v>
      </c>
      <c r="J278" s="494">
        <v>169</v>
      </c>
      <c r="K278" s="494">
        <v>177</v>
      </c>
      <c r="L278" s="494">
        <v>169</v>
      </c>
      <c r="M278" s="494">
        <v>168</v>
      </c>
      <c r="N278" s="494">
        <v>162</v>
      </c>
      <c r="O278" s="494">
        <v>171</v>
      </c>
      <c r="P278" s="488"/>
      <c r="Q278" s="517">
        <v>277</v>
      </c>
      <c r="R278" s="563" t="s">
        <v>88</v>
      </c>
      <c r="S278" s="176">
        <f t="shared" si="131"/>
        <v>244</v>
      </c>
      <c r="T278" s="176">
        <f t="shared" si="132"/>
        <v>495</v>
      </c>
      <c r="U278" s="176">
        <f t="shared" si="133"/>
        <v>741</v>
      </c>
      <c r="V278" s="176">
        <f t="shared" si="134"/>
        <v>993</v>
      </c>
      <c r="W278" s="176">
        <f t="shared" si="135"/>
        <v>1236</v>
      </c>
      <c r="X278" s="176">
        <f t="shared" si="136"/>
        <v>1429</v>
      </c>
      <c r="Y278" s="176">
        <f t="shared" si="137"/>
        <v>1598</v>
      </c>
      <c r="Z278" s="176">
        <f t="shared" si="138"/>
        <v>1775</v>
      </c>
      <c r="AA278" s="176">
        <f t="shared" si="139"/>
        <v>1944</v>
      </c>
      <c r="AB278" s="176">
        <f t="shared" si="140"/>
        <v>2112</v>
      </c>
      <c r="AC278" s="176">
        <f t="shared" si="141"/>
        <v>2274</v>
      </c>
      <c r="AD278" s="462">
        <f t="shared" si="142"/>
        <v>2445</v>
      </c>
      <c r="AE278" s="469">
        <v>277</v>
      </c>
      <c r="AF278" s="492">
        <v>2444.3333333333335</v>
      </c>
    </row>
    <row r="279" spans="1:32" x14ac:dyDescent="0.35">
      <c r="B279" s="486">
        <v>278</v>
      </c>
      <c r="C279" s="562" t="s">
        <v>87</v>
      </c>
      <c r="D279" s="494">
        <v>71</v>
      </c>
      <c r="E279" s="494">
        <v>53</v>
      </c>
      <c r="F279" s="494">
        <v>39</v>
      </c>
      <c r="G279" s="494">
        <v>25</v>
      </c>
      <c r="H279" s="494">
        <v>26</v>
      </c>
      <c r="I279" s="494">
        <v>26</v>
      </c>
      <c r="J279" s="494">
        <v>32</v>
      </c>
      <c r="K279" s="494">
        <v>29</v>
      </c>
      <c r="L279" s="494">
        <v>32</v>
      </c>
      <c r="M279" s="494">
        <v>30</v>
      </c>
      <c r="N279" s="494">
        <v>28</v>
      </c>
      <c r="O279" s="494">
        <v>26</v>
      </c>
      <c r="P279" s="488"/>
      <c r="Q279" s="517">
        <v>278</v>
      </c>
      <c r="R279" s="563" t="s">
        <v>87</v>
      </c>
      <c r="S279" s="176">
        <f t="shared" si="131"/>
        <v>71</v>
      </c>
      <c r="T279" s="176">
        <f t="shared" si="132"/>
        <v>124</v>
      </c>
      <c r="U279" s="176">
        <f t="shared" si="133"/>
        <v>163</v>
      </c>
      <c r="V279" s="176">
        <f t="shared" si="134"/>
        <v>188</v>
      </c>
      <c r="W279" s="176">
        <f t="shared" si="135"/>
        <v>214</v>
      </c>
      <c r="X279" s="176">
        <f t="shared" si="136"/>
        <v>240</v>
      </c>
      <c r="Y279" s="176">
        <f t="shared" si="137"/>
        <v>272</v>
      </c>
      <c r="Z279" s="176">
        <f t="shared" si="138"/>
        <v>301</v>
      </c>
      <c r="AA279" s="176">
        <f t="shared" si="139"/>
        <v>333</v>
      </c>
      <c r="AB279" s="176">
        <f t="shared" si="140"/>
        <v>363</v>
      </c>
      <c r="AC279" s="176">
        <f t="shared" si="141"/>
        <v>391</v>
      </c>
      <c r="AD279" s="462">
        <f t="shared" si="142"/>
        <v>417</v>
      </c>
      <c r="AE279" s="491">
        <v>278</v>
      </c>
      <c r="AF279" s="492">
        <v>417.33333333333326</v>
      </c>
    </row>
    <row r="280" spans="1:32" x14ac:dyDescent="0.35">
      <c r="B280" s="485">
        <v>279</v>
      </c>
      <c r="C280" s="562" t="s">
        <v>90</v>
      </c>
      <c r="D280" s="498">
        <v>5</v>
      </c>
      <c r="E280" s="498">
        <v>4</v>
      </c>
      <c r="F280" s="498">
        <v>3</v>
      </c>
      <c r="G280" s="498">
        <v>5</v>
      </c>
      <c r="H280" s="498">
        <v>4</v>
      </c>
      <c r="I280" s="498">
        <v>3</v>
      </c>
      <c r="J280" s="498">
        <v>2</v>
      </c>
      <c r="K280" s="498">
        <v>1</v>
      </c>
      <c r="L280" s="498">
        <v>1</v>
      </c>
      <c r="M280" s="498">
        <v>2</v>
      </c>
      <c r="N280" s="498">
        <v>1</v>
      </c>
      <c r="O280" s="498">
        <v>2</v>
      </c>
      <c r="P280" s="488"/>
      <c r="Q280" s="517">
        <v>279</v>
      </c>
      <c r="R280" s="563" t="s">
        <v>90</v>
      </c>
      <c r="S280" s="176">
        <f t="shared" si="131"/>
        <v>5</v>
      </c>
      <c r="T280" s="176">
        <f t="shared" si="132"/>
        <v>9</v>
      </c>
      <c r="U280" s="176">
        <f t="shared" si="133"/>
        <v>12</v>
      </c>
      <c r="V280" s="176">
        <f t="shared" si="134"/>
        <v>17</v>
      </c>
      <c r="W280" s="176">
        <f t="shared" si="135"/>
        <v>21</v>
      </c>
      <c r="X280" s="176">
        <f t="shared" si="136"/>
        <v>24</v>
      </c>
      <c r="Y280" s="176">
        <f t="shared" si="137"/>
        <v>26</v>
      </c>
      <c r="Z280" s="176">
        <f t="shared" si="138"/>
        <v>27</v>
      </c>
      <c r="AA280" s="176">
        <f t="shared" si="139"/>
        <v>28</v>
      </c>
      <c r="AB280" s="176">
        <f t="shared" si="140"/>
        <v>30</v>
      </c>
      <c r="AC280" s="176">
        <f t="shared" si="141"/>
        <v>31</v>
      </c>
      <c r="AD280" s="462">
        <f t="shared" si="142"/>
        <v>33</v>
      </c>
      <c r="AE280" s="469">
        <v>279</v>
      </c>
      <c r="AF280" s="492">
        <v>33.666666666666664</v>
      </c>
    </row>
    <row r="281" spans="1:32" x14ac:dyDescent="0.35">
      <c r="A281" s="227" t="s">
        <v>128</v>
      </c>
      <c r="B281" s="485">
        <v>280</v>
      </c>
      <c r="C281" s="562" t="s">
        <v>89</v>
      </c>
      <c r="D281" s="494">
        <v>3</v>
      </c>
      <c r="E281" s="494">
        <v>6</v>
      </c>
      <c r="F281" s="494">
        <v>7</v>
      </c>
      <c r="G281" s="494">
        <v>5</v>
      </c>
      <c r="H281" s="494">
        <v>6</v>
      </c>
      <c r="I281" s="494">
        <v>7</v>
      </c>
      <c r="J281" s="494">
        <v>5</v>
      </c>
      <c r="K281" s="494">
        <v>6</v>
      </c>
      <c r="L281" s="494">
        <v>6</v>
      </c>
      <c r="M281" s="494">
        <v>4</v>
      </c>
      <c r="N281" s="494">
        <v>2</v>
      </c>
      <c r="O281" s="494">
        <v>3</v>
      </c>
      <c r="P281" s="488"/>
      <c r="Q281" s="517">
        <v>280</v>
      </c>
      <c r="R281" s="563" t="s">
        <v>89</v>
      </c>
      <c r="S281" s="176">
        <f t="shared" si="131"/>
        <v>3</v>
      </c>
      <c r="T281" s="176">
        <f t="shared" si="132"/>
        <v>9</v>
      </c>
      <c r="U281" s="176">
        <f t="shared" si="133"/>
        <v>16</v>
      </c>
      <c r="V281" s="176">
        <f t="shared" si="134"/>
        <v>21</v>
      </c>
      <c r="W281" s="176">
        <f t="shared" si="135"/>
        <v>27</v>
      </c>
      <c r="X281" s="176">
        <f t="shared" si="136"/>
        <v>34</v>
      </c>
      <c r="Y281" s="176">
        <f t="shared" si="137"/>
        <v>39</v>
      </c>
      <c r="Z281" s="176">
        <f t="shared" si="138"/>
        <v>45</v>
      </c>
      <c r="AA281" s="176">
        <f t="shared" si="139"/>
        <v>51</v>
      </c>
      <c r="AB281" s="176">
        <f t="shared" si="140"/>
        <v>55</v>
      </c>
      <c r="AC281" s="176">
        <f t="shared" si="141"/>
        <v>57</v>
      </c>
      <c r="AD281" s="462">
        <f t="shared" si="142"/>
        <v>60</v>
      </c>
      <c r="AE281" s="469">
        <v>280</v>
      </c>
      <c r="AF281" s="492">
        <v>58.666666666666664</v>
      </c>
    </row>
    <row r="282" spans="1:32" x14ac:dyDescent="0.35">
      <c r="B282" s="485">
        <v>281</v>
      </c>
      <c r="C282" s="562" t="s">
        <v>66</v>
      </c>
      <c r="D282" s="494">
        <v>0</v>
      </c>
      <c r="E282" s="494">
        <v>0</v>
      </c>
      <c r="F282" s="494">
        <v>0</v>
      </c>
      <c r="G282" s="494">
        <v>1</v>
      </c>
      <c r="H282" s="494">
        <v>0</v>
      </c>
      <c r="I282" s="494">
        <v>1</v>
      </c>
      <c r="J282" s="494">
        <v>0</v>
      </c>
      <c r="K282" s="494">
        <v>0</v>
      </c>
      <c r="L282" s="494">
        <v>0</v>
      </c>
      <c r="M282" s="494">
        <v>1</v>
      </c>
      <c r="N282" s="494">
        <v>0</v>
      </c>
      <c r="O282" s="494">
        <v>0</v>
      </c>
      <c r="P282" s="488"/>
      <c r="Q282" s="517">
        <v>281</v>
      </c>
      <c r="R282" s="563" t="s">
        <v>66</v>
      </c>
      <c r="S282" s="176">
        <f t="shared" si="131"/>
        <v>0</v>
      </c>
      <c r="T282" s="176">
        <f t="shared" si="132"/>
        <v>0</v>
      </c>
      <c r="U282" s="176">
        <f t="shared" si="133"/>
        <v>0</v>
      </c>
      <c r="V282" s="176">
        <f t="shared" si="134"/>
        <v>1</v>
      </c>
      <c r="W282" s="176">
        <f t="shared" si="135"/>
        <v>1</v>
      </c>
      <c r="X282" s="176">
        <f t="shared" si="136"/>
        <v>2</v>
      </c>
      <c r="Y282" s="176">
        <f t="shared" si="137"/>
        <v>2</v>
      </c>
      <c r="Z282" s="176">
        <f t="shared" si="138"/>
        <v>2</v>
      </c>
      <c r="AA282" s="176">
        <f t="shared" si="139"/>
        <v>2</v>
      </c>
      <c r="AB282" s="176">
        <f t="shared" si="140"/>
        <v>3</v>
      </c>
      <c r="AC282" s="176">
        <f t="shared" si="141"/>
        <v>3</v>
      </c>
      <c r="AD282" s="462">
        <f t="shared" si="142"/>
        <v>3</v>
      </c>
      <c r="AE282" s="469">
        <v>281</v>
      </c>
      <c r="AF282" s="492">
        <v>5</v>
      </c>
    </row>
    <row r="283" spans="1:32" x14ac:dyDescent="0.35">
      <c r="B283" s="485">
        <v>282</v>
      </c>
      <c r="C283" s="562" t="s">
        <v>67</v>
      </c>
      <c r="D283" s="494">
        <v>2</v>
      </c>
      <c r="E283" s="494">
        <v>5</v>
      </c>
      <c r="F283" s="494">
        <v>7</v>
      </c>
      <c r="G283" s="494">
        <v>4</v>
      </c>
      <c r="H283" s="494">
        <v>6</v>
      </c>
      <c r="I283" s="494">
        <v>6</v>
      </c>
      <c r="J283" s="494">
        <v>5</v>
      </c>
      <c r="K283" s="494">
        <v>5</v>
      </c>
      <c r="L283" s="494">
        <v>6</v>
      </c>
      <c r="M283" s="494">
        <v>3</v>
      </c>
      <c r="N283" s="494">
        <v>2</v>
      </c>
      <c r="O283" s="494">
        <v>3</v>
      </c>
      <c r="P283" s="488"/>
      <c r="Q283" s="517">
        <v>282</v>
      </c>
      <c r="R283" s="563" t="s">
        <v>67</v>
      </c>
      <c r="S283" s="176">
        <f t="shared" si="131"/>
        <v>2</v>
      </c>
      <c r="T283" s="176">
        <f t="shared" si="132"/>
        <v>7</v>
      </c>
      <c r="U283" s="176">
        <f t="shared" si="133"/>
        <v>14</v>
      </c>
      <c r="V283" s="176">
        <f t="shared" si="134"/>
        <v>18</v>
      </c>
      <c r="W283" s="176">
        <f t="shared" si="135"/>
        <v>24</v>
      </c>
      <c r="X283" s="176">
        <f t="shared" si="136"/>
        <v>30</v>
      </c>
      <c r="Y283" s="176">
        <f t="shared" si="137"/>
        <v>35</v>
      </c>
      <c r="Z283" s="176">
        <f t="shared" si="138"/>
        <v>40</v>
      </c>
      <c r="AA283" s="176">
        <f t="shared" si="139"/>
        <v>46</v>
      </c>
      <c r="AB283" s="176">
        <f t="shared" si="140"/>
        <v>49</v>
      </c>
      <c r="AC283" s="176">
        <f t="shared" si="141"/>
        <v>51</v>
      </c>
      <c r="AD283" s="462">
        <f t="shared" si="142"/>
        <v>54</v>
      </c>
      <c r="AE283" s="469">
        <v>282</v>
      </c>
      <c r="AF283" s="492">
        <v>53.666666666666664</v>
      </c>
    </row>
    <row r="284" spans="1:32" ht="23" x14ac:dyDescent="0.5">
      <c r="B284" s="486">
        <v>283</v>
      </c>
      <c r="C284" s="569" t="s">
        <v>62</v>
      </c>
      <c r="D284" s="487"/>
      <c r="E284" s="487"/>
      <c r="F284" s="487"/>
      <c r="G284" s="487"/>
      <c r="H284" s="487"/>
      <c r="I284" s="487"/>
      <c r="J284" s="487"/>
      <c r="K284" s="487"/>
      <c r="L284" s="487"/>
      <c r="M284" s="487"/>
      <c r="N284" s="487"/>
      <c r="O284" s="487"/>
      <c r="P284" s="488"/>
      <c r="Q284" s="517">
        <v>283</v>
      </c>
      <c r="R284" s="569" t="s">
        <v>62</v>
      </c>
      <c r="S284" s="489"/>
      <c r="T284" s="489"/>
      <c r="U284" s="489"/>
      <c r="V284" s="489"/>
      <c r="W284" s="489"/>
      <c r="X284" s="489"/>
      <c r="Y284" s="489"/>
      <c r="Z284" s="489"/>
      <c r="AA284" s="489"/>
      <c r="AB284" s="489"/>
      <c r="AC284" s="489"/>
      <c r="AD284" s="490"/>
      <c r="AE284" s="491">
        <v>283</v>
      </c>
      <c r="AF284" s="492"/>
    </row>
    <row r="285" spans="1:32" x14ac:dyDescent="0.35">
      <c r="B285" s="485">
        <v>284</v>
      </c>
      <c r="C285" s="570" t="s">
        <v>56</v>
      </c>
      <c r="D285" s="432" t="s">
        <v>386</v>
      </c>
      <c r="E285" s="432" t="s">
        <v>387</v>
      </c>
      <c r="F285" s="432" t="s">
        <v>388</v>
      </c>
      <c r="G285" s="432" t="s">
        <v>389</v>
      </c>
      <c r="H285" s="432" t="s">
        <v>390</v>
      </c>
      <c r="I285" s="432" t="s">
        <v>391</v>
      </c>
      <c r="J285" s="432" t="s">
        <v>392</v>
      </c>
      <c r="K285" s="432" t="s">
        <v>393</v>
      </c>
      <c r="L285" s="432" t="s">
        <v>394</v>
      </c>
      <c r="M285" s="432" t="s">
        <v>395</v>
      </c>
      <c r="N285" s="432" t="s">
        <v>396</v>
      </c>
      <c r="O285" s="460" t="s">
        <v>397</v>
      </c>
      <c r="P285" s="488"/>
      <c r="Q285" s="517">
        <v>284</v>
      </c>
      <c r="R285" s="571" t="s">
        <v>56</v>
      </c>
      <c r="S285" s="501" t="s">
        <v>19</v>
      </c>
      <c r="T285" s="501" t="s">
        <v>20</v>
      </c>
      <c r="U285" s="501" t="s">
        <v>21</v>
      </c>
      <c r="V285" s="501" t="s">
        <v>22</v>
      </c>
      <c r="W285" s="501" t="s">
        <v>23</v>
      </c>
      <c r="X285" s="501" t="s">
        <v>24</v>
      </c>
      <c r="Y285" s="501" t="s">
        <v>25</v>
      </c>
      <c r="Z285" s="501" t="s">
        <v>26</v>
      </c>
      <c r="AA285" s="501" t="s">
        <v>27</v>
      </c>
      <c r="AB285" s="501" t="s">
        <v>28</v>
      </c>
      <c r="AC285" s="501" t="s">
        <v>29</v>
      </c>
      <c r="AD285" s="502" t="s">
        <v>30</v>
      </c>
      <c r="AE285" s="469">
        <v>284</v>
      </c>
      <c r="AF285" s="492">
        <v>0</v>
      </c>
    </row>
    <row r="286" spans="1:32" x14ac:dyDescent="0.35">
      <c r="B286" s="485">
        <v>285</v>
      </c>
      <c r="C286" s="570" t="s">
        <v>33</v>
      </c>
      <c r="D286" s="487">
        <v>1328</v>
      </c>
      <c r="E286" s="487">
        <v>1405</v>
      </c>
      <c r="F286" s="487">
        <v>1476</v>
      </c>
      <c r="G286" s="487">
        <v>1519</v>
      </c>
      <c r="H286" s="487">
        <v>1526</v>
      </c>
      <c r="I286" s="487">
        <v>1518</v>
      </c>
      <c r="J286" s="487">
        <v>1507</v>
      </c>
      <c r="K286" s="487">
        <v>1440</v>
      </c>
      <c r="L286" s="487">
        <v>1346</v>
      </c>
      <c r="M286" s="487">
        <v>1294</v>
      </c>
      <c r="N286" s="487">
        <v>1251</v>
      </c>
      <c r="O286" s="487">
        <v>1370</v>
      </c>
      <c r="P286" s="488"/>
      <c r="Q286" s="517">
        <v>285</v>
      </c>
      <c r="R286" s="571" t="s">
        <v>33</v>
      </c>
      <c r="S286" s="176">
        <f t="shared" ref="S286" si="143">D286</f>
        <v>1328</v>
      </c>
      <c r="T286" s="176">
        <f t="shared" ref="T286" si="144">S286+E286</f>
        <v>2733</v>
      </c>
      <c r="U286" s="176">
        <f t="shared" ref="U286" si="145">T286+F286</f>
        <v>4209</v>
      </c>
      <c r="V286" s="176">
        <f t="shared" ref="V286" si="146">U286+G286</f>
        <v>5728</v>
      </c>
      <c r="W286" s="176">
        <f t="shared" ref="W286" si="147">V286+H286</f>
        <v>7254</v>
      </c>
      <c r="X286" s="176">
        <f t="shared" ref="X286" si="148">W286+I286</f>
        <v>8772</v>
      </c>
      <c r="Y286" s="176">
        <f t="shared" ref="Y286" si="149">X286+J286</f>
        <v>10279</v>
      </c>
      <c r="Z286" s="176">
        <f t="shared" ref="Z286" si="150">Y286+K286</f>
        <v>11719</v>
      </c>
      <c r="AA286" s="176">
        <f t="shared" ref="AA286" si="151">Z286+L286</f>
        <v>13065</v>
      </c>
      <c r="AB286" s="176">
        <f t="shared" ref="AB286" si="152">AA286+M286</f>
        <v>14359</v>
      </c>
      <c r="AC286" s="176">
        <f t="shared" ref="AC286" si="153">AB286+N286</f>
        <v>15610</v>
      </c>
      <c r="AD286" s="462">
        <f t="shared" ref="AD286" si="154">AC286+O286</f>
        <v>16980</v>
      </c>
      <c r="AE286" s="469">
        <v>285</v>
      </c>
      <c r="AF286" s="492">
        <v>16978.333333333332</v>
      </c>
    </row>
    <row r="287" spans="1:32" x14ac:dyDescent="0.35">
      <c r="B287" s="485">
        <v>286</v>
      </c>
      <c r="C287" s="570" t="s">
        <v>39</v>
      </c>
      <c r="D287" s="487">
        <v>120</v>
      </c>
      <c r="E287" s="487">
        <v>152</v>
      </c>
      <c r="F287" s="487">
        <v>154</v>
      </c>
      <c r="G287" s="487">
        <v>155</v>
      </c>
      <c r="H287" s="487">
        <v>149</v>
      </c>
      <c r="I287" s="487">
        <v>138</v>
      </c>
      <c r="J287" s="487">
        <v>144</v>
      </c>
      <c r="K287" s="487">
        <v>125</v>
      </c>
      <c r="L287" s="487">
        <v>150</v>
      </c>
      <c r="M287" s="487">
        <v>119</v>
      </c>
      <c r="N287" s="487">
        <v>110</v>
      </c>
      <c r="O287" s="487">
        <v>134</v>
      </c>
      <c r="P287" s="488"/>
      <c r="Q287" s="517">
        <v>286</v>
      </c>
      <c r="R287" s="571" t="s">
        <v>39</v>
      </c>
      <c r="S287" s="176">
        <f t="shared" ref="S287:S331" si="155">D287</f>
        <v>120</v>
      </c>
      <c r="T287" s="176">
        <f t="shared" ref="T287:T331" si="156">S287+E287</f>
        <v>272</v>
      </c>
      <c r="U287" s="176">
        <f t="shared" ref="U287:U331" si="157">T287+F287</f>
        <v>426</v>
      </c>
      <c r="V287" s="176">
        <f t="shared" ref="V287:V331" si="158">U287+G287</f>
        <v>581</v>
      </c>
      <c r="W287" s="176">
        <f t="shared" ref="W287:W331" si="159">V287+H287</f>
        <v>730</v>
      </c>
      <c r="X287" s="176">
        <f t="shared" ref="X287:X331" si="160">W287+I287</f>
        <v>868</v>
      </c>
      <c r="Y287" s="176">
        <f t="shared" ref="Y287:Y331" si="161">X287+J287</f>
        <v>1012</v>
      </c>
      <c r="Z287" s="176">
        <f t="shared" ref="Z287:Z331" si="162">Y287+K287</f>
        <v>1137</v>
      </c>
      <c r="AA287" s="176">
        <f t="shared" ref="AA287:AA331" si="163">Z287+L287</f>
        <v>1287</v>
      </c>
      <c r="AB287" s="176">
        <f t="shared" ref="AB287:AB331" si="164">AA287+M287</f>
        <v>1406</v>
      </c>
      <c r="AC287" s="176">
        <f t="shared" ref="AC287:AC331" si="165">AB287+N287</f>
        <v>1516</v>
      </c>
      <c r="AD287" s="462">
        <f t="shared" ref="AD287:AD331" si="166">AC287+O287</f>
        <v>1650</v>
      </c>
      <c r="AE287" s="491">
        <v>286</v>
      </c>
      <c r="AF287" s="492">
        <v>1649</v>
      </c>
    </row>
    <row r="288" spans="1:32" x14ac:dyDescent="0.35">
      <c r="B288" s="485">
        <v>287</v>
      </c>
      <c r="C288" s="570" t="s">
        <v>40</v>
      </c>
      <c r="D288" s="487">
        <v>283</v>
      </c>
      <c r="E288" s="487">
        <v>296</v>
      </c>
      <c r="F288" s="487">
        <v>340</v>
      </c>
      <c r="G288" s="487">
        <v>353</v>
      </c>
      <c r="H288" s="487">
        <v>346</v>
      </c>
      <c r="I288" s="487">
        <v>345</v>
      </c>
      <c r="J288" s="487">
        <v>336</v>
      </c>
      <c r="K288" s="487">
        <v>339</v>
      </c>
      <c r="L288" s="487">
        <v>311</v>
      </c>
      <c r="M288" s="487">
        <v>303</v>
      </c>
      <c r="N288" s="487">
        <v>295</v>
      </c>
      <c r="O288" s="487">
        <v>336</v>
      </c>
      <c r="P288" s="488"/>
      <c r="Q288" s="517">
        <v>287</v>
      </c>
      <c r="R288" s="571" t="s">
        <v>40</v>
      </c>
      <c r="S288" s="176">
        <f t="shared" si="155"/>
        <v>283</v>
      </c>
      <c r="T288" s="176">
        <f t="shared" si="156"/>
        <v>579</v>
      </c>
      <c r="U288" s="176">
        <f t="shared" si="157"/>
        <v>919</v>
      </c>
      <c r="V288" s="176">
        <f t="shared" si="158"/>
        <v>1272</v>
      </c>
      <c r="W288" s="176">
        <f t="shared" si="159"/>
        <v>1618</v>
      </c>
      <c r="X288" s="176">
        <f t="shared" si="160"/>
        <v>1963</v>
      </c>
      <c r="Y288" s="176">
        <f t="shared" si="161"/>
        <v>2299</v>
      </c>
      <c r="Z288" s="176">
        <f t="shared" si="162"/>
        <v>2638</v>
      </c>
      <c r="AA288" s="176">
        <f t="shared" si="163"/>
        <v>2949</v>
      </c>
      <c r="AB288" s="176">
        <f t="shared" si="164"/>
        <v>3252</v>
      </c>
      <c r="AC288" s="176">
        <f t="shared" si="165"/>
        <v>3547</v>
      </c>
      <c r="AD288" s="462">
        <f t="shared" si="166"/>
        <v>3883</v>
      </c>
      <c r="AE288" s="469">
        <v>287</v>
      </c>
      <c r="AF288" s="492">
        <v>3883.3333333333335</v>
      </c>
    </row>
    <row r="289" spans="2:32" x14ac:dyDescent="0.35">
      <c r="B289" s="486">
        <v>288</v>
      </c>
      <c r="C289" s="570" t="s">
        <v>5</v>
      </c>
      <c r="D289" s="487">
        <v>12</v>
      </c>
      <c r="E289" s="487">
        <v>18</v>
      </c>
      <c r="F289" s="487">
        <v>17</v>
      </c>
      <c r="G289" s="487">
        <v>17</v>
      </c>
      <c r="H289" s="487">
        <v>18</v>
      </c>
      <c r="I289" s="487">
        <v>16</v>
      </c>
      <c r="J289" s="487">
        <v>15</v>
      </c>
      <c r="K289" s="487">
        <v>14</v>
      </c>
      <c r="L289" s="487">
        <v>16</v>
      </c>
      <c r="M289" s="487">
        <v>12</v>
      </c>
      <c r="N289" s="487">
        <v>12</v>
      </c>
      <c r="O289" s="487">
        <v>17</v>
      </c>
      <c r="P289" s="488"/>
      <c r="Q289" s="517">
        <v>288</v>
      </c>
      <c r="R289" s="571" t="s">
        <v>5</v>
      </c>
      <c r="S289" s="176">
        <f t="shared" si="155"/>
        <v>12</v>
      </c>
      <c r="T289" s="176">
        <f t="shared" si="156"/>
        <v>30</v>
      </c>
      <c r="U289" s="176">
        <f t="shared" si="157"/>
        <v>47</v>
      </c>
      <c r="V289" s="176">
        <f t="shared" si="158"/>
        <v>64</v>
      </c>
      <c r="W289" s="176">
        <f t="shared" si="159"/>
        <v>82</v>
      </c>
      <c r="X289" s="176">
        <f t="shared" si="160"/>
        <v>98</v>
      </c>
      <c r="Y289" s="176">
        <f t="shared" si="161"/>
        <v>113</v>
      </c>
      <c r="Z289" s="176">
        <f t="shared" si="162"/>
        <v>127</v>
      </c>
      <c r="AA289" s="176">
        <f t="shared" si="163"/>
        <v>143</v>
      </c>
      <c r="AB289" s="176">
        <f t="shared" si="164"/>
        <v>155</v>
      </c>
      <c r="AC289" s="176">
        <f t="shared" si="165"/>
        <v>167</v>
      </c>
      <c r="AD289" s="462">
        <f t="shared" si="166"/>
        <v>184</v>
      </c>
      <c r="AE289" s="469">
        <v>288</v>
      </c>
      <c r="AF289" s="492">
        <v>185.66666666666669</v>
      </c>
    </row>
    <row r="290" spans="2:32" x14ac:dyDescent="0.35">
      <c r="B290" s="485">
        <v>289</v>
      </c>
      <c r="C290" s="570" t="s">
        <v>35</v>
      </c>
      <c r="D290" s="487">
        <v>30</v>
      </c>
      <c r="E290" s="487">
        <v>30</v>
      </c>
      <c r="F290" s="487">
        <v>30</v>
      </c>
      <c r="G290" s="487">
        <v>36</v>
      </c>
      <c r="H290" s="487">
        <v>30</v>
      </c>
      <c r="I290" s="487">
        <v>35</v>
      </c>
      <c r="J290" s="487">
        <v>28</v>
      </c>
      <c r="K290" s="487">
        <v>31</v>
      </c>
      <c r="L290" s="487">
        <v>29</v>
      </c>
      <c r="M290" s="487">
        <v>26</v>
      </c>
      <c r="N290" s="487">
        <v>33</v>
      </c>
      <c r="O290" s="487">
        <v>28</v>
      </c>
      <c r="P290" s="488"/>
      <c r="Q290" s="517">
        <v>289</v>
      </c>
      <c r="R290" s="571" t="s">
        <v>35</v>
      </c>
      <c r="S290" s="176">
        <f t="shared" si="155"/>
        <v>30</v>
      </c>
      <c r="T290" s="176">
        <f t="shared" si="156"/>
        <v>60</v>
      </c>
      <c r="U290" s="176">
        <f t="shared" si="157"/>
        <v>90</v>
      </c>
      <c r="V290" s="176">
        <f t="shared" si="158"/>
        <v>126</v>
      </c>
      <c r="W290" s="176">
        <f t="shared" si="159"/>
        <v>156</v>
      </c>
      <c r="X290" s="176">
        <f t="shared" si="160"/>
        <v>191</v>
      </c>
      <c r="Y290" s="176">
        <f t="shared" si="161"/>
        <v>219</v>
      </c>
      <c r="Z290" s="176">
        <f t="shared" si="162"/>
        <v>250</v>
      </c>
      <c r="AA290" s="176">
        <f t="shared" si="163"/>
        <v>279</v>
      </c>
      <c r="AB290" s="176">
        <f t="shared" si="164"/>
        <v>305</v>
      </c>
      <c r="AC290" s="176">
        <f t="shared" si="165"/>
        <v>338</v>
      </c>
      <c r="AD290" s="462">
        <f t="shared" si="166"/>
        <v>366</v>
      </c>
      <c r="AE290" s="469">
        <v>289</v>
      </c>
      <c r="AF290" s="492">
        <v>366.33333333333337</v>
      </c>
    </row>
    <row r="291" spans="2:32" x14ac:dyDescent="0.35">
      <c r="B291" s="485">
        <v>290</v>
      </c>
      <c r="C291" s="570" t="s">
        <v>36</v>
      </c>
      <c r="D291" s="487">
        <v>2</v>
      </c>
      <c r="E291" s="487">
        <v>0</v>
      </c>
      <c r="F291" s="487">
        <v>2</v>
      </c>
      <c r="G291" s="487">
        <v>1</v>
      </c>
      <c r="H291" s="487">
        <v>2</v>
      </c>
      <c r="I291" s="487">
        <v>1</v>
      </c>
      <c r="J291" s="487">
        <v>2</v>
      </c>
      <c r="K291" s="487">
        <v>1</v>
      </c>
      <c r="L291" s="487">
        <v>1</v>
      </c>
      <c r="M291" s="487">
        <v>1</v>
      </c>
      <c r="N291" s="487">
        <v>1</v>
      </c>
      <c r="O291" s="487">
        <v>1</v>
      </c>
      <c r="P291" s="488"/>
      <c r="Q291" s="517">
        <v>290</v>
      </c>
      <c r="R291" s="571" t="s">
        <v>36</v>
      </c>
      <c r="S291" s="176">
        <f t="shared" si="155"/>
        <v>2</v>
      </c>
      <c r="T291" s="176">
        <f t="shared" si="156"/>
        <v>2</v>
      </c>
      <c r="U291" s="176">
        <f t="shared" si="157"/>
        <v>4</v>
      </c>
      <c r="V291" s="176">
        <f t="shared" si="158"/>
        <v>5</v>
      </c>
      <c r="W291" s="176">
        <f t="shared" si="159"/>
        <v>7</v>
      </c>
      <c r="X291" s="176">
        <f t="shared" si="160"/>
        <v>8</v>
      </c>
      <c r="Y291" s="176">
        <f t="shared" si="161"/>
        <v>10</v>
      </c>
      <c r="Z291" s="176">
        <f t="shared" si="162"/>
        <v>11</v>
      </c>
      <c r="AA291" s="176">
        <f t="shared" si="163"/>
        <v>12</v>
      </c>
      <c r="AB291" s="176">
        <f t="shared" si="164"/>
        <v>13</v>
      </c>
      <c r="AC291" s="176">
        <f t="shared" si="165"/>
        <v>14</v>
      </c>
      <c r="AD291" s="462">
        <f t="shared" si="166"/>
        <v>15</v>
      </c>
      <c r="AE291" s="469">
        <v>290</v>
      </c>
      <c r="AF291" s="492">
        <v>14.666666666666668</v>
      </c>
    </row>
    <row r="292" spans="2:32" x14ac:dyDescent="0.35">
      <c r="B292" s="485">
        <v>291</v>
      </c>
      <c r="C292" s="570" t="s">
        <v>37</v>
      </c>
      <c r="D292" s="487">
        <v>12</v>
      </c>
      <c r="E292" s="487">
        <v>7</v>
      </c>
      <c r="F292" s="487">
        <v>11</v>
      </c>
      <c r="G292" s="487">
        <v>9</v>
      </c>
      <c r="H292" s="487">
        <v>8</v>
      </c>
      <c r="I292" s="487">
        <v>11</v>
      </c>
      <c r="J292" s="487">
        <v>15</v>
      </c>
      <c r="K292" s="487">
        <v>16</v>
      </c>
      <c r="L292" s="487">
        <v>10</v>
      </c>
      <c r="M292" s="487">
        <v>10</v>
      </c>
      <c r="N292" s="487">
        <v>9</v>
      </c>
      <c r="O292" s="487">
        <v>8</v>
      </c>
      <c r="P292" s="488"/>
      <c r="Q292" s="517">
        <v>291</v>
      </c>
      <c r="R292" s="571" t="s">
        <v>37</v>
      </c>
      <c r="S292" s="176">
        <f t="shared" si="155"/>
        <v>12</v>
      </c>
      <c r="T292" s="176">
        <f t="shared" si="156"/>
        <v>19</v>
      </c>
      <c r="U292" s="176">
        <f t="shared" si="157"/>
        <v>30</v>
      </c>
      <c r="V292" s="176">
        <f t="shared" si="158"/>
        <v>39</v>
      </c>
      <c r="W292" s="176">
        <f t="shared" si="159"/>
        <v>47</v>
      </c>
      <c r="X292" s="176">
        <f t="shared" si="160"/>
        <v>58</v>
      </c>
      <c r="Y292" s="176">
        <f t="shared" si="161"/>
        <v>73</v>
      </c>
      <c r="Z292" s="176">
        <f t="shared" si="162"/>
        <v>89</v>
      </c>
      <c r="AA292" s="176">
        <f t="shared" si="163"/>
        <v>99</v>
      </c>
      <c r="AB292" s="176">
        <f t="shared" si="164"/>
        <v>109</v>
      </c>
      <c r="AC292" s="176">
        <f t="shared" si="165"/>
        <v>118</v>
      </c>
      <c r="AD292" s="462">
        <f t="shared" si="166"/>
        <v>126</v>
      </c>
      <c r="AE292" s="491">
        <v>291</v>
      </c>
      <c r="AF292" s="492">
        <v>126.66666666666669</v>
      </c>
    </row>
    <row r="293" spans="2:32" x14ac:dyDescent="0.35">
      <c r="B293" s="485">
        <v>292</v>
      </c>
      <c r="C293" s="572" t="s">
        <v>31</v>
      </c>
      <c r="D293" s="487">
        <v>101</v>
      </c>
      <c r="E293" s="487">
        <v>85</v>
      </c>
      <c r="F293" s="487">
        <v>86</v>
      </c>
      <c r="G293" s="487">
        <v>93</v>
      </c>
      <c r="H293" s="487">
        <v>122</v>
      </c>
      <c r="I293" s="487">
        <v>90</v>
      </c>
      <c r="J293" s="487">
        <v>103</v>
      </c>
      <c r="K293" s="487">
        <v>104</v>
      </c>
      <c r="L293" s="487">
        <v>93</v>
      </c>
      <c r="M293" s="487">
        <v>87</v>
      </c>
      <c r="N293" s="487">
        <v>63</v>
      </c>
      <c r="O293" s="487">
        <v>74</v>
      </c>
      <c r="P293" s="488"/>
      <c r="Q293" s="517">
        <v>292</v>
      </c>
      <c r="R293" s="573" t="s">
        <v>31</v>
      </c>
      <c r="S293" s="176">
        <f t="shared" si="155"/>
        <v>101</v>
      </c>
      <c r="T293" s="176">
        <f t="shared" si="156"/>
        <v>186</v>
      </c>
      <c r="U293" s="176">
        <f t="shared" si="157"/>
        <v>272</v>
      </c>
      <c r="V293" s="176">
        <f t="shared" si="158"/>
        <v>365</v>
      </c>
      <c r="W293" s="176">
        <f t="shared" si="159"/>
        <v>487</v>
      </c>
      <c r="X293" s="176">
        <f t="shared" si="160"/>
        <v>577</v>
      </c>
      <c r="Y293" s="176">
        <f t="shared" si="161"/>
        <v>680</v>
      </c>
      <c r="Z293" s="176">
        <f t="shared" si="162"/>
        <v>784</v>
      </c>
      <c r="AA293" s="176">
        <f t="shared" si="163"/>
        <v>877</v>
      </c>
      <c r="AB293" s="176">
        <f t="shared" si="164"/>
        <v>964</v>
      </c>
      <c r="AC293" s="176">
        <f t="shared" si="165"/>
        <v>1027</v>
      </c>
      <c r="AD293" s="462">
        <f t="shared" si="166"/>
        <v>1101</v>
      </c>
      <c r="AE293" s="469">
        <v>292</v>
      </c>
      <c r="AF293" s="492">
        <v>1100</v>
      </c>
    </row>
    <row r="294" spans="2:32" x14ac:dyDescent="0.35">
      <c r="B294" s="486">
        <v>293</v>
      </c>
      <c r="C294" s="572" t="s">
        <v>55</v>
      </c>
      <c r="D294" s="487">
        <v>40</v>
      </c>
      <c r="E294" s="487">
        <v>37</v>
      </c>
      <c r="F294" s="487">
        <v>38</v>
      </c>
      <c r="G294" s="487">
        <v>35</v>
      </c>
      <c r="H294" s="487">
        <v>42</v>
      </c>
      <c r="I294" s="487">
        <v>38</v>
      </c>
      <c r="J294" s="487">
        <v>38</v>
      </c>
      <c r="K294" s="487">
        <v>40</v>
      </c>
      <c r="L294" s="487">
        <v>31</v>
      </c>
      <c r="M294" s="487">
        <v>35</v>
      </c>
      <c r="N294" s="487">
        <v>37</v>
      </c>
      <c r="O294" s="487">
        <v>42</v>
      </c>
      <c r="P294" s="488"/>
      <c r="Q294" s="517">
        <v>293</v>
      </c>
      <c r="R294" s="573" t="s">
        <v>55</v>
      </c>
      <c r="S294" s="176">
        <f t="shared" si="155"/>
        <v>40</v>
      </c>
      <c r="T294" s="176">
        <f t="shared" si="156"/>
        <v>77</v>
      </c>
      <c r="U294" s="176">
        <f t="shared" si="157"/>
        <v>115</v>
      </c>
      <c r="V294" s="176">
        <f t="shared" si="158"/>
        <v>150</v>
      </c>
      <c r="W294" s="176">
        <f t="shared" si="159"/>
        <v>192</v>
      </c>
      <c r="X294" s="176">
        <f t="shared" si="160"/>
        <v>230</v>
      </c>
      <c r="Y294" s="176">
        <f t="shared" si="161"/>
        <v>268</v>
      </c>
      <c r="Z294" s="176">
        <f t="shared" si="162"/>
        <v>308</v>
      </c>
      <c r="AA294" s="176">
        <f t="shared" si="163"/>
        <v>339</v>
      </c>
      <c r="AB294" s="176">
        <f t="shared" si="164"/>
        <v>374</v>
      </c>
      <c r="AC294" s="176">
        <f t="shared" si="165"/>
        <v>411</v>
      </c>
      <c r="AD294" s="462">
        <f t="shared" si="166"/>
        <v>453</v>
      </c>
      <c r="AE294" s="469">
        <v>293</v>
      </c>
      <c r="AF294" s="492">
        <v>453.33333333333331</v>
      </c>
    </row>
    <row r="295" spans="2:32" x14ac:dyDescent="0.35">
      <c r="B295" s="485">
        <v>294</v>
      </c>
      <c r="C295" s="570" t="s">
        <v>38</v>
      </c>
      <c r="D295" s="487">
        <v>131</v>
      </c>
      <c r="E295" s="487">
        <v>135</v>
      </c>
      <c r="F295" s="487">
        <v>140</v>
      </c>
      <c r="G295" s="487">
        <v>134</v>
      </c>
      <c r="H295" s="487">
        <v>136</v>
      </c>
      <c r="I295" s="487">
        <v>186</v>
      </c>
      <c r="J295" s="487">
        <v>201</v>
      </c>
      <c r="K295" s="487">
        <v>186</v>
      </c>
      <c r="L295" s="487">
        <v>147</v>
      </c>
      <c r="M295" s="487">
        <v>173</v>
      </c>
      <c r="N295" s="487">
        <v>165</v>
      </c>
      <c r="O295" s="487">
        <v>136</v>
      </c>
      <c r="P295" s="488"/>
      <c r="Q295" s="517">
        <v>294</v>
      </c>
      <c r="R295" s="571" t="s">
        <v>38</v>
      </c>
      <c r="S295" s="176">
        <f t="shared" si="155"/>
        <v>131</v>
      </c>
      <c r="T295" s="176">
        <f t="shared" si="156"/>
        <v>266</v>
      </c>
      <c r="U295" s="176">
        <f t="shared" si="157"/>
        <v>406</v>
      </c>
      <c r="V295" s="176">
        <f t="shared" si="158"/>
        <v>540</v>
      </c>
      <c r="W295" s="176">
        <f t="shared" si="159"/>
        <v>676</v>
      </c>
      <c r="X295" s="176">
        <f t="shared" si="160"/>
        <v>862</v>
      </c>
      <c r="Y295" s="176">
        <f t="shared" si="161"/>
        <v>1063</v>
      </c>
      <c r="Z295" s="176">
        <f t="shared" si="162"/>
        <v>1249</v>
      </c>
      <c r="AA295" s="176">
        <f t="shared" si="163"/>
        <v>1396</v>
      </c>
      <c r="AB295" s="176">
        <f t="shared" si="164"/>
        <v>1569</v>
      </c>
      <c r="AC295" s="176">
        <f t="shared" si="165"/>
        <v>1734</v>
      </c>
      <c r="AD295" s="462">
        <f t="shared" si="166"/>
        <v>1870</v>
      </c>
      <c r="AE295" s="491">
        <v>294</v>
      </c>
      <c r="AF295" s="492">
        <v>1869.3333333333335</v>
      </c>
    </row>
    <row r="296" spans="2:32" x14ac:dyDescent="0.35">
      <c r="B296" s="485">
        <v>295</v>
      </c>
      <c r="C296" s="570" t="s">
        <v>17</v>
      </c>
      <c r="D296" s="487">
        <v>120</v>
      </c>
      <c r="E296" s="487">
        <v>124</v>
      </c>
      <c r="F296" s="487">
        <v>128</v>
      </c>
      <c r="G296" s="487">
        <v>142</v>
      </c>
      <c r="H296" s="487">
        <v>125</v>
      </c>
      <c r="I296" s="487">
        <v>131</v>
      </c>
      <c r="J296" s="487">
        <v>125</v>
      </c>
      <c r="K296" s="487">
        <v>108</v>
      </c>
      <c r="L296" s="487">
        <v>109</v>
      </c>
      <c r="M296" s="487">
        <v>96</v>
      </c>
      <c r="N296" s="487">
        <v>92</v>
      </c>
      <c r="O296" s="487">
        <v>100</v>
      </c>
      <c r="P296" s="488"/>
      <c r="Q296" s="517">
        <v>295</v>
      </c>
      <c r="R296" s="571" t="s">
        <v>17</v>
      </c>
      <c r="S296" s="176">
        <f t="shared" si="155"/>
        <v>120</v>
      </c>
      <c r="T296" s="176">
        <f t="shared" si="156"/>
        <v>244</v>
      </c>
      <c r="U296" s="176">
        <f t="shared" si="157"/>
        <v>372</v>
      </c>
      <c r="V296" s="176">
        <f t="shared" si="158"/>
        <v>514</v>
      </c>
      <c r="W296" s="176">
        <f t="shared" si="159"/>
        <v>639</v>
      </c>
      <c r="X296" s="176">
        <f t="shared" si="160"/>
        <v>770</v>
      </c>
      <c r="Y296" s="176">
        <f t="shared" si="161"/>
        <v>895</v>
      </c>
      <c r="Z296" s="176">
        <f t="shared" si="162"/>
        <v>1003</v>
      </c>
      <c r="AA296" s="176">
        <f t="shared" si="163"/>
        <v>1112</v>
      </c>
      <c r="AB296" s="176">
        <f t="shared" si="164"/>
        <v>1208</v>
      </c>
      <c r="AC296" s="176">
        <f t="shared" si="165"/>
        <v>1300</v>
      </c>
      <c r="AD296" s="462">
        <f t="shared" si="166"/>
        <v>1400</v>
      </c>
      <c r="AE296" s="469">
        <v>295</v>
      </c>
      <c r="AF296" s="492">
        <v>1400.3333333333335</v>
      </c>
    </row>
    <row r="297" spans="2:32" x14ac:dyDescent="0.35">
      <c r="B297" s="485">
        <v>296</v>
      </c>
      <c r="C297" s="570" t="s">
        <v>34</v>
      </c>
      <c r="D297" s="487">
        <v>143</v>
      </c>
      <c r="E297" s="487">
        <v>135</v>
      </c>
      <c r="F297" s="487">
        <v>145</v>
      </c>
      <c r="G297" s="487">
        <v>160</v>
      </c>
      <c r="H297" s="487">
        <v>165</v>
      </c>
      <c r="I297" s="487">
        <v>145</v>
      </c>
      <c r="J297" s="487">
        <v>142</v>
      </c>
      <c r="K297" s="487">
        <v>131</v>
      </c>
      <c r="L297" s="487">
        <v>128</v>
      </c>
      <c r="M297" s="487">
        <v>128</v>
      </c>
      <c r="N297" s="487">
        <v>124</v>
      </c>
      <c r="O297" s="487">
        <v>133</v>
      </c>
      <c r="P297" s="488"/>
      <c r="Q297" s="517">
        <v>296</v>
      </c>
      <c r="R297" s="571" t="s">
        <v>34</v>
      </c>
      <c r="S297" s="176">
        <f t="shared" si="155"/>
        <v>143</v>
      </c>
      <c r="T297" s="176">
        <f t="shared" si="156"/>
        <v>278</v>
      </c>
      <c r="U297" s="176">
        <f t="shared" si="157"/>
        <v>423</v>
      </c>
      <c r="V297" s="176">
        <f t="shared" si="158"/>
        <v>583</v>
      </c>
      <c r="W297" s="176">
        <f t="shared" si="159"/>
        <v>748</v>
      </c>
      <c r="X297" s="176">
        <f t="shared" si="160"/>
        <v>893</v>
      </c>
      <c r="Y297" s="176">
        <f t="shared" si="161"/>
        <v>1035</v>
      </c>
      <c r="Z297" s="176">
        <f t="shared" si="162"/>
        <v>1166</v>
      </c>
      <c r="AA297" s="176">
        <f t="shared" si="163"/>
        <v>1294</v>
      </c>
      <c r="AB297" s="176">
        <f t="shared" si="164"/>
        <v>1422</v>
      </c>
      <c r="AC297" s="176">
        <f t="shared" si="165"/>
        <v>1546</v>
      </c>
      <c r="AD297" s="462">
        <f t="shared" si="166"/>
        <v>1679</v>
      </c>
      <c r="AE297" s="469">
        <v>296</v>
      </c>
      <c r="AF297" s="492">
        <v>1677</v>
      </c>
    </row>
    <row r="298" spans="2:32" x14ac:dyDescent="0.35">
      <c r="B298" s="485">
        <v>297</v>
      </c>
      <c r="C298" s="570" t="s">
        <v>41</v>
      </c>
      <c r="D298" s="487">
        <v>14</v>
      </c>
      <c r="E298" s="487">
        <v>8</v>
      </c>
      <c r="F298" s="487">
        <v>13</v>
      </c>
      <c r="G298" s="487">
        <v>10</v>
      </c>
      <c r="H298" s="487">
        <v>10</v>
      </c>
      <c r="I298" s="487">
        <v>12</v>
      </c>
      <c r="J298" s="487">
        <v>17</v>
      </c>
      <c r="K298" s="487">
        <v>16</v>
      </c>
      <c r="L298" s="487">
        <v>11</v>
      </c>
      <c r="M298" s="487">
        <v>11</v>
      </c>
      <c r="N298" s="487">
        <v>10</v>
      </c>
      <c r="O298" s="487">
        <v>9</v>
      </c>
      <c r="P298" s="488"/>
      <c r="Q298" s="517">
        <v>297</v>
      </c>
      <c r="R298" s="571" t="s">
        <v>41</v>
      </c>
      <c r="S298" s="176">
        <f t="shared" si="155"/>
        <v>14</v>
      </c>
      <c r="T298" s="176">
        <f t="shared" si="156"/>
        <v>22</v>
      </c>
      <c r="U298" s="176">
        <f t="shared" si="157"/>
        <v>35</v>
      </c>
      <c r="V298" s="176">
        <f t="shared" si="158"/>
        <v>45</v>
      </c>
      <c r="W298" s="176">
        <f t="shared" si="159"/>
        <v>55</v>
      </c>
      <c r="X298" s="176">
        <f t="shared" si="160"/>
        <v>67</v>
      </c>
      <c r="Y298" s="176">
        <f t="shared" si="161"/>
        <v>84</v>
      </c>
      <c r="Z298" s="176">
        <f t="shared" si="162"/>
        <v>100</v>
      </c>
      <c r="AA298" s="176">
        <f t="shared" si="163"/>
        <v>111</v>
      </c>
      <c r="AB298" s="176">
        <f t="shared" si="164"/>
        <v>122</v>
      </c>
      <c r="AC298" s="176">
        <f t="shared" si="165"/>
        <v>132</v>
      </c>
      <c r="AD298" s="462">
        <f t="shared" si="166"/>
        <v>141</v>
      </c>
      <c r="AE298" s="469">
        <v>297</v>
      </c>
      <c r="AF298" s="492">
        <v>141.33333333333331</v>
      </c>
    </row>
    <row r="299" spans="2:32" x14ac:dyDescent="0.35">
      <c r="B299" s="486">
        <v>298</v>
      </c>
      <c r="C299" s="570" t="s">
        <v>42</v>
      </c>
      <c r="D299" s="487">
        <v>445</v>
      </c>
      <c r="E299" s="487">
        <v>496</v>
      </c>
      <c r="F299" s="487">
        <v>541</v>
      </c>
      <c r="G299" s="487">
        <v>562</v>
      </c>
      <c r="H299" s="487">
        <v>543</v>
      </c>
      <c r="I299" s="487">
        <v>535</v>
      </c>
      <c r="J299" s="487">
        <v>524</v>
      </c>
      <c r="K299" s="487">
        <v>509</v>
      </c>
      <c r="L299" s="487">
        <v>506</v>
      </c>
      <c r="M299" s="487">
        <v>461</v>
      </c>
      <c r="N299" s="487">
        <v>450</v>
      </c>
      <c r="O299" s="487">
        <v>515</v>
      </c>
      <c r="P299" s="488"/>
      <c r="Q299" s="517">
        <v>298</v>
      </c>
      <c r="R299" s="571" t="s">
        <v>42</v>
      </c>
      <c r="S299" s="176">
        <f t="shared" si="155"/>
        <v>445</v>
      </c>
      <c r="T299" s="176">
        <f t="shared" si="156"/>
        <v>941</v>
      </c>
      <c r="U299" s="176">
        <f t="shared" si="157"/>
        <v>1482</v>
      </c>
      <c r="V299" s="176">
        <f t="shared" si="158"/>
        <v>2044</v>
      </c>
      <c r="W299" s="176">
        <f t="shared" si="159"/>
        <v>2587</v>
      </c>
      <c r="X299" s="176">
        <f t="shared" si="160"/>
        <v>3122</v>
      </c>
      <c r="Y299" s="176">
        <f t="shared" si="161"/>
        <v>3646</v>
      </c>
      <c r="Z299" s="176">
        <f t="shared" si="162"/>
        <v>4155</v>
      </c>
      <c r="AA299" s="176">
        <f t="shared" si="163"/>
        <v>4661</v>
      </c>
      <c r="AB299" s="176">
        <f t="shared" si="164"/>
        <v>5122</v>
      </c>
      <c r="AC299" s="176">
        <f t="shared" si="165"/>
        <v>5572</v>
      </c>
      <c r="AD299" s="462">
        <f t="shared" si="166"/>
        <v>6087</v>
      </c>
      <c r="AE299" s="469">
        <v>298</v>
      </c>
      <c r="AF299" s="492">
        <v>6086.666666666667</v>
      </c>
    </row>
    <row r="300" spans="2:32" x14ac:dyDescent="0.35">
      <c r="B300" s="485">
        <v>299</v>
      </c>
      <c r="C300" s="570" t="s">
        <v>43</v>
      </c>
      <c r="D300" s="487">
        <v>20</v>
      </c>
      <c r="E300" s="487">
        <v>21</v>
      </c>
      <c r="F300" s="487">
        <v>23</v>
      </c>
      <c r="G300" s="487">
        <v>25</v>
      </c>
      <c r="H300" s="487">
        <v>28</v>
      </c>
      <c r="I300" s="487">
        <v>20</v>
      </c>
      <c r="J300" s="487">
        <v>25</v>
      </c>
      <c r="K300" s="487">
        <v>15</v>
      </c>
      <c r="L300" s="487">
        <v>29</v>
      </c>
      <c r="M300" s="487">
        <v>14</v>
      </c>
      <c r="N300" s="487">
        <v>18</v>
      </c>
      <c r="O300" s="487">
        <v>15</v>
      </c>
      <c r="P300" s="488"/>
      <c r="Q300" s="517">
        <v>299</v>
      </c>
      <c r="R300" s="571" t="s">
        <v>43</v>
      </c>
      <c r="S300" s="176">
        <f t="shared" si="155"/>
        <v>20</v>
      </c>
      <c r="T300" s="176">
        <f t="shared" si="156"/>
        <v>41</v>
      </c>
      <c r="U300" s="176">
        <f t="shared" si="157"/>
        <v>64</v>
      </c>
      <c r="V300" s="176">
        <f t="shared" si="158"/>
        <v>89</v>
      </c>
      <c r="W300" s="176">
        <f t="shared" si="159"/>
        <v>117</v>
      </c>
      <c r="X300" s="176">
        <f t="shared" si="160"/>
        <v>137</v>
      </c>
      <c r="Y300" s="176">
        <f t="shared" si="161"/>
        <v>162</v>
      </c>
      <c r="Z300" s="176">
        <f t="shared" si="162"/>
        <v>177</v>
      </c>
      <c r="AA300" s="176">
        <f t="shared" si="163"/>
        <v>206</v>
      </c>
      <c r="AB300" s="176">
        <f t="shared" si="164"/>
        <v>220</v>
      </c>
      <c r="AC300" s="176">
        <f t="shared" si="165"/>
        <v>238</v>
      </c>
      <c r="AD300" s="462">
        <f t="shared" si="166"/>
        <v>253</v>
      </c>
      <c r="AE300" s="491">
        <v>299</v>
      </c>
      <c r="AF300" s="492">
        <v>252.66666666666666</v>
      </c>
    </row>
    <row r="301" spans="2:32" x14ac:dyDescent="0.35">
      <c r="B301" s="485">
        <v>300</v>
      </c>
      <c r="C301" s="570" t="s">
        <v>198</v>
      </c>
      <c r="D301" s="487">
        <v>29</v>
      </c>
      <c r="E301" s="487">
        <v>26</v>
      </c>
      <c r="F301" s="487">
        <v>26</v>
      </c>
      <c r="G301" s="487">
        <v>29</v>
      </c>
      <c r="H301" s="487">
        <v>30</v>
      </c>
      <c r="I301" s="487">
        <v>26</v>
      </c>
      <c r="J301" s="487">
        <v>25</v>
      </c>
      <c r="K301" s="487">
        <v>22</v>
      </c>
      <c r="L301" s="487">
        <v>27</v>
      </c>
      <c r="M301" s="487">
        <v>17</v>
      </c>
      <c r="N301" s="487">
        <v>23</v>
      </c>
      <c r="O301" s="487">
        <v>24</v>
      </c>
      <c r="P301" s="488"/>
      <c r="Q301" s="517">
        <v>300</v>
      </c>
      <c r="R301" s="571" t="s">
        <v>198</v>
      </c>
      <c r="S301" s="176">
        <f t="shared" si="155"/>
        <v>29</v>
      </c>
      <c r="T301" s="176">
        <f t="shared" si="156"/>
        <v>55</v>
      </c>
      <c r="U301" s="176">
        <f t="shared" si="157"/>
        <v>81</v>
      </c>
      <c r="V301" s="176">
        <f t="shared" si="158"/>
        <v>110</v>
      </c>
      <c r="W301" s="176">
        <f t="shared" si="159"/>
        <v>140</v>
      </c>
      <c r="X301" s="176">
        <f t="shared" si="160"/>
        <v>166</v>
      </c>
      <c r="Y301" s="176">
        <f t="shared" si="161"/>
        <v>191</v>
      </c>
      <c r="Z301" s="176">
        <f t="shared" si="162"/>
        <v>213</v>
      </c>
      <c r="AA301" s="176">
        <f t="shared" si="163"/>
        <v>240</v>
      </c>
      <c r="AB301" s="176">
        <f t="shared" si="164"/>
        <v>257</v>
      </c>
      <c r="AC301" s="176">
        <f t="shared" si="165"/>
        <v>280</v>
      </c>
      <c r="AD301" s="462">
        <f t="shared" si="166"/>
        <v>304</v>
      </c>
      <c r="AE301" s="469">
        <v>300</v>
      </c>
      <c r="AF301" s="492">
        <v>304.33333333333331</v>
      </c>
    </row>
    <row r="302" spans="2:32" x14ac:dyDescent="0.35">
      <c r="B302" s="485">
        <v>301</v>
      </c>
      <c r="C302" s="570" t="s">
        <v>204</v>
      </c>
      <c r="D302" s="493">
        <v>49</v>
      </c>
      <c r="E302" s="493">
        <v>47</v>
      </c>
      <c r="F302" s="493">
        <v>49</v>
      </c>
      <c r="G302" s="493">
        <v>54</v>
      </c>
      <c r="H302" s="493">
        <v>58</v>
      </c>
      <c r="I302" s="493">
        <v>45</v>
      </c>
      <c r="J302" s="493">
        <v>50</v>
      </c>
      <c r="K302" s="493">
        <v>37</v>
      </c>
      <c r="L302" s="493">
        <v>56</v>
      </c>
      <c r="M302" s="493">
        <v>31</v>
      </c>
      <c r="N302" s="493">
        <v>41</v>
      </c>
      <c r="O302" s="493">
        <v>39</v>
      </c>
      <c r="P302" s="488"/>
      <c r="Q302" s="517">
        <v>301</v>
      </c>
      <c r="R302" s="570" t="s">
        <v>204</v>
      </c>
      <c r="S302" s="176">
        <f t="shared" si="155"/>
        <v>49</v>
      </c>
      <c r="T302" s="176">
        <f t="shared" si="156"/>
        <v>96</v>
      </c>
      <c r="U302" s="176">
        <f t="shared" si="157"/>
        <v>145</v>
      </c>
      <c r="V302" s="176">
        <f t="shared" si="158"/>
        <v>199</v>
      </c>
      <c r="W302" s="176">
        <f t="shared" si="159"/>
        <v>257</v>
      </c>
      <c r="X302" s="176">
        <f t="shared" si="160"/>
        <v>302</v>
      </c>
      <c r="Y302" s="176">
        <f t="shared" si="161"/>
        <v>352</v>
      </c>
      <c r="Z302" s="176">
        <f t="shared" si="162"/>
        <v>389</v>
      </c>
      <c r="AA302" s="176">
        <f t="shared" si="163"/>
        <v>445</v>
      </c>
      <c r="AB302" s="176">
        <f t="shared" si="164"/>
        <v>476</v>
      </c>
      <c r="AC302" s="176">
        <f t="shared" si="165"/>
        <v>517</v>
      </c>
      <c r="AD302" s="462">
        <f t="shared" si="166"/>
        <v>556</v>
      </c>
      <c r="AE302" s="469">
        <v>301</v>
      </c>
      <c r="AF302" s="492"/>
    </row>
    <row r="303" spans="2:32" x14ac:dyDescent="0.35">
      <c r="B303" s="485">
        <v>302</v>
      </c>
      <c r="C303" s="570" t="s">
        <v>44</v>
      </c>
      <c r="D303" s="487">
        <v>2</v>
      </c>
      <c r="E303" s="487">
        <v>2</v>
      </c>
      <c r="F303" s="487">
        <v>1</v>
      </c>
      <c r="G303" s="487">
        <v>2</v>
      </c>
      <c r="H303" s="487">
        <v>2</v>
      </c>
      <c r="I303" s="487">
        <v>2</v>
      </c>
      <c r="J303" s="487">
        <v>4</v>
      </c>
      <c r="K303" s="487">
        <v>3</v>
      </c>
      <c r="L303" s="487">
        <v>1</v>
      </c>
      <c r="M303" s="487">
        <v>1</v>
      </c>
      <c r="N303" s="487">
        <v>2</v>
      </c>
      <c r="O303" s="487">
        <v>1</v>
      </c>
      <c r="P303" s="488"/>
      <c r="Q303" s="517">
        <v>302</v>
      </c>
      <c r="R303" s="571" t="s">
        <v>44</v>
      </c>
      <c r="S303" s="176">
        <f t="shared" si="155"/>
        <v>2</v>
      </c>
      <c r="T303" s="176">
        <f t="shared" si="156"/>
        <v>4</v>
      </c>
      <c r="U303" s="176">
        <f t="shared" si="157"/>
        <v>5</v>
      </c>
      <c r="V303" s="176">
        <f t="shared" si="158"/>
        <v>7</v>
      </c>
      <c r="W303" s="176">
        <f t="shared" si="159"/>
        <v>9</v>
      </c>
      <c r="X303" s="176">
        <f t="shared" si="160"/>
        <v>11</v>
      </c>
      <c r="Y303" s="176">
        <f t="shared" si="161"/>
        <v>15</v>
      </c>
      <c r="Z303" s="176">
        <f t="shared" si="162"/>
        <v>18</v>
      </c>
      <c r="AA303" s="176">
        <f t="shared" si="163"/>
        <v>19</v>
      </c>
      <c r="AB303" s="176">
        <f t="shared" si="164"/>
        <v>20</v>
      </c>
      <c r="AC303" s="176">
        <f t="shared" si="165"/>
        <v>22</v>
      </c>
      <c r="AD303" s="462">
        <f t="shared" si="166"/>
        <v>23</v>
      </c>
      <c r="AE303" s="491">
        <v>302</v>
      </c>
      <c r="AF303" s="492">
        <v>24</v>
      </c>
    </row>
    <row r="304" spans="2:32" x14ac:dyDescent="0.35">
      <c r="B304" s="486">
        <v>303</v>
      </c>
      <c r="C304" s="570" t="s">
        <v>199</v>
      </c>
      <c r="D304" s="487">
        <v>2</v>
      </c>
      <c r="E304" s="487">
        <v>2</v>
      </c>
      <c r="F304" s="487">
        <v>2</v>
      </c>
      <c r="G304" s="487">
        <v>2</v>
      </c>
      <c r="H304" s="487">
        <v>3</v>
      </c>
      <c r="I304" s="487">
        <v>2</v>
      </c>
      <c r="J304" s="487">
        <v>1</v>
      </c>
      <c r="K304" s="487">
        <v>2</v>
      </c>
      <c r="L304" s="487">
        <v>1</v>
      </c>
      <c r="M304" s="487">
        <v>2</v>
      </c>
      <c r="N304" s="487">
        <v>1</v>
      </c>
      <c r="O304" s="487">
        <v>1</v>
      </c>
      <c r="P304" s="488"/>
      <c r="Q304" s="517">
        <v>303</v>
      </c>
      <c r="R304" s="571" t="s">
        <v>199</v>
      </c>
      <c r="S304" s="176">
        <f t="shared" si="155"/>
        <v>2</v>
      </c>
      <c r="T304" s="176">
        <f t="shared" si="156"/>
        <v>4</v>
      </c>
      <c r="U304" s="176">
        <f t="shared" si="157"/>
        <v>6</v>
      </c>
      <c r="V304" s="176">
        <f t="shared" si="158"/>
        <v>8</v>
      </c>
      <c r="W304" s="176">
        <f t="shared" si="159"/>
        <v>11</v>
      </c>
      <c r="X304" s="176">
        <f t="shared" si="160"/>
        <v>13</v>
      </c>
      <c r="Y304" s="176">
        <f t="shared" si="161"/>
        <v>14</v>
      </c>
      <c r="Z304" s="176">
        <f t="shared" si="162"/>
        <v>16</v>
      </c>
      <c r="AA304" s="176">
        <f t="shared" si="163"/>
        <v>17</v>
      </c>
      <c r="AB304" s="176">
        <f t="shared" si="164"/>
        <v>19</v>
      </c>
      <c r="AC304" s="176">
        <f t="shared" si="165"/>
        <v>20</v>
      </c>
      <c r="AD304" s="462">
        <f t="shared" si="166"/>
        <v>21</v>
      </c>
      <c r="AE304" s="469">
        <v>303</v>
      </c>
      <c r="AF304" s="492">
        <v>22.333333333333332</v>
      </c>
    </row>
    <row r="305" spans="2:32" x14ac:dyDescent="0.35">
      <c r="B305" s="485">
        <v>304</v>
      </c>
      <c r="C305" s="570" t="s">
        <v>205</v>
      </c>
      <c r="D305" s="493">
        <v>4</v>
      </c>
      <c r="E305" s="493">
        <v>5</v>
      </c>
      <c r="F305" s="493">
        <v>3</v>
      </c>
      <c r="G305" s="493">
        <v>4</v>
      </c>
      <c r="H305" s="493">
        <v>5</v>
      </c>
      <c r="I305" s="493">
        <v>4</v>
      </c>
      <c r="J305" s="493">
        <v>5</v>
      </c>
      <c r="K305" s="493">
        <v>5</v>
      </c>
      <c r="L305" s="493">
        <v>2</v>
      </c>
      <c r="M305" s="493">
        <v>4</v>
      </c>
      <c r="N305" s="493">
        <v>3</v>
      </c>
      <c r="O305" s="493">
        <v>3</v>
      </c>
      <c r="P305" s="488"/>
      <c r="Q305" s="517">
        <v>304</v>
      </c>
      <c r="R305" s="570" t="s">
        <v>205</v>
      </c>
      <c r="S305" s="176">
        <f t="shared" si="155"/>
        <v>4</v>
      </c>
      <c r="T305" s="176">
        <f t="shared" si="156"/>
        <v>9</v>
      </c>
      <c r="U305" s="176">
        <f t="shared" si="157"/>
        <v>12</v>
      </c>
      <c r="V305" s="176">
        <f t="shared" si="158"/>
        <v>16</v>
      </c>
      <c r="W305" s="176">
        <f t="shared" si="159"/>
        <v>21</v>
      </c>
      <c r="X305" s="176">
        <f t="shared" si="160"/>
        <v>25</v>
      </c>
      <c r="Y305" s="176">
        <f t="shared" si="161"/>
        <v>30</v>
      </c>
      <c r="Z305" s="176">
        <f t="shared" si="162"/>
        <v>35</v>
      </c>
      <c r="AA305" s="176">
        <f t="shared" si="163"/>
        <v>37</v>
      </c>
      <c r="AB305" s="176">
        <f t="shared" si="164"/>
        <v>41</v>
      </c>
      <c r="AC305" s="176">
        <f t="shared" si="165"/>
        <v>44</v>
      </c>
      <c r="AD305" s="462">
        <f t="shared" si="166"/>
        <v>47</v>
      </c>
      <c r="AE305" s="469">
        <v>304</v>
      </c>
      <c r="AF305" s="492"/>
    </row>
    <row r="306" spans="2:32" x14ac:dyDescent="0.35">
      <c r="B306" s="485">
        <v>305</v>
      </c>
      <c r="C306" s="570" t="s">
        <v>84</v>
      </c>
      <c r="D306" s="493">
        <v>53</v>
      </c>
      <c r="E306" s="493">
        <v>51</v>
      </c>
      <c r="F306" s="493">
        <v>52</v>
      </c>
      <c r="G306" s="493">
        <v>59</v>
      </c>
      <c r="H306" s="493">
        <v>63</v>
      </c>
      <c r="I306" s="493">
        <v>49</v>
      </c>
      <c r="J306" s="493">
        <v>55</v>
      </c>
      <c r="K306" s="493">
        <v>42</v>
      </c>
      <c r="L306" s="493">
        <v>59</v>
      </c>
      <c r="M306" s="493">
        <v>35</v>
      </c>
      <c r="N306" s="493">
        <v>43</v>
      </c>
      <c r="O306" s="493">
        <v>42</v>
      </c>
      <c r="P306" s="488"/>
      <c r="Q306" s="517">
        <v>305</v>
      </c>
      <c r="R306" s="571" t="s">
        <v>84</v>
      </c>
      <c r="S306" s="176">
        <f t="shared" si="155"/>
        <v>53</v>
      </c>
      <c r="T306" s="176">
        <f t="shared" si="156"/>
        <v>104</v>
      </c>
      <c r="U306" s="176">
        <f t="shared" si="157"/>
        <v>156</v>
      </c>
      <c r="V306" s="176">
        <f t="shared" si="158"/>
        <v>215</v>
      </c>
      <c r="W306" s="176">
        <f t="shared" si="159"/>
        <v>278</v>
      </c>
      <c r="X306" s="176">
        <f t="shared" si="160"/>
        <v>327</v>
      </c>
      <c r="Y306" s="176">
        <f t="shared" si="161"/>
        <v>382</v>
      </c>
      <c r="Z306" s="176">
        <f t="shared" si="162"/>
        <v>424</v>
      </c>
      <c r="AA306" s="176">
        <f t="shared" si="163"/>
        <v>483</v>
      </c>
      <c r="AB306" s="176">
        <f t="shared" si="164"/>
        <v>518</v>
      </c>
      <c r="AC306" s="176">
        <f t="shared" si="165"/>
        <v>561</v>
      </c>
      <c r="AD306" s="462">
        <f t="shared" si="166"/>
        <v>603</v>
      </c>
      <c r="AE306" s="469">
        <v>305</v>
      </c>
      <c r="AF306" s="492">
        <v>603.33333333333326</v>
      </c>
    </row>
    <row r="307" spans="2:32" x14ac:dyDescent="0.35">
      <c r="B307" s="485">
        <v>306</v>
      </c>
      <c r="C307" s="570" t="s">
        <v>45</v>
      </c>
      <c r="D307" s="487">
        <v>48</v>
      </c>
      <c r="E307" s="487">
        <v>51</v>
      </c>
      <c r="F307" s="487">
        <v>54</v>
      </c>
      <c r="G307" s="487">
        <v>57</v>
      </c>
      <c r="H307" s="487">
        <v>52</v>
      </c>
      <c r="I307" s="487">
        <v>49</v>
      </c>
      <c r="J307" s="487">
        <v>54</v>
      </c>
      <c r="K307" s="487">
        <v>42</v>
      </c>
      <c r="L307" s="487">
        <v>62</v>
      </c>
      <c r="M307" s="487">
        <v>44</v>
      </c>
      <c r="N307" s="487">
        <v>41</v>
      </c>
      <c r="O307" s="487">
        <v>48</v>
      </c>
      <c r="P307" s="488"/>
      <c r="Q307" s="517">
        <v>306</v>
      </c>
      <c r="R307" s="571" t="s">
        <v>45</v>
      </c>
      <c r="S307" s="176">
        <f t="shared" si="155"/>
        <v>48</v>
      </c>
      <c r="T307" s="176">
        <f t="shared" si="156"/>
        <v>99</v>
      </c>
      <c r="U307" s="176">
        <f t="shared" si="157"/>
        <v>153</v>
      </c>
      <c r="V307" s="176">
        <f t="shared" si="158"/>
        <v>210</v>
      </c>
      <c r="W307" s="176">
        <f t="shared" si="159"/>
        <v>262</v>
      </c>
      <c r="X307" s="176">
        <f t="shared" si="160"/>
        <v>311</v>
      </c>
      <c r="Y307" s="176">
        <f t="shared" si="161"/>
        <v>365</v>
      </c>
      <c r="Z307" s="176">
        <f t="shared" si="162"/>
        <v>407</v>
      </c>
      <c r="AA307" s="176">
        <f t="shared" si="163"/>
        <v>469</v>
      </c>
      <c r="AB307" s="176">
        <f t="shared" si="164"/>
        <v>513</v>
      </c>
      <c r="AC307" s="176">
        <f t="shared" si="165"/>
        <v>554</v>
      </c>
      <c r="AD307" s="462">
        <f t="shared" si="166"/>
        <v>602</v>
      </c>
      <c r="AE307" s="469">
        <v>306</v>
      </c>
      <c r="AF307" s="492">
        <v>602</v>
      </c>
    </row>
    <row r="308" spans="2:32" x14ac:dyDescent="0.35">
      <c r="B308" s="485">
        <v>307</v>
      </c>
      <c r="C308" s="570" t="s">
        <v>191</v>
      </c>
      <c r="D308" s="487">
        <v>119</v>
      </c>
      <c r="E308" s="487">
        <v>127</v>
      </c>
      <c r="F308" s="487">
        <v>136</v>
      </c>
      <c r="G308" s="487">
        <v>138</v>
      </c>
      <c r="H308" s="487">
        <v>150</v>
      </c>
      <c r="I308" s="487">
        <v>141</v>
      </c>
      <c r="J308" s="487">
        <v>129</v>
      </c>
      <c r="K308" s="487">
        <v>135</v>
      </c>
      <c r="L308" s="487">
        <v>132</v>
      </c>
      <c r="M308" s="487">
        <v>125</v>
      </c>
      <c r="N308" s="487">
        <v>115</v>
      </c>
      <c r="O308" s="487">
        <v>125</v>
      </c>
      <c r="P308" s="488"/>
      <c r="Q308" s="517">
        <v>307</v>
      </c>
      <c r="R308" s="571" t="s">
        <v>191</v>
      </c>
      <c r="S308" s="176">
        <f t="shared" si="155"/>
        <v>119</v>
      </c>
      <c r="T308" s="176">
        <f t="shared" si="156"/>
        <v>246</v>
      </c>
      <c r="U308" s="176">
        <f t="shared" si="157"/>
        <v>382</v>
      </c>
      <c r="V308" s="176">
        <f t="shared" si="158"/>
        <v>520</v>
      </c>
      <c r="W308" s="176">
        <f t="shared" si="159"/>
        <v>670</v>
      </c>
      <c r="X308" s="176">
        <f t="shared" si="160"/>
        <v>811</v>
      </c>
      <c r="Y308" s="176">
        <f t="shared" si="161"/>
        <v>940</v>
      </c>
      <c r="Z308" s="176">
        <f t="shared" si="162"/>
        <v>1075</v>
      </c>
      <c r="AA308" s="176">
        <f t="shared" si="163"/>
        <v>1207</v>
      </c>
      <c r="AB308" s="176">
        <f t="shared" si="164"/>
        <v>1332</v>
      </c>
      <c r="AC308" s="176">
        <f t="shared" si="165"/>
        <v>1447</v>
      </c>
      <c r="AD308" s="462">
        <f t="shared" si="166"/>
        <v>1572</v>
      </c>
      <c r="AE308" s="491">
        <v>307</v>
      </c>
      <c r="AF308" s="492">
        <v>1573.333333333333</v>
      </c>
    </row>
    <row r="309" spans="2:32" x14ac:dyDescent="0.35">
      <c r="B309" s="486">
        <v>308</v>
      </c>
      <c r="C309" s="570" t="s">
        <v>53</v>
      </c>
      <c r="D309" s="487">
        <v>6</v>
      </c>
      <c r="E309" s="487">
        <v>8</v>
      </c>
      <c r="F309" s="487">
        <v>8</v>
      </c>
      <c r="G309" s="487">
        <v>8</v>
      </c>
      <c r="H309" s="487">
        <v>9</v>
      </c>
      <c r="I309" s="487">
        <v>9</v>
      </c>
      <c r="J309" s="487">
        <v>12</v>
      </c>
      <c r="K309" s="487">
        <v>7</v>
      </c>
      <c r="L309" s="487">
        <v>8</v>
      </c>
      <c r="M309" s="487">
        <v>7</v>
      </c>
      <c r="N309" s="487">
        <v>6</v>
      </c>
      <c r="O309" s="487">
        <v>7</v>
      </c>
      <c r="P309" s="488"/>
      <c r="Q309" s="517">
        <v>308</v>
      </c>
      <c r="R309" s="571" t="s">
        <v>53</v>
      </c>
      <c r="S309" s="176">
        <f t="shared" si="155"/>
        <v>6</v>
      </c>
      <c r="T309" s="176">
        <f t="shared" si="156"/>
        <v>14</v>
      </c>
      <c r="U309" s="176">
        <f t="shared" si="157"/>
        <v>22</v>
      </c>
      <c r="V309" s="176">
        <f t="shared" si="158"/>
        <v>30</v>
      </c>
      <c r="W309" s="176">
        <f t="shared" si="159"/>
        <v>39</v>
      </c>
      <c r="X309" s="176">
        <f t="shared" si="160"/>
        <v>48</v>
      </c>
      <c r="Y309" s="176">
        <f t="shared" si="161"/>
        <v>60</v>
      </c>
      <c r="Z309" s="176">
        <f t="shared" si="162"/>
        <v>67</v>
      </c>
      <c r="AA309" s="176">
        <f t="shared" si="163"/>
        <v>75</v>
      </c>
      <c r="AB309" s="176">
        <f t="shared" si="164"/>
        <v>82</v>
      </c>
      <c r="AC309" s="176">
        <f t="shared" si="165"/>
        <v>88</v>
      </c>
      <c r="AD309" s="462">
        <f t="shared" si="166"/>
        <v>95</v>
      </c>
      <c r="AE309" s="469">
        <v>308</v>
      </c>
      <c r="AF309" s="492">
        <v>94.666666666666657</v>
      </c>
    </row>
    <row r="310" spans="2:32" x14ac:dyDescent="0.35">
      <c r="B310" s="485">
        <v>309</v>
      </c>
      <c r="C310" s="570" t="s">
        <v>54</v>
      </c>
      <c r="D310" s="487">
        <v>7</v>
      </c>
      <c r="E310" s="487">
        <v>8</v>
      </c>
      <c r="F310" s="487">
        <v>4</v>
      </c>
      <c r="G310" s="487">
        <v>9</v>
      </c>
      <c r="H310" s="487">
        <v>9</v>
      </c>
      <c r="I310" s="487">
        <v>6</v>
      </c>
      <c r="J310" s="487">
        <v>6</v>
      </c>
      <c r="K310" s="487">
        <v>5</v>
      </c>
      <c r="L310" s="487">
        <v>8</v>
      </c>
      <c r="M310" s="487">
        <v>2</v>
      </c>
      <c r="N310" s="487">
        <v>8</v>
      </c>
      <c r="O310" s="487">
        <v>6</v>
      </c>
      <c r="P310" s="488"/>
      <c r="Q310" s="517">
        <v>309</v>
      </c>
      <c r="R310" s="571" t="s">
        <v>54</v>
      </c>
      <c r="S310" s="176">
        <f t="shared" si="155"/>
        <v>7</v>
      </c>
      <c r="T310" s="176">
        <f t="shared" si="156"/>
        <v>15</v>
      </c>
      <c r="U310" s="176">
        <f t="shared" si="157"/>
        <v>19</v>
      </c>
      <c r="V310" s="176">
        <f t="shared" si="158"/>
        <v>28</v>
      </c>
      <c r="W310" s="176">
        <f t="shared" si="159"/>
        <v>37</v>
      </c>
      <c r="X310" s="176">
        <f t="shared" si="160"/>
        <v>43</v>
      </c>
      <c r="Y310" s="176">
        <f t="shared" si="161"/>
        <v>49</v>
      </c>
      <c r="Z310" s="176">
        <f t="shared" si="162"/>
        <v>54</v>
      </c>
      <c r="AA310" s="176">
        <f t="shared" si="163"/>
        <v>62</v>
      </c>
      <c r="AB310" s="176">
        <f t="shared" si="164"/>
        <v>64</v>
      </c>
      <c r="AC310" s="176">
        <f t="shared" si="165"/>
        <v>72</v>
      </c>
      <c r="AD310" s="462">
        <f t="shared" si="166"/>
        <v>78</v>
      </c>
      <c r="AE310" s="469">
        <v>309</v>
      </c>
      <c r="AF310" s="492">
        <v>78.666666666666671</v>
      </c>
    </row>
    <row r="311" spans="2:32" x14ac:dyDescent="0.35">
      <c r="B311" s="485">
        <v>310</v>
      </c>
      <c r="C311" s="570" t="s">
        <v>46</v>
      </c>
      <c r="D311" s="487">
        <v>2</v>
      </c>
      <c r="E311" s="487">
        <v>1</v>
      </c>
      <c r="F311" s="487">
        <v>2</v>
      </c>
      <c r="G311" s="487">
        <v>0</v>
      </c>
      <c r="H311" s="487">
        <v>2</v>
      </c>
      <c r="I311" s="487">
        <v>1</v>
      </c>
      <c r="J311" s="487">
        <v>1</v>
      </c>
      <c r="K311" s="487">
        <v>2</v>
      </c>
      <c r="L311" s="487">
        <v>0</v>
      </c>
      <c r="M311" s="487">
        <v>1</v>
      </c>
      <c r="N311" s="487">
        <v>1</v>
      </c>
      <c r="O311" s="487">
        <v>2</v>
      </c>
      <c r="P311" s="488"/>
      <c r="Q311" s="517">
        <v>310</v>
      </c>
      <c r="R311" s="571" t="s">
        <v>46</v>
      </c>
      <c r="S311" s="176">
        <f t="shared" si="155"/>
        <v>2</v>
      </c>
      <c r="T311" s="176">
        <f t="shared" si="156"/>
        <v>3</v>
      </c>
      <c r="U311" s="176">
        <f t="shared" si="157"/>
        <v>5</v>
      </c>
      <c r="V311" s="176">
        <f t="shared" si="158"/>
        <v>5</v>
      </c>
      <c r="W311" s="176">
        <f t="shared" si="159"/>
        <v>7</v>
      </c>
      <c r="X311" s="176">
        <f t="shared" si="160"/>
        <v>8</v>
      </c>
      <c r="Y311" s="176">
        <f t="shared" si="161"/>
        <v>9</v>
      </c>
      <c r="Z311" s="176">
        <f t="shared" si="162"/>
        <v>11</v>
      </c>
      <c r="AA311" s="176">
        <f t="shared" si="163"/>
        <v>11</v>
      </c>
      <c r="AB311" s="176">
        <f t="shared" si="164"/>
        <v>12</v>
      </c>
      <c r="AC311" s="176">
        <f t="shared" si="165"/>
        <v>13</v>
      </c>
      <c r="AD311" s="462">
        <f t="shared" si="166"/>
        <v>15</v>
      </c>
      <c r="AE311" s="491">
        <v>310</v>
      </c>
      <c r="AF311" s="492">
        <v>14.333333333333336</v>
      </c>
    </row>
    <row r="312" spans="2:32" x14ac:dyDescent="0.35">
      <c r="B312" s="485">
        <v>311</v>
      </c>
      <c r="C312" s="570" t="s">
        <v>47</v>
      </c>
      <c r="D312" s="487">
        <v>22</v>
      </c>
      <c r="E312" s="487">
        <v>25</v>
      </c>
      <c r="F312" s="487">
        <v>22</v>
      </c>
      <c r="G312" s="487">
        <v>22</v>
      </c>
      <c r="H312" s="487">
        <v>23</v>
      </c>
      <c r="I312" s="487">
        <v>38</v>
      </c>
      <c r="J312" s="487">
        <v>42</v>
      </c>
      <c r="K312" s="487">
        <v>41</v>
      </c>
      <c r="L312" s="487">
        <v>26</v>
      </c>
      <c r="M312" s="487">
        <v>33</v>
      </c>
      <c r="N312" s="487">
        <v>40</v>
      </c>
      <c r="O312" s="487">
        <v>27</v>
      </c>
      <c r="P312" s="488"/>
      <c r="Q312" s="517">
        <v>311</v>
      </c>
      <c r="R312" s="571" t="s">
        <v>47</v>
      </c>
      <c r="S312" s="176">
        <f t="shared" si="155"/>
        <v>22</v>
      </c>
      <c r="T312" s="176">
        <f t="shared" si="156"/>
        <v>47</v>
      </c>
      <c r="U312" s="176">
        <f t="shared" si="157"/>
        <v>69</v>
      </c>
      <c r="V312" s="176">
        <f t="shared" si="158"/>
        <v>91</v>
      </c>
      <c r="W312" s="176">
        <f t="shared" si="159"/>
        <v>114</v>
      </c>
      <c r="X312" s="176">
        <f t="shared" si="160"/>
        <v>152</v>
      </c>
      <c r="Y312" s="176">
        <f t="shared" si="161"/>
        <v>194</v>
      </c>
      <c r="Z312" s="176">
        <f t="shared" si="162"/>
        <v>235</v>
      </c>
      <c r="AA312" s="176">
        <f t="shared" si="163"/>
        <v>261</v>
      </c>
      <c r="AB312" s="176">
        <f t="shared" si="164"/>
        <v>294</v>
      </c>
      <c r="AC312" s="176">
        <f t="shared" si="165"/>
        <v>334</v>
      </c>
      <c r="AD312" s="462">
        <f t="shared" si="166"/>
        <v>361</v>
      </c>
      <c r="AE312" s="469">
        <v>311</v>
      </c>
      <c r="AF312" s="492">
        <v>361.66666666666663</v>
      </c>
    </row>
    <row r="313" spans="2:32" x14ac:dyDescent="0.35">
      <c r="B313" s="485">
        <v>312</v>
      </c>
      <c r="C313" s="570" t="s">
        <v>48</v>
      </c>
      <c r="D313" s="487">
        <v>86</v>
      </c>
      <c r="E313" s="487">
        <v>86</v>
      </c>
      <c r="F313" s="487">
        <v>90</v>
      </c>
      <c r="G313" s="487">
        <v>83</v>
      </c>
      <c r="H313" s="487">
        <v>84</v>
      </c>
      <c r="I313" s="487">
        <v>120</v>
      </c>
      <c r="J313" s="487">
        <v>132</v>
      </c>
      <c r="K313" s="487">
        <v>121</v>
      </c>
      <c r="L313" s="487">
        <v>97</v>
      </c>
      <c r="M313" s="487">
        <v>116</v>
      </c>
      <c r="N313" s="487">
        <v>105</v>
      </c>
      <c r="O313" s="487">
        <v>82</v>
      </c>
      <c r="P313" s="488"/>
      <c r="Q313" s="517">
        <v>312</v>
      </c>
      <c r="R313" s="571" t="s">
        <v>48</v>
      </c>
      <c r="S313" s="176">
        <f t="shared" si="155"/>
        <v>86</v>
      </c>
      <c r="T313" s="176">
        <f t="shared" si="156"/>
        <v>172</v>
      </c>
      <c r="U313" s="176">
        <f t="shared" si="157"/>
        <v>262</v>
      </c>
      <c r="V313" s="176">
        <f t="shared" si="158"/>
        <v>345</v>
      </c>
      <c r="W313" s="176">
        <f t="shared" si="159"/>
        <v>429</v>
      </c>
      <c r="X313" s="176">
        <f t="shared" si="160"/>
        <v>549</v>
      </c>
      <c r="Y313" s="176">
        <f t="shared" si="161"/>
        <v>681</v>
      </c>
      <c r="Z313" s="176">
        <f t="shared" si="162"/>
        <v>802</v>
      </c>
      <c r="AA313" s="176">
        <f t="shared" si="163"/>
        <v>899</v>
      </c>
      <c r="AB313" s="176">
        <f t="shared" si="164"/>
        <v>1015</v>
      </c>
      <c r="AC313" s="176">
        <f t="shared" si="165"/>
        <v>1120</v>
      </c>
      <c r="AD313" s="462">
        <f t="shared" si="166"/>
        <v>1202</v>
      </c>
      <c r="AE313" s="469">
        <v>312</v>
      </c>
      <c r="AF313" s="492">
        <v>1201.3333333333333</v>
      </c>
    </row>
    <row r="314" spans="2:32" x14ac:dyDescent="0.35">
      <c r="B314" s="486">
        <v>313</v>
      </c>
      <c r="C314" s="570" t="s">
        <v>49</v>
      </c>
      <c r="D314" s="487">
        <v>22</v>
      </c>
      <c r="E314" s="487">
        <v>23</v>
      </c>
      <c r="F314" s="487">
        <v>26</v>
      </c>
      <c r="G314" s="487">
        <v>29</v>
      </c>
      <c r="H314" s="487">
        <v>27</v>
      </c>
      <c r="I314" s="487">
        <v>27</v>
      </c>
      <c r="J314" s="487">
        <v>26</v>
      </c>
      <c r="K314" s="487">
        <v>22</v>
      </c>
      <c r="L314" s="487">
        <v>24</v>
      </c>
      <c r="M314" s="487">
        <v>23</v>
      </c>
      <c r="N314" s="487">
        <v>19</v>
      </c>
      <c r="O314" s="487">
        <v>24</v>
      </c>
      <c r="P314" s="488"/>
      <c r="Q314" s="517">
        <v>313</v>
      </c>
      <c r="R314" s="571" t="s">
        <v>49</v>
      </c>
      <c r="S314" s="176">
        <f t="shared" si="155"/>
        <v>22</v>
      </c>
      <c r="T314" s="176">
        <f t="shared" si="156"/>
        <v>45</v>
      </c>
      <c r="U314" s="176">
        <f t="shared" si="157"/>
        <v>71</v>
      </c>
      <c r="V314" s="176">
        <f t="shared" si="158"/>
        <v>100</v>
      </c>
      <c r="W314" s="176">
        <f t="shared" si="159"/>
        <v>127</v>
      </c>
      <c r="X314" s="176">
        <f t="shared" si="160"/>
        <v>154</v>
      </c>
      <c r="Y314" s="176">
        <f t="shared" si="161"/>
        <v>180</v>
      </c>
      <c r="Z314" s="176">
        <f t="shared" si="162"/>
        <v>202</v>
      </c>
      <c r="AA314" s="176">
        <f t="shared" si="163"/>
        <v>226</v>
      </c>
      <c r="AB314" s="176">
        <f t="shared" si="164"/>
        <v>249</v>
      </c>
      <c r="AC314" s="176">
        <f t="shared" si="165"/>
        <v>268</v>
      </c>
      <c r="AD314" s="462">
        <f t="shared" si="166"/>
        <v>292</v>
      </c>
      <c r="AE314" s="469">
        <v>313</v>
      </c>
      <c r="AF314" s="492">
        <v>292</v>
      </c>
    </row>
    <row r="315" spans="2:32" x14ac:dyDescent="0.35">
      <c r="B315" s="485">
        <v>314</v>
      </c>
      <c r="C315" s="570" t="s">
        <v>85</v>
      </c>
      <c r="D315" s="493">
        <v>24</v>
      </c>
      <c r="E315" s="493">
        <v>24</v>
      </c>
      <c r="F315" s="493">
        <v>28</v>
      </c>
      <c r="G315" s="493">
        <v>29</v>
      </c>
      <c r="H315" s="493">
        <v>29</v>
      </c>
      <c r="I315" s="493">
        <v>28</v>
      </c>
      <c r="J315" s="493">
        <v>27</v>
      </c>
      <c r="K315" s="493">
        <v>25</v>
      </c>
      <c r="L315" s="493">
        <v>24</v>
      </c>
      <c r="M315" s="493">
        <v>24</v>
      </c>
      <c r="N315" s="493">
        <v>20</v>
      </c>
      <c r="O315" s="493">
        <v>26</v>
      </c>
      <c r="P315" s="488"/>
      <c r="Q315" s="517">
        <v>314</v>
      </c>
      <c r="R315" s="571" t="s">
        <v>85</v>
      </c>
      <c r="S315" s="176">
        <f t="shared" si="155"/>
        <v>24</v>
      </c>
      <c r="T315" s="176">
        <f t="shared" si="156"/>
        <v>48</v>
      </c>
      <c r="U315" s="176">
        <f t="shared" si="157"/>
        <v>76</v>
      </c>
      <c r="V315" s="176">
        <f t="shared" si="158"/>
        <v>105</v>
      </c>
      <c r="W315" s="176">
        <f t="shared" si="159"/>
        <v>134</v>
      </c>
      <c r="X315" s="176">
        <f t="shared" si="160"/>
        <v>162</v>
      </c>
      <c r="Y315" s="176">
        <f t="shared" si="161"/>
        <v>189</v>
      </c>
      <c r="Z315" s="176">
        <f t="shared" si="162"/>
        <v>214</v>
      </c>
      <c r="AA315" s="176">
        <f t="shared" si="163"/>
        <v>238</v>
      </c>
      <c r="AB315" s="176">
        <f t="shared" si="164"/>
        <v>262</v>
      </c>
      <c r="AC315" s="176">
        <f t="shared" si="165"/>
        <v>282</v>
      </c>
      <c r="AD315" s="462">
        <f t="shared" si="166"/>
        <v>308</v>
      </c>
      <c r="AE315" s="469">
        <v>314</v>
      </c>
      <c r="AF315" s="492">
        <v>306.33333333333331</v>
      </c>
    </row>
    <row r="316" spans="2:32" x14ac:dyDescent="0.35">
      <c r="B316" s="485">
        <v>315</v>
      </c>
      <c r="C316" s="570" t="s">
        <v>50</v>
      </c>
      <c r="D316" s="487">
        <v>131</v>
      </c>
      <c r="E316" s="487">
        <v>135</v>
      </c>
      <c r="F316" s="487">
        <v>140</v>
      </c>
      <c r="G316" s="487">
        <v>134</v>
      </c>
      <c r="H316" s="487">
        <v>136</v>
      </c>
      <c r="I316" s="487">
        <v>186</v>
      </c>
      <c r="J316" s="487">
        <v>201</v>
      </c>
      <c r="K316" s="487">
        <v>186</v>
      </c>
      <c r="L316" s="487">
        <v>147</v>
      </c>
      <c r="M316" s="487">
        <v>173</v>
      </c>
      <c r="N316" s="487">
        <v>165</v>
      </c>
      <c r="O316" s="487">
        <v>136</v>
      </c>
      <c r="P316" s="488"/>
      <c r="Q316" s="517">
        <v>315</v>
      </c>
      <c r="R316" s="571" t="s">
        <v>50</v>
      </c>
      <c r="S316" s="176">
        <f t="shared" si="155"/>
        <v>131</v>
      </c>
      <c r="T316" s="176">
        <f t="shared" si="156"/>
        <v>266</v>
      </c>
      <c r="U316" s="176">
        <f t="shared" si="157"/>
        <v>406</v>
      </c>
      <c r="V316" s="176">
        <f t="shared" si="158"/>
        <v>540</v>
      </c>
      <c r="W316" s="176">
        <f t="shared" si="159"/>
        <v>676</v>
      </c>
      <c r="X316" s="176">
        <f t="shared" si="160"/>
        <v>862</v>
      </c>
      <c r="Y316" s="176">
        <f t="shared" si="161"/>
        <v>1063</v>
      </c>
      <c r="Z316" s="176">
        <f t="shared" si="162"/>
        <v>1249</v>
      </c>
      <c r="AA316" s="176">
        <f t="shared" si="163"/>
        <v>1396</v>
      </c>
      <c r="AB316" s="176">
        <f t="shared" si="164"/>
        <v>1569</v>
      </c>
      <c r="AC316" s="176">
        <f t="shared" si="165"/>
        <v>1734</v>
      </c>
      <c r="AD316" s="462">
        <f t="shared" si="166"/>
        <v>1870</v>
      </c>
      <c r="AE316" s="491">
        <v>315</v>
      </c>
      <c r="AF316" s="492">
        <v>1869.3333333333335</v>
      </c>
    </row>
    <row r="317" spans="2:32" x14ac:dyDescent="0.35">
      <c r="B317" s="485">
        <v>316</v>
      </c>
      <c r="C317" s="574" t="s">
        <v>348</v>
      </c>
      <c r="D317" s="487">
        <v>25</v>
      </c>
      <c r="E317" s="487">
        <v>36</v>
      </c>
      <c r="F317" s="487">
        <v>38</v>
      </c>
      <c r="G317" s="487">
        <v>29</v>
      </c>
      <c r="H317" s="487">
        <v>33</v>
      </c>
      <c r="I317" s="487">
        <v>40</v>
      </c>
      <c r="J317" s="487">
        <v>27</v>
      </c>
      <c r="K317" s="487">
        <v>30</v>
      </c>
      <c r="L317" s="487">
        <v>16</v>
      </c>
      <c r="M317" s="487">
        <v>25</v>
      </c>
      <c r="N317" s="487">
        <v>22</v>
      </c>
      <c r="O317" s="487">
        <v>31</v>
      </c>
      <c r="P317" s="488"/>
      <c r="Q317" s="517">
        <v>316</v>
      </c>
      <c r="R317" s="571" t="s">
        <v>348</v>
      </c>
      <c r="S317" s="176">
        <f t="shared" si="155"/>
        <v>25</v>
      </c>
      <c r="T317" s="176">
        <f t="shared" si="156"/>
        <v>61</v>
      </c>
      <c r="U317" s="176">
        <f t="shared" si="157"/>
        <v>99</v>
      </c>
      <c r="V317" s="176">
        <f t="shared" si="158"/>
        <v>128</v>
      </c>
      <c r="W317" s="176">
        <f t="shared" si="159"/>
        <v>161</v>
      </c>
      <c r="X317" s="176">
        <f t="shared" si="160"/>
        <v>201</v>
      </c>
      <c r="Y317" s="176">
        <f t="shared" si="161"/>
        <v>228</v>
      </c>
      <c r="Z317" s="176">
        <f t="shared" si="162"/>
        <v>258</v>
      </c>
      <c r="AA317" s="176">
        <f t="shared" si="163"/>
        <v>274</v>
      </c>
      <c r="AB317" s="176">
        <f t="shared" si="164"/>
        <v>299</v>
      </c>
      <c r="AC317" s="176">
        <f t="shared" si="165"/>
        <v>321</v>
      </c>
      <c r="AD317" s="462">
        <f t="shared" si="166"/>
        <v>352</v>
      </c>
      <c r="AE317" s="469">
        <v>316</v>
      </c>
      <c r="AF317" s="492">
        <v>352.33333333333337</v>
      </c>
    </row>
    <row r="318" spans="2:32" x14ac:dyDescent="0.35">
      <c r="B318" s="485">
        <v>317</v>
      </c>
      <c r="C318" s="575" t="s">
        <v>349</v>
      </c>
      <c r="D318" s="487">
        <v>331</v>
      </c>
      <c r="E318" s="487">
        <v>391</v>
      </c>
      <c r="F318" s="487">
        <v>395</v>
      </c>
      <c r="G318" s="487">
        <v>374</v>
      </c>
      <c r="H318" s="487">
        <v>379</v>
      </c>
      <c r="I318" s="487">
        <v>360</v>
      </c>
      <c r="J318" s="487">
        <v>361</v>
      </c>
      <c r="K318" s="487">
        <v>351</v>
      </c>
      <c r="L318" s="487">
        <v>376</v>
      </c>
      <c r="M318" s="487">
        <v>322</v>
      </c>
      <c r="N318" s="487">
        <v>309</v>
      </c>
      <c r="O318" s="487">
        <v>355</v>
      </c>
      <c r="P318" s="488"/>
      <c r="Q318" s="517">
        <v>317</v>
      </c>
      <c r="R318" s="573" t="s">
        <v>349</v>
      </c>
      <c r="S318" s="176">
        <f t="shared" si="155"/>
        <v>331</v>
      </c>
      <c r="T318" s="176">
        <f t="shared" si="156"/>
        <v>722</v>
      </c>
      <c r="U318" s="176">
        <f t="shared" si="157"/>
        <v>1117</v>
      </c>
      <c r="V318" s="176">
        <f t="shared" si="158"/>
        <v>1491</v>
      </c>
      <c r="W318" s="176">
        <f t="shared" si="159"/>
        <v>1870</v>
      </c>
      <c r="X318" s="176">
        <f t="shared" si="160"/>
        <v>2230</v>
      </c>
      <c r="Y318" s="176">
        <f t="shared" si="161"/>
        <v>2591</v>
      </c>
      <c r="Z318" s="176">
        <f t="shared" si="162"/>
        <v>2942</v>
      </c>
      <c r="AA318" s="176">
        <f t="shared" si="163"/>
        <v>3318</v>
      </c>
      <c r="AB318" s="176">
        <f t="shared" si="164"/>
        <v>3640</v>
      </c>
      <c r="AC318" s="176">
        <f t="shared" si="165"/>
        <v>3949</v>
      </c>
      <c r="AD318" s="462">
        <f t="shared" si="166"/>
        <v>4304</v>
      </c>
      <c r="AE318" s="469">
        <v>317</v>
      </c>
      <c r="AF318" s="492">
        <v>4305.666666666667</v>
      </c>
    </row>
    <row r="319" spans="2:32" x14ac:dyDescent="0.35">
      <c r="B319" s="499">
        <v>318</v>
      </c>
      <c r="C319" s="575" t="s">
        <v>352</v>
      </c>
      <c r="D319" s="487">
        <v>124</v>
      </c>
      <c r="E319" s="487">
        <v>150</v>
      </c>
      <c r="F319" s="487">
        <v>158</v>
      </c>
      <c r="G319" s="487">
        <v>173</v>
      </c>
      <c r="H319" s="487">
        <v>159</v>
      </c>
      <c r="I319" s="487">
        <v>157</v>
      </c>
      <c r="J319" s="487">
        <v>135</v>
      </c>
      <c r="K319" s="487">
        <v>148</v>
      </c>
      <c r="L319" s="487">
        <v>129</v>
      </c>
      <c r="M319" s="487">
        <v>126</v>
      </c>
      <c r="N319" s="487">
        <v>116</v>
      </c>
      <c r="O319" s="487">
        <v>156</v>
      </c>
      <c r="P319" s="488"/>
      <c r="Q319" s="517">
        <v>318</v>
      </c>
      <c r="R319" s="573" t="s">
        <v>352</v>
      </c>
      <c r="S319" s="176">
        <f t="shared" si="155"/>
        <v>124</v>
      </c>
      <c r="T319" s="176">
        <f t="shared" si="156"/>
        <v>274</v>
      </c>
      <c r="U319" s="176">
        <f t="shared" si="157"/>
        <v>432</v>
      </c>
      <c r="V319" s="176">
        <f t="shared" si="158"/>
        <v>605</v>
      </c>
      <c r="W319" s="176">
        <f t="shared" si="159"/>
        <v>764</v>
      </c>
      <c r="X319" s="176">
        <f t="shared" si="160"/>
        <v>921</v>
      </c>
      <c r="Y319" s="176">
        <f t="shared" si="161"/>
        <v>1056</v>
      </c>
      <c r="Z319" s="176">
        <f t="shared" si="162"/>
        <v>1204</v>
      </c>
      <c r="AA319" s="176">
        <f t="shared" si="163"/>
        <v>1333</v>
      </c>
      <c r="AB319" s="176">
        <f t="shared" si="164"/>
        <v>1459</v>
      </c>
      <c r="AC319" s="176">
        <f t="shared" si="165"/>
        <v>1575</v>
      </c>
      <c r="AD319" s="462">
        <f t="shared" si="166"/>
        <v>1731</v>
      </c>
      <c r="AE319" s="491">
        <v>318</v>
      </c>
      <c r="AF319" s="492">
        <v>1730.3333333333335</v>
      </c>
    </row>
    <row r="320" spans="2:32" x14ac:dyDescent="0.35">
      <c r="B320" s="485">
        <v>319</v>
      </c>
      <c r="C320" s="575" t="s">
        <v>350</v>
      </c>
      <c r="D320" s="487">
        <v>6</v>
      </c>
      <c r="E320" s="487">
        <v>2</v>
      </c>
      <c r="F320" s="487">
        <v>7</v>
      </c>
      <c r="G320" s="487">
        <v>6</v>
      </c>
      <c r="H320" s="487">
        <v>4</v>
      </c>
      <c r="I320" s="487">
        <v>5</v>
      </c>
      <c r="J320" s="487">
        <v>2</v>
      </c>
      <c r="K320" s="487">
        <v>5</v>
      </c>
      <c r="L320" s="487">
        <v>4</v>
      </c>
      <c r="M320" s="487">
        <v>3</v>
      </c>
      <c r="N320" s="487">
        <v>4</v>
      </c>
      <c r="O320" s="487">
        <v>1</v>
      </c>
      <c r="P320" s="488"/>
      <c r="Q320" s="517">
        <v>319</v>
      </c>
      <c r="R320" s="573" t="s">
        <v>350</v>
      </c>
      <c r="S320" s="176">
        <f t="shared" si="155"/>
        <v>6</v>
      </c>
      <c r="T320" s="176">
        <f t="shared" si="156"/>
        <v>8</v>
      </c>
      <c r="U320" s="176">
        <f t="shared" si="157"/>
        <v>15</v>
      </c>
      <c r="V320" s="176">
        <f t="shared" si="158"/>
        <v>21</v>
      </c>
      <c r="W320" s="176">
        <f t="shared" si="159"/>
        <v>25</v>
      </c>
      <c r="X320" s="176">
        <f t="shared" si="160"/>
        <v>30</v>
      </c>
      <c r="Y320" s="176">
        <f t="shared" si="161"/>
        <v>32</v>
      </c>
      <c r="Z320" s="176">
        <f t="shared" si="162"/>
        <v>37</v>
      </c>
      <c r="AA320" s="176">
        <f t="shared" si="163"/>
        <v>41</v>
      </c>
      <c r="AB320" s="176">
        <f t="shared" si="164"/>
        <v>44</v>
      </c>
      <c r="AC320" s="176">
        <f t="shared" si="165"/>
        <v>48</v>
      </c>
      <c r="AD320" s="462">
        <f t="shared" si="166"/>
        <v>49</v>
      </c>
      <c r="AE320" s="469">
        <v>319</v>
      </c>
      <c r="AF320" s="492">
        <v>50.333333333333336</v>
      </c>
    </row>
    <row r="321" spans="2:32" x14ac:dyDescent="0.35">
      <c r="B321" s="485">
        <v>320</v>
      </c>
      <c r="C321" s="576" t="s">
        <v>52</v>
      </c>
      <c r="D321" s="487">
        <v>203</v>
      </c>
      <c r="E321" s="487">
        <v>221</v>
      </c>
      <c r="F321" s="487">
        <v>247</v>
      </c>
      <c r="G321" s="487">
        <v>251</v>
      </c>
      <c r="H321" s="487">
        <v>229</v>
      </c>
      <c r="I321" s="487">
        <v>229</v>
      </c>
      <c r="J321" s="487">
        <v>243</v>
      </c>
      <c r="K321" s="487">
        <v>195</v>
      </c>
      <c r="L321" s="487">
        <v>209</v>
      </c>
      <c r="M321" s="487">
        <v>195</v>
      </c>
      <c r="N321" s="487">
        <v>201</v>
      </c>
      <c r="O321" s="487">
        <v>211</v>
      </c>
      <c r="P321" s="488"/>
      <c r="Q321" s="517">
        <v>320</v>
      </c>
      <c r="R321" s="571" t="s">
        <v>52</v>
      </c>
      <c r="S321" s="176">
        <f t="shared" si="155"/>
        <v>203</v>
      </c>
      <c r="T321" s="176">
        <f t="shared" si="156"/>
        <v>424</v>
      </c>
      <c r="U321" s="176">
        <f t="shared" si="157"/>
        <v>671</v>
      </c>
      <c r="V321" s="176">
        <f t="shared" si="158"/>
        <v>922</v>
      </c>
      <c r="W321" s="176">
        <f t="shared" si="159"/>
        <v>1151</v>
      </c>
      <c r="X321" s="176">
        <f t="shared" si="160"/>
        <v>1380</v>
      </c>
      <c r="Y321" s="176">
        <f t="shared" si="161"/>
        <v>1623</v>
      </c>
      <c r="Z321" s="176">
        <f t="shared" si="162"/>
        <v>1818</v>
      </c>
      <c r="AA321" s="176">
        <f t="shared" si="163"/>
        <v>2027</v>
      </c>
      <c r="AB321" s="176">
        <f t="shared" si="164"/>
        <v>2222</v>
      </c>
      <c r="AC321" s="176">
        <f t="shared" si="165"/>
        <v>2423</v>
      </c>
      <c r="AD321" s="462">
        <f t="shared" si="166"/>
        <v>2634</v>
      </c>
      <c r="AE321" s="469">
        <v>320</v>
      </c>
      <c r="AF321" s="492">
        <v>2634.666666666667</v>
      </c>
    </row>
    <row r="322" spans="2:32" x14ac:dyDescent="0.35">
      <c r="B322" s="485">
        <v>321</v>
      </c>
      <c r="C322" s="570" t="s">
        <v>81</v>
      </c>
      <c r="D322" s="487">
        <v>59</v>
      </c>
      <c r="E322" s="487">
        <v>59</v>
      </c>
      <c r="F322" s="487">
        <v>53</v>
      </c>
      <c r="G322" s="487">
        <v>59</v>
      </c>
      <c r="H322" s="487">
        <v>88</v>
      </c>
      <c r="I322" s="487">
        <v>64</v>
      </c>
      <c r="J322" s="487">
        <v>71</v>
      </c>
      <c r="K322" s="487">
        <v>78</v>
      </c>
      <c r="L322" s="487">
        <v>67</v>
      </c>
      <c r="M322" s="487">
        <v>56</v>
      </c>
      <c r="N322" s="487">
        <v>42</v>
      </c>
      <c r="O322" s="487">
        <v>43</v>
      </c>
      <c r="P322" s="488"/>
      <c r="Q322" s="517">
        <v>321</v>
      </c>
      <c r="R322" s="571" t="s">
        <v>81</v>
      </c>
      <c r="S322" s="176">
        <f t="shared" si="155"/>
        <v>59</v>
      </c>
      <c r="T322" s="176">
        <f t="shared" si="156"/>
        <v>118</v>
      </c>
      <c r="U322" s="176">
        <f t="shared" si="157"/>
        <v>171</v>
      </c>
      <c r="V322" s="176">
        <f t="shared" si="158"/>
        <v>230</v>
      </c>
      <c r="W322" s="176">
        <f t="shared" si="159"/>
        <v>318</v>
      </c>
      <c r="X322" s="176">
        <f t="shared" si="160"/>
        <v>382</v>
      </c>
      <c r="Y322" s="176">
        <f t="shared" si="161"/>
        <v>453</v>
      </c>
      <c r="Z322" s="176">
        <f t="shared" si="162"/>
        <v>531</v>
      </c>
      <c r="AA322" s="176">
        <f t="shared" si="163"/>
        <v>598</v>
      </c>
      <c r="AB322" s="176">
        <f t="shared" si="164"/>
        <v>654</v>
      </c>
      <c r="AC322" s="176">
        <f t="shared" si="165"/>
        <v>696</v>
      </c>
      <c r="AD322" s="462">
        <f t="shared" si="166"/>
        <v>739</v>
      </c>
      <c r="AE322" s="469">
        <v>321</v>
      </c>
      <c r="AF322" s="492">
        <v>738.33333333333337</v>
      </c>
    </row>
    <row r="323" spans="2:32" x14ac:dyDescent="0.35">
      <c r="B323" s="485">
        <v>322</v>
      </c>
      <c r="C323" s="570" t="s">
        <v>75</v>
      </c>
      <c r="D323" s="497">
        <v>281</v>
      </c>
      <c r="E323" s="497">
        <v>261</v>
      </c>
      <c r="F323" s="497">
        <v>267</v>
      </c>
      <c r="G323" s="497">
        <v>274</v>
      </c>
      <c r="H323" s="497">
        <v>331</v>
      </c>
      <c r="I323" s="497">
        <v>312</v>
      </c>
      <c r="J323" s="497">
        <v>348</v>
      </c>
      <c r="K323" s="497">
        <v>343</v>
      </c>
      <c r="L323" s="497">
        <v>291</v>
      </c>
      <c r="M323" s="497">
        <v>292</v>
      </c>
      <c r="N323" s="497">
        <v>238</v>
      </c>
      <c r="O323" s="497">
        <v>234</v>
      </c>
      <c r="P323" s="488"/>
      <c r="Q323" s="517">
        <v>322</v>
      </c>
      <c r="R323" s="571" t="s">
        <v>75</v>
      </c>
      <c r="S323" s="176">
        <f t="shared" si="155"/>
        <v>281</v>
      </c>
      <c r="T323" s="176">
        <f t="shared" si="156"/>
        <v>542</v>
      </c>
      <c r="U323" s="176">
        <f t="shared" si="157"/>
        <v>809</v>
      </c>
      <c r="V323" s="176">
        <f t="shared" si="158"/>
        <v>1083</v>
      </c>
      <c r="W323" s="176">
        <f t="shared" si="159"/>
        <v>1414</v>
      </c>
      <c r="X323" s="176">
        <f t="shared" si="160"/>
        <v>1726</v>
      </c>
      <c r="Y323" s="176">
        <f t="shared" si="161"/>
        <v>2074</v>
      </c>
      <c r="Z323" s="176">
        <f t="shared" si="162"/>
        <v>2417</v>
      </c>
      <c r="AA323" s="176">
        <f t="shared" si="163"/>
        <v>2708</v>
      </c>
      <c r="AB323" s="176">
        <f t="shared" si="164"/>
        <v>3000</v>
      </c>
      <c r="AC323" s="176">
        <f t="shared" si="165"/>
        <v>3238</v>
      </c>
      <c r="AD323" s="462">
        <f t="shared" si="166"/>
        <v>3472</v>
      </c>
      <c r="AE323" s="469">
        <v>322</v>
      </c>
      <c r="AF323" s="492">
        <v>3472.666666666667</v>
      </c>
    </row>
    <row r="324" spans="2:32" x14ac:dyDescent="0.35">
      <c r="B324" s="486">
        <v>323</v>
      </c>
      <c r="C324" s="570" t="s">
        <v>76</v>
      </c>
      <c r="D324" s="494">
        <v>654</v>
      </c>
      <c r="E324" s="494">
        <v>675</v>
      </c>
      <c r="F324" s="494">
        <v>607</v>
      </c>
      <c r="G324" s="494">
        <v>568</v>
      </c>
      <c r="H324" s="494">
        <v>546</v>
      </c>
      <c r="I324" s="494">
        <v>462</v>
      </c>
      <c r="J324" s="494">
        <v>412</v>
      </c>
      <c r="K324" s="494">
        <v>381</v>
      </c>
      <c r="L324" s="494">
        <v>361</v>
      </c>
      <c r="M324" s="494">
        <v>386</v>
      </c>
      <c r="N324" s="494">
        <v>355</v>
      </c>
      <c r="O324" s="494">
        <v>429</v>
      </c>
      <c r="P324" s="488"/>
      <c r="Q324" s="517">
        <v>323</v>
      </c>
      <c r="R324" s="571" t="s">
        <v>76</v>
      </c>
      <c r="S324" s="176">
        <f t="shared" si="155"/>
        <v>654</v>
      </c>
      <c r="T324" s="176">
        <f t="shared" si="156"/>
        <v>1329</v>
      </c>
      <c r="U324" s="176">
        <f t="shared" si="157"/>
        <v>1936</v>
      </c>
      <c r="V324" s="176">
        <f t="shared" si="158"/>
        <v>2504</v>
      </c>
      <c r="W324" s="176">
        <f t="shared" si="159"/>
        <v>3050</v>
      </c>
      <c r="X324" s="176">
        <f t="shared" si="160"/>
        <v>3512</v>
      </c>
      <c r="Y324" s="176">
        <f t="shared" si="161"/>
        <v>3924</v>
      </c>
      <c r="Z324" s="176">
        <f t="shared" si="162"/>
        <v>4305</v>
      </c>
      <c r="AA324" s="176">
        <f t="shared" si="163"/>
        <v>4666</v>
      </c>
      <c r="AB324" s="176">
        <f t="shared" si="164"/>
        <v>5052</v>
      </c>
      <c r="AC324" s="176">
        <f t="shared" si="165"/>
        <v>5407</v>
      </c>
      <c r="AD324" s="462">
        <f t="shared" si="166"/>
        <v>5836</v>
      </c>
      <c r="AE324" s="491">
        <v>323</v>
      </c>
      <c r="AF324" s="492">
        <v>5835.3333333333339</v>
      </c>
    </row>
    <row r="325" spans="2:32" x14ac:dyDescent="0.35">
      <c r="B325" s="485">
        <v>324</v>
      </c>
      <c r="C325" s="570" t="s">
        <v>86</v>
      </c>
      <c r="D325" s="494">
        <v>99</v>
      </c>
      <c r="E325" s="494">
        <v>101</v>
      </c>
      <c r="F325" s="494">
        <v>85</v>
      </c>
      <c r="G325" s="494">
        <v>79</v>
      </c>
      <c r="H325" s="494">
        <v>74</v>
      </c>
      <c r="I325" s="494">
        <v>79</v>
      </c>
      <c r="J325" s="494">
        <v>62</v>
      </c>
      <c r="K325" s="494">
        <v>54</v>
      </c>
      <c r="L325" s="494">
        <v>43</v>
      </c>
      <c r="M325" s="494">
        <v>52</v>
      </c>
      <c r="N325" s="494">
        <v>53</v>
      </c>
      <c r="O325" s="494">
        <v>63</v>
      </c>
      <c r="P325" s="488"/>
      <c r="Q325" s="517">
        <v>324</v>
      </c>
      <c r="R325" s="571" t="s">
        <v>86</v>
      </c>
      <c r="S325" s="176">
        <f t="shared" si="155"/>
        <v>99</v>
      </c>
      <c r="T325" s="176">
        <f t="shared" si="156"/>
        <v>200</v>
      </c>
      <c r="U325" s="176">
        <f t="shared" si="157"/>
        <v>285</v>
      </c>
      <c r="V325" s="176">
        <f t="shared" si="158"/>
        <v>364</v>
      </c>
      <c r="W325" s="176">
        <f t="shared" si="159"/>
        <v>438</v>
      </c>
      <c r="X325" s="176">
        <f t="shared" si="160"/>
        <v>517</v>
      </c>
      <c r="Y325" s="176">
        <f t="shared" si="161"/>
        <v>579</v>
      </c>
      <c r="Z325" s="176">
        <f t="shared" si="162"/>
        <v>633</v>
      </c>
      <c r="AA325" s="176">
        <f t="shared" si="163"/>
        <v>676</v>
      </c>
      <c r="AB325" s="176">
        <f t="shared" si="164"/>
        <v>728</v>
      </c>
      <c r="AC325" s="176">
        <f t="shared" si="165"/>
        <v>781</v>
      </c>
      <c r="AD325" s="462">
        <f t="shared" si="166"/>
        <v>844</v>
      </c>
      <c r="AE325" s="469">
        <v>324</v>
      </c>
      <c r="AF325" s="492">
        <v>845.33333333333348</v>
      </c>
    </row>
    <row r="326" spans="2:32" x14ac:dyDescent="0.35">
      <c r="B326" s="485">
        <v>325</v>
      </c>
      <c r="C326" s="570" t="s">
        <v>88</v>
      </c>
      <c r="D326" s="494">
        <v>426</v>
      </c>
      <c r="E326" s="494">
        <v>470</v>
      </c>
      <c r="F326" s="494">
        <v>451</v>
      </c>
      <c r="G326" s="494">
        <v>439</v>
      </c>
      <c r="H326" s="494">
        <v>423</v>
      </c>
      <c r="I326" s="494">
        <v>340</v>
      </c>
      <c r="J326" s="494">
        <v>296</v>
      </c>
      <c r="K326" s="494">
        <v>278</v>
      </c>
      <c r="L326" s="494">
        <v>272</v>
      </c>
      <c r="M326" s="494">
        <v>282</v>
      </c>
      <c r="N326" s="494">
        <v>256</v>
      </c>
      <c r="O326" s="494">
        <v>314</v>
      </c>
      <c r="P326" s="488"/>
      <c r="Q326" s="517">
        <v>325</v>
      </c>
      <c r="R326" s="571" t="s">
        <v>88</v>
      </c>
      <c r="S326" s="176">
        <f t="shared" si="155"/>
        <v>426</v>
      </c>
      <c r="T326" s="176">
        <f t="shared" si="156"/>
        <v>896</v>
      </c>
      <c r="U326" s="176">
        <f t="shared" si="157"/>
        <v>1347</v>
      </c>
      <c r="V326" s="176">
        <f t="shared" si="158"/>
        <v>1786</v>
      </c>
      <c r="W326" s="176">
        <f t="shared" si="159"/>
        <v>2209</v>
      </c>
      <c r="X326" s="176">
        <f t="shared" si="160"/>
        <v>2549</v>
      </c>
      <c r="Y326" s="176">
        <f t="shared" si="161"/>
        <v>2845</v>
      </c>
      <c r="Z326" s="176">
        <f t="shared" si="162"/>
        <v>3123</v>
      </c>
      <c r="AA326" s="176">
        <f t="shared" si="163"/>
        <v>3395</v>
      </c>
      <c r="AB326" s="176">
        <f t="shared" si="164"/>
        <v>3677</v>
      </c>
      <c r="AC326" s="176">
        <f t="shared" si="165"/>
        <v>3933</v>
      </c>
      <c r="AD326" s="462">
        <f t="shared" si="166"/>
        <v>4247</v>
      </c>
      <c r="AE326" s="469">
        <v>325</v>
      </c>
      <c r="AF326" s="492">
        <v>4246.333333333333</v>
      </c>
    </row>
    <row r="327" spans="2:32" x14ac:dyDescent="0.35">
      <c r="B327" s="485">
        <v>326</v>
      </c>
      <c r="C327" s="570" t="s">
        <v>87</v>
      </c>
      <c r="D327" s="494">
        <v>129</v>
      </c>
      <c r="E327" s="494">
        <v>103</v>
      </c>
      <c r="F327" s="494">
        <v>71</v>
      </c>
      <c r="G327" s="494">
        <v>50</v>
      </c>
      <c r="H327" s="494">
        <v>50</v>
      </c>
      <c r="I327" s="494">
        <v>43</v>
      </c>
      <c r="J327" s="494">
        <v>54</v>
      </c>
      <c r="K327" s="494">
        <v>49</v>
      </c>
      <c r="L327" s="494">
        <v>46</v>
      </c>
      <c r="M327" s="494">
        <v>52</v>
      </c>
      <c r="N327" s="494">
        <v>45</v>
      </c>
      <c r="O327" s="494">
        <v>52</v>
      </c>
      <c r="P327" s="488"/>
      <c r="Q327" s="517">
        <v>326</v>
      </c>
      <c r="R327" s="571" t="s">
        <v>87</v>
      </c>
      <c r="S327" s="176">
        <f t="shared" si="155"/>
        <v>129</v>
      </c>
      <c r="T327" s="176">
        <f t="shared" si="156"/>
        <v>232</v>
      </c>
      <c r="U327" s="176">
        <f t="shared" si="157"/>
        <v>303</v>
      </c>
      <c r="V327" s="176">
        <f t="shared" si="158"/>
        <v>353</v>
      </c>
      <c r="W327" s="176">
        <f t="shared" si="159"/>
        <v>403</v>
      </c>
      <c r="X327" s="176">
        <f t="shared" si="160"/>
        <v>446</v>
      </c>
      <c r="Y327" s="176">
        <f t="shared" si="161"/>
        <v>500</v>
      </c>
      <c r="Z327" s="176">
        <f t="shared" si="162"/>
        <v>549</v>
      </c>
      <c r="AA327" s="176">
        <f t="shared" si="163"/>
        <v>595</v>
      </c>
      <c r="AB327" s="176">
        <f t="shared" si="164"/>
        <v>647</v>
      </c>
      <c r="AC327" s="176">
        <f t="shared" si="165"/>
        <v>692</v>
      </c>
      <c r="AD327" s="462">
        <f t="shared" si="166"/>
        <v>744</v>
      </c>
      <c r="AE327" s="491">
        <v>326</v>
      </c>
      <c r="AF327" s="492">
        <v>743.66666666666674</v>
      </c>
    </row>
    <row r="328" spans="2:32" x14ac:dyDescent="0.35">
      <c r="B328" s="485">
        <v>327</v>
      </c>
      <c r="C328" s="570" t="s">
        <v>90</v>
      </c>
      <c r="D328" s="498">
        <v>7</v>
      </c>
      <c r="E328" s="498">
        <v>6</v>
      </c>
      <c r="F328" s="498">
        <v>4</v>
      </c>
      <c r="G328" s="498">
        <v>8</v>
      </c>
      <c r="H328" s="498">
        <v>5</v>
      </c>
      <c r="I328" s="498">
        <v>4</v>
      </c>
      <c r="J328" s="498">
        <v>2</v>
      </c>
      <c r="K328" s="498">
        <v>2</v>
      </c>
      <c r="L328" s="498">
        <v>2</v>
      </c>
      <c r="M328" s="498">
        <v>1</v>
      </c>
      <c r="N328" s="498">
        <v>2</v>
      </c>
      <c r="O328" s="498">
        <v>3</v>
      </c>
      <c r="P328" s="488"/>
      <c r="Q328" s="517">
        <v>327</v>
      </c>
      <c r="R328" s="571" t="s">
        <v>90</v>
      </c>
      <c r="S328" s="176">
        <f t="shared" si="155"/>
        <v>7</v>
      </c>
      <c r="T328" s="176">
        <f t="shared" si="156"/>
        <v>13</v>
      </c>
      <c r="U328" s="176">
        <f t="shared" si="157"/>
        <v>17</v>
      </c>
      <c r="V328" s="176">
        <f t="shared" si="158"/>
        <v>25</v>
      </c>
      <c r="W328" s="176">
        <f t="shared" si="159"/>
        <v>30</v>
      </c>
      <c r="X328" s="176">
        <f t="shared" si="160"/>
        <v>34</v>
      </c>
      <c r="Y328" s="176">
        <f t="shared" si="161"/>
        <v>36</v>
      </c>
      <c r="Z328" s="176">
        <f t="shared" si="162"/>
        <v>38</v>
      </c>
      <c r="AA328" s="176">
        <f t="shared" si="163"/>
        <v>40</v>
      </c>
      <c r="AB328" s="176">
        <f t="shared" si="164"/>
        <v>41</v>
      </c>
      <c r="AC328" s="176">
        <f t="shared" si="165"/>
        <v>43</v>
      </c>
      <c r="AD328" s="462">
        <f t="shared" si="166"/>
        <v>46</v>
      </c>
      <c r="AE328" s="469">
        <v>327</v>
      </c>
      <c r="AF328" s="492">
        <v>47.000000000000007</v>
      </c>
    </row>
    <row r="329" spans="2:32" x14ac:dyDescent="0.35">
      <c r="B329" s="486">
        <v>328</v>
      </c>
      <c r="C329" s="570" t="s">
        <v>89</v>
      </c>
      <c r="D329" s="494">
        <v>13</v>
      </c>
      <c r="E329" s="494">
        <v>10</v>
      </c>
      <c r="F329" s="494">
        <v>15</v>
      </c>
      <c r="G329" s="494">
        <v>11</v>
      </c>
      <c r="H329" s="494">
        <v>14</v>
      </c>
      <c r="I329" s="494">
        <v>19</v>
      </c>
      <c r="J329" s="494">
        <v>16</v>
      </c>
      <c r="K329" s="494">
        <v>13</v>
      </c>
      <c r="L329" s="494">
        <v>11</v>
      </c>
      <c r="M329" s="494">
        <v>7</v>
      </c>
      <c r="N329" s="494">
        <v>5</v>
      </c>
      <c r="O329" s="494">
        <v>6</v>
      </c>
      <c r="P329" s="488"/>
      <c r="Q329" s="517">
        <v>328</v>
      </c>
      <c r="R329" s="571" t="s">
        <v>89</v>
      </c>
      <c r="S329" s="176">
        <f t="shared" si="155"/>
        <v>13</v>
      </c>
      <c r="T329" s="176">
        <f t="shared" si="156"/>
        <v>23</v>
      </c>
      <c r="U329" s="176">
        <f t="shared" si="157"/>
        <v>38</v>
      </c>
      <c r="V329" s="176">
        <f t="shared" si="158"/>
        <v>49</v>
      </c>
      <c r="W329" s="176">
        <f t="shared" si="159"/>
        <v>63</v>
      </c>
      <c r="X329" s="176">
        <f t="shared" si="160"/>
        <v>82</v>
      </c>
      <c r="Y329" s="176">
        <f t="shared" si="161"/>
        <v>98</v>
      </c>
      <c r="Z329" s="176">
        <f t="shared" si="162"/>
        <v>111</v>
      </c>
      <c r="AA329" s="176">
        <f t="shared" si="163"/>
        <v>122</v>
      </c>
      <c r="AB329" s="176">
        <f t="shared" si="164"/>
        <v>129</v>
      </c>
      <c r="AC329" s="176">
        <f t="shared" si="165"/>
        <v>134</v>
      </c>
      <c r="AD329" s="462">
        <f t="shared" si="166"/>
        <v>140</v>
      </c>
      <c r="AE329" s="469">
        <v>328</v>
      </c>
      <c r="AF329" s="492">
        <v>140.66666666666669</v>
      </c>
    </row>
    <row r="330" spans="2:32" x14ac:dyDescent="0.35">
      <c r="B330" s="485">
        <v>329</v>
      </c>
      <c r="C330" s="570" t="s">
        <v>66</v>
      </c>
      <c r="D330" s="500">
        <v>2</v>
      </c>
      <c r="E330" s="500">
        <v>0</v>
      </c>
      <c r="F330" s="500">
        <v>1</v>
      </c>
      <c r="G330" s="500">
        <v>2</v>
      </c>
      <c r="H330" s="500">
        <v>1</v>
      </c>
      <c r="I330" s="500">
        <v>2</v>
      </c>
      <c r="J330" s="500">
        <v>2</v>
      </c>
      <c r="K330" s="500">
        <v>1</v>
      </c>
      <c r="L330" s="500">
        <v>1</v>
      </c>
      <c r="M330" s="500">
        <v>1</v>
      </c>
      <c r="N330" s="500">
        <v>0</v>
      </c>
      <c r="O330" s="500">
        <v>1</v>
      </c>
      <c r="P330" s="488"/>
      <c r="Q330" s="517">
        <v>329</v>
      </c>
      <c r="R330" s="571" t="s">
        <v>66</v>
      </c>
      <c r="S330" s="176">
        <f t="shared" si="155"/>
        <v>2</v>
      </c>
      <c r="T330" s="176">
        <f t="shared" si="156"/>
        <v>2</v>
      </c>
      <c r="U330" s="176">
        <f t="shared" si="157"/>
        <v>3</v>
      </c>
      <c r="V330" s="176">
        <f t="shared" si="158"/>
        <v>5</v>
      </c>
      <c r="W330" s="176">
        <f t="shared" si="159"/>
        <v>6</v>
      </c>
      <c r="X330" s="176">
        <f t="shared" si="160"/>
        <v>8</v>
      </c>
      <c r="Y330" s="176">
        <f t="shared" si="161"/>
        <v>10</v>
      </c>
      <c r="Z330" s="176">
        <f t="shared" si="162"/>
        <v>11</v>
      </c>
      <c r="AA330" s="176">
        <f t="shared" si="163"/>
        <v>12</v>
      </c>
      <c r="AB330" s="176">
        <f t="shared" si="164"/>
        <v>13</v>
      </c>
      <c r="AC330" s="176">
        <f t="shared" si="165"/>
        <v>13</v>
      </c>
      <c r="AD330" s="462">
        <f t="shared" si="166"/>
        <v>14</v>
      </c>
      <c r="AE330" s="469">
        <v>329</v>
      </c>
      <c r="AF330" s="492">
        <v>14</v>
      </c>
    </row>
    <row r="331" spans="2:32" x14ac:dyDescent="0.35">
      <c r="B331" s="485">
        <v>330</v>
      </c>
      <c r="C331" s="570" t="s">
        <v>67</v>
      </c>
      <c r="D331" s="500">
        <v>11</v>
      </c>
      <c r="E331" s="500">
        <v>10</v>
      </c>
      <c r="F331" s="500">
        <v>14</v>
      </c>
      <c r="G331" s="500">
        <v>9</v>
      </c>
      <c r="H331" s="500">
        <v>13</v>
      </c>
      <c r="I331" s="500">
        <v>17</v>
      </c>
      <c r="J331" s="500">
        <v>14</v>
      </c>
      <c r="K331" s="500">
        <v>12</v>
      </c>
      <c r="L331" s="500">
        <v>10</v>
      </c>
      <c r="M331" s="500">
        <v>6</v>
      </c>
      <c r="N331" s="500">
        <v>5</v>
      </c>
      <c r="O331" s="500">
        <v>5</v>
      </c>
      <c r="P331" s="488"/>
      <c r="Q331" s="517">
        <v>330</v>
      </c>
      <c r="R331" s="571" t="s">
        <v>67</v>
      </c>
      <c r="S331" s="176">
        <f t="shared" si="155"/>
        <v>11</v>
      </c>
      <c r="T331" s="176">
        <f t="shared" si="156"/>
        <v>21</v>
      </c>
      <c r="U331" s="176">
        <f t="shared" si="157"/>
        <v>35</v>
      </c>
      <c r="V331" s="176">
        <f t="shared" si="158"/>
        <v>44</v>
      </c>
      <c r="W331" s="176">
        <f t="shared" si="159"/>
        <v>57</v>
      </c>
      <c r="X331" s="176">
        <f t="shared" si="160"/>
        <v>74</v>
      </c>
      <c r="Y331" s="176">
        <f t="shared" si="161"/>
        <v>88</v>
      </c>
      <c r="Z331" s="176">
        <f t="shared" si="162"/>
        <v>100</v>
      </c>
      <c r="AA331" s="176">
        <f t="shared" si="163"/>
        <v>110</v>
      </c>
      <c r="AB331" s="176">
        <f t="shared" si="164"/>
        <v>116</v>
      </c>
      <c r="AC331" s="176">
        <f t="shared" si="165"/>
        <v>121</v>
      </c>
      <c r="AD331" s="462">
        <f t="shared" si="166"/>
        <v>126</v>
      </c>
      <c r="AE331" s="469">
        <v>330</v>
      </c>
      <c r="AF331" s="492">
        <v>126.66666666666667</v>
      </c>
    </row>
    <row r="332" spans="2:32" x14ac:dyDescent="0.35">
      <c r="B332" s="486">
        <v>331</v>
      </c>
      <c r="C332" s="519" t="s">
        <v>312</v>
      </c>
      <c r="D332" s="432" t="s">
        <v>386</v>
      </c>
      <c r="E332" s="432" t="s">
        <v>387</v>
      </c>
      <c r="F332" s="432" t="s">
        <v>388</v>
      </c>
      <c r="G332" s="432" t="s">
        <v>389</v>
      </c>
      <c r="H332" s="432" t="s">
        <v>390</v>
      </c>
      <c r="I332" s="432" t="s">
        <v>391</v>
      </c>
      <c r="J332" s="432" t="s">
        <v>392</v>
      </c>
      <c r="K332" s="432" t="s">
        <v>393</v>
      </c>
      <c r="L332" s="432" t="s">
        <v>394</v>
      </c>
      <c r="M332" s="432" t="s">
        <v>395</v>
      </c>
      <c r="N332" s="432" t="s">
        <v>396</v>
      </c>
      <c r="O332" s="460" t="s">
        <v>397</v>
      </c>
      <c r="P332" s="488"/>
      <c r="Q332" s="517">
        <v>331</v>
      </c>
      <c r="R332" s="310" t="s">
        <v>252</v>
      </c>
      <c r="S332" s="501" t="s">
        <v>19</v>
      </c>
      <c r="T332" s="501" t="s">
        <v>20</v>
      </c>
      <c r="U332" s="501" t="s">
        <v>21</v>
      </c>
      <c r="V332" s="501" t="s">
        <v>22</v>
      </c>
      <c r="W332" s="501" t="s">
        <v>23</v>
      </c>
      <c r="X332" s="501" t="s">
        <v>24</v>
      </c>
      <c r="Y332" s="501" t="s">
        <v>25</v>
      </c>
      <c r="Z332" s="501" t="s">
        <v>26</v>
      </c>
      <c r="AA332" s="501" t="s">
        <v>27</v>
      </c>
      <c r="AB332" s="501" t="s">
        <v>28</v>
      </c>
      <c r="AC332" s="501" t="s">
        <v>29</v>
      </c>
      <c r="AD332" s="502" t="s">
        <v>30</v>
      </c>
      <c r="AE332" s="469">
        <v>331</v>
      </c>
      <c r="AF332" s="492">
        <v>0</v>
      </c>
    </row>
    <row r="333" spans="2:32" x14ac:dyDescent="0.35">
      <c r="B333" s="485">
        <v>332</v>
      </c>
      <c r="C333" s="310" t="s">
        <v>212</v>
      </c>
      <c r="D333" s="487">
        <v>32</v>
      </c>
      <c r="E333" s="487">
        <v>44</v>
      </c>
      <c r="F333" s="487">
        <v>21</v>
      </c>
      <c r="G333" s="487">
        <v>24</v>
      </c>
      <c r="H333" s="487">
        <v>22</v>
      </c>
      <c r="I333" s="487">
        <v>17</v>
      </c>
      <c r="J333" s="487">
        <v>25</v>
      </c>
      <c r="K333" s="487">
        <v>15</v>
      </c>
      <c r="L333" s="487">
        <v>19</v>
      </c>
      <c r="M333" s="487">
        <v>30</v>
      </c>
      <c r="N333" s="487">
        <v>21</v>
      </c>
      <c r="O333" s="487">
        <v>22</v>
      </c>
      <c r="P333" s="488"/>
      <c r="Q333" s="517">
        <v>332</v>
      </c>
      <c r="R333" s="310" t="s">
        <v>212</v>
      </c>
      <c r="S333" s="176">
        <f t="shared" ref="S333" si="167">D333</f>
        <v>32</v>
      </c>
      <c r="T333" s="176">
        <f t="shared" ref="T333" si="168">S333+E333</f>
        <v>76</v>
      </c>
      <c r="U333" s="176">
        <f t="shared" ref="U333" si="169">T333+F333</f>
        <v>97</v>
      </c>
      <c r="V333" s="176">
        <f t="shared" ref="V333" si="170">U333+G333</f>
        <v>121</v>
      </c>
      <c r="W333" s="176">
        <f t="shared" ref="W333" si="171">V333+H333</f>
        <v>143</v>
      </c>
      <c r="X333" s="176">
        <f t="shared" ref="X333" si="172">W333+I333</f>
        <v>160</v>
      </c>
      <c r="Y333" s="176">
        <f t="shared" ref="Y333" si="173">X333+J333</f>
        <v>185</v>
      </c>
      <c r="Z333" s="176">
        <f t="shared" ref="Z333" si="174">Y333+K333</f>
        <v>200</v>
      </c>
      <c r="AA333" s="176">
        <f t="shared" ref="AA333" si="175">Z333+L333</f>
        <v>219</v>
      </c>
      <c r="AB333" s="176">
        <f t="shared" ref="AB333" si="176">AA333+M333</f>
        <v>249</v>
      </c>
      <c r="AC333" s="176">
        <f t="shared" ref="AC333" si="177">AB333+N333</f>
        <v>270</v>
      </c>
      <c r="AD333" s="462">
        <f t="shared" ref="AD333" si="178">AC333+O333</f>
        <v>292</v>
      </c>
      <c r="AE333" s="469">
        <v>332</v>
      </c>
      <c r="AF333" s="492">
        <v>288</v>
      </c>
    </row>
    <row r="334" spans="2:32" x14ac:dyDescent="0.35">
      <c r="B334" s="485">
        <v>333</v>
      </c>
      <c r="C334" s="310" t="s">
        <v>213</v>
      </c>
      <c r="D334" s="487">
        <v>7</v>
      </c>
      <c r="E334" s="487">
        <v>6</v>
      </c>
      <c r="F334" s="487">
        <v>6</v>
      </c>
      <c r="G334" s="487">
        <v>6</v>
      </c>
      <c r="H334" s="487">
        <v>4</v>
      </c>
      <c r="I334" s="487">
        <v>7</v>
      </c>
      <c r="J334" s="487">
        <v>7</v>
      </c>
      <c r="K334" s="487">
        <v>13</v>
      </c>
      <c r="L334" s="487">
        <v>9</v>
      </c>
      <c r="M334" s="487">
        <v>6</v>
      </c>
      <c r="N334" s="487">
        <v>4</v>
      </c>
      <c r="O334" s="487">
        <v>7</v>
      </c>
      <c r="P334" s="488"/>
      <c r="Q334" s="517">
        <v>333</v>
      </c>
      <c r="R334" s="310" t="s">
        <v>213</v>
      </c>
      <c r="S334" s="176">
        <f t="shared" ref="S334:S339" si="179">D334</f>
        <v>7</v>
      </c>
      <c r="T334" s="176">
        <f t="shared" ref="T334:T339" si="180">S334+E334</f>
        <v>13</v>
      </c>
      <c r="U334" s="176">
        <f t="shared" ref="U334:U339" si="181">T334+F334</f>
        <v>19</v>
      </c>
      <c r="V334" s="176">
        <f t="shared" ref="V334:V339" si="182">U334+G334</f>
        <v>25</v>
      </c>
      <c r="W334" s="176">
        <f t="shared" ref="W334:W339" si="183">V334+H334</f>
        <v>29</v>
      </c>
      <c r="X334" s="176">
        <f t="shared" ref="X334:X339" si="184">W334+I334</f>
        <v>36</v>
      </c>
      <c r="Y334" s="176">
        <f t="shared" ref="Y334:Y339" si="185">X334+J334</f>
        <v>43</v>
      </c>
      <c r="Z334" s="176">
        <f t="shared" ref="Z334:Z339" si="186">Y334+K334</f>
        <v>56</v>
      </c>
      <c r="AA334" s="176">
        <f t="shared" ref="AA334:AA339" si="187">Z334+L334</f>
        <v>65</v>
      </c>
      <c r="AB334" s="176">
        <f t="shared" ref="AB334:AB339" si="188">AA334+M334</f>
        <v>71</v>
      </c>
      <c r="AC334" s="176">
        <f t="shared" ref="AC334:AC339" si="189">AB334+N334</f>
        <v>75</v>
      </c>
      <c r="AD334" s="462">
        <f t="shared" ref="AD334:AD339" si="190">AC334+O334</f>
        <v>82</v>
      </c>
      <c r="AE334" s="469">
        <v>333</v>
      </c>
      <c r="AF334" s="492">
        <v>80</v>
      </c>
    </row>
    <row r="335" spans="2:32" x14ac:dyDescent="0.35">
      <c r="B335" s="486">
        <v>334</v>
      </c>
      <c r="C335" s="310" t="s">
        <v>214</v>
      </c>
      <c r="D335" s="487">
        <v>22</v>
      </c>
      <c r="E335" s="487">
        <v>23</v>
      </c>
      <c r="F335" s="487">
        <v>18</v>
      </c>
      <c r="G335" s="487">
        <v>19</v>
      </c>
      <c r="H335" s="487">
        <v>14</v>
      </c>
      <c r="I335" s="487">
        <v>11</v>
      </c>
      <c r="J335" s="487">
        <v>16</v>
      </c>
      <c r="K335" s="487">
        <v>15</v>
      </c>
      <c r="L335" s="487">
        <v>17</v>
      </c>
      <c r="M335" s="487">
        <v>17</v>
      </c>
      <c r="N335" s="487">
        <v>18</v>
      </c>
      <c r="O335" s="487">
        <v>23</v>
      </c>
      <c r="P335" s="488"/>
      <c r="Q335" s="517">
        <v>334</v>
      </c>
      <c r="R335" s="310" t="s">
        <v>214</v>
      </c>
      <c r="S335" s="176">
        <f t="shared" si="179"/>
        <v>22</v>
      </c>
      <c r="T335" s="176">
        <f t="shared" si="180"/>
        <v>45</v>
      </c>
      <c r="U335" s="176">
        <f t="shared" si="181"/>
        <v>63</v>
      </c>
      <c r="V335" s="176">
        <f t="shared" si="182"/>
        <v>82</v>
      </c>
      <c r="W335" s="176">
        <f t="shared" si="183"/>
        <v>96</v>
      </c>
      <c r="X335" s="176">
        <f t="shared" si="184"/>
        <v>107</v>
      </c>
      <c r="Y335" s="176">
        <f t="shared" si="185"/>
        <v>123</v>
      </c>
      <c r="Z335" s="176">
        <f t="shared" si="186"/>
        <v>138</v>
      </c>
      <c r="AA335" s="176">
        <f t="shared" si="187"/>
        <v>155</v>
      </c>
      <c r="AB335" s="176">
        <f t="shared" si="188"/>
        <v>172</v>
      </c>
      <c r="AC335" s="176">
        <f t="shared" si="189"/>
        <v>190</v>
      </c>
      <c r="AD335" s="462">
        <f t="shared" si="190"/>
        <v>213</v>
      </c>
      <c r="AE335" s="469">
        <v>334</v>
      </c>
      <c r="AF335" s="492">
        <v>209.5</v>
      </c>
    </row>
    <row r="336" spans="2:32" x14ac:dyDescent="0.35">
      <c r="B336" s="485">
        <v>335</v>
      </c>
      <c r="C336" s="310" t="s">
        <v>146</v>
      </c>
      <c r="D336" s="487">
        <v>37</v>
      </c>
      <c r="E336" s="487">
        <v>37</v>
      </c>
      <c r="F336" s="487">
        <v>35</v>
      </c>
      <c r="G336" s="487">
        <v>28</v>
      </c>
      <c r="H336" s="487">
        <v>25</v>
      </c>
      <c r="I336" s="487">
        <v>34</v>
      </c>
      <c r="J336" s="487">
        <v>33</v>
      </c>
      <c r="K336" s="487">
        <v>37</v>
      </c>
      <c r="L336" s="487">
        <v>40</v>
      </c>
      <c r="M336" s="487">
        <v>52</v>
      </c>
      <c r="N336" s="487">
        <v>37</v>
      </c>
      <c r="O336" s="487">
        <v>44</v>
      </c>
      <c r="P336" s="488"/>
      <c r="Q336" s="517">
        <v>335</v>
      </c>
      <c r="R336" s="310" t="s">
        <v>146</v>
      </c>
      <c r="S336" s="176">
        <f t="shared" si="179"/>
        <v>37</v>
      </c>
      <c r="T336" s="176">
        <f t="shared" si="180"/>
        <v>74</v>
      </c>
      <c r="U336" s="176">
        <f t="shared" si="181"/>
        <v>109</v>
      </c>
      <c r="V336" s="176">
        <f t="shared" si="182"/>
        <v>137</v>
      </c>
      <c r="W336" s="176">
        <f t="shared" si="183"/>
        <v>162</v>
      </c>
      <c r="X336" s="176">
        <f t="shared" si="184"/>
        <v>196</v>
      </c>
      <c r="Y336" s="176">
        <f t="shared" si="185"/>
        <v>229</v>
      </c>
      <c r="Z336" s="176">
        <f t="shared" si="186"/>
        <v>266</v>
      </c>
      <c r="AA336" s="176">
        <f t="shared" si="187"/>
        <v>306</v>
      </c>
      <c r="AB336" s="176">
        <f t="shared" si="188"/>
        <v>358</v>
      </c>
      <c r="AC336" s="176">
        <f t="shared" si="189"/>
        <v>395</v>
      </c>
      <c r="AD336" s="462">
        <f t="shared" si="190"/>
        <v>439</v>
      </c>
      <c r="AE336" s="469">
        <v>335</v>
      </c>
      <c r="AF336" s="492">
        <v>436.5</v>
      </c>
    </row>
    <row r="337" spans="2:32" x14ac:dyDescent="0.35">
      <c r="B337" s="485">
        <v>336</v>
      </c>
      <c r="C337" s="310" t="s">
        <v>147</v>
      </c>
      <c r="D337" s="487">
        <v>15</v>
      </c>
      <c r="E337" s="487">
        <v>12</v>
      </c>
      <c r="F337" s="487">
        <v>17</v>
      </c>
      <c r="G337" s="487">
        <v>13</v>
      </c>
      <c r="H337" s="487">
        <v>11</v>
      </c>
      <c r="I337" s="487">
        <v>10</v>
      </c>
      <c r="J337" s="487">
        <v>9</v>
      </c>
      <c r="K337" s="487">
        <v>8</v>
      </c>
      <c r="L337" s="487">
        <v>9</v>
      </c>
      <c r="M337" s="487">
        <v>9</v>
      </c>
      <c r="N337" s="487">
        <v>9</v>
      </c>
      <c r="O337" s="487">
        <v>14</v>
      </c>
      <c r="P337" s="488"/>
      <c r="Q337" s="517">
        <v>336</v>
      </c>
      <c r="R337" s="310" t="s">
        <v>147</v>
      </c>
      <c r="S337" s="176">
        <f t="shared" si="179"/>
        <v>15</v>
      </c>
      <c r="T337" s="176">
        <f t="shared" si="180"/>
        <v>27</v>
      </c>
      <c r="U337" s="176">
        <f t="shared" si="181"/>
        <v>44</v>
      </c>
      <c r="V337" s="176">
        <f t="shared" si="182"/>
        <v>57</v>
      </c>
      <c r="W337" s="176">
        <f t="shared" si="183"/>
        <v>68</v>
      </c>
      <c r="X337" s="176">
        <f t="shared" si="184"/>
        <v>78</v>
      </c>
      <c r="Y337" s="176">
        <f t="shared" si="185"/>
        <v>87</v>
      </c>
      <c r="Z337" s="176">
        <f t="shared" si="186"/>
        <v>95</v>
      </c>
      <c r="AA337" s="176">
        <f t="shared" si="187"/>
        <v>104</v>
      </c>
      <c r="AB337" s="176">
        <f t="shared" si="188"/>
        <v>113</v>
      </c>
      <c r="AC337" s="176">
        <f t="shared" si="189"/>
        <v>122</v>
      </c>
      <c r="AD337" s="462">
        <f t="shared" si="190"/>
        <v>136</v>
      </c>
      <c r="AE337" s="469">
        <v>336</v>
      </c>
      <c r="AF337" s="492">
        <v>132</v>
      </c>
    </row>
    <row r="338" spans="2:32" x14ac:dyDescent="0.35">
      <c r="B338" s="486">
        <v>337</v>
      </c>
      <c r="C338" s="310" t="s">
        <v>62</v>
      </c>
      <c r="D338" s="487">
        <v>51</v>
      </c>
      <c r="E338" s="487">
        <v>48</v>
      </c>
      <c r="F338" s="487">
        <v>52</v>
      </c>
      <c r="G338" s="487">
        <v>41</v>
      </c>
      <c r="H338" s="487">
        <v>36</v>
      </c>
      <c r="I338" s="487">
        <v>44</v>
      </c>
      <c r="J338" s="487">
        <v>42</v>
      </c>
      <c r="K338" s="487">
        <v>44</v>
      </c>
      <c r="L338" s="487">
        <v>49</v>
      </c>
      <c r="M338" s="487">
        <v>61</v>
      </c>
      <c r="N338" s="487">
        <v>45</v>
      </c>
      <c r="O338" s="487">
        <v>58</v>
      </c>
      <c r="P338" s="488"/>
      <c r="Q338" s="517">
        <v>337</v>
      </c>
      <c r="R338" s="310" t="s">
        <v>62</v>
      </c>
      <c r="S338" s="176">
        <f t="shared" si="179"/>
        <v>51</v>
      </c>
      <c r="T338" s="176">
        <f t="shared" si="180"/>
        <v>99</v>
      </c>
      <c r="U338" s="176">
        <f t="shared" si="181"/>
        <v>151</v>
      </c>
      <c r="V338" s="176">
        <f t="shared" si="182"/>
        <v>192</v>
      </c>
      <c r="W338" s="176">
        <f t="shared" si="183"/>
        <v>228</v>
      </c>
      <c r="X338" s="176">
        <f t="shared" si="184"/>
        <v>272</v>
      </c>
      <c r="Y338" s="176">
        <f t="shared" si="185"/>
        <v>314</v>
      </c>
      <c r="Z338" s="176">
        <f t="shared" si="186"/>
        <v>358</v>
      </c>
      <c r="AA338" s="176">
        <f t="shared" si="187"/>
        <v>407</v>
      </c>
      <c r="AB338" s="176">
        <f t="shared" si="188"/>
        <v>468</v>
      </c>
      <c r="AC338" s="176">
        <f t="shared" si="189"/>
        <v>513</v>
      </c>
      <c r="AD338" s="462">
        <f t="shared" si="190"/>
        <v>571</v>
      </c>
      <c r="AE338" s="469">
        <v>337</v>
      </c>
      <c r="AF338" s="492">
        <v>568.5</v>
      </c>
    </row>
    <row r="339" spans="2:32" x14ac:dyDescent="0.35">
      <c r="B339" s="485">
        <v>338</v>
      </c>
      <c r="C339" s="310" t="s">
        <v>0</v>
      </c>
      <c r="D339" s="487">
        <v>112</v>
      </c>
      <c r="E339" s="487">
        <v>121</v>
      </c>
      <c r="F339" s="487">
        <v>96</v>
      </c>
      <c r="G339" s="487">
        <v>89</v>
      </c>
      <c r="H339" s="487">
        <v>75</v>
      </c>
      <c r="I339" s="487">
        <v>79</v>
      </c>
      <c r="J339" s="487">
        <v>89</v>
      </c>
      <c r="K339" s="487">
        <v>86</v>
      </c>
      <c r="L339" s="487">
        <v>93</v>
      </c>
      <c r="M339" s="487">
        <v>112</v>
      </c>
      <c r="N339" s="487">
        <v>87</v>
      </c>
      <c r="O339" s="487">
        <v>109</v>
      </c>
      <c r="P339" s="488"/>
      <c r="Q339" s="517">
        <v>338</v>
      </c>
      <c r="R339" s="310" t="s">
        <v>0</v>
      </c>
      <c r="S339" s="176">
        <f t="shared" si="179"/>
        <v>112</v>
      </c>
      <c r="T339" s="176">
        <f t="shared" si="180"/>
        <v>233</v>
      </c>
      <c r="U339" s="176">
        <f t="shared" si="181"/>
        <v>329</v>
      </c>
      <c r="V339" s="176">
        <f t="shared" si="182"/>
        <v>418</v>
      </c>
      <c r="W339" s="176">
        <f t="shared" si="183"/>
        <v>493</v>
      </c>
      <c r="X339" s="176">
        <f t="shared" si="184"/>
        <v>572</v>
      </c>
      <c r="Y339" s="176">
        <f t="shared" si="185"/>
        <v>661</v>
      </c>
      <c r="Z339" s="176">
        <f t="shared" si="186"/>
        <v>747</v>
      </c>
      <c r="AA339" s="176">
        <f t="shared" si="187"/>
        <v>840</v>
      </c>
      <c r="AB339" s="176">
        <f t="shared" si="188"/>
        <v>952</v>
      </c>
      <c r="AC339" s="176">
        <f t="shared" si="189"/>
        <v>1039</v>
      </c>
      <c r="AD339" s="462">
        <f t="shared" si="190"/>
        <v>1148</v>
      </c>
      <c r="AE339" s="469">
        <v>338</v>
      </c>
      <c r="AF339" s="492">
        <v>1146</v>
      </c>
    </row>
    <row r="340" spans="2:32" x14ac:dyDescent="0.35">
      <c r="B340" s="485">
        <v>339</v>
      </c>
      <c r="C340" s="577" t="s">
        <v>313</v>
      </c>
      <c r="D340" s="432" t="s">
        <v>386</v>
      </c>
      <c r="E340" s="432" t="s">
        <v>387</v>
      </c>
      <c r="F340" s="432" t="s">
        <v>388</v>
      </c>
      <c r="G340" s="432" t="s">
        <v>389</v>
      </c>
      <c r="H340" s="432" t="s">
        <v>390</v>
      </c>
      <c r="I340" s="432" t="s">
        <v>391</v>
      </c>
      <c r="J340" s="432" t="s">
        <v>392</v>
      </c>
      <c r="K340" s="432" t="s">
        <v>393</v>
      </c>
      <c r="L340" s="432" t="s">
        <v>394</v>
      </c>
      <c r="M340" s="432" t="s">
        <v>395</v>
      </c>
      <c r="N340" s="432" t="s">
        <v>396</v>
      </c>
      <c r="O340" s="460" t="s">
        <v>397</v>
      </c>
      <c r="P340" s="488"/>
      <c r="Q340" s="517">
        <v>339</v>
      </c>
      <c r="R340" s="578" t="s">
        <v>254</v>
      </c>
      <c r="S340" s="501" t="s">
        <v>19</v>
      </c>
      <c r="T340" s="501" t="s">
        <v>20</v>
      </c>
      <c r="U340" s="501" t="s">
        <v>21</v>
      </c>
      <c r="V340" s="501" t="s">
        <v>22</v>
      </c>
      <c r="W340" s="501" t="s">
        <v>23</v>
      </c>
      <c r="X340" s="501" t="s">
        <v>24</v>
      </c>
      <c r="Y340" s="501" t="s">
        <v>25</v>
      </c>
      <c r="Z340" s="501" t="s">
        <v>26</v>
      </c>
      <c r="AA340" s="501" t="s">
        <v>27</v>
      </c>
      <c r="AB340" s="501" t="s">
        <v>28</v>
      </c>
      <c r="AC340" s="501" t="s">
        <v>29</v>
      </c>
      <c r="AD340" s="502" t="s">
        <v>30</v>
      </c>
      <c r="AE340" s="469">
        <v>339</v>
      </c>
      <c r="AF340" s="503"/>
    </row>
    <row r="341" spans="2:32" x14ac:dyDescent="0.35">
      <c r="B341" s="485">
        <v>340</v>
      </c>
      <c r="C341" s="579" t="s">
        <v>212</v>
      </c>
      <c r="D341" s="504">
        <v>0</v>
      </c>
      <c r="E341" s="504">
        <v>2</v>
      </c>
      <c r="F341" s="504">
        <v>1</v>
      </c>
      <c r="G341" s="504">
        <v>2</v>
      </c>
      <c r="H341" s="504">
        <v>2</v>
      </c>
      <c r="I341" s="504">
        <v>3</v>
      </c>
      <c r="J341" s="504">
        <v>1</v>
      </c>
      <c r="K341" s="504">
        <v>2</v>
      </c>
      <c r="L341" s="504">
        <v>4</v>
      </c>
      <c r="M341" s="504">
        <v>2</v>
      </c>
      <c r="N341" s="504">
        <v>1</v>
      </c>
      <c r="O341" s="504">
        <v>1</v>
      </c>
      <c r="P341" s="488"/>
      <c r="Q341" s="517">
        <v>340</v>
      </c>
      <c r="R341" s="579" t="s">
        <v>212</v>
      </c>
      <c r="S341" s="176">
        <f t="shared" ref="S341" si="191">D341</f>
        <v>0</v>
      </c>
      <c r="T341" s="176">
        <f t="shared" ref="T341" si="192">S341+E341</f>
        <v>2</v>
      </c>
      <c r="U341" s="176">
        <f t="shared" ref="U341" si="193">T341+F341</f>
        <v>3</v>
      </c>
      <c r="V341" s="176">
        <f t="shared" ref="V341" si="194">U341+G341</f>
        <v>5</v>
      </c>
      <c r="W341" s="176">
        <f t="shared" ref="W341" si="195">V341+H341</f>
        <v>7</v>
      </c>
      <c r="X341" s="176">
        <f t="shared" ref="X341" si="196">W341+I341</f>
        <v>10</v>
      </c>
      <c r="Y341" s="176">
        <f t="shared" ref="Y341" si="197">X341+J341</f>
        <v>11</v>
      </c>
      <c r="Z341" s="176">
        <f t="shared" ref="Z341" si="198">Y341+K341</f>
        <v>13</v>
      </c>
      <c r="AA341" s="176">
        <f t="shared" ref="AA341" si="199">Z341+L341</f>
        <v>17</v>
      </c>
      <c r="AB341" s="176">
        <f t="shared" ref="AB341" si="200">AA341+M341</f>
        <v>19</v>
      </c>
      <c r="AC341" s="176">
        <f t="shared" ref="AC341" si="201">AB341+N341</f>
        <v>20</v>
      </c>
      <c r="AD341" s="462">
        <f t="shared" ref="AD341" si="202">AC341+O341</f>
        <v>21</v>
      </c>
      <c r="AE341" s="469">
        <v>340</v>
      </c>
      <c r="AF341" s="485">
        <v>20</v>
      </c>
    </row>
    <row r="342" spans="2:32" x14ac:dyDescent="0.35">
      <c r="B342" s="485">
        <v>341</v>
      </c>
      <c r="C342" s="579" t="s">
        <v>213</v>
      </c>
      <c r="D342" s="504">
        <v>9</v>
      </c>
      <c r="E342" s="504">
        <v>3</v>
      </c>
      <c r="F342" s="504">
        <v>4</v>
      </c>
      <c r="G342" s="504">
        <v>5</v>
      </c>
      <c r="H342" s="504">
        <v>6</v>
      </c>
      <c r="I342" s="504">
        <v>4</v>
      </c>
      <c r="J342" s="504">
        <v>6</v>
      </c>
      <c r="K342" s="504">
        <v>5</v>
      </c>
      <c r="L342" s="504">
        <v>7</v>
      </c>
      <c r="M342" s="504">
        <v>7</v>
      </c>
      <c r="N342" s="504">
        <v>5</v>
      </c>
      <c r="O342" s="504">
        <v>3</v>
      </c>
      <c r="P342" s="488"/>
      <c r="Q342" s="517">
        <v>341</v>
      </c>
      <c r="R342" s="579" t="s">
        <v>213</v>
      </c>
      <c r="S342" s="176">
        <f t="shared" ref="S342:S347" si="203">D342</f>
        <v>9</v>
      </c>
      <c r="T342" s="176">
        <f t="shared" ref="T342:T347" si="204">S342+E342</f>
        <v>12</v>
      </c>
      <c r="U342" s="176">
        <f t="shared" ref="U342:U347" si="205">T342+F342</f>
        <v>16</v>
      </c>
      <c r="V342" s="176">
        <f t="shared" ref="V342:V347" si="206">U342+G342</f>
        <v>21</v>
      </c>
      <c r="W342" s="176">
        <f t="shared" ref="W342:W347" si="207">V342+H342</f>
        <v>27</v>
      </c>
      <c r="X342" s="176">
        <f t="shared" ref="X342:X347" si="208">W342+I342</f>
        <v>31</v>
      </c>
      <c r="Y342" s="176">
        <f t="shared" ref="Y342:Y347" si="209">X342+J342</f>
        <v>37</v>
      </c>
      <c r="Z342" s="176">
        <f t="shared" ref="Z342:Z347" si="210">Y342+K342</f>
        <v>42</v>
      </c>
      <c r="AA342" s="176">
        <f t="shared" ref="AA342:AA347" si="211">Z342+L342</f>
        <v>49</v>
      </c>
      <c r="AB342" s="176">
        <f t="shared" ref="AB342:AB347" si="212">AA342+M342</f>
        <v>56</v>
      </c>
      <c r="AC342" s="176">
        <f t="shared" ref="AC342:AC347" si="213">AB342+N342</f>
        <v>61</v>
      </c>
      <c r="AD342" s="462">
        <f t="shared" ref="AD342:AD347" si="214">AC342+O342</f>
        <v>64</v>
      </c>
      <c r="AE342" s="469">
        <v>341</v>
      </c>
      <c r="AF342" s="485">
        <v>62</v>
      </c>
    </row>
    <row r="343" spans="2:32" x14ac:dyDescent="0.35">
      <c r="B343" s="485">
        <v>342</v>
      </c>
      <c r="C343" s="579" t="s">
        <v>214</v>
      </c>
      <c r="D343" s="504">
        <v>6</v>
      </c>
      <c r="E343" s="504">
        <v>5</v>
      </c>
      <c r="F343" s="504">
        <v>3</v>
      </c>
      <c r="G343" s="504">
        <v>8</v>
      </c>
      <c r="H343" s="504">
        <v>5</v>
      </c>
      <c r="I343" s="504">
        <v>5</v>
      </c>
      <c r="J343" s="504">
        <v>4</v>
      </c>
      <c r="K343" s="504">
        <v>3</v>
      </c>
      <c r="L343" s="504">
        <v>3</v>
      </c>
      <c r="M343" s="504">
        <v>3</v>
      </c>
      <c r="N343" s="504">
        <v>5</v>
      </c>
      <c r="O343" s="504">
        <v>3</v>
      </c>
      <c r="P343" s="488"/>
      <c r="Q343" s="517">
        <v>342</v>
      </c>
      <c r="R343" s="579" t="s">
        <v>214</v>
      </c>
      <c r="S343" s="176">
        <f t="shared" si="203"/>
        <v>6</v>
      </c>
      <c r="T343" s="176">
        <f t="shared" si="204"/>
        <v>11</v>
      </c>
      <c r="U343" s="176">
        <f t="shared" si="205"/>
        <v>14</v>
      </c>
      <c r="V343" s="176">
        <f t="shared" si="206"/>
        <v>22</v>
      </c>
      <c r="W343" s="176">
        <f t="shared" si="207"/>
        <v>27</v>
      </c>
      <c r="X343" s="176">
        <f t="shared" si="208"/>
        <v>32</v>
      </c>
      <c r="Y343" s="176">
        <f t="shared" si="209"/>
        <v>36</v>
      </c>
      <c r="Z343" s="176">
        <f t="shared" si="210"/>
        <v>39</v>
      </c>
      <c r="AA343" s="176">
        <f t="shared" si="211"/>
        <v>42</v>
      </c>
      <c r="AB343" s="176">
        <f t="shared" si="212"/>
        <v>45</v>
      </c>
      <c r="AC343" s="176">
        <f t="shared" si="213"/>
        <v>50</v>
      </c>
      <c r="AD343" s="462">
        <f t="shared" si="214"/>
        <v>53</v>
      </c>
      <c r="AE343" s="469">
        <v>342</v>
      </c>
      <c r="AF343" s="485">
        <v>51.5</v>
      </c>
    </row>
    <row r="344" spans="2:32" x14ac:dyDescent="0.35">
      <c r="B344" s="485">
        <v>343</v>
      </c>
      <c r="C344" s="579" t="s">
        <v>146</v>
      </c>
      <c r="D344" s="504">
        <v>3</v>
      </c>
      <c r="E344" s="504">
        <v>2</v>
      </c>
      <c r="F344" s="504">
        <v>5</v>
      </c>
      <c r="G344" s="504">
        <v>4</v>
      </c>
      <c r="H344" s="504">
        <v>3</v>
      </c>
      <c r="I344" s="504">
        <v>2</v>
      </c>
      <c r="J344" s="504">
        <v>3</v>
      </c>
      <c r="K344" s="504">
        <v>0</v>
      </c>
      <c r="L344" s="504">
        <v>3</v>
      </c>
      <c r="M344" s="504">
        <v>1</v>
      </c>
      <c r="N344" s="504">
        <v>3</v>
      </c>
      <c r="O344" s="504">
        <v>3</v>
      </c>
      <c r="P344" s="488"/>
      <c r="Q344" s="517">
        <v>343</v>
      </c>
      <c r="R344" s="579" t="s">
        <v>146</v>
      </c>
      <c r="S344" s="176">
        <f t="shared" si="203"/>
        <v>3</v>
      </c>
      <c r="T344" s="176">
        <f t="shared" si="204"/>
        <v>5</v>
      </c>
      <c r="U344" s="176">
        <f t="shared" si="205"/>
        <v>10</v>
      </c>
      <c r="V344" s="176">
        <f t="shared" si="206"/>
        <v>14</v>
      </c>
      <c r="W344" s="176">
        <f t="shared" si="207"/>
        <v>17</v>
      </c>
      <c r="X344" s="176">
        <f t="shared" si="208"/>
        <v>19</v>
      </c>
      <c r="Y344" s="176">
        <f t="shared" si="209"/>
        <v>22</v>
      </c>
      <c r="Z344" s="176">
        <f t="shared" si="210"/>
        <v>22</v>
      </c>
      <c r="AA344" s="176">
        <f t="shared" si="211"/>
        <v>25</v>
      </c>
      <c r="AB344" s="176">
        <f t="shared" si="212"/>
        <v>26</v>
      </c>
      <c r="AC344" s="176">
        <f t="shared" si="213"/>
        <v>29</v>
      </c>
      <c r="AD344" s="462">
        <f t="shared" si="214"/>
        <v>32</v>
      </c>
      <c r="AE344" s="469">
        <v>343</v>
      </c>
      <c r="AF344" s="485">
        <v>30</v>
      </c>
    </row>
    <row r="345" spans="2:32" x14ac:dyDescent="0.35">
      <c r="B345" s="485">
        <v>344</v>
      </c>
      <c r="C345" s="579" t="s">
        <v>147</v>
      </c>
      <c r="D345" s="504">
        <v>4</v>
      </c>
      <c r="E345" s="504">
        <v>3</v>
      </c>
      <c r="F345" s="504">
        <v>3</v>
      </c>
      <c r="G345" s="504">
        <v>6</v>
      </c>
      <c r="H345" s="504">
        <v>5</v>
      </c>
      <c r="I345" s="504">
        <v>3</v>
      </c>
      <c r="J345" s="504">
        <v>3</v>
      </c>
      <c r="K345" s="504">
        <v>5</v>
      </c>
      <c r="L345" s="504">
        <v>4</v>
      </c>
      <c r="M345" s="504">
        <v>3</v>
      </c>
      <c r="N345" s="504">
        <v>2</v>
      </c>
      <c r="O345" s="504">
        <v>3</v>
      </c>
      <c r="P345" s="488"/>
      <c r="Q345" s="517">
        <v>344</v>
      </c>
      <c r="R345" s="579" t="s">
        <v>147</v>
      </c>
      <c r="S345" s="176">
        <f t="shared" si="203"/>
        <v>4</v>
      </c>
      <c r="T345" s="176">
        <f t="shared" si="204"/>
        <v>7</v>
      </c>
      <c r="U345" s="176">
        <f t="shared" si="205"/>
        <v>10</v>
      </c>
      <c r="V345" s="176">
        <f t="shared" si="206"/>
        <v>16</v>
      </c>
      <c r="W345" s="176">
        <f t="shared" si="207"/>
        <v>21</v>
      </c>
      <c r="X345" s="176">
        <f t="shared" si="208"/>
        <v>24</v>
      </c>
      <c r="Y345" s="176">
        <f t="shared" si="209"/>
        <v>27</v>
      </c>
      <c r="Z345" s="176">
        <f t="shared" si="210"/>
        <v>32</v>
      </c>
      <c r="AA345" s="176">
        <f t="shared" si="211"/>
        <v>36</v>
      </c>
      <c r="AB345" s="176">
        <f t="shared" si="212"/>
        <v>39</v>
      </c>
      <c r="AC345" s="176">
        <f t="shared" si="213"/>
        <v>41</v>
      </c>
      <c r="AD345" s="462">
        <f t="shared" si="214"/>
        <v>44</v>
      </c>
      <c r="AE345" s="469">
        <v>344</v>
      </c>
      <c r="AF345" s="485">
        <v>40.5</v>
      </c>
    </row>
    <row r="346" spans="2:32" x14ac:dyDescent="0.35">
      <c r="B346" s="485">
        <v>345</v>
      </c>
      <c r="C346" s="579" t="s">
        <v>62</v>
      </c>
      <c r="D346" s="504">
        <v>7</v>
      </c>
      <c r="E346" s="504">
        <v>5</v>
      </c>
      <c r="F346" s="504">
        <v>8</v>
      </c>
      <c r="G346" s="504">
        <v>8</v>
      </c>
      <c r="H346" s="504">
        <v>7</v>
      </c>
      <c r="I346" s="504">
        <v>5</v>
      </c>
      <c r="J346" s="504">
        <v>6</v>
      </c>
      <c r="K346" s="504">
        <v>5</v>
      </c>
      <c r="L346" s="504">
        <v>5</v>
      </c>
      <c r="M346" s="504">
        <v>4</v>
      </c>
      <c r="N346" s="504">
        <v>5</v>
      </c>
      <c r="O346" s="504">
        <v>5</v>
      </c>
      <c r="P346" s="488"/>
      <c r="Q346" s="517">
        <v>345</v>
      </c>
      <c r="R346" s="579" t="s">
        <v>62</v>
      </c>
      <c r="S346" s="176">
        <f t="shared" si="203"/>
        <v>7</v>
      </c>
      <c r="T346" s="176">
        <f t="shared" si="204"/>
        <v>12</v>
      </c>
      <c r="U346" s="176">
        <f t="shared" si="205"/>
        <v>20</v>
      </c>
      <c r="V346" s="176">
        <f t="shared" si="206"/>
        <v>28</v>
      </c>
      <c r="W346" s="176">
        <f t="shared" si="207"/>
        <v>35</v>
      </c>
      <c r="X346" s="176">
        <f t="shared" si="208"/>
        <v>40</v>
      </c>
      <c r="Y346" s="176">
        <f t="shared" si="209"/>
        <v>46</v>
      </c>
      <c r="Z346" s="176">
        <f t="shared" si="210"/>
        <v>51</v>
      </c>
      <c r="AA346" s="176">
        <f t="shared" si="211"/>
        <v>56</v>
      </c>
      <c r="AB346" s="176">
        <f t="shared" si="212"/>
        <v>60</v>
      </c>
      <c r="AC346" s="176">
        <f t="shared" si="213"/>
        <v>65</v>
      </c>
      <c r="AD346" s="462">
        <f t="shared" si="214"/>
        <v>70</v>
      </c>
      <c r="AE346" s="469">
        <v>345</v>
      </c>
      <c r="AF346" s="485">
        <v>66</v>
      </c>
    </row>
    <row r="347" spans="2:32" x14ac:dyDescent="0.35">
      <c r="B347" s="485">
        <v>346</v>
      </c>
      <c r="C347" s="579" t="s">
        <v>0</v>
      </c>
      <c r="D347" s="504">
        <v>21</v>
      </c>
      <c r="E347" s="504">
        <v>14</v>
      </c>
      <c r="F347" s="504">
        <v>15</v>
      </c>
      <c r="G347" s="504">
        <v>23</v>
      </c>
      <c r="H347" s="504">
        <v>20</v>
      </c>
      <c r="I347" s="504">
        <v>16</v>
      </c>
      <c r="J347" s="504">
        <v>15</v>
      </c>
      <c r="K347" s="504">
        <v>14</v>
      </c>
      <c r="L347" s="504">
        <v>18</v>
      </c>
      <c r="M347" s="504">
        <v>15</v>
      </c>
      <c r="N347" s="504">
        <v>15</v>
      </c>
      <c r="O347" s="504">
        <v>12</v>
      </c>
      <c r="P347" s="488"/>
      <c r="Q347" s="517">
        <v>346</v>
      </c>
      <c r="R347" s="579" t="s">
        <v>0</v>
      </c>
      <c r="S347" s="176">
        <f t="shared" si="203"/>
        <v>21</v>
      </c>
      <c r="T347" s="176">
        <f t="shared" si="204"/>
        <v>35</v>
      </c>
      <c r="U347" s="176">
        <f t="shared" si="205"/>
        <v>50</v>
      </c>
      <c r="V347" s="176">
        <f t="shared" si="206"/>
        <v>73</v>
      </c>
      <c r="W347" s="176">
        <f t="shared" si="207"/>
        <v>93</v>
      </c>
      <c r="X347" s="176">
        <f t="shared" si="208"/>
        <v>109</v>
      </c>
      <c r="Y347" s="176">
        <f t="shared" si="209"/>
        <v>124</v>
      </c>
      <c r="Z347" s="176">
        <f t="shared" si="210"/>
        <v>138</v>
      </c>
      <c r="AA347" s="176">
        <f t="shared" si="211"/>
        <v>156</v>
      </c>
      <c r="AB347" s="176">
        <f t="shared" si="212"/>
        <v>171</v>
      </c>
      <c r="AC347" s="176">
        <f t="shared" si="213"/>
        <v>186</v>
      </c>
      <c r="AD347" s="462">
        <f t="shared" si="214"/>
        <v>198</v>
      </c>
      <c r="AE347" s="469">
        <v>346</v>
      </c>
      <c r="AF347" s="485">
        <v>196</v>
      </c>
    </row>
    <row r="348" spans="2:32" x14ac:dyDescent="0.35">
      <c r="B348" s="485">
        <v>347</v>
      </c>
      <c r="C348" s="580" t="s">
        <v>258</v>
      </c>
      <c r="D348" s="432" t="s">
        <v>386</v>
      </c>
      <c r="E348" s="432" t="s">
        <v>387</v>
      </c>
      <c r="F348" s="432" t="s">
        <v>388</v>
      </c>
      <c r="G348" s="432" t="s">
        <v>389</v>
      </c>
      <c r="H348" s="432" t="s">
        <v>390</v>
      </c>
      <c r="I348" s="432" t="s">
        <v>391</v>
      </c>
      <c r="J348" s="432" t="s">
        <v>392</v>
      </c>
      <c r="K348" s="432" t="s">
        <v>393</v>
      </c>
      <c r="L348" s="432" t="s">
        <v>394</v>
      </c>
      <c r="M348" s="432" t="s">
        <v>395</v>
      </c>
      <c r="N348" s="432" t="s">
        <v>396</v>
      </c>
      <c r="O348" s="460" t="s">
        <v>397</v>
      </c>
      <c r="P348" s="506"/>
      <c r="Q348" s="517">
        <v>347</v>
      </c>
      <c r="R348" s="580" t="s">
        <v>258</v>
      </c>
      <c r="S348" s="501" t="s">
        <v>19</v>
      </c>
      <c r="T348" s="501" t="s">
        <v>20</v>
      </c>
      <c r="U348" s="501" t="s">
        <v>21</v>
      </c>
      <c r="V348" s="501" t="s">
        <v>22</v>
      </c>
      <c r="W348" s="501" t="s">
        <v>23</v>
      </c>
      <c r="X348" s="501" t="s">
        <v>24</v>
      </c>
      <c r="Y348" s="501" t="s">
        <v>25</v>
      </c>
      <c r="Z348" s="501" t="s">
        <v>26</v>
      </c>
      <c r="AA348" s="501" t="s">
        <v>27</v>
      </c>
      <c r="AB348" s="501" t="s">
        <v>28</v>
      </c>
      <c r="AC348" s="501" t="s">
        <v>29</v>
      </c>
      <c r="AD348" s="502" t="s">
        <v>30</v>
      </c>
      <c r="AE348" s="469">
        <v>347</v>
      </c>
      <c r="AF348" s="485">
        <v>0</v>
      </c>
    </row>
    <row r="349" spans="2:32" x14ac:dyDescent="0.35">
      <c r="B349" s="485">
        <v>348</v>
      </c>
      <c r="C349" s="580" t="s">
        <v>85</v>
      </c>
      <c r="D349" s="506" t="s">
        <v>206</v>
      </c>
      <c r="E349" s="506" t="s">
        <v>206</v>
      </c>
      <c r="F349" s="506" t="s">
        <v>206</v>
      </c>
      <c r="G349" s="506" t="s">
        <v>206</v>
      </c>
      <c r="H349" s="506" t="s">
        <v>206</v>
      </c>
      <c r="I349" s="506" t="s">
        <v>206</v>
      </c>
      <c r="J349" s="506" t="s">
        <v>206</v>
      </c>
      <c r="K349" s="506" t="s">
        <v>206</v>
      </c>
      <c r="L349" s="506" t="s">
        <v>206</v>
      </c>
      <c r="M349" s="506" t="s">
        <v>206</v>
      </c>
      <c r="N349" s="506" t="s">
        <v>206</v>
      </c>
      <c r="O349" s="506" t="s">
        <v>206</v>
      </c>
      <c r="P349" s="506"/>
      <c r="Q349" s="517">
        <v>348</v>
      </c>
      <c r="R349" s="580" t="s">
        <v>85</v>
      </c>
      <c r="S349" s="227" t="s">
        <v>206</v>
      </c>
      <c r="T349" s="227" t="s">
        <v>206</v>
      </c>
      <c r="U349" s="227" t="s">
        <v>206</v>
      </c>
      <c r="V349" s="227" t="s">
        <v>206</v>
      </c>
      <c r="W349" s="227" t="s">
        <v>206</v>
      </c>
      <c r="X349" s="227" t="s">
        <v>206</v>
      </c>
      <c r="Y349" s="227" t="s">
        <v>206</v>
      </c>
      <c r="Z349" s="227" t="s">
        <v>206</v>
      </c>
      <c r="AA349" s="227" t="s">
        <v>206</v>
      </c>
      <c r="AB349" s="227" t="s">
        <v>206</v>
      </c>
      <c r="AC349" s="227" t="s">
        <v>206</v>
      </c>
      <c r="AD349" s="505" t="s">
        <v>206</v>
      </c>
      <c r="AE349" s="469">
        <v>348</v>
      </c>
      <c r="AF349" s="485">
        <v>0</v>
      </c>
    </row>
    <row r="350" spans="2:32" x14ac:dyDescent="0.35">
      <c r="B350" s="485">
        <v>349</v>
      </c>
      <c r="C350" s="581" t="s">
        <v>262</v>
      </c>
      <c r="D350" s="715" t="s">
        <v>206</v>
      </c>
      <c r="E350" s="715" t="s">
        <v>206</v>
      </c>
      <c r="F350" s="715" t="s">
        <v>206</v>
      </c>
      <c r="G350" s="715" t="s">
        <v>206</v>
      </c>
      <c r="H350" s="715" t="s">
        <v>206</v>
      </c>
      <c r="I350" s="715" t="s">
        <v>206</v>
      </c>
      <c r="J350" s="715" t="s">
        <v>206</v>
      </c>
      <c r="K350" s="715" t="s">
        <v>206</v>
      </c>
      <c r="L350" s="715" t="s">
        <v>206</v>
      </c>
      <c r="M350" s="715" t="s">
        <v>206</v>
      </c>
      <c r="N350" s="715" t="s">
        <v>206</v>
      </c>
      <c r="O350" s="715" t="s">
        <v>206</v>
      </c>
      <c r="P350" s="506"/>
      <c r="Q350" s="517">
        <v>349</v>
      </c>
      <c r="R350" s="581" t="s">
        <v>262</v>
      </c>
      <c r="S350" s="501" t="s">
        <v>19</v>
      </c>
      <c r="T350" s="501" t="s">
        <v>20</v>
      </c>
      <c r="U350" s="501" t="s">
        <v>21</v>
      </c>
      <c r="V350" s="501" t="s">
        <v>22</v>
      </c>
      <c r="W350" s="501" t="s">
        <v>23</v>
      </c>
      <c r="X350" s="501" t="s">
        <v>24</v>
      </c>
      <c r="Y350" s="501" t="s">
        <v>25</v>
      </c>
      <c r="Z350" s="501" t="s">
        <v>26</v>
      </c>
      <c r="AA350" s="501" t="s">
        <v>27</v>
      </c>
      <c r="AB350" s="501" t="s">
        <v>28</v>
      </c>
      <c r="AC350" s="501" t="s">
        <v>29</v>
      </c>
      <c r="AD350" s="502" t="s">
        <v>30</v>
      </c>
      <c r="AE350" s="469">
        <v>349</v>
      </c>
      <c r="AF350" s="485">
        <v>0</v>
      </c>
    </row>
    <row r="351" spans="2:32" x14ac:dyDescent="0.35">
      <c r="B351" s="485">
        <v>350</v>
      </c>
      <c r="C351" s="581" t="s">
        <v>212</v>
      </c>
      <c r="D351" s="715" t="s">
        <v>206</v>
      </c>
      <c r="E351" s="715" t="s">
        <v>206</v>
      </c>
      <c r="F351" s="715" t="s">
        <v>206</v>
      </c>
      <c r="G351" s="715" t="s">
        <v>206</v>
      </c>
      <c r="H351" s="715" t="s">
        <v>206</v>
      </c>
      <c r="I351" s="715" t="s">
        <v>206</v>
      </c>
      <c r="J351" s="715" t="s">
        <v>206</v>
      </c>
      <c r="K351" s="715" t="s">
        <v>206</v>
      </c>
      <c r="L351" s="715" t="s">
        <v>206</v>
      </c>
      <c r="M351" s="715" t="s">
        <v>206</v>
      </c>
      <c r="N351" s="715" t="s">
        <v>206</v>
      </c>
      <c r="O351" s="715" t="s">
        <v>206</v>
      </c>
      <c r="P351" s="506"/>
      <c r="Q351" s="517">
        <v>350</v>
      </c>
      <c r="R351" s="581" t="s">
        <v>212</v>
      </c>
      <c r="S351" s="506" t="s">
        <v>206</v>
      </c>
      <c r="T351" s="506" t="s">
        <v>206</v>
      </c>
      <c r="U351" s="506" t="s">
        <v>206</v>
      </c>
      <c r="V351" s="506" t="s">
        <v>206</v>
      </c>
      <c r="W351" s="506" t="s">
        <v>206</v>
      </c>
      <c r="X351" s="506" t="s">
        <v>206</v>
      </c>
      <c r="Y351" s="506" t="s">
        <v>206</v>
      </c>
      <c r="Z351" s="506" t="s">
        <v>206</v>
      </c>
      <c r="AA351" s="506" t="s">
        <v>206</v>
      </c>
      <c r="AB351" s="506" t="s">
        <v>206</v>
      </c>
      <c r="AC351" s="506" t="s">
        <v>206</v>
      </c>
      <c r="AD351" s="506" t="s">
        <v>206</v>
      </c>
      <c r="AE351" s="469">
        <v>350</v>
      </c>
      <c r="AF351" s="485">
        <v>0</v>
      </c>
    </row>
    <row r="352" spans="2:32" x14ac:dyDescent="0.35">
      <c r="B352" s="485">
        <v>351</v>
      </c>
      <c r="C352" s="581" t="s">
        <v>213</v>
      </c>
      <c r="D352" s="715" t="s">
        <v>206</v>
      </c>
      <c r="E352" s="715" t="s">
        <v>206</v>
      </c>
      <c r="F352" s="715" t="s">
        <v>206</v>
      </c>
      <c r="G352" s="715" t="s">
        <v>206</v>
      </c>
      <c r="H352" s="715" t="s">
        <v>206</v>
      </c>
      <c r="I352" s="715" t="s">
        <v>206</v>
      </c>
      <c r="J352" s="715" t="s">
        <v>206</v>
      </c>
      <c r="K352" s="715" t="s">
        <v>206</v>
      </c>
      <c r="L352" s="715" t="s">
        <v>206</v>
      </c>
      <c r="M352" s="715" t="s">
        <v>206</v>
      </c>
      <c r="N352" s="715" t="s">
        <v>206</v>
      </c>
      <c r="O352" s="715" t="s">
        <v>206</v>
      </c>
      <c r="P352" s="506"/>
      <c r="Q352" s="517">
        <v>351</v>
      </c>
      <c r="R352" s="581" t="s">
        <v>213</v>
      </c>
      <c r="S352" s="506" t="s">
        <v>206</v>
      </c>
      <c r="T352" s="506" t="s">
        <v>206</v>
      </c>
      <c r="U352" s="506" t="s">
        <v>206</v>
      </c>
      <c r="V352" s="506" t="s">
        <v>206</v>
      </c>
      <c r="W352" s="506" t="s">
        <v>206</v>
      </c>
      <c r="X352" s="506" t="s">
        <v>206</v>
      </c>
      <c r="Y352" s="506" t="s">
        <v>206</v>
      </c>
      <c r="Z352" s="506" t="s">
        <v>206</v>
      </c>
      <c r="AA352" s="506" t="s">
        <v>206</v>
      </c>
      <c r="AB352" s="506" t="s">
        <v>206</v>
      </c>
      <c r="AC352" s="506" t="s">
        <v>206</v>
      </c>
      <c r="AD352" s="506" t="s">
        <v>206</v>
      </c>
      <c r="AE352" s="469">
        <v>351</v>
      </c>
      <c r="AF352" s="485">
        <v>0</v>
      </c>
    </row>
    <row r="353" spans="2:32" x14ac:dyDescent="0.35">
      <c r="B353" s="485">
        <v>352</v>
      </c>
      <c r="C353" s="581" t="s">
        <v>214</v>
      </c>
      <c r="D353" s="715" t="s">
        <v>206</v>
      </c>
      <c r="E353" s="715" t="s">
        <v>206</v>
      </c>
      <c r="F353" s="715" t="s">
        <v>206</v>
      </c>
      <c r="G353" s="715" t="s">
        <v>206</v>
      </c>
      <c r="H353" s="715" t="s">
        <v>206</v>
      </c>
      <c r="I353" s="715" t="s">
        <v>206</v>
      </c>
      <c r="J353" s="715" t="s">
        <v>206</v>
      </c>
      <c r="K353" s="715" t="s">
        <v>206</v>
      </c>
      <c r="L353" s="715" t="s">
        <v>206</v>
      </c>
      <c r="M353" s="715" t="s">
        <v>206</v>
      </c>
      <c r="N353" s="715" t="s">
        <v>206</v>
      </c>
      <c r="O353" s="715" t="s">
        <v>206</v>
      </c>
      <c r="P353" s="506"/>
      <c r="Q353" s="517">
        <v>352</v>
      </c>
      <c r="R353" s="581" t="s">
        <v>214</v>
      </c>
      <c r="S353" s="506" t="s">
        <v>206</v>
      </c>
      <c r="T353" s="506" t="s">
        <v>206</v>
      </c>
      <c r="U353" s="506" t="s">
        <v>206</v>
      </c>
      <c r="V353" s="506" t="s">
        <v>206</v>
      </c>
      <c r="W353" s="506" t="s">
        <v>206</v>
      </c>
      <c r="X353" s="506" t="s">
        <v>206</v>
      </c>
      <c r="Y353" s="506" t="s">
        <v>206</v>
      </c>
      <c r="Z353" s="506" t="s">
        <v>206</v>
      </c>
      <c r="AA353" s="506" t="s">
        <v>206</v>
      </c>
      <c r="AB353" s="506" t="s">
        <v>206</v>
      </c>
      <c r="AC353" s="506" t="s">
        <v>206</v>
      </c>
      <c r="AD353" s="506" t="s">
        <v>206</v>
      </c>
      <c r="AE353" s="469">
        <v>352</v>
      </c>
      <c r="AF353" s="485">
        <v>0</v>
      </c>
    </row>
    <row r="354" spans="2:32" x14ac:dyDescent="0.35">
      <c r="B354" s="485">
        <v>353</v>
      </c>
      <c r="C354" s="581" t="s">
        <v>146</v>
      </c>
      <c r="D354" s="715" t="s">
        <v>206</v>
      </c>
      <c r="E354" s="715" t="s">
        <v>206</v>
      </c>
      <c r="F354" s="715" t="s">
        <v>206</v>
      </c>
      <c r="G354" s="715" t="s">
        <v>206</v>
      </c>
      <c r="H354" s="715" t="s">
        <v>206</v>
      </c>
      <c r="I354" s="715" t="s">
        <v>206</v>
      </c>
      <c r="J354" s="715" t="s">
        <v>206</v>
      </c>
      <c r="K354" s="715" t="s">
        <v>206</v>
      </c>
      <c r="L354" s="715" t="s">
        <v>206</v>
      </c>
      <c r="M354" s="715" t="s">
        <v>206</v>
      </c>
      <c r="N354" s="715" t="s">
        <v>206</v>
      </c>
      <c r="O354" s="715" t="s">
        <v>206</v>
      </c>
      <c r="P354" s="506"/>
      <c r="Q354" s="517">
        <v>353</v>
      </c>
      <c r="R354" s="581" t="s">
        <v>146</v>
      </c>
      <c r="S354" s="506" t="s">
        <v>206</v>
      </c>
      <c r="T354" s="506" t="s">
        <v>206</v>
      </c>
      <c r="U354" s="506" t="s">
        <v>206</v>
      </c>
      <c r="V354" s="506" t="s">
        <v>206</v>
      </c>
      <c r="W354" s="506" t="s">
        <v>206</v>
      </c>
      <c r="X354" s="506" t="s">
        <v>206</v>
      </c>
      <c r="Y354" s="506" t="s">
        <v>206</v>
      </c>
      <c r="Z354" s="506" t="s">
        <v>206</v>
      </c>
      <c r="AA354" s="506" t="s">
        <v>206</v>
      </c>
      <c r="AB354" s="506" t="s">
        <v>206</v>
      </c>
      <c r="AC354" s="506" t="s">
        <v>206</v>
      </c>
      <c r="AD354" s="506" t="s">
        <v>206</v>
      </c>
      <c r="AE354" s="469">
        <v>353</v>
      </c>
      <c r="AF354" s="485">
        <v>0</v>
      </c>
    </row>
    <row r="355" spans="2:32" x14ac:dyDescent="0.35">
      <c r="B355" s="485">
        <v>354</v>
      </c>
      <c r="C355" s="581" t="s">
        <v>147</v>
      </c>
      <c r="D355" s="715" t="s">
        <v>206</v>
      </c>
      <c r="E355" s="715" t="s">
        <v>206</v>
      </c>
      <c r="F355" s="715" t="s">
        <v>206</v>
      </c>
      <c r="G355" s="715" t="s">
        <v>206</v>
      </c>
      <c r="H355" s="715" t="s">
        <v>206</v>
      </c>
      <c r="I355" s="715" t="s">
        <v>206</v>
      </c>
      <c r="J355" s="715" t="s">
        <v>206</v>
      </c>
      <c r="K355" s="715" t="s">
        <v>206</v>
      </c>
      <c r="L355" s="715" t="s">
        <v>206</v>
      </c>
      <c r="M355" s="715" t="s">
        <v>206</v>
      </c>
      <c r="N355" s="715" t="s">
        <v>206</v>
      </c>
      <c r="O355" s="715" t="s">
        <v>206</v>
      </c>
      <c r="P355" s="506"/>
      <c r="Q355" s="517">
        <v>354</v>
      </c>
      <c r="R355" s="581" t="s">
        <v>147</v>
      </c>
      <c r="S355" s="506" t="s">
        <v>206</v>
      </c>
      <c r="T355" s="506" t="s">
        <v>206</v>
      </c>
      <c r="U355" s="506" t="s">
        <v>206</v>
      </c>
      <c r="V355" s="506" t="s">
        <v>206</v>
      </c>
      <c r="W355" s="506" t="s">
        <v>206</v>
      </c>
      <c r="X355" s="506" t="s">
        <v>206</v>
      </c>
      <c r="Y355" s="506" t="s">
        <v>206</v>
      </c>
      <c r="Z355" s="506" t="s">
        <v>206</v>
      </c>
      <c r="AA355" s="506" t="s">
        <v>206</v>
      </c>
      <c r="AB355" s="506" t="s">
        <v>206</v>
      </c>
      <c r="AC355" s="506" t="s">
        <v>206</v>
      </c>
      <c r="AD355" s="506" t="s">
        <v>206</v>
      </c>
      <c r="AE355" s="469">
        <v>354</v>
      </c>
      <c r="AF355" s="485">
        <v>0</v>
      </c>
    </row>
    <row r="356" spans="2:32" x14ac:dyDescent="0.35">
      <c r="B356" s="485">
        <v>355</v>
      </c>
      <c r="C356" s="581" t="s">
        <v>62</v>
      </c>
      <c r="D356" s="715" t="s">
        <v>206</v>
      </c>
      <c r="E356" s="715" t="s">
        <v>206</v>
      </c>
      <c r="F356" s="715" t="s">
        <v>206</v>
      </c>
      <c r="G356" s="715" t="s">
        <v>206</v>
      </c>
      <c r="H356" s="715" t="s">
        <v>206</v>
      </c>
      <c r="I356" s="715" t="s">
        <v>206</v>
      </c>
      <c r="J356" s="715" t="s">
        <v>206</v>
      </c>
      <c r="K356" s="715" t="s">
        <v>206</v>
      </c>
      <c r="L356" s="715" t="s">
        <v>206</v>
      </c>
      <c r="M356" s="715" t="s">
        <v>206</v>
      </c>
      <c r="N356" s="715" t="s">
        <v>206</v>
      </c>
      <c r="O356" s="715" t="s">
        <v>206</v>
      </c>
      <c r="P356" s="506"/>
      <c r="Q356" s="517">
        <v>355</v>
      </c>
      <c r="R356" s="581" t="s">
        <v>62</v>
      </c>
      <c r="S356" s="506" t="s">
        <v>206</v>
      </c>
      <c r="T356" s="506" t="s">
        <v>206</v>
      </c>
      <c r="U356" s="506" t="s">
        <v>206</v>
      </c>
      <c r="V356" s="506" t="s">
        <v>206</v>
      </c>
      <c r="W356" s="506" t="s">
        <v>206</v>
      </c>
      <c r="X356" s="506" t="s">
        <v>206</v>
      </c>
      <c r="Y356" s="506" t="s">
        <v>206</v>
      </c>
      <c r="Z356" s="506" t="s">
        <v>206</v>
      </c>
      <c r="AA356" s="506" t="s">
        <v>206</v>
      </c>
      <c r="AB356" s="506" t="s">
        <v>206</v>
      </c>
      <c r="AC356" s="506" t="s">
        <v>206</v>
      </c>
      <c r="AD356" s="506" t="s">
        <v>206</v>
      </c>
      <c r="AE356" s="469">
        <v>355</v>
      </c>
      <c r="AF356" s="485">
        <v>0</v>
      </c>
    </row>
    <row r="357" spans="2:32" x14ac:dyDescent="0.35">
      <c r="B357" s="485">
        <v>356</v>
      </c>
      <c r="C357" s="581" t="s">
        <v>0</v>
      </c>
      <c r="D357" s="715" t="s">
        <v>206</v>
      </c>
      <c r="E357" s="715" t="s">
        <v>206</v>
      </c>
      <c r="F357" s="715" t="s">
        <v>206</v>
      </c>
      <c r="G357" s="715" t="s">
        <v>206</v>
      </c>
      <c r="H357" s="715" t="s">
        <v>206</v>
      </c>
      <c r="I357" s="715" t="s">
        <v>206</v>
      </c>
      <c r="J357" s="715" t="s">
        <v>206</v>
      </c>
      <c r="K357" s="715" t="s">
        <v>206</v>
      </c>
      <c r="L357" s="715" t="s">
        <v>206</v>
      </c>
      <c r="M357" s="715" t="s">
        <v>206</v>
      </c>
      <c r="N357" s="715" t="s">
        <v>206</v>
      </c>
      <c r="O357" s="715" t="s">
        <v>206</v>
      </c>
      <c r="P357" s="506"/>
      <c r="Q357" s="517">
        <v>356</v>
      </c>
      <c r="R357" s="581" t="s">
        <v>0</v>
      </c>
      <c r="S357" s="506" t="s">
        <v>206</v>
      </c>
      <c r="T357" s="506" t="s">
        <v>206</v>
      </c>
      <c r="U357" s="506" t="s">
        <v>206</v>
      </c>
      <c r="V357" s="506" t="s">
        <v>206</v>
      </c>
      <c r="W357" s="506" t="s">
        <v>206</v>
      </c>
      <c r="X357" s="506" t="s">
        <v>206</v>
      </c>
      <c r="Y357" s="506" t="s">
        <v>206</v>
      </c>
      <c r="Z357" s="506" t="s">
        <v>206</v>
      </c>
      <c r="AA357" s="506" t="s">
        <v>206</v>
      </c>
      <c r="AB357" s="506" t="s">
        <v>206</v>
      </c>
      <c r="AC357" s="506" t="s">
        <v>206</v>
      </c>
      <c r="AD357" s="506" t="s">
        <v>206</v>
      </c>
      <c r="AE357" s="469">
        <v>356</v>
      </c>
      <c r="AF357" s="485">
        <v>0</v>
      </c>
    </row>
    <row r="358" spans="2:32" x14ac:dyDescent="0.35">
      <c r="B358" s="485">
        <v>357</v>
      </c>
      <c r="C358" s="582" t="s">
        <v>228</v>
      </c>
      <c r="D358" s="506" t="s">
        <v>206</v>
      </c>
      <c r="E358" s="506" t="s">
        <v>206</v>
      </c>
      <c r="F358" s="506" t="s">
        <v>206</v>
      </c>
      <c r="G358" s="506" t="s">
        <v>206</v>
      </c>
      <c r="H358" s="506" t="s">
        <v>206</v>
      </c>
      <c r="I358" s="506" t="s">
        <v>206</v>
      </c>
      <c r="J358" s="506" t="s">
        <v>206</v>
      </c>
      <c r="K358" s="506" t="s">
        <v>206</v>
      </c>
      <c r="L358" s="506" t="s">
        <v>206</v>
      </c>
      <c r="M358" s="506" t="s">
        <v>206</v>
      </c>
      <c r="N358" s="506" t="s">
        <v>206</v>
      </c>
      <c r="O358" s="506" t="s">
        <v>206</v>
      </c>
      <c r="P358" s="506"/>
      <c r="Q358" s="517">
        <v>357</v>
      </c>
      <c r="R358" s="582" t="s">
        <v>228</v>
      </c>
      <c r="S358" s="501" t="s">
        <v>206</v>
      </c>
      <c r="T358" s="501" t="s">
        <v>206</v>
      </c>
      <c r="U358" s="501" t="s">
        <v>206</v>
      </c>
      <c r="V358" s="501" t="s">
        <v>206</v>
      </c>
      <c r="W358" s="501" t="s">
        <v>206</v>
      </c>
      <c r="X358" s="501" t="s">
        <v>206</v>
      </c>
      <c r="Y358" s="501" t="s">
        <v>206</v>
      </c>
      <c r="Z358" s="501" t="s">
        <v>206</v>
      </c>
      <c r="AA358" s="501" t="s">
        <v>206</v>
      </c>
      <c r="AB358" s="501" t="s">
        <v>206</v>
      </c>
      <c r="AC358" s="501" t="s">
        <v>206</v>
      </c>
      <c r="AD358" s="502" t="s">
        <v>206</v>
      </c>
      <c r="AE358" s="469">
        <v>357</v>
      </c>
      <c r="AF358" s="485">
        <v>0</v>
      </c>
    </row>
    <row r="359" spans="2:32" x14ac:dyDescent="0.35">
      <c r="B359" s="485">
        <v>358</v>
      </c>
      <c r="C359" s="583" t="s">
        <v>267</v>
      </c>
      <c r="D359" s="506" t="s">
        <v>206</v>
      </c>
      <c r="E359" s="506" t="s">
        <v>206</v>
      </c>
      <c r="F359" s="506" t="s">
        <v>206</v>
      </c>
      <c r="G359" s="506" t="s">
        <v>206</v>
      </c>
      <c r="H359" s="506" t="s">
        <v>206</v>
      </c>
      <c r="I359" s="506" t="s">
        <v>206</v>
      </c>
      <c r="J359" s="506" t="s">
        <v>206</v>
      </c>
      <c r="K359" s="506" t="s">
        <v>206</v>
      </c>
      <c r="L359" s="506" t="s">
        <v>206</v>
      </c>
      <c r="M359" s="506" t="s">
        <v>206</v>
      </c>
      <c r="N359" s="506" t="s">
        <v>206</v>
      </c>
      <c r="O359" s="506" t="s">
        <v>206</v>
      </c>
      <c r="P359" s="506"/>
      <c r="Q359" s="517">
        <v>358</v>
      </c>
      <c r="R359" s="583" t="s">
        <v>267</v>
      </c>
      <c r="S359" s="506" t="s">
        <v>206</v>
      </c>
      <c r="T359" s="506" t="s">
        <v>206</v>
      </c>
      <c r="U359" s="506" t="s">
        <v>206</v>
      </c>
      <c r="V359" s="506" t="s">
        <v>206</v>
      </c>
      <c r="W359" s="506" t="s">
        <v>206</v>
      </c>
      <c r="X359" s="506" t="s">
        <v>206</v>
      </c>
      <c r="Y359" s="506" t="s">
        <v>206</v>
      </c>
      <c r="Z359" s="506" t="s">
        <v>206</v>
      </c>
      <c r="AA359" s="506" t="s">
        <v>206</v>
      </c>
      <c r="AB359" s="506" t="s">
        <v>206</v>
      </c>
      <c r="AC359" s="506" t="s">
        <v>206</v>
      </c>
      <c r="AD359" s="506" t="s">
        <v>206</v>
      </c>
      <c r="AE359" s="469">
        <v>358</v>
      </c>
      <c r="AF359" s="485">
        <v>0</v>
      </c>
    </row>
    <row r="360" spans="2:32" x14ac:dyDescent="0.35">
      <c r="B360" s="485">
        <v>359</v>
      </c>
      <c r="C360" s="584" t="s">
        <v>264</v>
      </c>
      <c r="D360" s="506" t="s">
        <v>206</v>
      </c>
      <c r="E360" s="506" t="s">
        <v>206</v>
      </c>
      <c r="F360" s="506" t="s">
        <v>206</v>
      </c>
      <c r="G360" s="506" t="s">
        <v>206</v>
      </c>
      <c r="H360" s="506" t="s">
        <v>206</v>
      </c>
      <c r="I360" s="506" t="s">
        <v>206</v>
      </c>
      <c r="J360" s="506" t="s">
        <v>206</v>
      </c>
      <c r="K360" s="506" t="s">
        <v>206</v>
      </c>
      <c r="L360" s="506" t="s">
        <v>206</v>
      </c>
      <c r="M360" s="506" t="s">
        <v>206</v>
      </c>
      <c r="N360" s="506" t="s">
        <v>206</v>
      </c>
      <c r="O360" s="506" t="s">
        <v>206</v>
      </c>
      <c r="P360" s="506"/>
      <c r="Q360" s="517">
        <v>359</v>
      </c>
      <c r="R360" s="584" t="s">
        <v>264</v>
      </c>
      <c r="S360" s="506" t="s">
        <v>206</v>
      </c>
      <c r="T360" s="506" t="s">
        <v>206</v>
      </c>
      <c r="U360" s="506" t="s">
        <v>206</v>
      </c>
      <c r="V360" s="506" t="s">
        <v>206</v>
      </c>
      <c r="W360" s="506" t="s">
        <v>206</v>
      </c>
      <c r="X360" s="506" t="s">
        <v>206</v>
      </c>
      <c r="Y360" s="506" t="s">
        <v>206</v>
      </c>
      <c r="Z360" s="506" t="s">
        <v>206</v>
      </c>
      <c r="AA360" s="506" t="s">
        <v>206</v>
      </c>
      <c r="AB360" s="506" t="s">
        <v>206</v>
      </c>
      <c r="AC360" s="506" t="s">
        <v>206</v>
      </c>
      <c r="AD360" s="506" t="s">
        <v>206</v>
      </c>
      <c r="AE360" s="469">
        <v>359</v>
      </c>
      <c r="AF360" s="485">
        <v>0</v>
      </c>
    </row>
    <row r="361" spans="2:32" x14ac:dyDescent="0.35">
      <c r="B361" s="485">
        <v>360</v>
      </c>
      <c r="C361" s="584" t="s">
        <v>265</v>
      </c>
      <c r="D361" s="506" t="s">
        <v>206</v>
      </c>
      <c r="E361" s="506" t="s">
        <v>206</v>
      </c>
      <c r="F361" s="506" t="s">
        <v>206</v>
      </c>
      <c r="G361" s="506" t="s">
        <v>206</v>
      </c>
      <c r="H361" s="506" t="s">
        <v>206</v>
      </c>
      <c r="I361" s="506" t="s">
        <v>206</v>
      </c>
      <c r="J361" s="506" t="s">
        <v>206</v>
      </c>
      <c r="K361" s="506" t="s">
        <v>206</v>
      </c>
      <c r="L361" s="506" t="s">
        <v>206</v>
      </c>
      <c r="M361" s="506" t="s">
        <v>206</v>
      </c>
      <c r="N361" s="506" t="s">
        <v>206</v>
      </c>
      <c r="O361" s="506" t="s">
        <v>206</v>
      </c>
      <c r="P361" s="506"/>
      <c r="Q361" s="517">
        <v>360</v>
      </c>
      <c r="R361" s="584" t="s">
        <v>265</v>
      </c>
      <c r="S361" s="506" t="s">
        <v>206</v>
      </c>
      <c r="T361" s="506" t="s">
        <v>206</v>
      </c>
      <c r="U361" s="506" t="s">
        <v>206</v>
      </c>
      <c r="V361" s="506" t="s">
        <v>206</v>
      </c>
      <c r="W361" s="506" t="s">
        <v>206</v>
      </c>
      <c r="X361" s="506" t="s">
        <v>206</v>
      </c>
      <c r="Y361" s="506" t="s">
        <v>206</v>
      </c>
      <c r="Z361" s="506" t="s">
        <v>206</v>
      </c>
      <c r="AA361" s="506" t="s">
        <v>206</v>
      </c>
      <c r="AB361" s="506" t="s">
        <v>206</v>
      </c>
      <c r="AC361" s="506" t="s">
        <v>206</v>
      </c>
      <c r="AD361" s="506" t="s">
        <v>206</v>
      </c>
      <c r="AE361" s="469">
        <v>360</v>
      </c>
      <c r="AF361" s="485">
        <v>0</v>
      </c>
    </row>
    <row r="362" spans="2:32" x14ac:dyDescent="0.35">
      <c r="B362" s="485">
        <v>361</v>
      </c>
      <c r="C362" s="584" t="s">
        <v>266</v>
      </c>
      <c r="D362" s="506" t="s">
        <v>206</v>
      </c>
      <c r="E362" s="506" t="s">
        <v>206</v>
      </c>
      <c r="F362" s="506" t="s">
        <v>206</v>
      </c>
      <c r="G362" s="506" t="s">
        <v>206</v>
      </c>
      <c r="H362" s="506" t="s">
        <v>206</v>
      </c>
      <c r="I362" s="506" t="s">
        <v>206</v>
      </c>
      <c r="J362" s="506" t="s">
        <v>206</v>
      </c>
      <c r="K362" s="506" t="s">
        <v>206</v>
      </c>
      <c r="L362" s="506" t="s">
        <v>206</v>
      </c>
      <c r="M362" s="506" t="s">
        <v>206</v>
      </c>
      <c r="N362" s="506" t="s">
        <v>206</v>
      </c>
      <c r="O362" s="506" t="s">
        <v>206</v>
      </c>
      <c r="P362" s="506"/>
      <c r="Q362" s="517">
        <v>361</v>
      </c>
      <c r="R362" s="584" t="s">
        <v>266</v>
      </c>
      <c r="S362" s="506" t="s">
        <v>206</v>
      </c>
      <c r="T362" s="506" t="s">
        <v>206</v>
      </c>
      <c r="U362" s="506" t="s">
        <v>206</v>
      </c>
      <c r="V362" s="506" t="s">
        <v>206</v>
      </c>
      <c r="W362" s="506" t="s">
        <v>206</v>
      </c>
      <c r="X362" s="506" t="s">
        <v>206</v>
      </c>
      <c r="Y362" s="506" t="s">
        <v>206</v>
      </c>
      <c r="Z362" s="506" t="s">
        <v>206</v>
      </c>
      <c r="AA362" s="506" t="s">
        <v>206</v>
      </c>
      <c r="AB362" s="506" t="s">
        <v>206</v>
      </c>
      <c r="AC362" s="506" t="s">
        <v>206</v>
      </c>
      <c r="AD362" s="506" t="s">
        <v>206</v>
      </c>
      <c r="AE362" s="469">
        <v>361</v>
      </c>
      <c r="AF362" s="485">
        <v>0</v>
      </c>
    </row>
    <row r="363" spans="2:32" x14ac:dyDescent="0.35">
      <c r="B363" s="485">
        <v>362</v>
      </c>
      <c r="C363" s="583" t="s">
        <v>283</v>
      </c>
      <c r="D363" s="506" t="s">
        <v>206</v>
      </c>
      <c r="E363" s="506" t="s">
        <v>206</v>
      </c>
      <c r="F363" s="506" t="s">
        <v>206</v>
      </c>
      <c r="G363" s="506" t="s">
        <v>206</v>
      </c>
      <c r="H363" s="506" t="s">
        <v>206</v>
      </c>
      <c r="I363" s="506" t="s">
        <v>206</v>
      </c>
      <c r="J363" s="506" t="s">
        <v>206</v>
      </c>
      <c r="K363" s="506" t="s">
        <v>206</v>
      </c>
      <c r="L363" s="506" t="s">
        <v>206</v>
      </c>
      <c r="M363" s="506" t="s">
        <v>206</v>
      </c>
      <c r="N363" s="506" t="s">
        <v>206</v>
      </c>
      <c r="O363" s="506" t="s">
        <v>206</v>
      </c>
      <c r="P363" s="506"/>
      <c r="Q363" s="517">
        <v>362</v>
      </c>
      <c r="R363" s="583" t="s">
        <v>283</v>
      </c>
      <c r="S363" s="506" t="s">
        <v>206</v>
      </c>
      <c r="T363" s="506" t="s">
        <v>206</v>
      </c>
      <c r="U363" s="506" t="s">
        <v>206</v>
      </c>
      <c r="V363" s="506" t="s">
        <v>206</v>
      </c>
      <c r="W363" s="506" t="s">
        <v>206</v>
      </c>
      <c r="X363" s="506" t="s">
        <v>206</v>
      </c>
      <c r="Y363" s="506" t="s">
        <v>206</v>
      </c>
      <c r="Z363" s="506" t="s">
        <v>206</v>
      </c>
      <c r="AA363" s="506" t="s">
        <v>206</v>
      </c>
      <c r="AB363" s="506" t="s">
        <v>206</v>
      </c>
      <c r="AC363" s="506" t="s">
        <v>206</v>
      </c>
      <c r="AD363" s="506" t="s">
        <v>206</v>
      </c>
      <c r="AE363" s="469">
        <v>362</v>
      </c>
      <c r="AF363" s="485">
        <v>0</v>
      </c>
    </row>
    <row r="364" spans="2:32" x14ac:dyDescent="0.35">
      <c r="B364" s="485">
        <v>363</v>
      </c>
      <c r="C364" s="584" t="s">
        <v>268</v>
      </c>
      <c r="D364" s="506" t="s">
        <v>206</v>
      </c>
      <c r="E364" s="506" t="s">
        <v>206</v>
      </c>
      <c r="F364" s="506" t="s">
        <v>206</v>
      </c>
      <c r="G364" s="506" t="s">
        <v>206</v>
      </c>
      <c r="H364" s="506" t="s">
        <v>206</v>
      </c>
      <c r="I364" s="506" t="s">
        <v>206</v>
      </c>
      <c r="J364" s="506" t="s">
        <v>206</v>
      </c>
      <c r="K364" s="506" t="s">
        <v>206</v>
      </c>
      <c r="L364" s="506" t="s">
        <v>206</v>
      </c>
      <c r="M364" s="506" t="s">
        <v>206</v>
      </c>
      <c r="N364" s="506" t="s">
        <v>206</v>
      </c>
      <c r="O364" s="506" t="s">
        <v>206</v>
      </c>
      <c r="P364" s="506"/>
      <c r="Q364" s="517">
        <v>363</v>
      </c>
      <c r="R364" s="584" t="s">
        <v>268</v>
      </c>
      <c r="S364" s="506" t="s">
        <v>206</v>
      </c>
      <c r="T364" s="506" t="s">
        <v>206</v>
      </c>
      <c r="U364" s="506" t="s">
        <v>206</v>
      </c>
      <c r="V364" s="506" t="s">
        <v>206</v>
      </c>
      <c r="W364" s="506" t="s">
        <v>206</v>
      </c>
      <c r="X364" s="506" t="s">
        <v>206</v>
      </c>
      <c r="Y364" s="506" t="s">
        <v>206</v>
      </c>
      <c r="Z364" s="506" t="s">
        <v>206</v>
      </c>
      <c r="AA364" s="506" t="s">
        <v>206</v>
      </c>
      <c r="AB364" s="506" t="s">
        <v>206</v>
      </c>
      <c r="AC364" s="506" t="s">
        <v>206</v>
      </c>
      <c r="AD364" s="506" t="s">
        <v>206</v>
      </c>
      <c r="AE364" s="469">
        <v>363</v>
      </c>
      <c r="AF364" s="485">
        <v>0</v>
      </c>
    </row>
    <row r="365" spans="2:32" x14ac:dyDescent="0.35">
      <c r="B365" s="485">
        <v>364</v>
      </c>
      <c r="C365" s="584" t="s">
        <v>269</v>
      </c>
      <c r="D365" s="506" t="s">
        <v>206</v>
      </c>
      <c r="E365" s="506" t="s">
        <v>206</v>
      </c>
      <c r="F365" s="506" t="s">
        <v>206</v>
      </c>
      <c r="G365" s="506" t="s">
        <v>206</v>
      </c>
      <c r="H365" s="506" t="s">
        <v>206</v>
      </c>
      <c r="I365" s="506" t="s">
        <v>206</v>
      </c>
      <c r="J365" s="506" t="s">
        <v>206</v>
      </c>
      <c r="K365" s="506" t="s">
        <v>206</v>
      </c>
      <c r="L365" s="506" t="s">
        <v>206</v>
      </c>
      <c r="M365" s="506" t="s">
        <v>206</v>
      </c>
      <c r="N365" s="506" t="s">
        <v>206</v>
      </c>
      <c r="O365" s="506" t="s">
        <v>206</v>
      </c>
      <c r="P365" s="506"/>
      <c r="Q365" s="517">
        <v>364</v>
      </c>
      <c r="R365" s="584" t="s">
        <v>269</v>
      </c>
      <c r="S365" s="506" t="s">
        <v>206</v>
      </c>
      <c r="T365" s="506" t="s">
        <v>206</v>
      </c>
      <c r="U365" s="506" t="s">
        <v>206</v>
      </c>
      <c r="V365" s="506" t="s">
        <v>206</v>
      </c>
      <c r="W365" s="506" t="s">
        <v>206</v>
      </c>
      <c r="X365" s="506" t="s">
        <v>206</v>
      </c>
      <c r="Y365" s="506" t="s">
        <v>206</v>
      </c>
      <c r="Z365" s="506" t="s">
        <v>206</v>
      </c>
      <c r="AA365" s="506" t="s">
        <v>206</v>
      </c>
      <c r="AB365" s="506" t="s">
        <v>206</v>
      </c>
      <c r="AC365" s="506" t="s">
        <v>206</v>
      </c>
      <c r="AD365" s="506" t="s">
        <v>206</v>
      </c>
      <c r="AE365" s="469">
        <v>364</v>
      </c>
      <c r="AF365" s="485">
        <v>0</v>
      </c>
    </row>
    <row r="366" spans="2:32" x14ac:dyDescent="0.35">
      <c r="B366" s="485">
        <v>365</v>
      </c>
      <c r="C366" s="584" t="s">
        <v>270</v>
      </c>
      <c r="D366" s="506" t="s">
        <v>206</v>
      </c>
      <c r="E366" s="506" t="s">
        <v>206</v>
      </c>
      <c r="F366" s="506" t="s">
        <v>206</v>
      </c>
      <c r="G366" s="506" t="s">
        <v>206</v>
      </c>
      <c r="H366" s="506" t="s">
        <v>206</v>
      </c>
      <c r="I366" s="506" t="s">
        <v>206</v>
      </c>
      <c r="J366" s="506" t="s">
        <v>206</v>
      </c>
      <c r="K366" s="506" t="s">
        <v>206</v>
      </c>
      <c r="L366" s="506" t="s">
        <v>206</v>
      </c>
      <c r="M366" s="506" t="s">
        <v>206</v>
      </c>
      <c r="N366" s="506" t="s">
        <v>206</v>
      </c>
      <c r="O366" s="506" t="s">
        <v>206</v>
      </c>
      <c r="P366" s="506"/>
      <c r="Q366" s="517">
        <v>365</v>
      </c>
      <c r="R366" s="584" t="s">
        <v>270</v>
      </c>
      <c r="S366" s="506" t="s">
        <v>206</v>
      </c>
      <c r="T366" s="506" t="s">
        <v>206</v>
      </c>
      <c r="U366" s="506" t="s">
        <v>206</v>
      </c>
      <c r="V366" s="506" t="s">
        <v>206</v>
      </c>
      <c r="W366" s="506" t="s">
        <v>206</v>
      </c>
      <c r="X366" s="506" t="s">
        <v>206</v>
      </c>
      <c r="Y366" s="506" t="s">
        <v>206</v>
      </c>
      <c r="Z366" s="506" t="s">
        <v>206</v>
      </c>
      <c r="AA366" s="506" t="s">
        <v>206</v>
      </c>
      <c r="AB366" s="506" t="s">
        <v>206</v>
      </c>
      <c r="AC366" s="506" t="s">
        <v>206</v>
      </c>
      <c r="AD366" s="506" t="s">
        <v>206</v>
      </c>
      <c r="AE366" s="469">
        <v>365</v>
      </c>
      <c r="AF366" s="485">
        <v>0</v>
      </c>
    </row>
    <row r="367" spans="2:32" x14ac:dyDescent="0.35">
      <c r="B367" s="485">
        <v>366</v>
      </c>
      <c r="C367" s="583" t="s">
        <v>284</v>
      </c>
      <c r="D367" s="506" t="s">
        <v>206</v>
      </c>
      <c r="E367" s="506" t="s">
        <v>206</v>
      </c>
      <c r="F367" s="506" t="s">
        <v>206</v>
      </c>
      <c r="G367" s="506" t="s">
        <v>206</v>
      </c>
      <c r="H367" s="506" t="s">
        <v>206</v>
      </c>
      <c r="I367" s="506" t="s">
        <v>206</v>
      </c>
      <c r="J367" s="506" t="s">
        <v>206</v>
      </c>
      <c r="K367" s="506" t="s">
        <v>206</v>
      </c>
      <c r="L367" s="506" t="s">
        <v>206</v>
      </c>
      <c r="M367" s="506" t="s">
        <v>206</v>
      </c>
      <c r="N367" s="506" t="s">
        <v>206</v>
      </c>
      <c r="O367" s="506" t="s">
        <v>206</v>
      </c>
      <c r="P367" s="506"/>
      <c r="Q367" s="517">
        <v>366</v>
      </c>
      <c r="R367" s="583" t="s">
        <v>284</v>
      </c>
      <c r="S367" s="506" t="s">
        <v>206</v>
      </c>
      <c r="T367" s="506" t="s">
        <v>206</v>
      </c>
      <c r="U367" s="506" t="s">
        <v>206</v>
      </c>
      <c r="V367" s="506" t="s">
        <v>206</v>
      </c>
      <c r="W367" s="506" t="s">
        <v>206</v>
      </c>
      <c r="X367" s="506" t="s">
        <v>206</v>
      </c>
      <c r="Y367" s="506" t="s">
        <v>206</v>
      </c>
      <c r="Z367" s="506" t="s">
        <v>206</v>
      </c>
      <c r="AA367" s="506" t="s">
        <v>206</v>
      </c>
      <c r="AB367" s="506" t="s">
        <v>206</v>
      </c>
      <c r="AC367" s="506" t="s">
        <v>206</v>
      </c>
      <c r="AD367" s="506" t="s">
        <v>206</v>
      </c>
      <c r="AE367" s="469">
        <v>366</v>
      </c>
      <c r="AF367" s="485">
        <v>0</v>
      </c>
    </row>
    <row r="368" spans="2:32" x14ac:dyDescent="0.35">
      <c r="B368" s="485">
        <v>367</v>
      </c>
      <c r="C368" s="584" t="s">
        <v>271</v>
      </c>
      <c r="D368" s="506" t="s">
        <v>206</v>
      </c>
      <c r="E368" s="506" t="s">
        <v>206</v>
      </c>
      <c r="F368" s="506" t="s">
        <v>206</v>
      </c>
      <c r="G368" s="506" t="s">
        <v>206</v>
      </c>
      <c r="H368" s="506" t="s">
        <v>206</v>
      </c>
      <c r="I368" s="506" t="s">
        <v>206</v>
      </c>
      <c r="J368" s="506" t="s">
        <v>206</v>
      </c>
      <c r="K368" s="506" t="s">
        <v>206</v>
      </c>
      <c r="L368" s="506" t="s">
        <v>206</v>
      </c>
      <c r="M368" s="506" t="s">
        <v>206</v>
      </c>
      <c r="N368" s="506" t="s">
        <v>206</v>
      </c>
      <c r="O368" s="506" t="s">
        <v>206</v>
      </c>
      <c r="P368" s="506"/>
      <c r="Q368" s="517">
        <v>367</v>
      </c>
      <c r="R368" s="584" t="s">
        <v>271</v>
      </c>
      <c r="S368" s="506" t="s">
        <v>206</v>
      </c>
      <c r="T368" s="506" t="s">
        <v>206</v>
      </c>
      <c r="U368" s="506" t="s">
        <v>206</v>
      </c>
      <c r="V368" s="506" t="s">
        <v>206</v>
      </c>
      <c r="W368" s="506" t="s">
        <v>206</v>
      </c>
      <c r="X368" s="506" t="s">
        <v>206</v>
      </c>
      <c r="Y368" s="506" t="s">
        <v>206</v>
      </c>
      <c r="Z368" s="506" t="s">
        <v>206</v>
      </c>
      <c r="AA368" s="506" t="s">
        <v>206</v>
      </c>
      <c r="AB368" s="506" t="s">
        <v>206</v>
      </c>
      <c r="AC368" s="506" t="s">
        <v>206</v>
      </c>
      <c r="AD368" s="506" t="s">
        <v>206</v>
      </c>
      <c r="AE368" s="469">
        <v>367</v>
      </c>
      <c r="AF368" s="485">
        <v>0</v>
      </c>
    </row>
    <row r="369" spans="2:32" x14ac:dyDescent="0.35">
      <c r="B369" s="485">
        <v>368</v>
      </c>
      <c r="C369" s="584" t="s">
        <v>272</v>
      </c>
      <c r="D369" s="506" t="s">
        <v>206</v>
      </c>
      <c r="E369" s="506" t="s">
        <v>206</v>
      </c>
      <c r="F369" s="506" t="s">
        <v>206</v>
      </c>
      <c r="G369" s="506" t="s">
        <v>206</v>
      </c>
      <c r="H369" s="506" t="s">
        <v>206</v>
      </c>
      <c r="I369" s="506" t="s">
        <v>206</v>
      </c>
      <c r="J369" s="506" t="s">
        <v>206</v>
      </c>
      <c r="K369" s="506" t="s">
        <v>206</v>
      </c>
      <c r="L369" s="506" t="s">
        <v>206</v>
      </c>
      <c r="M369" s="506" t="s">
        <v>206</v>
      </c>
      <c r="N369" s="506" t="s">
        <v>206</v>
      </c>
      <c r="O369" s="506" t="s">
        <v>206</v>
      </c>
      <c r="P369" s="506"/>
      <c r="Q369" s="517">
        <v>368</v>
      </c>
      <c r="R369" s="584" t="s">
        <v>272</v>
      </c>
      <c r="S369" s="506" t="s">
        <v>206</v>
      </c>
      <c r="T369" s="506" t="s">
        <v>206</v>
      </c>
      <c r="U369" s="506" t="s">
        <v>206</v>
      </c>
      <c r="V369" s="506" t="s">
        <v>206</v>
      </c>
      <c r="W369" s="506" t="s">
        <v>206</v>
      </c>
      <c r="X369" s="506" t="s">
        <v>206</v>
      </c>
      <c r="Y369" s="506" t="s">
        <v>206</v>
      </c>
      <c r="Z369" s="506" t="s">
        <v>206</v>
      </c>
      <c r="AA369" s="506" t="s">
        <v>206</v>
      </c>
      <c r="AB369" s="506" t="s">
        <v>206</v>
      </c>
      <c r="AC369" s="506" t="s">
        <v>206</v>
      </c>
      <c r="AD369" s="506" t="s">
        <v>206</v>
      </c>
      <c r="AE369" s="469">
        <v>368</v>
      </c>
      <c r="AF369" s="485">
        <v>0</v>
      </c>
    </row>
    <row r="370" spans="2:32" x14ac:dyDescent="0.35">
      <c r="B370" s="485">
        <v>369</v>
      </c>
      <c r="C370" s="584" t="s">
        <v>273</v>
      </c>
      <c r="D370" s="506" t="s">
        <v>206</v>
      </c>
      <c r="E370" s="506" t="s">
        <v>206</v>
      </c>
      <c r="F370" s="506" t="s">
        <v>206</v>
      </c>
      <c r="G370" s="506" t="s">
        <v>206</v>
      </c>
      <c r="H370" s="506" t="s">
        <v>206</v>
      </c>
      <c r="I370" s="506" t="s">
        <v>206</v>
      </c>
      <c r="J370" s="506" t="s">
        <v>206</v>
      </c>
      <c r="K370" s="506" t="s">
        <v>206</v>
      </c>
      <c r="L370" s="506" t="s">
        <v>206</v>
      </c>
      <c r="M370" s="506" t="s">
        <v>206</v>
      </c>
      <c r="N370" s="506" t="s">
        <v>206</v>
      </c>
      <c r="O370" s="506" t="s">
        <v>206</v>
      </c>
      <c r="P370" s="506"/>
      <c r="Q370" s="517">
        <v>369</v>
      </c>
      <c r="R370" s="584" t="s">
        <v>273</v>
      </c>
      <c r="S370" s="506" t="s">
        <v>206</v>
      </c>
      <c r="T370" s="506" t="s">
        <v>206</v>
      </c>
      <c r="U370" s="506" t="s">
        <v>206</v>
      </c>
      <c r="V370" s="506" t="s">
        <v>206</v>
      </c>
      <c r="W370" s="506" t="s">
        <v>206</v>
      </c>
      <c r="X370" s="506" t="s">
        <v>206</v>
      </c>
      <c r="Y370" s="506" t="s">
        <v>206</v>
      </c>
      <c r="Z370" s="506" t="s">
        <v>206</v>
      </c>
      <c r="AA370" s="506" t="s">
        <v>206</v>
      </c>
      <c r="AB370" s="506" t="s">
        <v>206</v>
      </c>
      <c r="AC370" s="506" t="s">
        <v>206</v>
      </c>
      <c r="AD370" s="506" t="s">
        <v>206</v>
      </c>
      <c r="AE370" s="469">
        <v>369</v>
      </c>
      <c r="AF370" s="485">
        <v>0</v>
      </c>
    </row>
    <row r="371" spans="2:32" x14ac:dyDescent="0.35">
      <c r="B371" s="485">
        <v>370</v>
      </c>
      <c r="C371" s="583" t="s">
        <v>285</v>
      </c>
      <c r="D371" s="506" t="s">
        <v>206</v>
      </c>
      <c r="E371" s="506" t="s">
        <v>206</v>
      </c>
      <c r="F371" s="506" t="s">
        <v>206</v>
      </c>
      <c r="G371" s="506" t="s">
        <v>206</v>
      </c>
      <c r="H371" s="506" t="s">
        <v>206</v>
      </c>
      <c r="I371" s="506" t="s">
        <v>206</v>
      </c>
      <c r="J371" s="506" t="s">
        <v>206</v>
      </c>
      <c r="K371" s="506" t="s">
        <v>206</v>
      </c>
      <c r="L371" s="506" t="s">
        <v>206</v>
      </c>
      <c r="M371" s="506" t="s">
        <v>206</v>
      </c>
      <c r="N371" s="506" t="s">
        <v>206</v>
      </c>
      <c r="O371" s="506" t="s">
        <v>206</v>
      </c>
      <c r="P371" s="506"/>
      <c r="Q371" s="517">
        <v>370</v>
      </c>
      <c r="R371" s="583" t="s">
        <v>285</v>
      </c>
      <c r="S371" s="506" t="s">
        <v>206</v>
      </c>
      <c r="T371" s="506" t="s">
        <v>206</v>
      </c>
      <c r="U371" s="506" t="s">
        <v>206</v>
      </c>
      <c r="V371" s="506" t="s">
        <v>206</v>
      </c>
      <c r="W371" s="506" t="s">
        <v>206</v>
      </c>
      <c r="X371" s="506" t="s">
        <v>206</v>
      </c>
      <c r="Y371" s="506" t="s">
        <v>206</v>
      </c>
      <c r="Z371" s="506" t="s">
        <v>206</v>
      </c>
      <c r="AA371" s="506" t="s">
        <v>206</v>
      </c>
      <c r="AB371" s="506" t="s">
        <v>206</v>
      </c>
      <c r="AC371" s="506" t="s">
        <v>206</v>
      </c>
      <c r="AD371" s="506" t="s">
        <v>206</v>
      </c>
      <c r="AE371" s="469">
        <v>370</v>
      </c>
      <c r="AF371" s="485">
        <v>0</v>
      </c>
    </row>
    <row r="372" spans="2:32" x14ac:dyDescent="0.35">
      <c r="B372" s="485">
        <v>371</v>
      </c>
      <c r="C372" s="584" t="s">
        <v>274</v>
      </c>
      <c r="D372" s="506" t="s">
        <v>206</v>
      </c>
      <c r="E372" s="506" t="s">
        <v>206</v>
      </c>
      <c r="F372" s="506" t="s">
        <v>206</v>
      </c>
      <c r="G372" s="506" t="s">
        <v>206</v>
      </c>
      <c r="H372" s="506" t="s">
        <v>206</v>
      </c>
      <c r="I372" s="506" t="s">
        <v>206</v>
      </c>
      <c r="J372" s="506" t="s">
        <v>206</v>
      </c>
      <c r="K372" s="506" t="s">
        <v>206</v>
      </c>
      <c r="L372" s="506" t="s">
        <v>206</v>
      </c>
      <c r="M372" s="506" t="s">
        <v>206</v>
      </c>
      <c r="N372" s="506" t="s">
        <v>206</v>
      </c>
      <c r="O372" s="506" t="s">
        <v>206</v>
      </c>
      <c r="P372" s="506"/>
      <c r="Q372" s="517">
        <v>371</v>
      </c>
      <c r="R372" s="584" t="s">
        <v>274</v>
      </c>
      <c r="S372" s="506" t="s">
        <v>206</v>
      </c>
      <c r="T372" s="506" t="s">
        <v>206</v>
      </c>
      <c r="U372" s="506" t="s">
        <v>206</v>
      </c>
      <c r="V372" s="506" t="s">
        <v>206</v>
      </c>
      <c r="W372" s="506" t="s">
        <v>206</v>
      </c>
      <c r="X372" s="506" t="s">
        <v>206</v>
      </c>
      <c r="Y372" s="506" t="s">
        <v>206</v>
      </c>
      <c r="Z372" s="506" t="s">
        <v>206</v>
      </c>
      <c r="AA372" s="506" t="s">
        <v>206</v>
      </c>
      <c r="AB372" s="506" t="s">
        <v>206</v>
      </c>
      <c r="AC372" s="506" t="s">
        <v>206</v>
      </c>
      <c r="AD372" s="506" t="s">
        <v>206</v>
      </c>
      <c r="AE372" s="469">
        <v>371</v>
      </c>
      <c r="AF372" s="485">
        <v>0</v>
      </c>
    </row>
    <row r="373" spans="2:32" x14ac:dyDescent="0.35">
      <c r="B373" s="485">
        <v>372</v>
      </c>
      <c r="C373" s="584" t="s">
        <v>275</v>
      </c>
      <c r="D373" s="506" t="s">
        <v>206</v>
      </c>
      <c r="E373" s="506" t="s">
        <v>206</v>
      </c>
      <c r="F373" s="506" t="s">
        <v>206</v>
      </c>
      <c r="G373" s="506" t="s">
        <v>206</v>
      </c>
      <c r="H373" s="506" t="s">
        <v>206</v>
      </c>
      <c r="I373" s="506" t="s">
        <v>206</v>
      </c>
      <c r="J373" s="506" t="s">
        <v>206</v>
      </c>
      <c r="K373" s="506" t="s">
        <v>206</v>
      </c>
      <c r="L373" s="506" t="s">
        <v>206</v>
      </c>
      <c r="M373" s="506" t="s">
        <v>206</v>
      </c>
      <c r="N373" s="506" t="s">
        <v>206</v>
      </c>
      <c r="O373" s="506" t="s">
        <v>206</v>
      </c>
      <c r="P373" s="506"/>
      <c r="Q373" s="517">
        <v>372</v>
      </c>
      <c r="R373" s="584" t="s">
        <v>275</v>
      </c>
      <c r="S373" s="506" t="s">
        <v>206</v>
      </c>
      <c r="T373" s="506" t="s">
        <v>206</v>
      </c>
      <c r="U373" s="506" t="s">
        <v>206</v>
      </c>
      <c r="V373" s="506" t="s">
        <v>206</v>
      </c>
      <c r="W373" s="506" t="s">
        <v>206</v>
      </c>
      <c r="X373" s="506" t="s">
        <v>206</v>
      </c>
      <c r="Y373" s="506" t="s">
        <v>206</v>
      </c>
      <c r="Z373" s="506" t="s">
        <v>206</v>
      </c>
      <c r="AA373" s="506" t="s">
        <v>206</v>
      </c>
      <c r="AB373" s="506" t="s">
        <v>206</v>
      </c>
      <c r="AC373" s="506" t="s">
        <v>206</v>
      </c>
      <c r="AD373" s="506" t="s">
        <v>206</v>
      </c>
      <c r="AE373" s="469">
        <v>372</v>
      </c>
      <c r="AF373" s="485">
        <v>0</v>
      </c>
    </row>
    <row r="374" spans="2:32" x14ac:dyDescent="0.35">
      <c r="B374" s="485">
        <v>373</v>
      </c>
      <c r="C374" s="584" t="s">
        <v>276</v>
      </c>
      <c r="D374" s="506" t="s">
        <v>206</v>
      </c>
      <c r="E374" s="506" t="s">
        <v>206</v>
      </c>
      <c r="F374" s="506" t="s">
        <v>206</v>
      </c>
      <c r="G374" s="506" t="s">
        <v>206</v>
      </c>
      <c r="H374" s="506" t="s">
        <v>206</v>
      </c>
      <c r="I374" s="506" t="s">
        <v>206</v>
      </c>
      <c r="J374" s="506" t="s">
        <v>206</v>
      </c>
      <c r="K374" s="506" t="s">
        <v>206</v>
      </c>
      <c r="L374" s="506" t="s">
        <v>206</v>
      </c>
      <c r="M374" s="506" t="s">
        <v>206</v>
      </c>
      <c r="N374" s="506" t="s">
        <v>206</v>
      </c>
      <c r="O374" s="506" t="s">
        <v>206</v>
      </c>
      <c r="P374" s="506"/>
      <c r="Q374" s="517">
        <v>373</v>
      </c>
      <c r="R374" s="584" t="s">
        <v>276</v>
      </c>
      <c r="S374" s="506" t="s">
        <v>206</v>
      </c>
      <c r="T374" s="506" t="s">
        <v>206</v>
      </c>
      <c r="U374" s="506" t="s">
        <v>206</v>
      </c>
      <c r="V374" s="506" t="s">
        <v>206</v>
      </c>
      <c r="W374" s="506" t="s">
        <v>206</v>
      </c>
      <c r="X374" s="506" t="s">
        <v>206</v>
      </c>
      <c r="Y374" s="506" t="s">
        <v>206</v>
      </c>
      <c r="Z374" s="506" t="s">
        <v>206</v>
      </c>
      <c r="AA374" s="506" t="s">
        <v>206</v>
      </c>
      <c r="AB374" s="506" t="s">
        <v>206</v>
      </c>
      <c r="AC374" s="506" t="s">
        <v>206</v>
      </c>
      <c r="AD374" s="506" t="s">
        <v>206</v>
      </c>
      <c r="AE374" s="469">
        <v>373</v>
      </c>
      <c r="AF374" s="485">
        <v>0</v>
      </c>
    </row>
    <row r="375" spans="2:32" x14ac:dyDescent="0.35">
      <c r="B375" s="485">
        <v>374</v>
      </c>
      <c r="C375" s="583" t="s">
        <v>286</v>
      </c>
      <c r="D375" s="506" t="s">
        <v>206</v>
      </c>
      <c r="E375" s="506" t="s">
        <v>206</v>
      </c>
      <c r="F375" s="506" t="s">
        <v>206</v>
      </c>
      <c r="G375" s="506" t="s">
        <v>206</v>
      </c>
      <c r="H375" s="506" t="s">
        <v>206</v>
      </c>
      <c r="I375" s="506" t="s">
        <v>206</v>
      </c>
      <c r="J375" s="506" t="s">
        <v>206</v>
      </c>
      <c r="K375" s="506" t="s">
        <v>206</v>
      </c>
      <c r="L375" s="506" t="s">
        <v>206</v>
      </c>
      <c r="M375" s="506" t="s">
        <v>206</v>
      </c>
      <c r="N375" s="506" t="s">
        <v>206</v>
      </c>
      <c r="O375" s="506" t="s">
        <v>206</v>
      </c>
      <c r="P375" s="506"/>
      <c r="Q375" s="517">
        <v>374</v>
      </c>
      <c r="R375" s="583" t="s">
        <v>286</v>
      </c>
      <c r="S375" s="506" t="s">
        <v>206</v>
      </c>
      <c r="T375" s="506" t="s">
        <v>206</v>
      </c>
      <c r="U375" s="506" t="s">
        <v>206</v>
      </c>
      <c r="V375" s="506" t="s">
        <v>206</v>
      </c>
      <c r="W375" s="506" t="s">
        <v>206</v>
      </c>
      <c r="X375" s="506" t="s">
        <v>206</v>
      </c>
      <c r="Y375" s="506" t="s">
        <v>206</v>
      </c>
      <c r="Z375" s="506" t="s">
        <v>206</v>
      </c>
      <c r="AA375" s="506" t="s">
        <v>206</v>
      </c>
      <c r="AB375" s="506" t="s">
        <v>206</v>
      </c>
      <c r="AC375" s="506" t="s">
        <v>206</v>
      </c>
      <c r="AD375" s="506" t="s">
        <v>206</v>
      </c>
      <c r="AE375" s="469">
        <v>374</v>
      </c>
      <c r="AF375" s="485">
        <v>0</v>
      </c>
    </row>
    <row r="376" spans="2:32" x14ac:dyDescent="0.35">
      <c r="B376" s="485">
        <v>375</v>
      </c>
      <c r="C376" s="584" t="s">
        <v>277</v>
      </c>
      <c r="D376" s="506" t="s">
        <v>206</v>
      </c>
      <c r="E376" s="506" t="s">
        <v>206</v>
      </c>
      <c r="F376" s="506" t="s">
        <v>206</v>
      </c>
      <c r="G376" s="506" t="s">
        <v>206</v>
      </c>
      <c r="H376" s="506" t="s">
        <v>206</v>
      </c>
      <c r="I376" s="506" t="s">
        <v>206</v>
      </c>
      <c r="J376" s="506" t="s">
        <v>206</v>
      </c>
      <c r="K376" s="506" t="s">
        <v>206</v>
      </c>
      <c r="L376" s="506" t="s">
        <v>206</v>
      </c>
      <c r="M376" s="506" t="s">
        <v>206</v>
      </c>
      <c r="N376" s="506" t="s">
        <v>206</v>
      </c>
      <c r="O376" s="506" t="s">
        <v>206</v>
      </c>
      <c r="P376" s="506"/>
      <c r="Q376" s="517">
        <v>375</v>
      </c>
      <c r="R376" s="584" t="s">
        <v>277</v>
      </c>
      <c r="S376" s="506" t="s">
        <v>206</v>
      </c>
      <c r="T376" s="506" t="s">
        <v>206</v>
      </c>
      <c r="U376" s="506" t="s">
        <v>206</v>
      </c>
      <c r="V376" s="506" t="s">
        <v>206</v>
      </c>
      <c r="W376" s="506" t="s">
        <v>206</v>
      </c>
      <c r="X376" s="506" t="s">
        <v>206</v>
      </c>
      <c r="Y376" s="506" t="s">
        <v>206</v>
      </c>
      <c r="Z376" s="506" t="s">
        <v>206</v>
      </c>
      <c r="AA376" s="506" t="s">
        <v>206</v>
      </c>
      <c r="AB376" s="506" t="s">
        <v>206</v>
      </c>
      <c r="AC376" s="506" t="s">
        <v>206</v>
      </c>
      <c r="AD376" s="506" t="s">
        <v>206</v>
      </c>
      <c r="AE376" s="469">
        <v>375</v>
      </c>
      <c r="AF376" s="485">
        <v>0</v>
      </c>
    </row>
    <row r="377" spans="2:32" x14ac:dyDescent="0.35">
      <c r="B377" s="485">
        <v>376</v>
      </c>
      <c r="C377" s="584" t="s">
        <v>278</v>
      </c>
      <c r="D377" s="506" t="s">
        <v>206</v>
      </c>
      <c r="E377" s="506" t="s">
        <v>206</v>
      </c>
      <c r="F377" s="506" t="s">
        <v>206</v>
      </c>
      <c r="G377" s="506" t="s">
        <v>206</v>
      </c>
      <c r="H377" s="506" t="s">
        <v>206</v>
      </c>
      <c r="I377" s="506" t="s">
        <v>206</v>
      </c>
      <c r="J377" s="506" t="s">
        <v>206</v>
      </c>
      <c r="K377" s="506" t="s">
        <v>206</v>
      </c>
      <c r="L377" s="506" t="s">
        <v>206</v>
      </c>
      <c r="M377" s="506" t="s">
        <v>206</v>
      </c>
      <c r="N377" s="506" t="s">
        <v>206</v>
      </c>
      <c r="O377" s="506" t="s">
        <v>206</v>
      </c>
      <c r="P377" s="506"/>
      <c r="Q377" s="517">
        <v>376</v>
      </c>
      <c r="R377" s="584" t="s">
        <v>278</v>
      </c>
      <c r="S377" s="506" t="s">
        <v>206</v>
      </c>
      <c r="T377" s="506" t="s">
        <v>206</v>
      </c>
      <c r="U377" s="506" t="s">
        <v>206</v>
      </c>
      <c r="V377" s="506" t="s">
        <v>206</v>
      </c>
      <c r="W377" s="506" t="s">
        <v>206</v>
      </c>
      <c r="X377" s="506" t="s">
        <v>206</v>
      </c>
      <c r="Y377" s="506" t="s">
        <v>206</v>
      </c>
      <c r="Z377" s="506" t="s">
        <v>206</v>
      </c>
      <c r="AA377" s="506" t="s">
        <v>206</v>
      </c>
      <c r="AB377" s="506" t="s">
        <v>206</v>
      </c>
      <c r="AC377" s="506" t="s">
        <v>206</v>
      </c>
      <c r="AD377" s="506" t="s">
        <v>206</v>
      </c>
      <c r="AE377" s="469">
        <v>376</v>
      </c>
      <c r="AF377" s="485">
        <v>0</v>
      </c>
    </row>
    <row r="378" spans="2:32" x14ac:dyDescent="0.35">
      <c r="B378" s="485">
        <v>377</v>
      </c>
      <c r="C378" s="584" t="s">
        <v>279</v>
      </c>
      <c r="D378" s="506" t="s">
        <v>206</v>
      </c>
      <c r="E378" s="506" t="s">
        <v>206</v>
      </c>
      <c r="F378" s="506" t="s">
        <v>206</v>
      </c>
      <c r="G378" s="506" t="s">
        <v>206</v>
      </c>
      <c r="H378" s="506" t="s">
        <v>206</v>
      </c>
      <c r="I378" s="506" t="s">
        <v>206</v>
      </c>
      <c r="J378" s="506" t="s">
        <v>206</v>
      </c>
      <c r="K378" s="506" t="s">
        <v>206</v>
      </c>
      <c r="L378" s="506" t="s">
        <v>206</v>
      </c>
      <c r="M378" s="506" t="s">
        <v>206</v>
      </c>
      <c r="N378" s="506" t="s">
        <v>206</v>
      </c>
      <c r="O378" s="506" t="s">
        <v>206</v>
      </c>
      <c r="P378" s="506"/>
      <c r="Q378" s="517">
        <v>377</v>
      </c>
      <c r="R378" s="584" t="s">
        <v>279</v>
      </c>
      <c r="S378" s="506" t="s">
        <v>206</v>
      </c>
      <c r="T378" s="506" t="s">
        <v>206</v>
      </c>
      <c r="U378" s="506" t="s">
        <v>206</v>
      </c>
      <c r="V378" s="506" t="s">
        <v>206</v>
      </c>
      <c r="W378" s="506" t="s">
        <v>206</v>
      </c>
      <c r="X378" s="506" t="s">
        <v>206</v>
      </c>
      <c r="Y378" s="506" t="s">
        <v>206</v>
      </c>
      <c r="Z378" s="506" t="s">
        <v>206</v>
      </c>
      <c r="AA378" s="506" t="s">
        <v>206</v>
      </c>
      <c r="AB378" s="506" t="s">
        <v>206</v>
      </c>
      <c r="AC378" s="506" t="s">
        <v>206</v>
      </c>
      <c r="AD378" s="506" t="s">
        <v>206</v>
      </c>
      <c r="AE378" s="469">
        <v>377</v>
      </c>
      <c r="AF378" s="485">
        <v>0</v>
      </c>
    </row>
    <row r="379" spans="2:32" x14ac:dyDescent="0.35">
      <c r="B379" s="485">
        <v>378</v>
      </c>
      <c r="C379" s="583" t="s">
        <v>287</v>
      </c>
      <c r="D379" s="506" t="s">
        <v>206</v>
      </c>
      <c r="E379" s="506" t="s">
        <v>206</v>
      </c>
      <c r="F379" s="506" t="s">
        <v>206</v>
      </c>
      <c r="G379" s="506" t="s">
        <v>206</v>
      </c>
      <c r="H379" s="506" t="s">
        <v>206</v>
      </c>
      <c r="I379" s="506" t="s">
        <v>206</v>
      </c>
      <c r="J379" s="506" t="s">
        <v>206</v>
      </c>
      <c r="K379" s="506" t="s">
        <v>206</v>
      </c>
      <c r="L379" s="506" t="s">
        <v>206</v>
      </c>
      <c r="M379" s="506" t="s">
        <v>206</v>
      </c>
      <c r="N379" s="506" t="s">
        <v>206</v>
      </c>
      <c r="O379" s="506" t="s">
        <v>206</v>
      </c>
      <c r="P379" s="506"/>
      <c r="Q379" s="517">
        <v>378</v>
      </c>
      <c r="R379" s="583" t="s">
        <v>287</v>
      </c>
      <c r="S379" s="506" t="s">
        <v>206</v>
      </c>
      <c r="T379" s="506" t="s">
        <v>206</v>
      </c>
      <c r="U379" s="506" t="s">
        <v>206</v>
      </c>
      <c r="V379" s="506" t="s">
        <v>206</v>
      </c>
      <c r="W379" s="506" t="s">
        <v>206</v>
      </c>
      <c r="X379" s="506" t="s">
        <v>206</v>
      </c>
      <c r="Y379" s="506" t="s">
        <v>206</v>
      </c>
      <c r="Z379" s="506" t="s">
        <v>206</v>
      </c>
      <c r="AA379" s="506" t="s">
        <v>206</v>
      </c>
      <c r="AB379" s="506" t="s">
        <v>206</v>
      </c>
      <c r="AC379" s="506" t="s">
        <v>206</v>
      </c>
      <c r="AD379" s="506" t="s">
        <v>206</v>
      </c>
      <c r="AE379" s="469">
        <v>378</v>
      </c>
      <c r="AF379" s="485">
        <v>0</v>
      </c>
    </row>
    <row r="380" spans="2:32" ht="15" customHeight="1" x14ac:dyDescent="0.35">
      <c r="B380" s="485">
        <v>379</v>
      </c>
      <c r="C380" s="584" t="s">
        <v>280</v>
      </c>
      <c r="D380" s="506" t="s">
        <v>206</v>
      </c>
      <c r="E380" s="506" t="s">
        <v>206</v>
      </c>
      <c r="F380" s="506" t="s">
        <v>206</v>
      </c>
      <c r="G380" s="506" t="s">
        <v>206</v>
      </c>
      <c r="H380" s="506" t="s">
        <v>206</v>
      </c>
      <c r="I380" s="506" t="s">
        <v>206</v>
      </c>
      <c r="J380" s="506" t="s">
        <v>206</v>
      </c>
      <c r="K380" s="506" t="s">
        <v>206</v>
      </c>
      <c r="L380" s="506" t="s">
        <v>206</v>
      </c>
      <c r="M380" s="506" t="s">
        <v>206</v>
      </c>
      <c r="N380" s="506" t="s">
        <v>206</v>
      </c>
      <c r="O380" s="506" t="s">
        <v>206</v>
      </c>
      <c r="P380" s="506"/>
      <c r="Q380" s="517">
        <v>379</v>
      </c>
      <c r="R380" s="584" t="s">
        <v>280</v>
      </c>
      <c r="S380" s="506" t="s">
        <v>206</v>
      </c>
      <c r="T380" s="506" t="s">
        <v>206</v>
      </c>
      <c r="U380" s="506" t="s">
        <v>206</v>
      </c>
      <c r="V380" s="506" t="s">
        <v>206</v>
      </c>
      <c r="W380" s="506" t="s">
        <v>206</v>
      </c>
      <c r="X380" s="506" t="s">
        <v>206</v>
      </c>
      <c r="Y380" s="506" t="s">
        <v>206</v>
      </c>
      <c r="Z380" s="506" t="s">
        <v>206</v>
      </c>
      <c r="AA380" s="506" t="s">
        <v>206</v>
      </c>
      <c r="AB380" s="506" t="s">
        <v>206</v>
      </c>
      <c r="AC380" s="506" t="s">
        <v>206</v>
      </c>
      <c r="AD380" s="506" t="s">
        <v>206</v>
      </c>
      <c r="AE380" s="469">
        <v>379</v>
      </c>
      <c r="AF380" s="485">
        <v>0</v>
      </c>
    </row>
    <row r="381" spans="2:32" x14ac:dyDescent="0.35">
      <c r="B381" s="485">
        <v>380</v>
      </c>
      <c r="C381" s="584" t="s">
        <v>281</v>
      </c>
      <c r="D381" s="506" t="s">
        <v>206</v>
      </c>
      <c r="E381" s="506" t="s">
        <v>206</v>
      </c>
      <c r="F381" s="506" t="s">
        <v>206</v>
      </c>
      <c r="G381" s="506" t="s">
        <v>206</v>
      </c>
      <c r="H381" s="506" t="s">
        <v>206</v>
      </c>
      <c r="I381" s="506" t="s">
        <v>206</v>
      </c>
      <c r="J381" s="506" t="s">
        <v>206</v>
      </c>
      <c r="K381" s="506" t="s">
        <v>206</v>
      </c>
      <c r="L381" s="506" t="s">
        <v>206</v>
      </c>
      <c r="M381" s="506" t="s">
        <v>206</v>
      </c>
      <c r="N381" s="506" t="s">
        <v>206</v>
      </c>
      <c r="O381" s="506" t="s">
        <v>206</v>
      </c>
      <c r="P381" s="506"/>
      <c r="Q381" s="517">
        <v>380</v>
      </c>
      <c r="R381" s="584" t="s">
        <v>281</v>
      </c>
      <c r="S381" s="506" t="s">
        <v>206</v>
      </c>
      <c r="T381" s="506" t="s">
        <v>206</v>
      </c>
      <c r="U381" s="506" t="s">
        <v>206</v>
      </c>
      <c r="V381" s="506" t="s">
        <v>206</v>
      </c>
      <c r="W381" s="506" t="s">
        <v>206</v>
      </c>
      <c r="X381" s="506" t="s">
        <v>206</v>
      </c>
      <c r="Y381" s="506" t="s">
        <v>206</v>
      </c>
      <c r="Z381" s="506" t="s">
        <v>206</v>
      </c>
      <c r="AA381" s="506" t="s">
        <v>206</v>
      </c>
      <c r="AB381" s="506" t="s">
        <v>206</v>
      </c>
      <c r="AC381" s="506" t="s">
        <v>206</v>
      </c>
      <c r="AD381" s="506" t="s">
        <v>206</v>
      </c>
      <c r="AE381" s="469">
        <v>380</v>
      </c>
      <c r="AF381" s="485">
        <v>0</v>
      </c>
    </row>
    <row r="382" spans="2:32" x14ac:dyDescent="0.35">
      <c r="B382" s="485">
        <v>381</v>
      </c>
      <c r="C382" s="584" t="s">
        <v>282</v>
      </c>
      <c r="D382" s="506" t="s">
        <v>206</v>
      </c>
      <c r="E382" s="506" t="s">
        <v>206</v>
      </c>
      <c r="F382" s="506" t="s">
        <v>206</v>
      </c>
      <c r="G382" s="506" t="s">
        <v>206</v>
      </c>
      <c r="H382" s="506" t="s">
        <v>206</v>
      </c>
      <c r="I382" s="506" t="s">
        <v>206</v>
      </c>
      <c r="J382" s="506" t="s">
        <v>206</v>
      </c>
      <c r="K382" s="506" t="s">
        <v>206</v>
      </c>
      <c r="L382" s="506" t="s">
        <v>206</v>
      </c>
      <c r="M382" s="506" t="s">
        <v>206</v>
      </c>
      <c r="N382" s="506" t="s">
        <v>206</v>
      </c>
      <c r="O382" s="506" t="s">
        <v>206</v>
      </c>
      <c r="P382" s="506"/>
      <c r="Q382" s="517">
        <v>381</v>
      </c>
      <c r="R382" s="584" t="s">
        <v>282</v>
      </c>
      <c r="S382" s="506" t="s">
        <v>206</v>
      </c>
      <c r="T382" s="506" t="s">
        <v>206</v>
      </c>
      <c r="U382" s="506" t="s">
        <v>206</v>
      </c>
      <c r="V382" s="506" t="s">
        <v>206</v>
      </c>
      <c r="W382" s="506" t="s">
        <v>206</v>
      </c>
      <c r="X382" s="506" t="s">
        <v>206</v>
      </c>
      <c r="Y382" s="506" t="s">
        <v>206</v>
      </c>
      <c r="Z382" s="506" t="s">
        <v>206</v>
      </c>
      <c r="AA382" s="506" t="s">
        <v>206</v>
      </c>
      <c r="AB382" s="506" t="s">
        <v>206</v>
      </c>
      <c r="AC382" s="506" t="s">
        <v>206</v>
      </c>
      <c r="AD382" s="506" t="s">
        <v>206</v>
      </c>
      <c r="AE382" s="469">
        <v>381</v>
      </c>
      <c r="AF382" s="485">
        <v>0</v>
      </c>
    </row>
    <row r="383" spans="2:32" x14ac:dyDescent="0.35">
      <c r="B383" s="485">
        <v>382</v>
      </c>
      <c r="C383" s="583" t="s">
        <v>291</v>
      </c>
      <c r="D383" s="506" t="s">
        <v>206</v>
      </c>
      <c r="E383" s="506" t="s">
        <v>206</v>
      </c>
      <c r="F383" s="506" t="s">
        <v>206</v>
      </c>
      <c r="G383" s="506" t="s">
        <v>206</v>
      </c>
      <c r="H383" s="506" t="s">
        <v>206</v>
      </c>
      <c r="I383" s="506" t="s">
        <v>206</v>
      </c>
      <c r="J383" s="506" t="s">
        <v>206</v>
      </c>
      <c r="K383" s="506" t="s">
        <v>206</v>
      </c>
      <c r="L383" s="506" t="s">
        <v>206</v>
      </c>
      <c r="M383" s="506" t="s">
        <v>206</v>
      </c>
      <c r="N383" s="506" t="s">
        <v>206</v>
      </c>
      <c r="O383" s="506" t="s">
        <v>206</v>
      </c>
      <c r="P383" s="506"/>
      <c r="Q383" s="517">
        <v>382</v>
      </c>
      <c r="R383" s="583" t="s">
        <v>291</v>
      </c>
      <c r="S383" s="506" t="s">
        <v>206</v>
      </c>
      <c r="T383" s="506" t="s">
        <v>206</v>
      </c>
      <c r="U383" s="506" t="s">
        <v>206</v>
      </c>
      <c r="V383" s="506" t="s">
        <v>206</v>
      </c>
      <c r="W383" s="506" t="s">
        <v>206</v>
      </c>
      <c r="X383" s="506" t="s">
        <v>206</v>
      </c>
      <c r="Y383" s="506" t="s">
        <v>206</v>
      </c>
      <c r="Z383" s="506" t="s">
        <v>206</v>
      </c>
      <c r="AA383" s="506" t="s">
        <v>206</v>
      </c>
      <c r="AB383" s="506" t="s">
        <v>206</v>
      </c>
      <c r="AC383" s="506" t="s">
        <v>206</v>
      </c>
      <c r="AD383" s="506" t="s">
        <v>206</v>
      </c>
      <c r="AE383" s="469">
        <v>382</v>
      </c>
      <c r="AF383" s="485">
        <v>0</v>
      </c>
    </row>
    <row r="384" spans="2:32" x14ac:dyDescent="0.35">
      <c r="B384" s="485">
        <v>383</v>
      </c>
      <c r="C384" s="584" t="s">
        <v>288</v>
      </c>
      <c r="D384" s="506" t="s">
        <v>206</v>
      </c>
      <c r="E384" s="506" t="s">
        <v>206</v>
      </c>
      <c r="F384" s="506" t="s">
        <v>206</v>
      </c>
      <c r="G384" s="506" t="s">
        <v>206</v>
      </c>
      <c r="H384" s="506" t="s">
        <v>206</v>
      </c>
      <c r="I384" s="506" t="s">
        <v>206</v>
      </c>
      <c r="J384" s="506" t="s">
        <v>206</v>
      </c>
      <c r="K384" s="506" t="s">
        <v>206</v>
      </c>
      <c r="L384" s="506" t="s">
        <v>206</v>
      </c>
      <c r="M384" s="506" t="s">
        <v>206</v>
      </c>
      <c r="N384" s="506" t="s">
        <v>206</v>
      </c>
      <c r="O384" s="506" t="s">
        <v>206</v>
      </c>
      <c r="P384" s="506"/>
      <c r="Q384" s="517">
        <v>383</v>
      </c>
      <c r="R384" s="584" t="s">
        <v>288</v>
      </c>
      <c r="S384" s="506" t="s">
        <v>206</v>
      </c>
      <c r="T384" s="506" t="s">
        <v>206</v>
      </c>
      <c r="U384" s="506" t="s">
        <v>206</v>
      </c>
      <c r="V384" s="506" t="s">
        <v>206</v>
      </c>
      <c r="W384" s="506" t="s">
        <v>206</v>
      </c>
      <c r="X384" s="506" t="s">
        <v>206</v>
      </c>
      <c r="Y384" s="506" t="s">
        <v>206</v>
      </c>
      <c r="Z384" s="506" t="s">
        <v>206</v>
      </c>
      <c r="AA384" s="506" t="s">
        <v>206</v>
      </c>
      <c r="AB384" s="506" t="s">
        <v>206</v>
      </c>
      <c r="AC384" s="506" t="s">
        <v>206</v>
      </c>
      <c r="AD384" s="506" t="s">
        <v>206</v>
      </c>
      <c r="AE384" s="469">
        <v>383</v>
      </c>
      <c r="AF384" s="485">
        <v>0</v>
      </c>
    </row>
    <row r="385" spans="2:32" x14ac:dyDescent="0.35">
      <c r="B385" s="485">
        <v>384</v>
      </c>
      <c r="C385" s="584" t="s">
        <v>289</v>
      </c>
      <c r="D385" s="506" t="s">
        <v>206</v>
      </c>
      <c r="E385" s="506" t="s">
        <v>206</v>
      </c>
      <c r="F385" s="506" t="s">
        <v>206</v>
      </c>
      <c r="G385" s="506" t="s">
        <v>206</v>
      </c>
      <c r="H385" s="506" t="s">
        <v>206</v>
      </c>
      <c r="I385" s="506" t="s">
        <v>206</v>
      </c>
      <c r="J385" s="506" t="s">
        <v>206</v>
      </c>
      <c r="K385" s="506" t="s">
        <v>206</v>
      </c>
      <c r="L385" s="506" t="s">
        <v>206</v>
      </c>
      <c r="M385" s="506" t="s">
        <v>206</v>
      </c>
      <c r="N385" s="506" t="s">
        <v>206</v>
      </c>
      <c r="O385" s="506" t="s">
        <v>206</v>
      </c>
      <c r="P385" s="506"/>
      <c r="Q385" s="517">
        <v>384</v>
      </c>
      <c r="R385" s="584" t="s">
        <v>289</v>
      </c>
      <c r="S385" s="506" t="s">
        <v>206</v>
      </c>
      <c r="T385" s="506" t="s">
        <v>206</v>
      </c>
      <c r="U385" s="506" t="s">
        <v>206</v>
      </c>
      <c r="V385" s="506" t="s">
        <v>206</v>
      </c>
      <c r="W385" s="506" t="s">
        <v>206</v>
      </c>
      <c r="X385" s="506" t="s">
        <v>206</v>
      </c>
      <c r="Y385" s="506" t="s">
        <v>206</v>
      </c>
      <c r="Z385" s="506" t="s">
        <v>206</v>
      </c>
      <c r="AA385" s="506" t="s">
        <v>206</v>
      </c>
      <c r="AB385" s="506" t="s">
        <v>206</v>
      </c>
      <c r="AC385" s="506" t="s">
        <v>206</v>
      </c>
      <c r="AD385" s="506" t="s">
        <v>206</v>
      </c>
      <c r="AE385" s="469">
        <v>384</v>
      </c>
      <c r="AF385" s="485">
        <v>0</v>
      </c>
    </row>
    <row r="386" spans="2:32" x14ac:dyDescent="0.35">
      <c r="B386" s="485">
        <v>385</v>
      </c>
      <c r="C386" s="584" t="s">
        <v>290</v>
      </c>
      <c r="D386" s="506" t="s">
        <v>206</v>
      </c>
      <c r="E386" s="506" t="s">
        <v>206</v>
      </c>
      <c r="F386" s="506" t="s">
        <v>206</v>
      </c>
      <c r="G386" s="506" t="s">
        <v>206</v>
      </c>
      <c r="H386" s="506" t="s">
        <v>206</v>
      </c>
      <c r="I386" s="506" t="s">
        <v>206</v>
      </c>
      <c r="J386" s="506" t="s">
        <v>206</v>
      </c>
      <c r="K386" s="506" t="s">
        <v>206</v>
      </c>
      <c r="L386" s="506" t="s">
        <v>206</v>
      </c>
      <c r="M386" s="506" t="s">
        <v>206</v>
      </c>
      <c r="N386" s="506" t="s">
        <v>206</v>
      </c>
      <c r="O386" s="506" t="s">
        <v>206</v>
      </c>
      <c r="P386" s="506"/>
      <c r="Q386" s="517">
        <v>385</v>
      </c>
      <c r="R386" s="584" t="s">
        <v>290</v>
      </c>
      <c r="S386" s="506" t="s">
        <v>206</v>
      </c>
      <c r="T386" s="506" t="s">
        <v>206</v>
      </c>
      <c r="U386" s="506" t="s">
        <v>206</v>
      </c>
      <c r="V386" s="506" t="s">
        <v>206</v>
      </c>
      <c r="W386" s="506" t="s">
        <v>206</v>
      </c>
      <c r="X386" s="506" t="s">
        <v>206</v>
      </c>
      <c r="Y386" s="506" t="s">
        <v>206</v>
      </c>
      <c r="Z386" s="506" t="s">
        <v>206</v>
      </c>
      <c r="AA386" s="506" t="s">
        <v>206</v>
      </c>
      <c r="AB386" s="506" t="s">
        <v>206</v>
      </c>
      <c r="AC386" s="506" t="s">
        <v>206</v>
      </c>
      <c r="AD386" s="506" t="s">
        <v>206</v>
      </c>
      <c r="AE386" s="469">
        <v>385</v>
      </c>
      <c r="AF386" s="485">
        <v>0</v>
      </c>
    </row>
    <row r="387" spans="2:32" x14ac:dyDescent="0.35">
      <c r="B387" s="485">
        <v>386</v>
      </c>
      <c r="C387" s="585" t="s">
        <v>300</v>
      </c>
      <c r="D387" s="432" t="s">
        <v>386</v>
      </c>
      <c r="E387" s="432" t="s">
        <v>387</v>
      </c>
      <c r="F387" s="432" t="s">
        <v>388</v>
      </c>
      <c r="G387" s="432" t="s">
        <v>389</v>
      </c>
      <c r="H387" s="432" t="s">
        <v>390</v>
      </c>
      <c r="I387" s="432" t="s">
        <v>391</v>
      </c>
      <c r="J387" s="432" t="s">
        <v>392</v>
      </c>
      <c r="K387" s="432" t="s">
        <v>393</v>
      </c>
      <c r="L387" s="432" t="s">
        <v>394</v>
      </c>
      <c r="M387" s="432" t="s">
        <v>395</v>
      </c>
      <c r="N387" s="432" t="s">
        <v>396</v>
      </c>
      <c r="O387" s="460" t="s">
        <v>397</v>
      </c>
      <c r="P387" s="488"/>
      <c r="Q387" s="517">
        <v>386</v>
      </c>
      <c r="R387" s="585" t="s">
        <v>300</v>
      </c>
      <c r="S387" s="501" t="s">
        <v>132</v>
      </c>
      <c r="T387" s="501" t="s">
        <v>20</v>
      </c>
      <c r="U387" s="501" t="s">
        <v>21</v>
      </c>
      <c r="V387" s="501" t="s">
        <v>22</v>
      </c>
      <c r="W387" s="501" t="s">
        <v>23</v>
      </c>
      <c r="X387" s="501" t="s">
        <v>24</v>
      </c>
      <c r="Y387" s="501" t="s">
        <v>25</v>
      </c>
      <c r="Z387" s="501" t="s">
        <v>26</v>
      </c>
      <c r="AA387" s="501" t="s">
        <v>27</v>
      </c>
      <c r="AB387" s="501" t="s">
        <v>28</v>
      </c>
      <c r="AC387" s="501" t="s">
        <v>29</v>
      </c>
      <c r="AD387" s="502" t="s">
        <v>30</v>
      </c>
      <c r="AE387" s="469">
        <v>386</v>
      </c>
      <c r="AF387" s="485" t="e">
        <v>#REF!</v>
      </c>
    </row>
    <row r="388" spans="2:32" x14ac:dyDescent="0.35">
      <c r="B388" s="485">
        <v>387</v>
      </c>
      <c r="C388" s="586" t="s">
        <v>293</v>
      </c>
      <c r="D388" s="592">
        <f>D25/D5</f>
        <v>0.42813455657492355</v>
      </c>
      <c r="E388" s="592">
        <f t="shared" ref="E388:O388" si="215">E25/E5</f>
        <v>0.35967302452316074</v>
      </c>
      <c r="F388" s="592">
        <f t="shared" si="215"/>
        <v>0.36363636363636365</v>
      </c>
      <c r="G388" s="592">
        <f t="shared" si="215"/>
        <v>0.37530266343825663</v>
      </c>
      <c r="H388" s="592">
        <f t="shared" si="215"/>
        <v>0.35509138381201044</v>
      </c>
      <c r="I388" s="592">
        <f t="shared" si="215"/>
        <v>0.33245382585751981</v>
      </c>
      <c r="J388" s="592">
        <f t="shared" si="215"/>
        <v>0.35786802030456855</v>
      </c>
      <c r="K388" s="592">
        <f t="shared" si="215"/>
        <v>0.36811594202898551</v>
      </c>
      <c r="L388" s="592">
        <f t="shared" si="215"/>
        <v>0.41353383458646614</v>
      </c>
      <c r="M388" s="592">
        <f t="shared" si="215"/>
        <v>0.41420118343195267</v>
      </c>
      <c r="N388" s="592">
        <f t="shared" si="215"/>
        <v>0.4</v>
      </c>
      <c r="O388" s="592">
        <f t="shared" si="215"/>
        <v>0.37464788732394366</v>
      </c>
      <c r="P388" s="488"/>
      <c r="Q388" s="517">
        <v>387</v>
      </c>
      <c r="R388" s="586" t="s">
        <v>293</v>
      </c>
      <c r="S388" s="592">
        <f>S25/S5</f>
        <v>0.42813455657492355</v>
      </c>
      <c r="T388" s="592">
        <f t="shared" ref="T388:AD388" si="216">T25/T5</f>
        <v>0.39193083573487031</v>
      </c>
      <c r="U388" s="592">
        <f t="shared" si="216"/>
        <v>0.38165137614678901</v>
      </c>
      <c r="V388" s="592">
        <f t="shared" si="216"/>
        <v>0.37990685296074517</v>
      </c>
      <c r="W388" s="592">
        <f t="shared" si="216"/>
        <v>0.37486744432661717</v>
      </c>
      <c r="X388" s="592">
        <f t="shared" si="216"/>
        <v>0.36777041942604854</v>
      </c>
      <c r="Y388" s="592">
        <f t="shared" si="216"/>
        <v>0.36630312147423844</v>
      </c>
      <c r="Z388" s="592">
        <f t="shared" si="216"/>
        <v>0.36651131824234356</v>
      </c>
      <c r="AA388" s="592">
        <f t="shared" si="216"/>
        <v>0.37202468410226269</v>
      </c>
      <c r="AB388" s="592">
        <f t="shared" si="216"/>
        <v>0.37583533814488107</v>
      </c>
      <c r="AC388" s="592">
        <f t="shared" si="216"/>
        <v>0.37768452234016292</v>
      </c>
      <c r="AD388" s="592">
        <f t="shared" si="216"/>
        <v>0.37743985474353153</v>
      </c>
      <c r="AE388" s="469">
        <v>387</v>
      </c>
      <c r="AF388" s="485">
        <v>0</v>
      </c>
    </row>
    <row r="389" spans="2:32" x14ac:dyDescent="0.35">
      <c r="B389" s="485">
        <v>388</v>
      </c>
      <c r="C389" s="586" t="s">
        <v>294</v>
      </c>
      <c r="D389" s="592">
        <f>D71/D52</f>
        <v>0.45714285714285713</v>
      </c>
      <c r="E389" s="592">
        <f t="shared" ref="E389:O389" si="217">E71/E52</f>
        <v>0.45945945945945948</v>
      </c>
      <c r="F389" s="592">
        <f t="shared" si="217"/>
        <v>0.36065573770491804</v>
      </c>
      <c r="G389" s="592">
        <f t="shared" si="217"/>
        <v>0.4375</v>
      </c>
      <c r="H389" s="592">
        <f t="shared" si="217"/>
        <v>0.33333333333333331</v>
      </c>
      <c r="I389" s="592">
        <f t="shared" si="217"/>
        <v>0.32608695652173914</v>
      </c>
      <c r="J389" s="592">
        <f t="shared" si="217"/>
        <v>0.31111111111111112</v>
      </c>
      <c r="K389" s="592">
        <f t="shared" si="217"/>
        <v>0.30952380952380953</v>
      </c>
      <c r="L389" s="592">
        <f t="shared" si="217"/>
        <v>0.36585365853658536</v>
      </c>
      <c r="M389" s="592">
        <f t="shared" si="217"/>
        <v>0.43243243243243246</v>
      </c>
      <c r="N389" s="592">
        <f t="shared" si="217"/>
        <v>0.3611111111111111</v>
      </c>
      <c r="O389" s="592">
        <f t="shared" si="217"/>
        <v>0.4</v>
      </c>
      <c r="P389" s="488"/>
      <c r="Q389" s="517">
        <v>388</v>
      </c>
      <c r="R389" s="586" t="s">
        <v>294</v>
      </c>
      <c r="S389" s="592">
        <f>S71/S52</f>
        <v>0.45714285714285713</v>
      </c>
      <c r="T389" s="592">
        <f t="shared" ref="T389:AD389" si="218">T71/T52</f>
        <v>0.45833333333333331</v>
      </c>
      <c r="U389" s="592">
        <f t="shared" si="218"/>
        <v>0.41353383458646614</v>
      </c>
      <c r="V389" s="592">
        <f t="shared" si="218"/>
        <v>0.41988950276243092</v>
      </c>
      <c r="W389" s="592">
        <f t="shared" si="218"/>
        <v>0.40174672489082969</v>
      </c>
      <c r="X389" s="592">
        <f t="shared" si="218"/>
        <v>0.3890909090909091</v>
      </c>
      <c r="Y389" s="592">
        <f t="shared" si="218"/>
        <v>0.37812499999999999</v>
      </c>
      <c r="Z389" s="592">
        <f t="shared" si="218"/>
        <v>0.37016574585635359</v>
      </c>
      <c r="AA389" s="592">
        <f t="shared" si="218"/>
        <v>0.36972704714640198</v>
      </c>
      <c r="AB389" s="592">
        <f t="shared" si="218"/>
        <v>0.375</v>
      </c>
      <c r="AC389" s="592">
        <f t="shared" si="218"/>
        <v>0.37394957983193278</v>
      </c>
      <c r="AD389" s="592">
        <f t="shared" si="218"/>
        <v>0.37573385518590996</v>
      </c>
      <c r="AE389" s="469">
        <v>388</v>
      </c>
      <c r="AF389" s="485">
        <v>4.5445062785594654</v>
      </c>
    </row>
    <row r="390" spans="2:32" x14ac:dyDescent="0.35">
      <c r="B390" s="485">
        <v>389</v>
      </c>
      <c r="C390" s="586" t="s">
        <v>295</v>
      </c>
      <c r="D390" s="592">
        <f>D118/D99</f>
        <v>0.41747572815533979</v>
      </c>
      <c r="E390" s="592">
        <f t="shared" ref="E390:O390" si="219">E118/E99</f>
        <v>0.3925233644859813</v>
      </c>
      <c r="F390" s="592">
        <f t="shared" si="219"/>
        <v>0.37068965517241381</v>
      </c>
      <c r="G390" s="592">
        <f t="shared" si="219"/>
        <v>0.3543307086614173</v>
      </c>
      <c r="H390" s="592">
        <f t="shared" si="219"/>
        <v>0.38053097345132741</v>
      </c>
      <c r="I390" s="592">
        <f t="shared" si="219"/>
        <v>0.32283464566929132</v>
      </c>
      <c r="J390" s="592">
        <f t="shared" si="219"/>
        <v>0.36666666666666664</v>
      </c>
      <c r="K390" s="592">
        <f t="shared" si="219"/>
        <v>0.42857142857142855</v>
      </c>
      <c r="L390" s="592">
        <f t="shared" si="219"/>
        <v>0.4263565891472868</v>
      </c>
      <c r="M390" s="592">
        <f t="shared" si="219"/>
        <v>0.45217391304347826</v>
      </c>
      <c r="N390" s="592">
        <f t="shared" si="219"/>
        <v>0.43137254901960786</v>
      </c>
      <c r="O390" s="592">
        <f t="shared" si="219"/>
        <v>0.39669421487603307</v>
      </c>
      <c r="P390" s="488"/>
      <c r="Q390" s="517">
        <v>389</v>
      </c>
      <c r="R390" s="586" t="s">
        <v>295</v>
      </c>
      <c r="S390" s="592">
        <f>S118/S99</f>
        <v>0.41747572815533979</v>
      </c>
      <c r="T390" s="592">
        <f t="shared" ref="T390:AD390" si="220">T118/T99</f>
        <v>0.40476190476190477</v>
      </c>
      <c r="U390" s="592">
        <f t="shared" si="220"/>
        <v>0.39263803680981596</v>
      </c>
      <c r="V390" s="592">
        <f t="shared" si="220"/>
        <v>0.38189845474613687</v>
      </c>
      <c r="W390" s="592">
        <f t="shared" si="220"/>
        <v>0.38162544169611307</v>
      </c>
      <c r="X390" s="592">
        <f t="shared" si="220"/>
        <v>0.37085137085137088</v>
      </c>
      <c r="Y390" s="592">
        <f t="shared" si="220"/>
        <v>0.37023370233702335</v>
      </c>
      <c r="Z390" s="592">
        <f t="shared" si="220"/>
        <v>0.37690631808278868</v>
      </c>
      <c r="AA390" s="592">
        <f t="shared" si="220"/>
        <v>0.38299904489016234</v>
      </c>
      <c r="AB390" s="592">
        <f t="shared" si="220"/>
        <v>0.38984509466437178</v>
      </c>
      <c r="AC390" s="592">
        <f t="shared" si="220"/>
        <v>0.39319620253164556</v>
      </c>
      <c r="AD390" s="592">
        <f t="shared" si="220"/>
        <v>0.39350180505415161</v>
      </c>
      <c r="AE390" s="469">
        <v>389</v>
      </c>
      <c r="AF390" s="485">
        <v>4.5540111898936786</v>
      </c>
    </row>
    <row r="391" spans="2:32" x14ac:dyDescent="0.35">
      <c r="B391" s="485">
        <v>390</v>
      </c>
      <c r="C391" s="586" t="s">
        <v>296</v>
      </c>
      <c r="D391" s="592">
        <f>D165/D146</f>
        <v>0.47058823529411764</v>
      </c>
      <c r="E391" s="592">
        <f t="shared" ref="E391:O391" si="221">E165/E146</f>
        <v>0.30434782608695654</v>
      </c>
      <c r="F391" s="592">
        <f t="shared" si="221"/>
        <v>0.359375</v>
      </c>
      <c r="G391" s="592">
        <f t="shared" si="221"/>
        <v>0.39506172839506171</v>
      </c>
      <c r="H391" s="592">
        <f t="shared" si="221"/>
        <v>0.31944444444444442</v>
      </c>
      <c r="I391" s="592">
        <f t="shared" si="221"/>
        <v>0.31343283582089554</v>
      </c>
      <c r="J391" s="592">
        <f t="shared" si="221"/>
        <v>0.34146341463414637</v>
      </c>
      <c r="K391" s="592">
        <f t="shared" si="221"/>
        <v>0.38356164383561642</v>
      </c>
      <c r="L391" s="592">
        <f t="shared" si="221"/>
        <v>0.41025641025641024</v>
      </c>
      <c r="M391" s="592">
        <f t="shared" si="221"/>
        <v>0.43283582089552236</v>
      </c>
      <c r="N391" s="592">
        <f t="shared" si="221"/>
        <v>0.3968253968253968</v>
      </c>
      <c r="O391" s="592">
        <f t="shared" si="221"/>
        <v>0.34375</v>
      </c>
      <c r="P391" s="488"/>
      <c r="Q391" s="517">
        <v>390</v>
      </c>
      <c r="R391" s="586" t="s">
        <v>296</v>
      </c>
      <c r="S391" s="592">
        <f>S165/S146</f>
        <v>0.47058823529411764</v>
      </c>
      <c r="T391" s="592">
        <f t="shared" ref="T391:AD391" si="222">T165/T146</f>
        <v>0.38686131386861317</v>
      </c>
      <c r="U391" s="592">
        <f t="shared" si="222"/>
        <v>0.37810945273631841</v>
      </c>
      <c r="V391" s="592">
        <f t="shared" si="222"/>
        <v>0.38297872340425532</v>
      </c>
      <c r="W391" s="592">
        <f t="shared" si="222"/>
        <v>0.37005649717514122</v>
      </c>
      <c r="X391" s="592">
        <f t="shared" si="222"/>
        <v>0.36104513064133015</v>
      </c>
      <c r="Y391" s="592">
        <f t="shared" si="222"/>
        <v>0.35785288270377735</v>
      </c>
      <c r="Z391" s="592">
        <f t="shared" si="222"/>
        <v>0.3611111111111111</v>
      </c>
      <c r="AA391" s="592">
        <f t="shared" si="222"/>
        <v>0.3669724770642202</v>
      </c>
      <c r="AB391" s="592">
        <f t="shared" si="222"/>
        <v>0.37309292649098474</v>
      </c>
      <c r="AC391" s="592">
        <f t="shared" si="222"/>
        <v>0.375</v>
      </c>
      <c r="AD391" s="592">
        <f t="shared" si="222"/>
        <v>0.37264150943396224</v>
      </c>
      <c r="AE391" s="469">
        <v>390</v>
      </c>
      <c r="AF391" s="485">
        <v>4.7503800576123938</v>
      </c>
    </row>
    <row r="392" spans="2:32" x14ac:dyDescent="0.35">
      <c r="B392" s="485">
        <v>391</v>
      </c>
      <c r="C392" s="586" t="s">
        <v>297</v>
      </c>
      <c r="D392" s="592">
        <f>D307/D287</f>
        <v>0.4</v>
      </c>
      <c r="E392" s="592">
        <f t="shared" ref="E392:O392" si="223">E307/E287</f>
        <v>0.33552631578947367</v>
      </c>
      <c r="F392" s="592">
        <f t="shared" si="223"/>
        <v>0.35064935064935066</v>
      </c>
      <c r="G392" s="592">
        <f t="shared" si="223"/>
        <v>0.36774193548387096</v>
      </c>
      <c r="H392" s="592">
        <f t="shared" si="223"/>
        <v>0.34899328859060402</v>
      </c>
      <c r="I392" s="592">
        <f t="shared" si="223"/>
        <v>0.35507246376811596</v>
      </c>
      <c r="J392" s="592">
        <f t="shared" si="223"/>
        <v>0.375</v>
      </c>
      <c r="K392" s="592">
        <f t="shared" si="223"/>
        <v>0.33600000000000002</v>
      </c>
      <c r="L392" s="592">
        <f t="shared" si="223"/>
        <v>0.41333333333333333</v>
      </c>
      <c r="M392" s="592">
        <f t="shared" si="223"/>
        <v>0.36974789915966388</v>
      </c>
      <c r="N392" s="592">
        <f t="shared" si="223"/>
        <v>0.37272727272727274</v>
      </c>
      <c r="O392" s="592">
        <f t="shared" si="223"/>
        <v>0.35820895522388058</v>
      </c>
      <c r="P392" s="488"/>
      <c r="Q392" s="517">
        <v>391</v>
      </c>
      <c r="R392" s="586" t="s">
        <v>297</v>
      </c>
      <c r="S392" s="592">
        <f>S307/S287</f>
        <v>0.4</v>
      </c>
      <c r="T392" s="592">
        <f t="shared" ref="T392:AD392" si="224">T307/T287</f>
        <v>0.3639705882352941</v>
      </c>
      <c r="U392" s="592">
        <f t="shared" si="224"/>
        <v>0.35915492957746481</v>
      </c>
      <c r="V392" s="592">
        <f t="shared" si="224"/>
        <v>0.36144578313253012</v>
      </c>
      <c r="W392" s="592">
        <f t="shared" si="224"/>
        <v>0.35890410958904112</v>
      </c>
      <c r="X392" s="592">
        <f t="shared" si="224"/>
        <v>0.35829493087557601</v>
      </c>
      <c r="Y392" s="592">
        <f t="shared" si="224"/>
        <v>0.36067193675889331</v>
      </c>
      <c r="Z392" s="592">
        <f t="shared" si="224"/>
        <v>0.35795954265611257</v>
      </c>
      <c r="AA392" s="592">
        <f t="shared" si="224"/>
        <v>0.36441336441336442</v>
      </c>
      <c r="AB392" s="592">
        <f t="shared" si="224"/>
        <v>0.36486486486486486</v>
      </c>
      <c r="AC392" s="592">
        <f t="shared" si="224"/>
        <v>0.36543535620052769</v>
      </c>
      <c r="AD392" s="592">
        <f t="shared" si="224"/>
        <v>0.36484848484848487</v>
      </c>
      <c r="AE392" s="469">
        <v>391</v>
      </c>
      <c r="AF392" s="485">
        <v>4.48566546741898</v>
      </c>
    </row>
    <row r="393" spans="2:32" x14ac:dyDescent="0.35">
      <c r="B393" s="485">
        <v>392</v>
      </c>
      <c r="C393" s="586" t="s">
        <v>301</v>
      </c>
      <c r="D393" s="592">
        <f>D211/D191</f>
        <v>0.42857142857142855</v>
      </c>
      <c r="E393" s="592">
        <f t="shared" ref="E393:O393" si="225">E211/E191</f>
        <v>0.26984126984126983</v>
      </c>
      <c r="F393" s="592">
        <f t="shared" si="225"/>
        <v>0.4098360655737705</v>
      </c>
      <c r="G393" s="592">
        <f t="shared" si="225"/>
        <v>0.40579710144927539</v>
      </c>
      <c r="H393" s="592">
        <f t="shared" si="225"/>
        <v>0.33962264150943394</v>
      </c>
      <c r="I393" s="592">
        <f t="shared" si="225"/>
        <v>0.34615384615384615</v>
      </c>
      <c r="J393" s="592">
        <f t="shared" si="225"/>
        <v>0.453125</v>
      </c>
      <c r="K393" s="592">
        <f t="shared" si="225"/>
        <v>0.36956521739130432</v>
      </c>
      <c r="L393" s="592">
        <f t="shared" si="225"/>
        <v>0.46875</v>
      </c>
      <c r="M393" s="592">
        <f t="shared" si="225"/>
        <v>0.40909090909090912</v>
      </c>
      <c r="N393" s="592">
        <f t="shared" si="225"/>
        <v>0.44444444444444442</v>
      </c>
      <c r="O393" s="592">
        <f t="shared" si="225"/>
        <v>0.40816326530612246</v>
      </c>
      <c r="P393" s="488"/>
      <c r="Q393" s="517">
        <v>392</v>
      </c>
      <c r="R393" s="586" t="s">
        <v>301</v>
      </c>
      <c r="S393" s="592">
        <f>S211/S191</f>
        <v>0.42857142857142855</v>
      </c>
      <c r="T393" s="592">
        <f t="shared" ref="T393:AD393" si="226">T211/T191</f>
        <v>0.3392857142857143</v>
      </c>
      <c r="U393" s="592">
        <f t="shared" si="226"/>
        <v>0.36416184971098264</v>
      </c>
      <c r="V393" s="592">
        <f t="shared" si="226"/>
        <v>0.37603305785123969</v>
      </c>
      <c r="W393" s="592">
        <f t="shared" si="226"/>
        <v>0.36949152542372882</v>
      </c>
      <c r="X393" s="592">
        <f t="shared" si="226"/>
        <v>0.36599423631123917</v>
      </c>
      <c r="Y393" s="592">
        <f t="shared" si="226"/>
        <v>0.37956204379562042</v>
      </c>
      <c r="Z393" s="592">
        <f t="shared" si="226"/>
        <v>0.37855579868708972</v>
      </c>
      <c r="AA393" s="592">
        <f t="shared" si="226"/>
        <v>0.38963531669865642</v>
      </c>
      <c r="AB393" s="592">
        <f t="shared" si="226"/>
        <v>0.39115044247787611</v>
      </c>
      <c r="AC393" s="592">
        <f t="shared" si="226"/>
        <v>0.39508196721311473</v>
      </c>
      <c r="AD393" s="592">
        <f t="shared" si="226"/>
        <v>0.39605462822458271</v>
      </c>
      <c r="AE393" s="469">
        <v>392</v>
      </c>
      <c r="AF393" s="485">
        <v>4.3868575534964513</v>
      </c>
    </row>
    <row r="394" spans="2:32" x14ac:dyDescent="0.35">
      <c r="B394" s="485">
        <v>393</v>
      </c>
      <c r="C394" s="586" t="s">
        <v>298</v>
      </c>
      <c r="D394" s="592">
        <f>D259/D239</f>
        <v>0.38571428571428573</v>
      </c>
      <c r="E394" s="592">
        <f t="shared" ref="E394:O394" si="227">E259/E239</f>
        <v>0.38202247191011235</v>
      </c>
      <c r="F394" s="592">
        <f t="shared" si="227"/>
        <v>0.31521739130434784</v>
      </c>
      <c r="G394" s="592">
        <f t="shared" si="227"/>
        <v>0.32558139534883723</v>
      </c>
      <c r="H394" s="592">
        <f t="shared" si="227"/>
        <v>0.3473684210526316</v>
      </c>
      <c r="I394" s="592">
        <f t="shared" si="227"/>
        <v>0.36046511627906974</v>
      </c>
      <c r="J394" s="592">
        <f t="shared" si="227"/>
        <v>0.32500000000000001</v>
      </c>
      <c r="K394" s="592">
        <f t="shared" si="227"/>
        <v>0.31645569620253167</v>
      </c>
      <c r="L394" s="592">
        <f t="shared" si="227"/>
        <v>0.36781609195402298</v>
      </c>
      <c r="M394" s="592">
        <f t="shared" si="227"/>
        <v>0.34666666666666668</v>
      </c>
      <c r="N394" s="592">
        <f t="shared" si="227"/>
        <v>0.32307692307692309</v>
      </c>
      <c r="O394" s="592">
        <f t="shared" si="227"/>
        <v>0.32941176470588235</v>
      </c>
      <c r="P394" s="488"/>
      <c r="Q394" s="517">
        <v>393</v>
      </c>
      <c r="R394" s="586" t="s">
        <v>298</v>
      </c>
      <c r="S394" s="592">
        <f>S259/S239</f>
        <v>0.38571428571428573</v>
      </c>
      <c r="T394" s="592">
        <f t="shared" ref="T394:AD394" si="228">T259/T239</f>
        <v>0.38364779874213839</v>
      </c>
      <c r="U394" s="592">
        <f t="shared" si="228"/>
        <v>0.35856573705179284</v>
      </c>
      <c r="V394" s="592">
        <f t="shared" si="228"/>
        <v>0.35014836795252224</v>
      </c>
      <c r="W394" s="592">
        <f t="shared" si="228"/>
        <v>0.34953703703703703</v>
      </c>
      <c r="X394" s="592">
        <f t="shared" si="228"/>
        <v>0.35135135135135137</v>
      </c>
      <c r="Y394" s="592">
        <f t="shared" si="228"/>
        <v>0.34782608695652173</v>
      </c>
      <c r="Z394" s="592">
        <f t="shared" si="228"/>
        <v>0.34416543574593794</v>
      </c>
      <c r="AA394" s="592">
        <f t="shared" si="228"/>
        <v>0.34685863874345552</v>
      </c>
      <c r="AB394" s="592">
        <f t="shared" si="228"/>
        <v>0.34684147794994041</v>
      </c>
      <c r="AC394" s="592">
        <f t="shared" si="228"/>
        <v>0.34513274336283184</v>
      </c>
      <c r="AD394" s="592">
        <f t="shared" si="228"/>
        <v>0.3437815975733064</v>
      </c>
      <c r="AE394" s="469">
        <v>393</v>
      </c>
      <c r="AF394" s="485">
        <v>4.7412306889371703</v>
      </c>
    </row>
    <row r="395" spans="2:32" x14ac:dyDescent="0.35">
      <c r="B395" s="485">
        <v>394</v>
      </c>
      <c r="C395" s="587" t="s">
        <v>299</v>
      </c>
      <c r="D395" s="592">
        <f>D26/D6</f>
        <v>0.42917251051893407</v>
      </c>
      <c r="E395" s="592">
        <f t="shared" ref="E395:O395" si="229">E26/E6</f>
        <v>0.41688311688311686</v>
      </c>
      <c r="F395" s="592">
        <f t="shared" si="229"/>
        <v>0.40831295843520782</v>
      </c>
      <c r="G395" s="592">
        <f t="shared" si="229"/>
        <v>0.42531356898517675</v>
      </c>
      <c r="H395" s="592">
        <f t="shared" si="229"/>
        <v>0.41588785046728971</v>
      </c>
      <c r="I395" s="592">
        <f t="shared" si="229"/>
        <v>0.42943305186972258</v>
      </c>
      <c r="J395" s="592">
        <f t="shared" si="229"/>
        <v>0.38461538461538464</v>
      </c>
      <c r="K395" s="592">
        <f t="shared" si="229"/>
        <v>0.39298245614035088</v>
      </c>
      <c r="L395" s="592">
        <f t="shared" si="229"/>
        <v>0.42840095465393796</v>
      </c>
      <c r="M395" s="592">
        <f t="shared" si="229"/>
        <v>0.41085271317829458</v>
      </c>
      <c r="N395" s="592">
        <f t="shared" si="229"/>
        <v>0.40158520475561427</v>
      </c>
      <c r="O395" s="592">
        <f t="shared" si="229"/>
        <v>0.37063778580024065</v>
      </c>
      <c r="P395" s="488"/>
      <c r="Q395" s="517">
        <v>394</v>
      </c>
      <c r="R395" s="587" t="s">
        <v>299</v>
      </c>
      <c r="S395" s="592">
        <f>S26/S6</f>
        <v>0.42917251051893407</v>
      </c>
      <c r="T395" s="592">
        <f t="shared" ref="T395:AD395" si="230">T26/T6</f>
        <v>0.42279163857046526</v>
      </c>
      <c r="U395" s="592">
        <f t="shared" si="230"/>
        <v>0.41764450239026513</v>
      </c>
      <c r="V395" s="592">
        <f t="shared" si="230"/>
        <v>0.41976085588420392</v>
      </c>
      <c r="W395" s="592">
        <f t="shared" si="230"/>
        <v>0.41893901834407538</v>
      </c>
      <c r="X395" s="592">
        <f t="shared" si="230"/>
        <v>0.42072794571252314</v>
      </c>
      <c r="Y395" s="592">
        <f t="shared" si="230"/>
        <v>0.41510416666666666</v>
      </c>
      <c r="Z395" s="592">
        <f t="shared" si="230"/>
        <v>0.41224489795918368</v>
      </c>
      <c r="AA395" s="592">
        <f t="shared" si="230"/>
        <v>0.41406145176439019</v>
      </c>
      <c r="AB395" s="592">
        <f t="shared" si="230"/>
        <v>0.41375957214051295</v>
      </c>
      <c r="AC395" s="592">
        <f t="shared" si="230"/>
        <v>0.41273374888691006</v>
      </c>
      <c r="AD395" s="592">
        <f t="shared" si="230"/>
        <v>0.40916963830871117</v>
      </c>
      <c r="AE395" s="469">
        <v>394</v>
      </c>
      <c r="AF395" s="485">
        <v>4.1396639568226083</v>
      </c>
    </row>
    <row r="396" spans="2:32" x14ac:dyDescent="0.35">
      <c r="B396" s="485">
        <v>395</v>
      </c>
      <c r="C396" s="587" t="s">
        <v>303</v>
      </c>
      <c r="D396" s="592">
        <f>D72/D53</f>
        <v>0.42465753424657532</v>
      </c>
      <c r="E396" s="592">
        <f t="shared" ref="E396:O396" si="231">E72/E53</f>
        <v>0.47058823529411764</v>
      </c>
      <c r="F396" s="592">
        <f t="shared" si="231"/>
        <v>0.41025641025641024</v>
      </c>
      <c r="G396" s="592">
        <f t="shared" si="231"/>
        <v>0.40909090909090912</v>
      </c>
      <c r="H396" s="592">
        <f t="shared" si="231"/>
        <v>0.3888888888888889</v>
      </c>
      <c r="I396" s="592">
        <f t="shared" si="231"/>
        <v>0.40789473684210525</v>
      </c>
      <c r="J396" s="592">
        <f t="shared" si="231"/>
        <v>0.38043478260869568</v>
      </c>
      <c r="K396" s="592">
        <f t="shared" si="231"/>
        <v>0.38271604938271603</v>
      </c>
      <c r="L396" s="592">
        <f t="shared" si="231"/>
        <v>0.45454545454545453</v>
      </c>
      <c r="M396" s="592">
        <f t="shared" si="231"/>
        <v>0.44117647058823528</v>
      </c>
      <c r="N396" s="592">
        <f t="shared" si="231"/>
        <v>0.39436619718309857</v>
      </c>
      <c r="O396" s="592">
        <f t="shared" si="231"/>
        <v>0.41111111111111109</v>
      </c>
      <c r="P396" s="488"/>
      <c r="Q396" s="517">
        <v>395</v>
      </c>
      <c r="R396" s="587" t="s">
        <v>303</v>
      </c>
      <c r="S396" s="592">
        <f>S72/S53</f>
        <v>0.42465753424657532</v>
      </c>
      <c r="T396" s="592">
        <f t="shared" ref="T396:AD396" si="232">T72/T53</f>
        <v>0.44936708860759494</v>
      </c>
      <c r="U396" s="592">
        <f t="shared" si="232"/>
        <v>0.4364406779661017</v>
      </c>
      <c r="V396" s="592">
        <f t="shared" si="232"/>
        <v>0.42901234567901236</v>
      </c>
      <c r="W396" s="592">
        <f t="shared" si="232"/>
        <v>0.42028985507246375</v>
      </c>
      <c r="X396" s="592">
        <f t="shared" si="232"/>
        <v>0.41836734693877553</v>
      </c>
      <c r="Y396" s="592">
        <f t="shared" si="232"/>
        <v>0.41237113402061853</v>
      </c>
      <c r="Z396" s="592">
        <f t="shared" si="232"/>
        <v>0.40874811463046756</v>
      </c>
      <c r="AA396" s="592">
        <f t="shared" si="232"/>
        <v>0.41411451398135818</v>
      </c>
      <c r="AB396" s="592">
        <f t="shared" si="232"/>
        <v>0.41636141636141638</v>
      </c>
      <c r="AC396" s="592">
        <f t="shared" si="232"/>
        <v>0.41460674157303373</v>
      </c>
      <c r="AD396" s="592">
        <f t="shared" si="232"/>
        <v>0.41428571428571431</v>
      </c>
      <c r="AE396" s="469">
        <v>395</v>
      </c>
      <c r="AF396" s="485">
        <v>4.914438551761136</v>
      </c>
    </row>
    <row r="397" spans="2:32" x14ac:dyDescent="0.35">
      <c r="B397" s="485">
        <v>396</v>
      </c>
      <c r="C397" s="587" t="s">
        <v>353</v>
      </c>
      <c r="D397" s="594">
        <f>D119/D100</f>
        <v>0.42156862745098039</v>
      </c>
      <c r="E397" s="594">
        <f t="shared" ref="E397:O397" si="233">E119/E100</f>
        <v>0.39393939393939392</v>
      </c>
      <c r="F397" s="594">
        <f t="shared" si="233"/>
        <v>0.40170940170940173</v>
      </c>
      <c r="G397" s="594">
        <f t="shared" si="233"/>
        <v>0.47826086956521741</v>
      </c>
      <c r="H397" s="594">
        <f t="shared" si="233"/>
        <v>0.38910505836575876</v>
      </c>
      <c r="I397" s="594">
        <f t="shared" si="233"/>
        <v>0.44223107569721115</v>
      </c>
      <c r="J397" s="594">
        <f t="shared" si="233"/>
        <v>0.39483394833948338</v>
      </c>
      <c r="K397" s="594">
        <f t="shared" si="233"/>
        <v>0.4</v>
      </c>
      <c r="L397" s="594">
        <f t="shared" si="233"/>
        <v>0.42424242424242425</v>
      </c>
      <c r="M397" s="594">
        <f t="shared" si="233"/>
        <v>0.40551181102362205</v>
      </c>
      <c r="N397" s="594">
        <f t="shared" si="233"/>
        <v>0.41880341880341881</v>
      </c>
      <c r="O397" s="594">
        <f t="shared" si="233"/>
        <v>0.36326530612244901</v>
      </c>
      <c r="P397" s="488"/>
      <c r="Q397" s="517">
        <v>396</v>
      </c>
      <c r="R397" s="587" t="s">
        <v>353</v>
      </c>
      <c r="S397" s="594">
        <f>S119/S100</f>
        <v>0.42156862745098039</v>
      </c>
      <c r="T397" s="594">
        <f t="shared" ref="T397:AD397" si="234">T119/T100</f>
        <v>0.40689655172413791</v>
      </c>
      <c r="U397" s="594">
        <f t="shared" si="234"/>
        <v>0.40508221225710017</v>
      </c>
      <c r="V397" s="594">
        <f t="shared" si="234"/>
        <v>0.42516268980477223</v>
      </c>
      <c r="W397" s="594">
        <f t="shared" si="234"/>
        <v>0.41730279898218831</v>
      </c>
      <c r="X397" s="594">
        <f t="shared" si="234"/>
        <v>0.4216783216783217</v>
      </c>
      <c r="Y397" s="594">
        <f t="shared" si="234"/>
        <v>0.41740152851263962</v>
      </c>
      <c r="Z397" s="594">
        <f t="shared" si="234"/>
        <v>0.41513292433537835</v>
      </c>
      <c r="AA397" s="594">
        <f t="shared" si="234"/>
        <v>0.41621621621621624</v>
      </c>
      <c r="AB397" s="594">
        <f t="shared" si="234"/>
        <v>0.41511721907841553</v>
      </c>
      <c r="AC397" s="594">
        <f t="shared" si="234"/>
        <v>0.41543574593796162</v>
      </c>
      <c r="AD397" s="594">
        <f t="shared" si="234"/>
        <v>0.41110734845919406</v>
      </c>
      <c r="AE397" s="469">
        <v>396</v>
      </c>
      <c r="AF397" s="485">
        <v>4.9488128169162851</v>
      </c>
    </row>
    <row r="398" spans="2:32" x14ac:dyDescent="0.35">
      <c r="B398" s="485">
        <v>397</v>
      </c>
      <c r="C398" s="587" t="s">
        <v>354</v>
      </c>
      <c r="D398" s="592">
        <f t="shared" ref="D398:O398" si="235">D166/D147</f>
        <v>0.46308724832214765</v>
      </c>
      <c r="E398" s="592">
        <f t="shared" si="235"/>
        <v>0.40131578947368424</v>
      </c>
      <c r="F398" s="592">
        <f t="shared" si="235"/>
        <v>0.43125000000000002</v>
      </c>
      <c r="G398" s="592">
        <f t="shared" si="235"/>
        <v>0.43502824858757061</v>
      </c>
      <c r="H398" s="592">
        <f t="shared" si="235"/>
        <v>0.44099378881987578</v>
      </c>
      <c r="I398" s="592">
        <f t="shared" si="235"/>
        <v>0.45454545454545453</v>
      </c>
      <c r="J398" s="592">
        <f t="shared" si="235"/>
        <v>0.36170212765957449</v>
      </c>
      <c r="K398" s="592">
        <f t="shared" si="235"/>
        <v>0.37356321839080459</v>
      </c>
      <c r="L398" s="592">
        <f t="shared" si="235"/>
        <v>0.43023255813953487</v>
      </c>
      <c r="M398" s="592">
        <f t="shared" si="235"/>
        <v>0.41258741258741261</v>
      </c>
      <c r="N398" s="592">
        <f t="shared" si="235"/>
        <v>0.40939597315436244</v>
      </c>
      <c r="O398" s="592">
        <f t="shared" si="235"/>
        <v>0.35099337748344372</v>
      </c>
      <c r="P398" s="488"/>
      <c r="Q398" s="517">
        <v>397</v>
      </c>
      <c r="R398" s="587" t="s">
        <v>354</v>
      </c>
      <c r="S398" s="592">
        <f t="shared" ref="S398:AD398" si="236">S166/S147</f>
        <v>0.46308724832214765</v>
      </c>
      <c r="T398" s="592">
        <f t="shared" si="236"/>
        <v>0.43189368770764119</v>
      </c>
      <c r="U398" s="592">
        <f t="shared" si="236"/>
        <v>0.4316702819956616</v>
      </c>
      <c r="V398" s="592">
        <f t="shared" si="236"/>
        <v>0.43260188087774293</v>
      </c>
      <c r="W398" s="592">
        <f t="shared" si="236"/>
        <v>0.43429286608260326</v>
      </c>
      <c r="X398" s="592">
        <f t="shared" si="236"/>
        <v>0.43756558237145854</v>
      </c>
      <c r="Y398" s="592">
        <f t="shared" si="236"/>
        <v>0.42506573181419804</v>
      </c>
      <c r="Z398" s="592">
        <f t="shared" si="236"/>
        <v>0.41825095057034223</v>
      </c>
      <c r="AA398" s="592">
        <f t="shared" si="236"/>
        <v>0.41963685272360457</v>
      </c>
      <c r="AB398" s="592">
        <f t="shared" si="236"/>
        <v>0.41901840490797548</v>
      </c>
      <c r="AC398" s="592">
        <f t="shared" si="236"/>
        <v>0.41821247892074198</v>
      </c>
      <c r="AD398" s="592">
        <f t="shared" si="236"/>
        <v>0.41295336787564768</v>
      </c>
      <c r="AE398" s="469">
        <v>397</v>
      </c>
      <c r="AF398" s="485">
        <v>4.9366715575858233</v>
      </c>
    </row>
    <row r="399" spans="2:32" x14ac:dyDescent="0.35">
      <c r="B399" s="485">
        <v>398</v>
      </c>
      <c r="C399" s="587" t="s">
        <v>355</v>
      </c>
      <c r="D399" s="592">
        <f>D308/D288</f>
        <v>0.4204946996466431</v>
      </c>
      <c r="E399" s="592">
        <f t="shared" ref="E399:O399" si="237">E308/E288</f>
        <v>0.42905405405405406</v>
      </c>
      <c r="F399" s="592">
        <f t="shared" si="237"/>
        <v>0.4</v>
      </c>
      <c r="G399" s="592">
        <f t="shared" si="237"/>
        <v>0.39093484419263458</v>
      </c>
      <c r="H399" s="592">
        <f t="shared" si="237"/>
        <v>0.43352601156069365</v>
      </c>
      <c r="I399" s="592">
        <f t="shared" si="237"/>
        <v>0.40869565217391307</v>
      </c>
      <c r="J399" s="592">
        <f t="shared" si="237"/>
        <v>0.38392857142857145</v>
      </c>
      <c r="K399" s="592">
        <f t="shared" si="237"/>
        <v>0.39823008849557523</v>
      </c>
      <c r="L399" s="592">
        <f t="shared" si="237"/>
        <v>0.42443729903536975</v>
      </c>
      <c r="M399" s="592">
        <f t="shared" si="237"/>
        <v>0.41254125412541254</v>
      </c>
      <c r="N399" s="592">
        <f t="shared" si="237"/>
        <v>0.38983050847457629</v>
      </c>
      <c r="O399" s="592">
        <f t="shared" si="237"/>
        <v>0.37202380952380953</v>
      </c>
      <c r="P399" s="488"/>
      <c r="Q399" s="517">
        <v>398</v>
      </c>
      <c r="R399" s="587" t="s">
        <v>355</v>
      </c>
      <c r="S399" s="592">
        <f>S308/S288</f>
        <v>0.4204946996466431</v>
      </c>
      <c r="T399" s="592">
        <f t="shared" ref="T399:AD399" si="238">T308/T288</f>
        <v>0.42487046632124353</v>
      </c>
      <c r="U399" s="592">
        <f t="shared" si="238"/>
        <v>0.41566920565832427</v>
      </c>
      <c r="V399" s="592">
        <f t="shared" si="238"/>
        <v>0.4088050314465409</v>
      </c>
      <c r="W399" s="592">
        <f t="shared" si="238"/>
        <v>0.41409147095179233</v>
      </c>
      <c r="X399" s="592">
        <f t="shared" si="238"/>
        <v>0.41314314824248599</v>
      </c>
      <c r="Y399" s="592">
        <f t="shared" si="238"/>
        <v>0.40887342322749021</v>
      </c>
      <c r="Z399" s="592">
        <f t="shared" si="238"/>
        <v>0.40750568612585292</v>
      </c>
      <c r="AA399" s="592">
        <f>AA308/AA288</f>
        <v>0.40929128518141744</v>
      </c>
      <c r="AB399" s="592">
        <f t="shared" si="238"/>
        <v>0.40959409594095941</v>
      </c>
      <c r="AC399" s="592">
        <f t="shared" si="238"/>
        <v>0.40795038060332678</v>
      </c>
      <c r="AD399" s="592">
        <f t="shared" si="238"/>
        <v>0.40484161730620655</v>
      </c>
      <c r="AE399" s="469">
        <v>398</v>
      </c>
      <c r="AF399" s="485">
        <v>4.9608069819865896</v>
      </c>
    </row>
    <row r="400" spans="2:32" x14ac:dyDescent="0.35">
      <c r="B400" s="485">
        <v>399</v>
      </c>
      <c r="C400" s="587" t="s">
        <v>356</v>
      </c>
      <c r="D400" s="593">
        <f>D212/D192</f>
        <v>0.4152542372881356</v>
      </c>
      <c r="E400" s="593">
        <f t="shared" ref="E400:O400" si="239">E212/E192</f>
        <v>0.44537815126050423</v>
      </c>
      <c r="F400" s="593">
        <f t="shared" si="239"/>
        <v>0.4236111111111111</v>
      </c>
      <c r="G400" s="593">
        <f t="shared" si="239"/>
        <v>0.40136054421768708</v>
      </c>
      <c r="H400" s="593">
        <f t="shared" si="239"/>
        <v>0.42553191489361702</v>
      </c>
      <c r="I400" s="593">
        <f t="shared" si="239"/>
        <v>0.43283582089552236</v>
      </c>
      <c r="J400" s="593">
        <f t="shared" si="239"/>
        <v>0.38405797101449274</v>
      </c>
      <c r="K400" s="593">
        <f t="shared" si="239"/>
        <v>0.39007092198581561</v>
      </c>
      <c r="L400" s="593">
        <f t="shared" si="239"/>
        <v>0.44800000000000001</v>
      </c>
      <c r="M400" s="593">
        <f t="shared" si="239"/>
        <v>0.41463414634146339</v>
      </c>
      <c r="N400" s="593">
        <f t="shared" si="239"/>
        <v>0.39516129032258063</v>
      </c>
      <c r="O400" s="593">
        <f t="shared" si="239"/>
        <v>0.41258741258741261</v>
      </c>
      <c r="P400" s="488"/>
      <c r="Q400" s="517">
        <v>399</v>
      </c>
      <c r="R400" s="587" t="s">
        <v>356</v>
      </c>
      <c r="S400" s="593">
        <f>S212/S192</f>
        <v>0.4152542372881356</v>
      </c>
      <c r="T400" s="593">
        <f t="shared" ref="T400:AD400" si="240">T212/T192</f>
        <v>0.43037974683544306</v>
      </c>
      <c r="U400" s="593">
        <f t="shared" si="240"/>
        <v>0.42782152230971127</v>
      </c>
      <c r="V400" s="593">
        <f t="shared" si="240"/>
        <v>0.42045454545454547</v>
      </c>
      <c r="W400" s="593">
        <f t="shared" si="240"/>
        <v>0.42152466367713004</v>
      </c>
      <c r="X400" s="593">
        <f t="shared" si="240"/>
        <v>0.42341220423412207</v>
      </c>
      <c r="Y400" s="593">
        <f t="shared" si="240"/>
        <v>0.41764080765143463</v>
      </c>
      <c r="Z400" s="593">
        <f t="shared" si="240"/>
        <v>0.41404805914972276</v>
      </c>
      <c r="AA400" s="593">
        <f t="shared" si="240"/>
        <v>0.41756420878210437</v>
      </c>
      <c r="AB400" s="593">
        <f t="shared" si="240"/>
        <v>0.41729323308270677</v>
      </c>
      <c r="AC400" s="593">
        <f t="shared" si="240"/>
        <v>0.4154057771664374</v>
      </c>
      <c r="AD400" s="593">
        <f t="shared" si="240"/>
        <v>0.41515341264871636</v>
      </c>
      <c r="AE400" s="469">
        <v>399</v>
      </c>
      <c r="AF400" s="485">
        <v>4.8676729056956987</v>
      </c>
    </row>
    <row r="401" spans="2:32" x14ac:dyDescent="0.35">
      <c r="B401" s="485">
        <v>400</v>
      </c>
      <c r="C401" s="587" t="s">
        <v>357</v>
      </c>
      <c r="D401" s="593">
        <f>D260/D240</f>
        <v>0.42424242424242425</v>
      </c>
      <c r="E401" s="593">
        <f t="shared" ref="E401:O401" si="241">E260/E240</f>
        <v>0.42372881355932202</v>
      </c>
      <c r="F401" s="593">
        <f t="shared" si="241"/>
        <v>0.38775510204081631</v>
      </c>
      <c r="G401" s="593">
        <f t="shared" si="241"/>
        <v>0.38349514563106796</v>
      </c>
      <c r="H401" s="593">
        <f t="shared" si="241"/>
        <v>0.43902439024390244</v>
      </c>
      <c r="I401" s="593">
        <f t="shared" si="241"/>
        <v>0.39336492890995262</v>
      </c>
      <c r="J401" s="593">
        <f t="shared" si="241"/>
        <v>0.37878787878787878</v>
      </c>
      <c r="K401" s="593">
        <f t="shared" si="241"/>
        <v>0.4020100502512563</v>
      </c>
      <c r="L401" s="593">
        <f t="shared" si="241"/>
        <v>0.40860215053763443</v>
      </c>
      <c r="M401" s="593">
        <f t="shared" si="241"/>
        <v>0.40883977900552487</v>
      </c>
      <c r="N401" s="593">
        <f t="shared" si="241"/>
        <v>0.38596491228070173</v>
      </c>
      <c r="O401" s="593">
        <f t="shared" si="241"/>
        <v>0.34715025906735753</v>
      </c>
      <c r="Q401" s="517">
        <v>400</v>
      </c>
      <c r="R401" s="587" t="s">
        <v>357</v>
      </c>
      <c r="S401" s="593">
        <f>S260/S240</f>
        <v>0.42424242424242425</v>
      </c>
      <c r="T401" s="593">
        <f t="shared" ref="T401:AD401" si="242">T260/T240</f>
        <v>0.42397660818713451</v>
      </c>
      <c r="U401" s="593">
        <f t="shared" si="242"/>
        <v>0.4107806691449814</v>
      </c>
      <c r="V401" s="593">
        <f t="shared" si="242"/>
        <v>0.40322580645161288</v>
      </c>
      <c r="W401" s="593">
        <f t="shared" si="242"/>
        <v>0.41095890410958902</v>
      </c>
      <c r="X401" s="593">
        <f t="shared" si="242"/>
        <v>0.40775862068965518</v>
      </c>
      <c r="Y401" s="593">
        <f t="shared" si="242"/>
        <v>0.40353460972017674</v>
      </c>
      <c r="Z401" s="593">
        <f t="shared" si="242"/>
        <v>0.40333975594091204</v>
      </c>
      <c r="AA401" s="593">
        <f t="shared" si="242"/>
        <v>0.40390131956397018</v>
      </c>
      <c r="AB401" s="593">
        <f t="shared" si="242"/>
        <v>0.40436590436590436</v>
      </c>
      <c r="AC401" s="593">
        <f t="shared" si="242"/>
        <v>0.40286396181384249</v>
      </c>
      <c r="AD401" s="593">
        <f t="shared" si="242"/>
        <v>0.39816433566433568</v>
      </c>
      <c r="AE401" s="469">
        <v>400</v>
      </c>
      <c r="AF401" s="485">
        <v>4.9849630760923969</v>
      </c>
    </row>
    <row r="402" spans="2:32" ht="18.5" x14ac:dyDescent="0.35">
      <c r="B402" s="485">
        <v>401</v>
      </c>
      <c r="C402" s="588" t="s">
        <v>181</v>
      </c>
      <c r="D402" s="432" t="s">
        <v>386</v>
      </c>
      <c r="E402" s="432" t="s">
        <v>387</v>
      </c>
      <c r="F402" s="432" t="s">
        <v>388</v>
      </c>
      <c r="G402" s="432" t="s">
        <v>389</v>
      </c>
      <c r="H402" s="432" t="s">
        <v>390</v>
      </c>
      <c r="I402" s="432" t="s">
        <v>391</v>
      </c>
      <c r="J402" s="432" t="s">
        <v>392</v>
      </c>
      <c r="K402" s="432" t="s">
        <v>393</v>
      </c>
      <c r="L402" s="432" t="s">
        <v>394</v>
      </c>
      <c r="M402" s="432" t="s">
        <v>395</v>
      </c>
      <c r="N402" s="432" t="s">
        <v>396</v>
      </c>
      <c r="O402" s="460" t="s">
        <v>397</v>
      </c>
      <c r="Q402" s="517">
        <v>401</v>
      </c>
      <c r="R402" s="588" t="s">
        <v>181</v>
      </c>
      <c r="S402" s="501" t="s">
        <v>132</v>
      </c>
      <c r="T402" s="501" t="s">
        <v>20</v>
      </c>
      <c r="U402" s="501" t="s">
        <v>21</v>
      </c>
      <c r="V402" s="501" t="s">
        <v>22</v>
      </c>
      <c r="W402" s="509" t="s">
        <v>23</v>
      </c>
      <c r="X402" s="501" t="s">
        <v>24</v>
      </c>
      <c r="Y402" s="501" t="s">
        <v>25</v>
      </c>
      <c r="Z402" s="501" t="s">
        <v>26</v>
      </c>
      <c r="AA402" s="501" t="s">
        <v>27</v>
      </c>
      <c r="AB402" s="501" t="s">
        <v>28</v>
      </c>
      <c r="AC402" s="501" t="s">
        <v>29</v>
      </c>
      <c r="AD402" s="502" t="s">
        <v>30</v>
      </c>
      <c r="AE402" s="469">
        <v>401</v>
      </c>
      <c r="AF402" s="485">
        <v>0</v>
      </c>
    </row>
    <row r="403" spans="2:32" x14ac:dyDescent="0.35">
      <c r="B403" s="485">
        <v>402</v>
      </c>
      <c r="C403" s="589" t="s">
        <v>315</v>
      </c>
      <c r="D403" s="596">
        <v>70</v>
      </c>
      <c r="E403" s="596">
        <v>70</v>
      </c>
      <c r="F403" s="596">
        <v>68</v>
      </c>
      <c r="G403" s="596">
        <v>72</v>
      </c>
      <c r="H403" s="596">
        <v>75</v>
      </c>
      <c r="I403" s="596">
        <v>59</v>
      </c>
      <c r="J403" s="596">
        <v>59</v>
      </c>
      <c r="K403" s="596">
        <v>58</v>
      </c>
      <c r="L403" s="596">
        <v>59</v>
      </c>
      <c r="M403" s="596">
        <v>93</v>
      </c>
      <c r="N403" s="596">
        <v>54</v>
      </c>
      <c r="O403" s="596">
        <v>54</v>
      </c>
      <c r="Q403" s="517">
        <v>402</v>
      </c>
      <c r="R403" s="589" t="s">
        <v>315</v>
      </c>
      <c r="S403" s="597">
        <f t="shared" ref="S403" si="243">D403</f>
        <v>70</v>
      </c>
      <c r="T403" s="597">
        <f t="shared" ref="T403" si="244">S403+E403</f>
        <v>140</v>
      </c>
      <c r="U403" s="597">
        <f t="shared" ref="U403" si="245">T403+F403</f>
        <v>208</v>
      </c>
      <c r="V403" s="597">
        <f t="shared" ref="V403" si="246">U403+G403</f>
        <v>280</v>
      </c>
      <c r="W403" s="597">
        <f t="shared" ref="W403" si="247">V403+H403</f>
        <v>355</v>
      </c>
      <c r="X403" s="597">
        <f t="shared" ref="X403" si="248">W403+I403</f>
        <v>414</v>
      </c>
      <c r="Y403" s="597">
        <f t="shared" ref="Y403" si="249">X403+J403</f>
        <v>473</v>
      </c>
      <c r="Z403" s="597">
        <f t="shared" ref="Z403" si="250">Y403+K403</f>
        <v>531</v>
      </c>
      <c r="AA403" s="597">
        <f t="shared" ref="AA403" si="251">Z403+L403</f>
        <v>590</v>
      </c>
      <c r="AB403" s="597">
        <f t="shared" ref="AB403" si="252">AA403+M403</f>
        <v>683</v>
      </c>
      <c r="AC403" s="597">
        <f t="shared" ref="AC403" si="253">AB403+N403</f>
        <v>737</v>
      </c>
      <c r="AD403" s="598">
        <f t="shared" ref="AD403" si="254">AC403+O403</f>
        <v>791</v>
      </c>
      <c r="AE403" s="469">
        <v>402</v>
      </c>
      <c r="AF403" s="485">
        <v>790</v>
      </c>
    </row>
    <row r="404" spans="2:32" x14ac:dyDescent="0.35">
      <c r="B404" s="485">
        <v>403</v>
      </c>
      <c r="C404" s="589" t="s">
        <v>316</v>
      </c>
      <c r="D404" s="596">
        <v>19</v>
      </c>
      <c r="E404" s="596">
        <v>18</v>
      </c>
      <c r="F404" s="596">
        <v>21</v>
      </c>
      <c r="G404" s="596">
        <v>19</v>
      </c>
      <c r="H404" s="596">
        <v>22</v>
      </c>
      <c r="I404" s="596">
        <v>13</v>
      </c>
      <c r="J404" s="596">
        <v>18</v>
      </c>
      <c r="K404" s="596">
        <v>17</v>
      </c>
      <c r="L404" s="596">
        <v>15</v>
      </c>
      <c r="M404" s="596">
        <v>24</v>
      </c>
      <c r="N404" s="596">
        <v>15</v>
      </c>
      <c r="O404" s="596">
        <v>16</v>
      </c>
      <c r="Q404" s="517">
        <v>403</v>
      </c>
      <c r="R404" s="589" t="s">
        <v>316</v>
      </c>
      <c r="S404" s="597">
        <f t="shared" ref="S404:S405" si="255">D404</f>
        <v>19</v>
      </c>
      <c r="T404" s="597">
        <f t="shared" ref="T404:T405" si="256">S404+E404</f>
        <v>37</v>
      </c>
      <c r="U404" s="597">
        <f t="shared" ref="U404:U405" si="257">T404+F404</f>
        <v>58</v>
      </c>
      <c r="V404" s="597">
        <f t="shared" ref="V404:V405" si="258">U404+G404</f>
        <v>77</v>
      </c>
      <c r="W404" s="597">
        <f t="shared" ref="W404:W405" si="259">V404+H404</f>
        <v>99</v>
      </c>
      <c r="X404" s="597">
        <f t="shared" ref="X404:X405" si="260">W404+I404</f>
        <v>112</v>
      </c>
      <c r="Y404" s="597">
        <f t="shared" ref="Y404:Y405" si="261">X404+J404</f>
        <v>130</v>
      </c>
      <c r="Z404" s="597">
        <f t="shared" ref="Z404:Z405" si="262">Y404+K404</f>
        <v>147</v>
      </c>
      <c r="AA404" s="597">
        <f t="shared" ref="AA404:AA405" si="263">Z404+L404</f>
        <v>162</v>
      </c>
      <c r="AB404" s="597">
        <f t="shared" ref="AB404:AB405" si="264">AA404+M404</f>
        <v>186</v>
      </c>
      <c r="AC404" s="597">
        <f t="shared" ref="AC404:AC405" si="265">AB404+N404</f>
        <v>201</v>
      </c>
      <c r="AD404" s="598">
        <f t="shared" ref="AD404:AD405" si="266">AC404+O404</f>
        <v>217</v>
      </c>
      <c r="AE404" s="469">
        <v>403</v>
      </c>
      <c r="AF404" s="485">
        <v>216.66666666666666</v>
      </c>
    </row>
    <row r="405" spans="2:32" x14ac:dyDescent="0.35">
      <c r="B405" s="485">
        <v>404</v>
      </c>
      <c r="C405" s="589" t="s">
        <v>317</v>
      </c>
      <c r="D405" s="595">
        <v>19</v>
      </c>
      <c r="E405" s="595">
        <v>30</v>
      </c>
      <c r="F405" s="595">
        <v>35</v>
      </c>
      <c r="G405" s="595">
        <v>38</v>
      </c>
      <c r="H405" s="595">
        <v>32</v>
      </c>
      <c r="I405" s="595">
        <v>37</v>
      </c>
      <c r="J405" s="595">
        <v>36</v>
      </c>
      <c r="K405" s="595">
        <v>32</v>
      </c>
      <c r="L405" s="595">
        <v>28</v>
      </c>
      <c r="M405" s="595">
        <v>36</v>
      </c>
      <c r="N405" s="595">
        <v>25</v>
      </c>
      <c r="O405" s="595">
        <v>29</v>
      </c>
      <c r="Q405" s="517">
        <v>404</v>
      </c>
      <c r="R405" s="589" t="s">
        <v>317</v>
      </c>
      <c r="S405" s="599">
        <f t="shared" si="255"/>
        <v>19</v>
      </c>
      <c r="T405" s="599">
        <f t="shared" si="256"/>
        <v>49</v>
      </c>
      <c r="U405" s="599">
        <f t="shared" si="257"/>
        <v>84</v>
      </c>
      <c r="V405" s="599">
        <f t="shared" si="258"/>
        <v>122</v>
      </c>
      <c r="W405" s="599">
        <f t="shared" si="259"/>
        <v>154</v>
      </c>
      <c r="X405" s="599">
        <f t="shared" si="260"/>
        <v>191</v>
      </c>
      <c r="Y405" s="599">
        <f t="shared" si="261"/>
        <v>227</v>
      </c>
      <c r="Z405" s="599">
        <f t="shared" si="262"/>
        <v>259</v>
      </c>
      <c r="AA405" s="599">
        <f t="shared" si="263"/>
        <v>287</v>
      </c>
      <c r="AB405" s="599">
        <f t="shared" si="264"/>
        <v>323</v>
      </c>
      <c r="AC405" s="599">
        <f t="shared" si="265"/>
        <v>348</v>
      </c>
      <c r="AD405" s="600">
        <f t="shared" si="266"/>
        <v>377</v>
      </c>
      <c r="AE405" s="469">
        <v>404</v>
      </c>
      <c r="AF405" s="485">
        <v>377</v>
      </c>
    </row>
    <row r="406" spans="2:32" x14ac:dyDescent="0.35">
      <c r="B406" s="485">
        <v>405</v>
      </c>
      <c r="C406" s="589" t="s">
        <v>318</v>
      </c>
      <c r="D406" s="595">
        <v>23</v>
      </c>
      <c r="E406" s="595">
        <v>28</v>
      </c>
      <c r="F406" s="595">
        <v>30</v>
      </c>
      <c r="G406" s="595">
        <v>39</v>
      </c>
      <c r="H406" s="595">
        <v>38</v>
      </c>
      <c r="I406" s="595">
        <v>32</v>
      </c>
      <c r="J406" s="595">
        <v>32</v>
      </c>
      <c r="K406" s="595">
        <v>24</v>
      </c>
      <c r="L406" s="595">
        <v>22</v>
      </c>
      <c r="M406" s="595">
        <v>40</v>
      </c>
      <c r="N406" s="595">
        <v>24</v>
      </c>
      <c r="O406" s="595">
        <v>32</v>
      </c>
      <c r="Q406" s="517">
        <v>405</v>
      </c>
      <c r="R406" s="589" t="s">
        <v>318</v>
      </c>
      <c r="S406" s="599">
        <f t="shared" ref="S406:S407" si="267">D406</f>
        <v>23</v>
      </c>
      <c r="T406" s="599">
        <f t="shared" ref="T406:T407" si="268">S406+E406</f>
        <v>51</v>
      </c>
      <c r="U406" s="599">
        <f t="shared" ref="U406:U407" si="269">T406+F406</f>
        <v>81</v>
      </c>
      <c r="V406" s="599">
        <f t="shared" ref="V406:V407" si="270">U406+G406</f>
        <v>120</v>
      </c>
      <c r="W406" s="599">
        <f t="shared" ref="W406:W407" si="271">V406+H406</f>
        <v>158</v>
      </c>
      <c r="X406" s="599">
        <f t="shared" ref="X406:X407" si="272">W406+I406</f>
        <v>190</v>
      </c>
      <c r="Y406" s="599">
        <f t="shared" ref="Y406:Y407" si="273">X406+J406</f>
        <v>222</v>
      </c>
      <c r="Z406" s="599">
        <f t="shared" ref="Z406:Z407" si="274">Y406+K406</f>
        <v>246</v>
      </c>
      <c r="AA406" s="599">
        <f t="shared" ref="AA406:AA407" si="275">Z406+L406</f>
        <v>268</v>
      </c>
      <c r="AB406" s="599">
        <f t="shared" ref="AB406:AB407" si="276">AA406+M406</f>
        <v>308</v>
      </c>
      <c r="AC406" s="599">
        <f t="shared" ref="AC406:AC407" si="277">AB406+N406</f>
        <v>332</v>
      </c>
      <c r="AD406" s="600">
        <f t="shared" ref="AD406:AD407" si="278">AC406+O406</f>
        <v>364</v>
      </c>
      <c r="AE406" s="469">
        <v>405</v>
      </c>
      <c r="AF406" s="485">
        <v>364.66666666666669</v>
      </c>
    </row>
    <row r="407" spans="2:32" x14ac:dyDescent="0.35">
      <c r="B407" s="485">
        <v>406</v>
      </c>
      <c r="C407" s="589" t="s">
        <v>319</v>
      </c>
      <c r="D407" s="595">
        <v>19</v>
      </c>
      <c r="E407" s="595">
        <v>18</v>
      </c>
      <c r="F407" s="595">
        <v>25</v>
      </c>
      <c r="G407" s="595">
        <v>39</v>
      </c>
      <c r="H407" s="595">
        <v>33</v>
      </c>
      <c r="I407" s="595">
        <v>27</v>
      </c>
      <c r="J407" s="595">
        <v>29</v>
      </c>
      <c r="K407" s="595">
        <v>25</v>
      </c>
      <c r="L407" s="595">
        <v>24</v>
      </c>
      <c r="M407" s="595">
        <v>35</v>
      </c>
      <c r="N407" s="595">
        <v>22</v>
      </c>
      <c r="O407" s="595">
        <v>26</v>
      </c>
      <c r="P407" s="423"/>
      <c r="Q407" s="517">
        <v>406</v>
      </c>
      <c r="R407" s="589" t="s">
        <v>319</v>
      </c>
      <c r="S407" s="599">
        <f t="shared" si="267"/>
        <v>19</v>
      </c>
      <c r="T407" s="599">
        <f t="shared" si="268"/>
        <v>37</v>
      </c>
      <c r="U407" s="599">
        <f t="shared" si="269"/>
        <v>62</v>
      </c>
      <c r="V407" s="599">
        <f t="shared" si="270"/>
        <v>101</v>
      </c>
      <c r="W407" s="599">
        <f t="shared" si="271"/>
        <v>134</v>
      </c>
      <c r="X407" s="599">
        <f t="shared" si="272"/>
        <v>161</v>
      </c>
      <c r="Y407" s="599">
        <f t="shared" si="273"/>
        <v>190</v>
      </c>
      <c r="Z407" s="599">
        <f t="shared" si="274"/>
        <v>215</v>
      </c>
      <c r="AA407" s="599">
        <f t="shared" si="275"/>
        <v>239</v>
      </c>
      <c r="AB407" s="599">
        <f t="shared" si="276"/>
        <v>274</v>
      </c>
      <c r="AC407" s="599">
        <f t="shared" si="277"/>
        <v>296</v>
      </c>
      <c r="AD407" s="600">
        <f t="shared" si="278"/>
        <v>322</v>
      </c>
      <c r="AE407" s="469">
        <v>406</v>
      </c>
      <c r="AF407" s="485">
        <v>322</v>
      </c>
    </row>
    <row r="408" spans="2:32" x14ac:dyDescent="0.35">
      <c r="B408" s="485">
        <v>407</v>
      </c>
      <c r="C408" s="589" t="s">
        <v>320</v>
      </c>
      <c r="D408" s="592">
        <f>D405/D403</f>
        <v>0.27142857142857141</v>
      </c>
      <c r="E408" s="592">
        <f t="shared" ref="E408:O408" si="279">E405/E403</f>
        <v>0.42857142857142855</v>
      </c>
      <c r="F408" s="592">
        <f t="shared" si="279"/>
        <v>0.51470588235294112</v>
      </c>
      <c r="G408" s="592">
        <f t="shared" si="279"/>
        <v>0.52777777777777779</v>
      </c>
      <c r="H408" s="592">
        <f t="shared" si="279"/>
        <v>0.42666666666666669</v>
      </c>
      <c r="I408" s="592">
        <f t="shared" si="279"/>
        <v>0.6271186440677966</v>
      </c>
      <c r="J408" s="592">
        <f t="shared" si="279"/>
        <v>0.61016949152542377</v>
      </c>
      <c r="K408" s="592">
        <f t="shared" si="279"/>
        <v>0.55172413793103448</v>
      </c>
      <c r="L408" s="592">
        <f t="shared" si="279"/>
        <v>0.47457627118644069</v>
      </c>
      <c r="M408" s="592">
        <f t="shared" si="279"/>
        <v>0.38709677419354838</v>
      </c>
      <c r="N408" s="592">
        <f t="shared" si="279"/>
        <v>0.46296296296296297</v>
      </c>
      <c r="O408" s="592">
        <f t="shared" si="279"/>
        <v>0.53703703703703709</v>
      </c>
      <c r="Q408" s="517">
        <v>407</v>
      </c>
      <c r="R408" s="589" t="s">
        <v>320</v>
      </c>
      <c r="S408" s="593">
        <f>S405/S403</f>
        <v>0.27142857142857141</v>
      </c>
      <c r="T408" s="593">
        <f t="shared" ref="T408:AD408" si="280">T405/T403</f>
        <v>0.35</v>
      </c>
      <c r="U408" s="593">
        <f t="shared" si="280"/>
        <v>0.40384615384615385</v>
      </c>
      <c r="V408" s="593">
        <f t="shared" si="280"/>
        <v>0.43571428571428572</v>
      </c>
      <c r="W408" s="593">
        <f t="shared" si="280"/>
        <v>0.43380281690140843</v>
      </c>
      <c r="X408" s="593">
        <f t="shared" si="280"/>
        <v>0.46135265700483091</v>
      </c>
      <c r="Y408" s="593">
        <f t="shared" si="280"/>
        <v>0.47991543340380549</v>
      </c>
      <c r="Z408" s="593">
        <f t="shared" si="280"/>
        <v>0.48775894538606401</v>
      </c>
      <c r="AA408" s="593">
        <f t="shared" si="280"/>
        <v>0.48644067796610169</v>
      </c>
      <c r="AB408" s="593">
        <f t="shared" si="280"/>
        <v>0.47291361639824303</v>
      </c>
      <c r="AC408" s="593">
        <f t="shared" si="280"/>
        <v>0.47218453188602444</v>
      </c>
      <c r="AD408" s="593">
        <f t="shared" si="280"/>
        <v>0.47661188369152974</v>
      </c>
      <c r="AE408" s="469">
        <v>407</v>
      </c>
      <c r="AF408" s="485">
        <v>5.8280166605436694</v>
      </c>
    </row>
    <row r="409" spans="2:32" x14ac:dyDescent="0.35">
      <c r="B409" s="485">
        <v>408</v>
      </c>
      <c r="C409" s="590" t="s">
        <v>321</v>
      </c>
      <c r="D409" s="592">
        <f>D406/D403</f>
        <v>0.32857142857142857</v>
      </c>
      <c r="E409" s="592">
        <f t="shared" ref="E409:O409" si="281">E406/E403</f>
        <v>0.4</v>
      </c>
      <c r="F409" s="592">
        <f t="shared" si="281"/>
        <v>0.44117647058823528</v>
      </c>
      <c r="G409" s="592">
        <f t="shared" si="281"/>
        <v>0.54166666666666663</v>
      </c>
      <c r="H409" s="592">
        <f t="shared" si="281"/>
        <v>0.50666666666666671</v>
      </c>
      <c r="I409" s="592">
        <f t="shared" si="281"/>
        <v>0.5423728813559322</v>
      </c>
      <c r="J409" s="592">
        <f t="shared" si="281"/>
        <v>0.5423728813559322</v>
      </c>
      <c r="K409" s="592">
        <f t="shared" si="281"/>
        <v>0.41379310344827586</v>
      </c>
      <c r="L409" s="592">
        <f t="shared" si="281"/>
        <v>0.3728813559322034</v>
      </c>
      <c r="M409" s="592">
        <f t="shared" si="281"/>
        <v>0.43010752688172044</v>
      </c>
      <c r="N409" s="592">
        <f t="shared" si="281"/>
        <v>0.44444444444444442</v>
      </c>
      <c r="O409" s="592">
        <f t="shared" si="281"/>
        <v>0.59259259259259256</v>
      </c>
      <c r="Q409" s="517">
        <v>408</v>
      </c>
      <c r="R409" s="590" t="s">
        <v>321</v>
      </c>
      <c r="S409" s="592">
        <f>S406/S403</f>
        <v>0.32857142857142857</v>
      </c>
      <c r="T409" s="592">
        <f t="shared" ref="T409:AD409" si="282">T406/T403</f>
        <v>0.36428571428571427</v>
      </c>
      <c r="U409" s="592">
        <f t="shared" si="282"/>
        <v>0.38942307692307693</v>
      </c>
      <c r="V409" s="592">
        <f t="shared" si="282"/>
        <v>0.42857142857142855</v>
      </c>
      <c r="W409" s="592">
        <f t="shared" si="282"/>
        <v>0.44507042253521129</v>
      </c>
      <c r="X409" s="592">
        <f t="shared" si="282"/>
        <v>0.45893719806763283</v>
      </c>
      <c r="Y409" s="592">
        <f t="shared" si="282"/>
        <v>0.46934460887949259</v>
      </c>
      <c r="Z409" s="592">
        <f t="shared" si="282"/>
        <v>0.4632768361581921</v>
      </c>
      <c r="AA409" s="592">
        <f t="shared" si="282"/>
        <v>0.45423728813559322</v>
      </c>
      <c r="AB409" s="592">
        <f t="shared" si="282"/>
        <v>0.45095168374816985</v>
      </c>
      <c r="AC409" s="592">
        <f t="shared" si="282"/>
        <v>0.45047489823609227</v>
      </c>
      <c r="AD409" s="592">
        <f t="shared" si="282"/>
        <v>0.46017699115044247</v>
      </c>
      <c r="AE409" s="469">
        <v>408</v>
      </c>
      <c r="AF409" s="485">
        <v>5.5744817693070265</v>
      </c>
    </row>
    <row r="410" spans="2:32" x14ac:dyDescent="0.35">
      <c r="B410" s="485">
        <v>409</v>
      </c>
      <c r="C410" s="590" t="s">
        <v>322</v>
      </c>
      <c r="D410" s="592">
        <f>D407/D403</f>
        <v>0.27142857142857141</v>
      </c>
      <c r="E410" s="592">
        <f t="shared" ref="E410:O410" si="283">E407/E403</f>
        <v>0.25714285714285712</v>
      </c>
      <c r="F410" s="592">
        <f t="shared" si="283"/>
        <v>0.36764705882352944</v>
      </c>
      <c r="G410" s="592">
        <f t="shared" si="283"/>
        <v>0.54166666666666663</v>
      </c>
      <c r="H410" s="592">
        <f t="shared" si="283"/>
        <v>0.44</v>
      </c>
      <c r="I410" s="592">
        <f t="shared" si="283"/>
        <v>0.4576271186440678</v>
      </c>
      <c r="J410" s="592">
        <f t="shared" si="283"/>
        <v>0.49152542372881358</v>
      </c>
      <c r="K410" s="592">
        <f t="shared" si="283"/>
        <v>0.43103448275862066</v>
      </c>
      <c r="L410" s="592">
        <f t="shared" si="283"/>
        <v>0.40677966101694918</v>
      </c>
      <c r="M410" s="592">
        <f t="shared" si="283"/>
        <v>0.37634408602150538</v>
      </c>
      <c r="N410" s="592">
        <f t="shared" si="283"/>
        <v>0.40740740740740738</v>
      </c>
      <c r="O410" s="592">
        <f t="shared" si="283"/>
        <v>0.48148148148148145</v>
      </c>
      <c r="Q410" s="517">
        <v>409</v>
      </c>
      <c r="R410" s="590" t="s">
        <v>322</v>
      </c>
      <c r="S410" s="592">
        <f>S407/S403</f>
        <v>0.27142857142857141</v>
      </c>
      <c r="T410" s="592">
        <f t="shared" ref="T410:AD410" si="284">T407/T403</f>
        <v>0.26428571428571429</v>
      </c>
      <c r="U410" s="592">
        <f t="shared" si="284"/>
        <v>0.29807692307692307</v>
      </c>
      <c r="V410" s="592">
        <f t="shared" si="284"/>
        <v>0.36071428571428571</v>
      </c>
      <c r="W410" s="592">
        <f t="shared" si="284"/>
        <v>0.37746478873239436</v>
      </c>
      <c r="X410" s="592">
        <f t="shared" si="284"/>
        <v>0.3888888888888889</v>
      </c>
      <c r="Y410" s="592">
        <f t="shared" si="284"/>
        <v>0.40169133192389006</v>
      </c>
      <c r="Z410" s="592">
        <f t="shared" si="284"/>
        <v>0.40489642184557439</v>
      </c>
      <c r="AA410" s="592">
        <f t="shared" si="284"/>
        <v>0.40508474576271186</v>
      </c>
      <c r="AB410" s="592">
        <f t="shared" si="284"/>
        <v>0.40117130307467058</v>
      </c>
      <c r="AC410" s="592">
        <f t="shared" si="284"/>
        <v>0.40162822252374492</v>
      </c>
      <c r="AD410" s="592">
        <f t="shared" si="284"/>
        <v>0.40707964601769914</v>
      </c>
      <c r="AE410" s="469">
        <v>409</v>
      </c>
      <c r="AF410" s="485">
        <v>4.9339882461234108</v>
      </c>
    </row>
    <row r="411" spans="2:32" x14ac:dyDescent="0.35">
      <c r="B411" s="485">
        <v>410</v>
      </c>
      <c r="C411" s="589" t="s">
        <v>323</v>
      </c>
      <c r="D411" s="596">
        <v>30</v>
      </c>
      <c r="E411" s="596">
        <v>32</v>
      </c>
      <c r="F411" s="596">
        <v>28</v>
      </c>
      <c r="G411" s="596">
        <v>27</v>
      </c>
      <c r="H411" s="596">
        <v>33</v>
      </c>
      <c r="I411" s="596">
        <v>27</v>
      </c>
      <c r="J411" s="596">
        <v>27</v>
      </c>
      <c r="K411" s="596">
        <v>25</v>
      </c>
      <c r="L411" s="596">
        <v>26</v>
      </c>
      <c r="M411" s="596">
        <v>38</v>
      </c>
      <c r="N411" s="596">
        <v>24</v>
      </c>
      <c r="O411" s="596">
        <v>24</v>
      </c>
      <c r="Q411" s="517">
        <v>410</v>
      </c>
      <c r="R411" s="589" t="s">
        <v>323</v>
      </c>
      <c r="S411" s="597">
        <f t="shared" ref="S411:S412" si="285">D411</f>
        <v>30</v>
      </c>
      <c r="T411" s="597">
        <f t="shared" ref="T411:T412" si="286">S411+E411</f>
        <v>62</v>
      </c>
      <c r="U411" s="597">
        <f t="shared" ref="U411:U412" si="287">T411+F411</f>
        <v>90</v>
      </c>
      <c r="V411" s="597">
        <f t="shared" ref="V411:V412" si="288">U411+G411</f>
        <v>117</v>
      </c>
      <c r="W411" s="597">
        <f t="shared" ref="W411:W412" si="289">V411+H411</f>
        <v>150</v>
      </c>
      <c r="X411" s="597">
        <f t="shared" ref="X411:X412" si="290">W411+I411</f>
        <v>177</v>
      </c>
      <c r="Y411" s="597">
        <f t="shared" ref="Y411:Y412" si="291">X411+J411</f>
        <v>204</v>
      </c>
      <c r="Z411" s="597">
        <f t="shared" ref="Z411:Z412" si="292">Y411+K411</f>
        <v>229</v>
      </c>
      <c r="AA411" s="597">
        <f t="shared" ref="AA411:AA412" si="293">Z411+L411</f>
        <v>255</v>
      </c>
      <c r="AB411" s="597">
        <f t="shared" ref="AB411:AB412" si="294">AA411+M411</f>
        <v>293</v>
      </c>
      <c r="AC411" s="597">
        <f t="shared" ref="AC411:AC412" si="295">AB411+N411</f>
        <v>317</v>
      </c>
      <c r="AD411" s="598">
        <f t="shared" ref="AD411:AD412" si="296">AC411+O411</f>
        <v>341</v>
      </c>
      <c r="AE411" s="469">
        <v>410</v>
      </c>
      <c r="AF411" s="485">
        <v>339</v>
      </c>
    </row>
    <row r="412" spans="2:32" x14ac:dyDescent="0.35">
      <c r="B412" s="485">
        <v>411</v>
      </c>
      <c r="C412" s="589" t="s">
        <v>324</v>
      </c>
      <c r="D412" s="596">
        <v>9</v>
      </c>
      <c r="E412" s="596">
        <v>8</v>
      </c>
      <c r="F412" s="596">
        <v>8</v>
      </c>
      <c r="G412" s="596">
        <v>7</v>
      </c>
      <c r="H412" s="596">
        <v>8</v>
      </c>
      <c r="I412" s="596">
        <v>7</v>
      </c>
      <c r="J412" s="596">
        <v>9</v>
      </c>
      <c r="K412" s="596">
        <v>8</v>
      </c>
      <c r="L412" s="596">
        <v>6</v>
      </c>
      <c r="M412" s="596">
        <v>8</v>
      </c>
      <c r="N412" s="596">
        <v>4</v>
      </c>
      <c r="O412" s="596">
        <v>8</v>
      </c>
      <c r="Q412" s="517">
        <v>411</v>
      </c>
      <c r="R412" s="589" t="s">
        <v>324</v>
      </c>
      <c r="S412" s="597">
        <f t="shared" si="285"/>
        <v>9</v>
      </c>
      <c r="T412" s="597">
        <f t="shared" si="286"/>
        <v>17</v>
      </c>
      <c r="U412" s="597">
        <f t="shared" si="287"/>
        <v>25</v>
      </c>
      <c r="V412" s="597">
        <f t="shared" si="288"/>
        <v>32</v>
      </c>
      <c r="W412" s="597">
        <f t="shared" si="289"/>
        <v>40</v>
      </c>
      <c r="X412" s="597">
        <f t="shared" si="290"/>
        <v>47</v>
      </c>
      <c r="Y412" s="597">
        <f t="shared" si="291"/>
        <v>56</v>
      </c>
      <c r="Z412" s="597">
        <f t="shared" si="292"/>
        <v>64</v>
      </c>
      <c r="AA412" s="597">
        <f t="shared" si="293"/>
        <v>70</v>
      </c>
      <c r="AB412" s="597">
        <f t="shared" si="294"/>
        <v>78</v>
      </c>
      <c r="AC412" s="597">
        <f t="shared" si="295"/>
        <v>82</v>
      </c>
      <c r="AD412" s="598">
        <f t="shared" si="296"/>
        <v>90</v>
      </c>
      <c r="AE412" s="469">
        <v>411</v>
      </c>
      <c r="AF412" s="485">
        <v>93.333333333333329</v>
      </c>
    </row>
    <row r="413" spans="2:32" x14ac:dyDescent="0.35">
      <c r="B413" s="485">
        <v>412</v>
      </c>
      <c r="C413" s="589" t="s">
        <v>325</v>
      </c>
      <c r="D413" s="595">
        <v>11</v>
      </c>
      <c r="E413" s="595">
        <v>9</v>
      </c>
      <c r="F413" s="595">
        <v>13</v>
      </c>
      <c r="G413" s="595">
        <v>15</v>
      </c>
      <c r="H413" s="595">
        <v>17</v>
      </c>
      <c r="I413" s="595">
        <v>19</v>
      </c>
      <c r="J413" s="595">
        <v>18</v>
      </c>
      <c r="K413" s="595">
        <v>12</v>
      </c>
      <c r="L413" s="595">
        <v>12</v>
      </c>
      <c r="M413" s="595">
        <v>13</v>
      </c>
      <c r="N413" s="595">
        <v>11</v>
      </c>
      <c r="O413" s="595">
        <v>10</v>
      </c>
      <c r="Q413" s="517">
        <v>412</v>
      </c>
      <c r="R413" s="589" t="s">
        <v>325</v>
      </c>
      <c r="S413" s="601">
        <f t="shared" ref="S413:S415" si="297">D413</f>
        <v>11</v>
      </c>
      <c r="T413" s="601">
        <f t="shared" ref="T413:T415" si="298">S413+E413</f>
        <v>20</v>
      </c>
      <c r="U413" s="601">
        <f t="shared" ref="U413:U415" si="299">T413+F413</f>
        <v>33</v>
      </c>
      <c r="V413" s="601">
        <f t="shared" ref="V413:V415" si="300">U413+G413</f>
        <v>48</v>
      </c>
      <c r="W413" s="601">
        <f t="shared" ref="W413:W415" si="301">V413+H413</f>
        <v>65</v>
      </c>
      <c r="X413" s="601">
        <f t="shared" ref="X413:X415" si="302">W413+I413</f>
        <v>84</v>
      </c>
      <c r="Y413" s="601">
        <f t="shared" ref="Y413:Y415" si="303">X413+J413</f>
        <v>102</v>
      </c>
      <c r="Z413" s="601">
        <f t="shared" ref="Z413:Z415" si="304">Y413+K413</f>
        <v>114</v>
      </c>
      <c r="AA413" s="601">
        <f t="shared" ref="AA413:AA415" si="305">Z413+L413</f>
        <v>126</v>
      </c>
      <c r="AB413" s="601">
        <f t="shared" ref="AB413:AB415" si="306">AA413+M413</f>
        <v>139</v>
      </c>
      <c r="AC413" s="601">
        <f t="shared" ref="AC413:AC415" si="307">AB413+N413</f>
        <v>150</v>
      </c>
      <c r="AD413" s="602">
        <f t="shared" ref="AD413:AD415" si="308">AC413+O413</f>
        <v>160</v>
      </c>
      <c r="AE413" s="469">
        <v>412</v>
      </c>
      <c r="AF413" s="485">
        <v>160.66666666666666</v>
      </c>
    </row>
    <row r="414" spans="2:32" x14ac:dyDescent="0.35">
      <c r="B414" s="485">
        <v>413</v>
      </c>
      <c r="C414" s="589" t="s">
        <v>326</v>
      </c>
      <c r="D414" s="595">
        <v>12</v>
      </c>
      <c r="E414" s="595">
        <v>10</v>
      </c>
      <c r="F414" s="595">
        <v>11</v>
      </c>
      <c r="G414" s="595">
        <v>18</v>
      </c>
      <c r="H414" s="595">
        <v>21</v>
      </c>
      <c r="I414" s="595">
        <v>15</v>
      </c>
      <c r="J414" s="595">
        <v>16</v>
      </c>
      <c r="K414" s="595">
        <v>8</v>
      </c>
      <c r="L414" s="595">
        <v>11</v>
      </c>
      <c r="M414" s="595">
        <v>17</v>
      </c>
      <c r="N414" s="595">
        <v>11</v>
      </c>
      <c r="O414" s="595">
        <v>14</v>
      </c>
      <c r="Q414" s="517">
        <v>413</v>
      </c>
      <c r="R414" s="589" t="s">
        <v>326</v>
      </c>
      <c r="S414" s="601">
        <f t="shared" si="297"/>
        <v>12</v>
      </c>
      <c r="T414" s="601">
        <f t="shared" si="298"/>
        <v>22</v>
      </c>
      <c r="U414" s="601">
        <f t="shared" si="299"/>
        <v>33</v>
      </c>
      <c r="V414" s="601">
        <f t="shared" si="300"/>
        <v>51</v>
      </c>
      <c r="W414" s="601">
        <f t="shared" si="301"/>
        <v>72</v>
      </c>
      <c r="X414" s="601">
        <f t="shared" si="302"/>
        <v>87</v>
      </c>
      <c r="Y414" s="601">
        <f t="shared" si="303"/>
        <v>103</v>
      </c>
      <c r="Z414" s="601">
        <f t="shared" si="304"/>
        <v>111</v>
      </c>
      <c r="AA414" s="601">
        <f t="shared" si="305"/>
        <v>122</v>
      </c>
      <c r="AB414" s="601">
        <f t="shared" si="306"/>
        <v>139</v>
      </c>
      <c r="AC414" s="601">
        <f t="shared" si="307"/>
        <v>150</v>
      </c>
      <c r="AD414" s="602">
        <f t="shared" si="308"/>
        <v>164</v>
      </c>
      <c r="AE414" s="469">
        <v>413</v>
      </c>
      <c r="AF414" s="485">
        <v>162.33333333333331</v>
      </c>
    </row>
    <row r="415" spans="2:32" x14ac:dyDescent="0.35">
      <c r="B415" s="485">
        <v>414</v>
      </c>
      <c r="C415" s="589" t="s">
        <v>327</v>
      </c>
      <c r="D415" s="595">
        <v>9</v>
      </c>
      <c r="E415" s="595">
        <v>8</v>
      </c>
      <c r="F415" s="595">
        <v>7</v>
      </c>
      <c r="G415" s="595">
        <v>16</v>
      </c>
      <c r="H415" s="595">
        <v>13</v>
      </c>
      <c r="I415" s="595">
        <v>13</v>
      </c>
      <c r="J415" s="595">
        <v>16</v>
      </c>
      <c r="K415" s="595">
        <v>8</v>
      </c>
      <c r="L415" s="595">
        <v>10</v>
      </c>
      <c r="M415" s="595">
        <v>12</v>
      </c>
      <c r="N415" s="595">
        <v>9</v>
      </c>
      <c r="O415" s="595">
        <v>10</v>
      </c>
      <c r="Q415" s="517">
        <v>414</v>
      </c>
      <c r="R415" s="589" t="s">
        <v>327</v>
      </c>
      <c r="S415" s="601">
        <f t="shared" si="297"/>
        <v>9</v>
      </c>
      <c r="T415" s="601">
        <f t="shared" si="298"/>
        <v>17</v>
      </c>
      <c r="U415" s="601">
        <f t="shared" si="299"/>
        <v>24</v>
      </c>
      <c r="V415" s="601">
        <f t="shared" si="300"/>
        <v>40</v>
      </c>
      <c r="W415" s="601">
        <f t="shared" si="301"/>
        <v>53</v>
      </c>
      <c r="X415" s="601">
        <f t="shared" si="302"/>
        <v>66</v>
      </c>
      <c r="Y415" s="601">
        <f t="shared" si="303"/>
        <v>82</v>
      </c>
      <c r="Z415" s="601">
        <f t="shared" si="304"/>
        <v>90</v>
      </c>
      <c r="AA415" s="601">
        <f t="shared" si="305"/>
        <v>100</v>
      </c>
      <c r="AB415" s="601">
        <f t="shared" si="306"/>
        <v>112</v>
      </c>
      <c r="AC415" s="601">
        <f t="shared" si="307"/>
        <v>121</v>
      </c>
      <c r="AD415" s="602">
        <f t="shared" si="308"/>
        <v>131</v>
      </c>
      <c r="AE415" s="469">
        <v>414</v>
      </c>
      <c r="AF415" s="485">
        <v>130</v>
      </c>
    </row>
    <row r="416" spans="2:32" x14ac:dyDescent="0.35">
      <c r="B416" s="485">
        <v>415</v>
      </c>
      <c r="C416" s="589" t="s">
        <v>328</v>
      </c>
      <c r="D416" s="592">
        <f>D413/D411</f>
        <v>0.36666666666666664</v>
      </c>
      <c r="E416" s="592">
        <f t="shared" ref="E416:O416" si="309">E413/E411</f>
        <v>0.28125</v>
      </c>
      <c r="F416" s="592">
        <f t="shared" si="309"/>
        <v>0.4642857142857143</v>
      </c>
      <c r="G416" s="592">
        <f t="shared" si="309"/>
        <v>0.55555555555555558</v>
      </c>
      <c r="H416" s="592">
        <f t="shared" si="309"/>
        <v>0.51515151515151514</v>
      </c>
      <c r="I416" s="592">
        <f t="shared" si="309"/>
        <v>0.70370370370370372</v>
      </c>
      <c r="J416" s="592">
        <f t="shared" si="309"/>
        <v>0.66666666666666663</v>
      </c>
      <c r="K416" s="592">
        <f t="shared" si="309"/>
        <v>0.48</v>
      </c>
      <c r="L416" s="592">
        <f t="shared" si="309"/>
        <v>0.46153846153846156</v>
      </c>
      <c r="M416" s="592">
        <f t="shared" si="309"/>
        <v>0.34210526315789475</v>
      </c>
      <c r="N416" s="592">
        <f t="shared" si="309"/>
        <v>0.45833333333333331</v>
      </c>
      <c r="O416" s="592">
        <f t="shared" si="309"/>
        <v>0.41666666666666669</v>
      </c>
      <c r="Q416" s="517">
        <v>415</v>
      </c>
      <c r="R416" s="589" t="s">
        <v>328</v>
      </c>
      <c r="S416" s="593">
        <f>S413/S411</f>
        <v>0.36666666666666664</v>
      </c>
      <c r="T416" s="593">
        <f t="shared" ref="T416:AD416" si="310">T413/T411</f>
        <v>0.32258064516129031</v>
      </c>
      <c r="U416" s="593">
        <f t="shared" si="310"/>
        <v>0.36666666666666664</v>
      </c>
      <c r="V416" s="593">
        <f t="shared" si="310"/>
        <v>0.41025641025641024</v>
      </c>
      <c r="W416" s="593">
        <f t="shared" si="310"/>
        <v>0.43333333333333335</v>
      </c>
      <c r="X416" s="593">
        <f t="shared" si="310"/>
        <v>0.47457627118644069</v>
      </c>
      <c r="Y416" s="593">
        <f t="shared" si="310"/>
        <v>0.5</v>
      </c>
      <c r="Z416" s="593">
        <f t="shared" si="310"/>
        <v>0.49781659388646288</v>
      </c>
      <c r="AA416" s="593">
        <f t="shared" si="310"/>
        <v>0.49411764705882355</v>
      </c>
      <c r="AB416" s="593">
        <f t="shared" si="310"/>
        <v>0.47440273037542663</v>
      </c>
      <c r="AC416" s="593">
        <f t="shared" si="310"/>
        <v>0.47318611987381703</v>
      </c>
      <c r="AD416" s="593">
        <f t="shared" si="310"/>
        <v>0.46920821114369504</v>
      </c>
      <c r="AE416" s="469">
        <v>415</v>
      </c>
      <c r="AF416" s="485">
        <v>5.782433111226581</v>
      </c>
    </row>
    <row r="417" spans="2:32" x14ac:dyDescent="0.35">
      <c r="B417" s="485">
        <v>416</v>
      </c>
      <c r="C417" s="590" t="s">
        <v>329</v>
      </c>
      <c r="D417" s="592">
        <f>D414/D411</f>
        <v>0.4</v>
      </c>
      <c r="E417" s="592">
        <f t="shared" ref="E417:O417" si="311">E414/E411</f>
        <v>0.3125</v>
      </c>
      <c r="F417" s="592">
        <f t="shared" si="311"/>
        <v>0.39285714285714285</v>
      </c>
      <c r="G417" s="592">
        <f t="shared" si="311"/>
        <v>0.66666666666666663</v>
      </c>
      <c r="H417" s="592">
        <f t="shared" si="311"/>
        <v>0.63636363636363635</v>
      </c>
      <c r="I417" s="592">
        <f t="shared" si="311"/>
        <v>0.55555555555555558</v>
      </c>
      <c r="J417" s="592">
        <f t="shared" si="311"/>
        <v>0.59259259259259256</v>
      </c>
      <c r="K417" s="592">
        <f t="shared" si="311"/>
        <v>0.32</v>
      </c>
      <c r="L417" s="592">
        <f t="shared" si="311"/>
        <v>0.42307692307692307</v>
      </c>
      <c r="M417" s="592">
        <f t="shared" si="311"/>
        <v>0.44736842105263158</v>
      </c>
      <c r="N417" s="592">
        <f t="shared" si="311"/>
        <v>0.45833333333333331</v>
      </c>
      <c r="O417" s="592">
        <f t="shared" si="311"/>
        <v>0.58333333333333337</v>
      </c>
      <c r="Q417" s="517">
        <v>416</v>
      </c>
      <c r="R417" s="590" t="s">
        <v>329</v>
      </c>
      <c r="S417" s="592">
        <f>S414/S411</f>
        <v>0.4</v>
      </c>
      <c r="T417" s="592">
        <f t="shared" ref="T417:AD417" si="312">T414/T411</f>
        <v>0.35483870967741937</v>
      </c>
      <c r="U417" s="592">
        <f t="shared" si="312"/>
        <v>0.36666666666666664</v>
      </c>
      <c r="V417" s="592">
        <f t="shared" si="312"/>
        <v>0.4358974358974359</v>
      </c>
      <c r="W417" s="592">
        <f t="shared" si="312"/>
        <v>0.48</v>
      </c>
      <c r="X417" s="592">
        <f t="shared" si="312"/>
        <v>0.49152542372881358</v>
      </c>
      <c r="Y417" s="592">
        <f t="shared" si="312"/>
        <v>0.50490196078431371</v>
      </c>
      <c r="Z417" s="592">
        <f t="shared" si="312"/>
        <v>0.48471615720524019</v>
      </c>
      <c r="AA417" s="592">
        <f t="shared" si="312"/>
        <v>0.47843137254901963</v>
      </c>
      <c r="AB417" s="592">
        <f t="shared" si="312"/>
        <v>0.47440273037542663</v>
      </c>
      <c r="AC417" s="592">
        <f t="shared" si="312"/>
        <v>0.47318611987381703</v>
      </c>
      <c r="AD417" s="592">
        <f t="shared" si="312"/>
        <v>0.48093841642228741</v>
      </c>
      <c r="AE417" s="469">
        <v>416</v>
      </c>
      <c r="AF417" s="485">
        <v>5.7630850500338218</v>
      </c>
    </row>
    <row r="418" spans="2:32" x14ac:dyDescent="0.35">
      <c r="B418" s="485">
        <v>417</v>
      </c>
      <c r="C418" s="590" t="s">
        <v>330</v>
      </c>
      <c r="D418" s="592">
        <f>D415/D411</f>
        <v>0.3</v>
      </c>
      <c r="E418" s="592">
        <f t="shared" ref="E418:O418" si="313">E415/E411</f>
        <v>0.25</v>
      </c>
      <c r="F418" s="592">
        <f t="shared" si="313"/>
        <v>0.25</v>
      </c>
      <c r="G418" s="592">
        <f t="shared" si="313"/>
        <v>0.59259259259259256</v>
      </c>
      <c r="H418" s="592">
        <f t="shared" si="313"/>
        <v>0.39393939393939392</v>
      </c>
      <c r="I418" s="592">
        <f t="shared" si="313"/>
        <v>0.48148148148148145</v>
      </c>
      <c r="J418" s="592">
        <f t="shared" si="313"/>
        <v>0.59259259259259256</v>
      </c>
      <c r="K418" s="592">
        <f t="shared" si="313"/>
        <v>0.32</v>
      </c>
      <c r="L418" s="592">
        <f t="shared" si="313"/>
        <v>0.38461538461538464</v>
      </c>
      <c r="M418" s="592">
        <f t="shared" si="313"/>
        <v>0.31578947368421051</v>
      </c>
      <c r="N418" s="592">
        <f t="shared" si="313"/>
        <v>0.375</v>
      </c>
      <c r="O418" s="592">
        <f t="shared" si="313"/>
        <v>0.41666666666666669</v>
      </c>
      <c r="Q418" s="517">
        <v>417</v>
      </c>
      <c r="R418" s="590" t="s">
        <v>330</v>
      </c>
      <c r="S418" s="592">
        <f>S415/S411</f>
        <v>0.3</v>
      </c>
      <c r="T418" s="592">
        <f t="shared" ref="T418:AD418" si="314">T415/T411</f>
        <v>0.27419354838709675</v>
      </c>
      <c r="U418" s="592">
        <f t="shared" si="314"/>
        <v>0.26666666666666666</v>
      </c>
      <c r="V418" s="592">
        <f t="shared" si="314"/>
        <v>0.34188034188034189</v>
      </c>
      <c r="W418" s="592">
        <f t="shared" si="314"/>
        <v>0.35333333333333333</v>
      </c>
      <c r="X418" s="592">
        <f t="shared" si="314"/>
        <v>0.3728813559322034</v>
      </c>
      <c r="Y418" s="592">
        <f t="shared" si="314"/>
        <v>0.40196078431372551</v>
      </c>
      <c r="Z418" s="592">
        <f t="shared" si="314"/>
        <v>0.3930131004366812</v>
      </c>
      <c r="AA418" s="592">
        <f t="shared" si="314"/>
        <v>0.39215686274509803</v>
      </c>
      <c r="AB418" s="592">
        <f t="shared" si="314"/>
        <v>0.38225255972696248</v>
      </c>
      <c r="AC418" s="592">
        <f t="shared" si="314"/>
        <v>0.38170347003154576</v>
      </c>
      <c r="AD418" s="592">
        <f t="shared" si="314"/>
        <v>0.38416422287390029</v>
      </c>
      <c r="AE418" s="469">
        <v>417</v>
      </c>
      <c r="AF418" s="485">
        <v>4.6696600513512827</v>
      </c>
    </row>
    <row r="419" spans="2:32" x14ac:dyDescent="0.35">
      <c r="B419" s="485">
        <v>418</v>
      </c>
      <c r="C419" s="589" t="s">
        <v>331</v>
      </c>
      <c r="D419" s="596">
        <v>25</v>
      </c>
      <c r="E419" s="596">
        <v>23</v>
      </c>
      <c r="F419" s="596">
        <v>28</v>
      </c>
      <c r="G419" s="596">
        <v>27</v>
      </c>
      <c r="H419" s="596">
        <v>26</v>
      </c>
      <c r="I419" s="596">
        <v>22</v>
      </c>
      <c r="J419" s="596">
        <v>20</v>
      </c>
      <c r="K419" s="596">
        <v>22</v>
      </c>
      <c r="L419" s="596">
        <v>23</v>
      </c>
      <c r="M419" s="596">
        <v>32</v>
      </c>
      <c r="N419" s="596">
        <v>20</v>
      </c>
      <c r="O419" s="596">
        <v>20</v>
      </c>
      <c r="Q419" s="517">
        <v>418</v>
      </c>
      <c r="R419" s="589" t="s">
        <v>331</v>
      </c>
      <c r="S419" s="597">
        <f t="shared" ref="S419:S420" si="315">D419</f>
        <v>25</v>
      </c>
      <c r="T419" s="597">
        <f t="shared" ref="T419:T420" si="316">S419+E419</f>
        <v>48</v>
      </c>
      <c r="U419" s="597">
        <f t="shared" ref="U419:U420" si="317">T419+F419</f>
        <v>76</v>
      </c>
      <c r="V419" s="597">
        <f t="shared" ref="V419:V420" si="318">U419+G419</f>
        <v>103</v>
      </c>
      <c r="W419" s="597">
        <f t="shared" ref="W419:W420" si="319">V419+H419</f>
        <v>129</v>
      </c>
      <c r="X419" s="597">
        <f t="shared" ref="X419:X420" si="320">W419+I419</f>
        <v>151</v>
      </c>
      <c r="Y419" s="597">
        <f t="shared" ref="Y419:Y420" si="321">X419+J419</f>
        <v>171</v>
      </c>
      <c r="Z419" s="597">
        <f t="shared" ref="Z419:Z420" si="322">Y419+K419</f>
        <v>193</v>
      </c>
      <c r="AA419" s="597">
        <f t="shared" ref="AA419:AA420" si="323">Z419+L419</f>
        <v>216</v>
      </c>
      <c r="AB419" s="597">
        <f t="shared" ref="AB419:AB420" si="324">AA419+M419</f>
        <v>248</v>
      </c>
      <c r="AC419" s="597">
        <f t="shared" ref="AC419:AC420" si="325">AB419+N419</f>
        <v>268</v>
      </c>
      <c r="AD419" s="598">
        <f t="shared" ref="AD419:AD420" si="326">AC419+O419</f>
        <v>288</v>
      </c>
      <c r="AE419" s="469">
        <v>418</v>
      </c>
      <c r="AF419" s="485">
        <v>287.66666666666669</v>
      </c>
    </row>
    <row r="420" spans="2:32" x14ac:dyDescent="0.35">
      <c r="B420" s="485">
        <v>419</v>
      </c>
      <c r="C420" s="589" t="s">
        <v>332</v>
      </c>
      <c r="D420" s="596">
        <v>5</v>
      </c>
      <c r="E420" s="596">
        <v>5</v>
      </c>
      <c r="F420" s="596">
        <v>8</v>
      </c>
      <c r="G420" s="596">
        <v>8</v>
      </c>
      <c r="H420" s="596">
        <v>8</v>
      </c>
      <c r="I420" s="596">
        <v>3</v>
      </c>
      <c r="J420" s="596">
        <v>4</v>
      </c>
      <c r="K420" s="596">
        <v>5</v>
      </c>
      <c r="L420" s="596">
        <v>5</v>
      </c>
      <c r="M420" s="596">
        <v>10</v>
      </c>
      <c r="N420" s="596">
        <v>7</v>
      </c>
      <c r="O420" s="596">
        <v>5</v>
      </c>
      <c r="Q420" s="517">
        <v>419</v>
      </c>
      <c r="R420" s="589" t="s">
        <v>332</v>
      </c>
      <c r="S420" s="597">
        <f t="shared" si="315"/>
        <v>5</v>
      </c>
      <c r="T420" s="597">
        <f t="shared" si="316"/>
        <v>10</v>
      </c>
      <c r="U420" s="597">
        <f t="shared" si="317"/>
        <v>18</v>
      </c>
      <c r="V420" s="597">
        <f t="shared" si="318"/>
        <v>26</v>
      </c>
      <c r="W420" s="597">
        <f t="shared" si="319"/>
        <v>34</v>
      </c>
      <c r="X420" s="597">
        <f t="shared" si="320"/>
        <v>37</v>
      </c>
      <c r="Y420" s="597">
        <f t="shared" si="321"/>
        <v>41</v>
      </c>
      <c r="Z420" s="597">
        <f t="shared" si="322"/>
        <v>46</v>
      </c>
      <c r="AA420" s="597">
        <f t="shared" si="323"/>
        <v>51</v>
      </c>
      <c r="AB420" s="597">
        <f t="shared" si="324"/>
        <v>61</v>
      </c>
      <c r="AC420" s="597">
        <f t="shared" si="325"/>
        <v>68</v>
      </c>
      <c r="AD420" s="598">
        <f t="shared" si="326"/>
        <v>73</v>
      </c>
      <c r="AE420" s="469">
        <v>419</v>
      </c>
      <c r="AF420" s="485">
        <v>74</v>
      </c>
    </row>
    <row r="421" spans="2:32" x14ac:dyDescent="0.35">
      <c r="B421" s="485">
        <v>420</v>
      </c>
      <c r="C421" s="589" t="s">
        <v>333</v>
      </c>
      <c r="D421" s="595">
        <v>5</v>
      </c>
      <c r="E421" s="595">
        <v>13</v>
      </c>
      <c r="F421" s="595">
        <v>17</v>
      </c>
      <c r="G421" s="595">
        <v>14</v>
      </c>
      <c r="H421" s="595">
        <v>11</v>
      </c>
      <c r="I421" s="595">
        <v>13</v>
      </c>
      <c r="J421" s="595">
        <v>10</v>
      </c>
      <c r="K421" s="595">
        <v>16</v>
      </c>
      <c r="L421" s="595">
        <v>10</v>
      </c>
      <c r="M421" s="595">
        <v>13</v>
      </c>
      <c r="N421" s="595">
        <v>8</v>
      </c>
      <c r="O421" s="595">
        <v>12</v>
      </c>
      <c r="Q421" s="517">
        <v>420</v>
      </c>
      <c r="R421" s="589" t="s">
        <v>333</v>
      </c>
      <c r="S421" s="601">
        <f t="shared" ref="S421:S423" si="327">D421</f>
        <v>5</v>
      </c>
      <c r="T421" s="601">
        <f t="shared" ref="T421:T423" si="328">S421+E421</f>
        <v>18</v>
      </c>
      <c r="U421" s="601">
        <f t="shared" ref="U421:U423" si="329">T421+F421</f>
        <v>35</v>
      </c>
      <c r="V421" s="601">
        <f t="shared" ref="V421:V423" si="330">U421+G421</f>
        <v>49</v>
      </c>
      <c r="W421" s="601">
        <f t="shared" ref="W421:W423" si="331">V421+H421</f>
        <v>60</v>
      </c>
      <c r="X421" s="601">
        <f t="shared" ref="X421:X423" si="332">W421+I421</f>
        <v>73</v>
      </c>
      <c r="Y421" s="601">
        <f t="shared" ref="Y421:Y423" si="333">X421+J421</f>
        <v>83</v>
      </c>
      <c r="Z421" s="601">
        <f t="shared" ref="Z421:Z423" si="334">Y421+K421</f>
        <v>99</v>
      </c>
      <c r="AA421" s="601">
        <f t="shared" ref="AA421:AA423" si="335">Z421+L421</f>
        <v>109</v>
      </c>
      <c r="AB421" s="601">
        <f t="shared" ref="AB421:AB423" si="336">AA421+M421</f>
        <v>122</v>
      </c>
      <c r="AC421" s="601">
        <f t="shared" ref="AC421:AC423" si="337">AB421+N421</f>
        <v>130</v>
      </c>
      <c r="AD421" s="602">
        <f t="shared" ref="AD421:AD423" si="338">AC421+O421</f>
        <v>142</v>
      </c>
      <c r="AE421" s="469">
        <v>420</v>
      </c>
      <c r="AF421" s="485">
        <v>141.33333333333331</v>
      </c>
    </row>
    <row r="422" spans="2:32" x14ac:dyDescent="0.35">
      <c r="B422" s="485">
        <v>421</v>
      </c>
      <c r="C422" s="589" t="s">
        <v>334</v>
      </c>
      <c r="D422" s="595">
        <v>7</v>
      </c>
      <c r="E422" s="595">
        <v>12</v>
      </c>
      <c r="F422" s="595">
        <v>14</v>
      </c>
      <c r="G422" s="595">
        <v>12</v>
      </c>
      <c r="H422" s="595">
        <v>11</v>
      </c>
      <c r="I422" s="595">
        <v>13</v>
      </c>
      <c r="J422" s="595">
        <v>8</v>
      </c>
      <c r="K422" s="595">
        <v>11</v>
      </c>
      <c r="L422" s="595">
        <v>7</v>
      </c>
      <c r="M422" s="595">
        <v>13</v>
      </c>
      <c r="N422" s="595">
        <v>7</v>
      </c>
      <c r="O422" s="595">
        <v>12</v>
      </c>
      <c r="Q422" s="517">
        <v>421</v>
      </c>
      <c r="R422" s="589" t="s">
        <v>334</v>
      </c>
      <c r="S422" s="601">
        <f t="shared" si="327"/>
        <v>7</v>
      </c>
      <c r="T422" s="601">
        <f t="shared" si="328"/>
        <v>19</v>
      </c>
      <c r="U422" s="601">
        <f t="shared" si="329"/>
        <v>33</v>
      </c>
      <c r="V422" s="601">
        <f t="shared" si="330"/>
        <v>45</v>
      </c>
      <c r="W422" s="601">
        <f t="shared" si="331"/>
        <v>56</v>
      </c>
      <c r="X422" s="601">
        <f t="shared" si="332"/>
        <v>69</v>
      </c>
      <c r="Y422" s="601">
        <f t="shared" si="333"/>
        <v>77</v>
      </c>
      <c r="Z422" s="601">
        <f t="shared" si="334"/>
        <v>88</v>
      </c>
      <c r="AA422" s="601">
        <f t="shared" si="335"/>
        <v>95</v>
      </c>
      <c r="AB422" s="601">
        <f t="shared" si="336"/>
        <v>108</v>
      </c>
      <c r="AC422" s="601">
        <f t="shared" si="337"/>
        <v>115</v>
      </c>
      <c r="AD422" s="602">
        <f t="shared" si="338"/>
        <v>127</v>
      </c>
      <c r="AE422" s="469">
        <v>421</v>
      </c>
      <c r="AF422" s="485">
        <v>127</v>
      </c>
    </row>
    <row r="423" spans="2:32" x14ac:dyDescent="0.35">
      <c r="B423" s="485">
        <v>422</v>
      </c>
      <c r="C423" s="589" t="s">
        <v>335</v>
      </c>
      <c r="D423" s="595">
        <v>6</v>
      </c>
      <c r="E423" s="595">
        <v>5</v>
      </c>
      <c r="F423" s="595">
        <v>13</v>
      </c>
      <c r="G423" s="595">
        <v>15</v>
      </c>
      <c r="H423" s="595">
        <v>14</v>
      </c>
      <c r="I423" s="595">
        <v>9</v>
      </c>
      <c r="J423" s="595">
        <v>7</v>
      </c>
      <c r="K423" s="595">
        <v>13</v>
      </c>
      <c r="L423" s="595">
        <v>9</v>
      </c>
      <c r="M423" s="595">
        <v>13</v>
      </c>
      <c r="N423" s="595">
        <v>7</v>
      </c>
      <c r="O423" s="595">
        <v>11</v>
      </c>
      <c r="Q423" s="517">
        <v>422</v>
      </c>
      <c r="R423" s="589" t="s">
        <v>335</v>
      </c>
      <c r="S423" s="601">
        <f t="shared" si="327"/>
        <v>6</v>
      </c>
      <c r="T423" s="601">
        <f t="shared" si="328"/>
        <v>11</v>
      </c>
      <c r="U423" s="601">
        <f t="shared" si="329"/>
        <v>24</v>
      </c>
      <c r="V423" s="601">
        <f t="shared" si="330"/>
        <v>39</v>
      </c>
      <c r="W423" s="601">
        <f t="shared" si="331"/>
        <v>53</v>
      </c>
      <c r="X423" s="601">
        <f t="shared" si="332"/>
        <v>62</v>
      </c>
      <c r="Y423" s="601">
        <f t="shared" si="333"/>
        <v>69</v>
      </c>
      <c r="Z423" s="601">
        <f t="shared" si="334"/>
        <v>82</v>
      </c>
      <c r="AA423" s="601">
        <f t="shared" si="335"/>
        <v>91</v>
      </c>
      <c r="AB423" s="601">
        <f t="shared" si="336"/>
        <v>104</v>
      </c>
      <c r="AC423" s="601">
        <f t="shared" si="337"/>
        <v>111</v>
      </c>
      <c r="AD423" s="602">
        <f t="shared" si="338"/>
        <v>122</v>
      </c>
      <c r="AE423" s="469">
        <v>422</v>
      </c>
      <c r="AF423" s="485">
        <v>120.66666666666667</v>
      </c>
    </row>
    <row r="424" spans="2:32" x14ac:dyDescent="0.35">
      <c r="B424" s="485">
        <v>423</v>
      </c>
      <c r="C424" s="589" t="s">
        <v>336</v>
      </c>
      <c r="D424" s="592">
        <f>D421/D419</f>
        <v>0.2</v>
      </c>
      <c r="E424" s="592">
        <f t="shared" ref="E424:O424" si="339">E421/E419</f>
        <v>0.56521739130434778</v>
      </c>
      <c r="F424" s="592">
        <f t="shared" si="339"/>
        <v>0.6071428571428571</v>
      </c>
      <c r="G424" s="592">
        <f t="shared" si="339"/>
        <v>0.51851851851851849</v>
      </c>
      <c r="H424" s="592">
        <f t="shared" si="339"/>
        <v>0.42307692307692307</v>
      </c>
      <c r="I424" s="592">
        <f t="shared" si="339"/>
        <v>0.59090909090909094</v>
      </c>
      <c r="J424" s="592">
        <f t="shared" si="339"/>
        <v>0.5</v>
      </c>
      <c r="K424" s="592">
        <f t="shared" si="339"/>
        <v>0.72727272727272729</v>
      </c>
      <c r="L424" s="592">
        <f t="shared" si="339"/>
        <v>0.43478260869565216</v>
      </c>
      <c r="M424" s="592">
        <f t="shared" si="339"/>
        <v>0.40625</v>
      </c>
      <c r="N424" s="592">
        <f t="shared" si="339"/>
        <v>0.4</v>
      </c>
      <c r="O424" s="592">
        <f t="shared" si="339"/>
        <v>0.6</v>
      </c>
      <c r="Q424" s="517">
        <v>423</v>
      </c>
      <c r="R424" s="589" t="s">
        <v>336</v>
      </c>
      <c r="S424" s="593">
        <f>S421/S419</f>
        <v>0.2</v>
      </c>
      <c r="T424" s="593">
        <f t="shared" ref="T424:AD424" si="340">T421/T419</f>
        <v>0.375</v>
      </c>
      <c r="U424" s="593">
        <f t="shared" si="340"/>
        <v>0.46052631578947367</v>
      </c>
      <c r="V424" s="593">
        <f t="shared" si="340"/>
        <v>0.47572815533980584</v>
      </c>
      <c r="W424" s="593">
        <f t="shared" si="340"/>
        <v>0.46511627906976744</v>
      </c>
      <c r="X424" s="593">
        <f t="shared" si="340"/>
        <v>0.48344370860927155</v>
      </c>
      <c r="Y424" s="593">
        <f t="shared" si="340"/>
        <v>0.4853801169590643</v>
      </c>
      <c r="Z424" s="593">
        <f t="shared" si="340"/>
        <v>0.51295336787564771</v>
      </c>
      <c r="AA424" s="593">
        <f t="shared" si="340"/>
        <v>0.50462962962962965</v>
      </c>
      <c r="AB424" s="593">
        <f t="shared" si="340"/>
        <v>0.49193548387096775</v>
      </c>
      <c r="AC424" s="593">
        <f t="shared" si="340"/>
        <v>0.48507462686567165</v>
      </c>
      <c r="AD424" s="593">
        <f t="shared" si="340"/>
        <v>0.49305555555555558</v>
      </c>
      <c r="AE424" s="469">
        <v>423</v>
      </c>
      <c r="AF424" s="485">
        <v>5.9660115554999944</v>
      </c>
    </row>
    <row r="425" spans="2:32" x14ac:dyDescent="0.35">
      <c r="B425" s="485">
        <v>424</v>
      </c>
      <c r="C425" s="590" t="s">
        <v>337</v>
      </c>
      <c r="D425" s="592">
        <f>D422/D419</f>
        <v>0.28000000000000003</v>
      </c>
      <c r="E425" s="592">
        <f t="shared" ref="E425:O425" si="341">E422/E419</f>
        <v>0.52173913043478259</v>
      </c>
      <c r="F425" s="592">
        <f t="shared" si="341"/>
        <v>0.5</v>
      </c>
      <c r="G425" s="592">
        <f t="shared" si="341"/>
        <v>0.44444444444444442</v>
      </c>
      <c r="H425" s="592">
        <f t="shared" si="341"/>
        <v>0.42307692307692307</v>
      </c>
      <c r="I425" s="592">
        <f t="shared" si="341"/>
        <v>0.59090909090909094</v>
      </c>
      <c r="J425" s="592">
        <f t="shared" si="341"/>
        <v>0.4</v>
      </c>
      <c r="K425" s="592">
        <f t="shared" si="341"/>
        <v>0.5</v>
      </c>
      <c r="L425" s="592">
        <f t="shared" si="341"/>
        <v>0.30434782608695654</v>
      </c>
      <c r="M425" s="592">
        <f t="shared" si="341"/>
        <v>0.40625</v>
      </c>
      <c r="N425" s="592">
        <f t="shared" si="341"/>
        <v>0.35</v>
      </c>
      <c r="O425" s="592">
        <f t="shared" si="341"/>
        <v>0.6</v>
      </c>
      <c r="Q425" s="517">
        <v>424</v>
      </c>
      <c r="R425" s="590" t="s">
        <v>337</v>
      </c>
      <c r="S425" s="592">
        <f>S422/S419</f>
        <v>0.28000000000000003</v>
      </c>
      <c r="T425" s="592">
        <f t="shared" ref="T425:AD425" si="342">T422/T419</f>
        <v>0.39583333333333331</v>
      </c>
      <c r="U425" s="592">
        <f t="shared" si="342"/>
        <v>0.43421052631578949</v>
      </c>
      <c r="V425" s="592">
        <f t="shared" si="342"/>
        <v>0.43689320388349512</v>
      </c>
      <c r="W425" s="592">
        <f t="shared" si="342"/>
        <v>0.43410852713178294</v>
      </c>
      <c r="X425" s="592">
        <f t="shared" si="342"/>
        <v>0.45695364238410596</v>
      </c>
      <c r="Y425" s="592">
        <f t="shared" si="342"/>
        <v>0.45029239766081869</v>
      </c>
      <c r="Z425" s="592">
        <f t="shared" si="342"/>
        <v>0.45595854922279794</v>
      </c>
      <c r="AA425" s="592">
        <f t="shared" si="342"/>
        <v>0.43981481481481483</v>
      </c>
      <c r="AB425" s="592">
        <f t="shared" si="342"/>
        <v>0.43548387096774194</v>
      </c>
      <c r="AC425" s="592">
        <f t="shared" si="342"/>
        <v>0.42910447761194032</v>
      </c>
      <c r="AD425" s="592">
        <f t="shared" si="342"/>
        <v>0.44097222222222221</v>
      </c>
      <c r="AE425" s="469">
        <v>424</v>
      </c>
      <c r="AF425" s="485">
        <v>5.339904614835981</v>
      </c>
    </row>
    <row r="426" spans="2:32" x14ac:dyDescent="0.35">
      <c r="B426" s="485">
        <v>425</v>
      </c>
      <c r="C426" s="590" t="s">
        <v>338</v>
      </c>
      <c r="D426" s="592">
        <f>D423/D419</f>
        <v>0.24</v>
      </c>
      <c r="E426" s="592">
        <f t="shared" ref="E426:O426" si="343">E423/E419</f>
        <v>0.21739130434782608</v>
      </c>
      <c r="F426" s="592">
        <f t="shared" si="343"/>
        <v>0.4642857142857143</v>
      </c>
      <c r="G426" s="592">
        <f t="shared" si="343"/>
        <v>0.55555555555555558</v>
      </c>
      <c r="H426" s="592">
        <f t="shared" si="343"/>
        <v>0.53846153846153844</v>
      </c>
      <c r="I426" s="592">
        <f t="shared" si="343"/>
        <v>0.40909090909090912</v>
      </c>
      <c r="J426" s="592">
        <f t="shared" si="343"/>
        <v>0.35</v>
      </c>
      <c r="K426" s="592">
        <f t="shared" si="343"/>
        <v>0.59090909090909094</v>
      </c>
      <c r="L426" s="592">
        <f t="shared" si="343"/>
        <v>0.39130434782608697</v>
      </c>
      <c r="M426" s="592">
        <f t="shared" si="343"/>
        <v>0.40625</v>
      </c>
      <c r="N426" s="592">
        <f t="shared" si="343"/>
        <v>0.35</v>
      </c>
      <c r="O426" s="592">
        <f t="shared" si="343"/>
        <v>0.55000000000000004</v>
      </c>
      <c r="Q426" s="517">
        <v>425</v>
      </c>
      <c r="R426" s="590" t="s">
        <v>338</v>
      </c>
      <c r="S426" s="592">
        <f>S423/S419</f>
        <v>0.24</v>
      </c>
      <c r="T426" s="592">
        <f t="shared" ref="T426:AD426" si="344">T423/T419</f>
        <v>0.22916666666666666</v>
      </c>
      <c r="U426" s="592">
        <f t="shared" si="344"/>
        <v>0.31578947368421051</v>
      </c>
      <c r="V426" s="592">
        <f t="shared" si="344"/>
        <v>0.37864077669902912</v>
      </c>
      <c r="W426" s="592">
        <f t="shared" si="344"/>
        <v>0.41085271317829458</v>
      </c>
      <c r="X426" s="592">
        <f t="shared" si="344"/>
        <v>0.41059602649006621</v>
      </c>
      <c r="Y426" s="592">
        <f t="shared" si="344"/>
        <v>0.40350877192982454</v>
      </c>
      <c r="Z426" s="592">
        <f t="shared" si="344"/>
        <v>0.42487046632124353</v>
      </c>
      <c r="AA426" s="592">
        <f t="shared" si="344"/>
        <v>0.42129629629629628</v>
      </c>
      <c r="AB426" s="592">
        <f t="shared" si="344"/>
        <v>0.41935483870967744</v>
      </c>
      <c r="AC426" s="592">
        <f t="shared" si="344"/>
        <v>0.41417910447761191</v>
      </c>
      <c r="AD426" s="592">
        <f t="shared" si="344"/>
        <v>0.4236111111111111</v>
      </c>
      <c r="AE426" s="469">
        <v>425</v>
      </c>
      <c r="AF426" s="485">
        <v>5.025806682624733</v>
      </c>
    </row>
    <row r="427" spans="2:32" x14ac:dyDescent="0.35">
      <c r="B427" s="485">
        <v>426</v>
      </c>
      <c r="C427" s="589" t="s">
        <v>339</v>
      </c>
      <c r="D427" s="596">
        <v>15</v>
      </c>
      <c r="E427" s="596">
        <v>15</v>
      </c>
      <c r="F427" s="596">
        <v>12</v>
      </c>
      <c r="G427" s="596">
        <v>18</v>
      </c>
      <c r="H427" s="596">
        <v>16</v>
      </c>
      <c r="I427" s="596">
        <v>10</v>
      </c>
      <c r="J427" s="596">
        <v>13</v>
      </c>
      <c r="K427" s="596">
        <v>11</v>
      </c>
      <c r="L427" s="596">
        <v>11</v>
      </c>
      <c r="M427" s="596">
        <v>23</v>
      </c>
      <c r="N427" s="596">
        <v>10</v>
      </c>
      <c r="O427" s="596">
        <v>10</v>
      </c>
      <c r="Q427" s="517">
        <v>426</v>
      </c>
      <c r="R427" s="589" t="s">
        <v>339</v>
      </c>
      <c r="S427" s="597">
        <f t="shared" ref="S427:S428" si="345">D427</f>
        <v>15</v>
      </c>
      <c r="T427" s="597">
        <f t="shared" ref="T427:T428" si="346">S427+E427</f>
        <v>30</v>
      </c>
      <c r="U427" s="597">
        <f t="shared" ref="U427:U428" si="347">T427+F427</f>
        <v>42</v>
      </c>
      <c r="V427" s="597">
        <f t="shared" ref="V427:V428" si="348">U427+G427</f>
        <v>60</v>
      </c>
      <c r="W427" s="597">
        <f t="shared" ref="W427:W428" si="349">V427+H427</f>
        <v>76</v>
      </c>
      <c r="X427" s="597">
        <f t="shared" ref="X427:X428" si="350">W427+I427</f>
        <v>86</v>
      </c>
      <c r="Y427" s="597">
        <f t="shared" ref="Y427:Y428" si="351">X427+J427</f>
        <v>99</v>
      </c>
      <c r="Z427" s="597">
        <f t="shared" ref="Z427:Z428" si="352">Y427+K427</f>
        <v>110</v>
      </c>
      <c r="AA427" s="597">
        <f t="shared" ref="AA427:AA428" si="353">Z427+L427</f>
        <v>121</v>
      </c>
      <c r="AB427" s="597">
        <f t="shared" ref="AB427:AB428" si="354">AA427+M427</f>
        <v>144</v>
      </c>
      <c r="AC427" s="597">
        <f t="shared" ref="AC427:AC428" si="355">AB427+N427</f>
        <v>154</v>
      </c>
      <c r="AD427" s="598">
        <f t="shared" ref="AD427:AD428" si="356">AC427+O427</f>
        <v>164</v>
      </c>
      <c r="AE427" s="469">
        <v>426</v>
      </c>
      <c r="AF427" s="485">
        <v>163.33333333333334</v>
      </c>
    </row>
    <row r="428" spans="2:32" x14ac:dyDescent="0.35">
      <c r="B428" s="485">
        <v>427</v>
      </c>
      <c r="C428" s="589" t="s">
        <v>340</v>
      </c>
      <c r="D428" s="596">
        <v>5</v>
      </c>
      <c r="E428" s="596">
        <v>5</v>
      </c>
      <c r="F428" s="596">
        <v>4</v>
      </c>
      <c r="G428" s="596">
        <v>3</v>
      </c>
      <c r="H428" s="596">
        <v>5</v>
      </c>
      <c r="I428" s="596">
        <v>3</v>
      </c>
      <c r="J428" s="596">
        <v>5</v>
      </c>
      <c r="K428" s="596">
        <v>3</v>
      </c>
      <c r="L428" s="596">
        <v>4</v>
      </c>
      <c r="M428" s="596">
        <v>6</v>
      </c>
      <c r="N428" s="596">
        <v>4</v>
      </c>
      <c r="O428" s="596">
        <v>3</v>
      </c>
      <c r="Q428" s="517">
        <v>427</v>
      </c>
      <c r="R428" s="589" t="s">
        <v>340</v>
      </c>
      <c r="S428" s="597">
        <f t="shared" si="345"/>
        <v>5</v>
      </c>
      <c r="T428" s="597">
        <f t="shared" si="346"/>
        <v>10</v>
      </c>
      <c r="U428" s="597">
        <f t="shared" si="347"/>
        <v>14</v>
      </c>
      <c r="V428" s="597">
        <f t="shared" si="348"/>
        <v>17</v>
      </c>
      <c r="W428" s="597">
        <f t="shared" si="349"/>
        <v>22</v>
      </c>
      <c r="X428" s="597">
        <f t="shared" si="350"/>
        <v>25</v>
      </c>
      <c r="Y428" s="597">
        <f t="shared" si="351"/>
        <v>30</v>
      </c>
      <c r="Z428" s="597">
        <f t="shared" si="352"/>
        <v>33</v>
      </c>
      <c r="AA428" s="597">
        <f t="shared" si="353"/>
        <v>37</v>
      </c>
      <c r="AB428" s="597">
        <f t="shared" si="354"/>
        <v>43</v>
      </c>
      <c r="AC428" s="597">
        <f t="shared" si="355"/>
        <v>47</v>
      </c>
      <c r="AD428" s="598">
        <f t="shared" si="356"/>
        <v>50</v>
      </c>
      <c r="AE428" s="469">
        <v>427</v>
      </c>
      <c r="AF428" s="485">
        <v>49.333333333333329</v>
      </c>
    </row>
    <row r="429" spans="2:32" x14ac:dyDescent="0.35">
      <c r="B429" s="485">
        <v>428</v>
      </c>
      <c r="C429" s="589" t="s">
        <v>341</v>
      </c>
      <c r="D429" s="595">
        <v>3</v>
      </c>
      <c r="E429" s="595">
        <v>8</v>
      </c>
      <c r="F429" s="595">
        <v>5</v>
      </c>
      <c r="G429" s="595">
        <v>8</v>
      </c>
      <c r="H429" s="595">
        <v>5</v>
      </c>
      <c r="I429" s="595">
        <v>6</v>
      </c>
      <c r="J429" s="595">
        <v>7</v>
      </c>
      <c r="K429" s="595">
        <v>4</v>
      </c>
      <c r="L429" s="595">
        <v>5</v>
      </c>
      <c r="M429" s="595">
        <v>10</v>
      </c>
      <c r="N429" s="595">
        <v>5</v>
      </c>
      <c r="O429" s="595">
        <v>7</v>
      </c>
      <c r="Q429" s="517">
        <v>428</v>
      </c>
      <c r="R429" s="589" t="s">
        <v>341</v>
      </c>
      <c r="S429" s="601">
        <f t="shared" ref="S429:S431" si="357">D429</f>
        <v>3</v>
      </c>
      <c r="T429" s="601">
        <f t="shared" ref="T429:T430" si="358">S429+E429</f>
        <v>11</v>
      </c>
      <c r="U429" s="601">
        <f t="shared" ref="U429:U431" si="359">T429+F429</f>
        <v>16</v>
      </c>
      <c r="V429" s="601">
        <f t="shared" ref="V429:V431" si="360">U429+G429</f>
        <v>24</v>
      </c>
      <c r="W429" s="601">
        <f t="shared" ref="W429:W431" si="361">V429+H429</f>
        <v>29</v>
      </c>
      <c r="X429" s="601">
        <f t="shared" ref="X429:X431" si="362">W429+I429</f>
        <v>35</v>
      </c>
      <c r="Y429" s="601">
        <f t="shared" ref="Y429:Y431" si="363">X429+J429</f>
        <v>42</v>
      </c>
      <c r="Z429" s="601">
        <f t="shared" ref="Z429:Z431" si="364">Y429+K429</f>
        <v>46</v>
      </c>
      <c r="AA429" s="601">
        <f t="shared" ref="AA429:AA431" si="365">Z429+L429</f>
        <v>51</v>
      </c>
      <c r="AB429" s="601">
        <f t="shared" ref="AB429:AB431" si="366">AA429+M429</f>
        <v>61</v>
      </c>
      <c r="AC429" s="601">
        <f t="shared" ref="AC429:AC431" si="367">AB429+N429</f>
        <v>66</v>
      </c>
      <c r="AD429" s="602">
        <f t="shared" ref="AD429:AD431" si="368">AC429+O429</f>
        <v>73</v>
      </c>
      <c r="AE429" s="469">
        <v>428</v>
      </c>
      <c r="AF429" s="485">
        <v>75</v>
      </c>
    </row>
    <row r="430" spans="2:32" x14ac:dyDescent="0.35">
      <c r="B430" s="485">
        <v>429</v>
      </c>
      <c r="C430" s="589" t="s">
        <v>342</v>
      </c>
      <c r="D430" s="595">
        <v>5</v>
      </c>
      <c r="E430" s="595">
        <v>6</v>
      </c>
      <c r="F430" s="595">
        <v>5</v>
      </c>
      <c r="G430" s="595">
        <v>9</v>
      </c>
      <c r="H430" s="595">
        <v>6</v>
      </c>
      <c r="I430" s="595">
        <v>4</v>
      </c>
      <c r="J430" s="595">
        <v>9</v>
      </c>
      <c r="K430" s="595">
        <v>5</v>
      </c>
      <c r="L430" s="595">
        <v>4</v>
      </c>
      <c r="M430" s="595">
        <v>10</v>
      </c>
      <c r="N430" s="595">
        <v>6</v>
      </c>
      <c r="O430" s="595">
        <v>7</v>
      </c>
      <c r="Q430" s="517">
        <v>429</v>
      </c>
      <c r="R430" s="589" t="s">
        <v>342</v>
      </c>
      <c r="S430" s="601">
        <f t="shared" si="357"/>
        <v>5</v>
      </c>
      <c r="T430" s="601">
        <f t="shared" si="358"/>
        <v>11</v>
      </c>
      <c r="U430" s="601">
        <f t="shared" si="359"/>
        <v>16</v>
      </c>
      <c r="V430" s="601">
        <f t="shared" si="360"/>
        <v>25</v>
      </c>
      <c r="W430" s="601">
        <f t="shared" si="361"/>
        <v>31</v>
      </c>
      <c r="X430" s="601">
        <f t="shared" si="362"/>
        <v>35</v>
      </c>
      <c r="Y430" s="601">
        <f t="shared" si="363"/>
        <v>44</v>
      </c>
      <c r="Z430" s="601">
        <f t="shared" si="364"/>
        <v>49</v>
      </c>
      <c r="AA430" s="601">
        <f t="shared" si="365"/>
        <v>53</v>
      </c>
      <c r="AB430" s="601">
        <f t="shared" si="366"/>
        <v>63</v>
      </c>
      <c r="AC430" s="601">
        <f t="shared" si="367"/>
        <v>69</v>
      </c>
      <c r="AD430" s="602">
        <f t="shared" si="368"/>
        <v>76</v>
      </c>
      <c r="AE430" s="469">
        <v>429</v>
      </c>
      <c r="AF430" s="485">
        <v>75.333333333333329</v>
      </c>
    </row>
    <row r="431" spans="2:32" x14ac:dyDescent="0.35">
      <c r="B431" s="485">
        <v>430</v>
      </c>
      <c r="C431" s="589" t="s">
        <v>343</v>
      </c>
      <c r="D431" s="595">
        <v>4</v>
      </c>
      <c r="E431" s="595">
        <v>5</v>
      </c>
      <c r="F431" s="595">
        <v>5</v>
      </c>
      <c r="G431" s="595">
        <v>8</v>
      </c>
      <c r="H431" s="595">
        <v>6</v>
      </c>
      <c r="I431" s="595">
        <v>4</v>
      </c>
      <c r="J431" s="595">
        <v>6</v>
      </c>
      <c r="K431" s="595">
        <v>4</v>
      </c>
      <c r="L431" s="595">
        <v>6</v>
      </c>
      <c r="M431" s="595">
        <v>11</v>
      </c>
      <c r="N431" s="595">
        <v>6</v>
      </c>
      <c r="O431" s="595">
        <v>5</v>
      </c>
      <c r="Q431" s="517">
        <v>430</v>
      </c>
      <c r="R431" s="589" t="s">
        <v>343</v>
      </c>
      <c r="S431" s="601">
        <f t="shared" si="357"/>
        <v>4</v>
      </c>
      <c r="T431" s="709">
        <f>S431+E431</f>
        <v>9</v>
      </c>
      <c r="U431" s="601">
        <f t="shared" si="359"/>
        <v>14</v>
      </c>
      <c r="V431" s="601">
        <f t="shared" si="360"/>
        <v>22</v>
      </c>
      <c r="W431" s="601">
        <f t="shared" si="361"/>
        <v>28</v>
      </c>
      <c r="X431" s="601">
        <f t="shared" si="362"/>
        <v>32</v>
      </c>
      <c r="Y431" s="601">
        <f t="shared" si="363"/>
        <v>38</v>
      </c>
      <c r="Z431" s="601">
        <f t="shared" si="364"/>
        <v>42</v>
      </c>
      <c r="AA431" s="601">
        <f t="shared" si="365"/>
        <v>48</v>
      </c>
      <c r="AB431" s="601">
        <f t="shared" si="366"/>
        <v>59</v>
      </c>
      <c r="AC431" s="601">
        <f t="shared" si="367"/>
        <v>65</v>
      </c>
      <c r="AD431" s="602">
        <f t="shared" si="368"/>
        <v>70</v>
      </c>
      <c r="AE431" s="469">
        <v>430</v>
      </c>
      <c r="AF431" s="485">
        <v>71.333333333333329</v>
      </c>
    </row>
    <row r="432" spans="2:32" x14ac:dyDescent="0.35">
      <c r="B432" s="485">
        <v>431</v>
      </c>
      <c r="C432" s="589" t="s">
        <v>344</v>
      </c>
      <c r="D432" s="592">
        <f>D429/D427</f>
        <v>0.2</v>
      </c>
      <c r="E432" s="592">
        <f t="shared" ref="E432:O432" si="369">E429/E427</f>
        <v>0.53333333333333333</v>
      </c>
      <c r="F432" s="592">
        <f t="shared" si="369"/>
        <v>0.41666666666666669</v>
      </c>
      <c r="G432" s="592">
        <f t="shared" si="369"/>
        <v>0.44444444444444442</v>
      </c>
      <c r="H432" s="592">
        <f t="shared" si="369"/>
        <v>0.3125</v>
      </c>
      <c r="I432" s="592">
        <f t="shared" si="369"/>
        <v>0.6</v>
      </c>
      <c r="J432" s="592">
        <f t="shared" si="369"/>
        <v>0.53846153846153844</v>
      </c>
      <c r="K432" s="592">
        <f t="shared" si="369"/>
        <v>0.36363636363636365</v>
      </c>
      <c r="L432" s="592">
        <f t="shared" si="369"/>
        <v>0.45454545454545453</v>
      </c>
      <c r="M432" s="592">
        <f t="shared" si="369"/>
        <v>0.43478260869565216</v>
      </c>
      <c r="N432" s="592">
        <f t="shared" si="369"/>
        <v>0.5</v>
      </c>
      <c r="O432" s="592">
        <f t="shared" si="369"/>
        <v>0.7</v>
      </c>
      <c r="Q432" s="517">
        <v>431</v>
      </c>
      <c r="R432" s="589" t="s">
        <v>344</v>
      </c>
      <c r="S432" s="593">
        <f>S429/S427</f>
        <v>0.2</v>
      </c>
      <c r="T432" s="593">
        <f t="shared" ref="T432:AD432" si="370">T429/T427</f>
        <v>0.36666666666666664</v>
      </c>
      <c r="U432" s="593">
        <f t="shared" si="370"/>
        <v>0.38095238095238093</v>
      </c>
      <c r="V432" s="593">
        <f t="shared" si="370"/>
        <v>0.4</v>
      </c>
      <c r="W432" s="593">
        <f t="shared" si="370"/>
        <v>0.38157894736842107</v>
      </c>
      <c r="X432" s="593">
        <f t="shared" si="370"/>
        <v>0.40697674418604651</v>
      </c>
      <c r="Y432" s="593">
        <f t="shared" si="370"/>
        <v>0.42424242424242425</v>
      </c>
      <c r="Z432" s="593">
        <f t="shared" si="370"/>
        <v>0.41818181818181815</v>
      </c>
      <c r="AA432" s="593">
        <f t="shared" si="370"/>
        <v>0.42148760330578511</v>
      </c>
      <c r="AB432" s="593">
        <f t="shared" si="370"/>
        <v>0.4236111111111111</v>
      </c>
      <c r="AC432" s="593">
        <f t="shared" si="370"/>
        <v>0.42857142857142855</v>
      </c>
      <c r="AD432" s="593">
        <f t="shared" si="370"/>
        <v>0.4451219512195122</v>
      </c>
      <c r="AE432" s="469">
        <v>431</v>
      </c>
      <c r="AF432" s="507">
        <v>9.8467047107530497E-3</v>
      </c>
    </row>
    <row r="433" spans="2:32" x14ac:dyDescent="0.35">
      <c r="B433" s="485">
        <v>432</v>
      </c>
      <c r="C433" s="590" t="s">
        <v>345</v>
      </c>
      <c r="D433" s="592">
        <f>D430/D427</f>
        <v>0.33333333333333331</v>
      </c>
      <c r="E433" s="592">
        <f t="shared" ref="E433:O433" si="371">E430/E427</f>
        <v>0.4</v>
      </c>
      <c r="F433" s="592">
        <f t="shared" si="371"/>
        <v>0.41666666666666669</v>
      </c>
      <c r="G433" s="592">
        <f t="shared" si="371"/>
        <v>0.5</v>
      </c>
      <c r="H433" s="592">
        <f t="shared" si="371"/>
        <v>0.375</v>
      </c>
      <c r="I433" s="592">
        <f t="shared" si="371"/>
        <v>0.4</v>
      </c>
      <c r="J433" s="592">
        <f t="shared" si="371"/>
        <v>0.69230769230769229</v>
      </c>
      <c r="K433" s="592">
        <f t="shared" si="371"/>
        <v>0.45454545454545453</v>
      </c>
      <c r="L433" s="592">
        <f t="shared" si="371"/>
        <v>0.36363636363636365</v>
      </c>
      <c r="M433" s="592">
        <f t="shared" si="371"/>
        <v>0.43478260869565216</v>
      </c>
      <c r="N433" s="592">
        <f t="shared" si="371"/>
        <v>0.6</v>
      </c>
      <c r="O433" s="592">
        <f t="shared" si="371"/>
        <v>0.7</v>
      </c>
      <c r="Q433" s="517">
        <v>432</v>
      </c>
      <c r="R433" s="590" t="s">
        <v>345</v>
      </c>
      <c r="S433" s="592">
        <f>S430/S427</f>
        <v>0.33333333333333331</v>
      </c>
      <c r="T433" s="592">
        <f t="shared" ref="T433:AD433" si="372">T430/T427</f>
        <v>0.36666666666666664</v>
      </c>
      <c r="U433" s="592">
        <f t="shared" si="372"/>
        <v>0.38095238095238093</v>
      </c>
      <c r="V433" s="592">
        <f t="shared" si="372"/>
        <v>0.41666666666666669</v>
      </c>
      <c r="W433" s="592">
        <f t="shared" si="372"/>
        <v>0.40789473684210525</v>
      </c>
      <c r="X433" s="592">
        <f t="shared" si="372"/>
        <v>0.40697674418604651</v>
      </c>
      <c r="Y433" s="592">
        <f t="shared" si="372"/>
        <v>0.44444444444444442</v>
      </c>
      <c r="Z433" s="592">
        <f t="shared" si="372"/>
        <v>0.44545454545454544</v>
      </c>
      <c r="AA433" s="592">
        <f t="shared" si="372"/>
        <v>0.43801652892561982</v>
      </c>
      <c r="AB433" s="592">
        <f t="shared" si="372"/>
        <v>0.4375</v>
      </c>
      <c r="AC433" s="592">
        <f t="shared" si="372"/>
        <v>0.44805194805194803</v>
      </c>
      <c r="AD433" s="592">
        <f t="shared" si="372"/>
        <v>0.46341463414634149</v>
      </c>
      <c r="AE433" s="469">
        <v>432</v>
      </c>
      <c r="AF433" s="507">
        <v>4.4186046511627914</v>
      </c>
    </row>
    <row r="434" spans="2:32" x14ac:dyDescent="0.35">
      <c r="B434" s="485">
        <v>433</v>
      </c>
      <c r="C434" s="590" t="s">
        <v>346</v>
      </c>
      <c r="D434" s="592">
        <f>D431/D427</f>
        <v>0.26666666666666666</v>
      </c>
      <c r="E434" s="592">
        <f t="shared" ref="E434:O434" si="373">E431/E427</f>
        <v>0.33333333333333331</v>
      </c>
      <c r="F434" s="592">
        <f t="shared" si="373"/>
        <v>0.41666666666666669</v>
      </c>
      <c r="G434" s="592">
        <f t="shared" si="373"/>
        <v>0.44444444444444442</v>
      </c>
      <c r="H434" s="592">
        <f>H431/H427</f>
        <v>0.375</v>
      </c>
      <c r="I434" s="592">
        <f t="shared" si="373"/>
        <v>0.4</v>
      </c>
      <c r="J434" s="592">
        <f t="shared" si="373"/>
        <v>0.46153846153846156</v>
      </c>
      <c r="K434" s="592">
        <f t="shared" si="373"/>
        <v>0.36363636363636365</v>
      </c>
      <c r="L434" s="592">
        <f t="shared" si="373"/>
        <v>0.54545454545454541</v>
      </c>
      <c r="M434" s="592">
        <f t="shared" si="373"/>
        <v>0.47826086956521741</v>
      </c>
      <c r="N434" s="592">
        <f t="shared" si="373"/>
        <v>0.6</v>
      </c>
      <c r="O434" s="592">
        <f t="shared" si="373"/>
        <v>0.5</v>
      </c>
      <c r="Q434" s="517">
        <v>433</v>
      </c>
      <c r="R434" s="590" t="s">
        <v>346</v>
      </c>
      <c r="S434" s="592">
        <f>S431/S427</f>
        <v>0.26666666666666666</v>
      </c>
      <c r="T434" s="592">
        <f t="shared" ref="T434:AD434" si="374">T431/T427</f>
        <v>0.3</v>
      </c>
      <c r="U434" s="592">
        <f t="shared" si="374"/>
        <v>0.33333333333333331</v>
      </c>
      <c r="V434" s="592">
        <f t="shared" si="374"/>
        <v>0.36666666666666664</v>
      </c>
      <c r="W434" s="592">
        <f t="shared" si="374"/>
        <v>0.36842105263157893</v>
      </c>
      <c r="X434" s="592">
        <f t="shared" si="374"/>
        <v>0.37209302325581395</v>
      </c>
      <c r="Y434" s="592">
        <f t="shared" si="374"/>
        <v>0.38383838383838381</v>
      </c>
      <c r="Z434" s="592">
        <f t="shared" si="374"/>
        <v>0.38181818181818183</v>
      </c>
      <c r="AA434" s="592">
        <f t="shared" si="374"/>
        <v>0.39669421487603307</v>
      </c>
      <c r="AB434" s="592">
        <f t="shared" si="374"/>
        <v>0.40972222222222221</v>
      </c>
      <c r="AC434" s="592">
        <f t="shared" si="374"/>
        <v>0.42207792207792205</v>
      </c>
      <c r="AD434" s="592">
        <f t="shared" si="374"/>
        <v>0.42682926829268292</v>
      </c>
      <c r="AE434" s="469">
        <v>433</v>
      </c>
      <c r="AF434" s="507"/>
    </row>
    <row r="435" spans="2:32" x14ac:dyDescent="0.35">
      <c r="B435" s="485">
        <f>B434+1</f>
        <v>434</v>
      </c>
      <c r="C435" s="660" t="s">
        <v>366</v>
      </c>
      <c r="D435" s="432" t="s">
        <v>386</v>
      </c>
      <c r="E435" s="432" t="s">
        <v>387</v>
      </c>
      <c r="F435" s="432" t="s">
        <v>388</v>
      </c>
      <c r="G435" s="432" t="s">
        <v>389</v>
      </c>
      <c r="H435" s="432" t="s">
        <v>390</v>
      </c>
      <c r="I435" s="432" t="s">
        <v>391</v>
      </c>
      <c r="J435" s="432" t="s">
        <v>392</v>
      </c>
      <c r="K435" s="432" t="s">
        <v>393</v>
      </c>
      <c r="L435" s="432" t="s">
        <v>394</v>
      </c>
      <c r="M435" s="432" t="s">
        <v>395</v>
      </c>
      <c r="N435" s="432" t="s">
        <v>396</v>
      </c>
      <c r="O435" s="460" t="s">
        <v>397</v>
      </c>
      <c r="Q435" s="517">
        <f>Q434+1</f>
        <v>434</v>
      </c>
      <c r="R435" s="660" t="s">
        <v>366</v>
      </c>
      <c r="S435" s="432" t="s">
        <v>132</v>
      </c>
      <c r="T435" s="432" t="s">
        <v>20</v>
      </c>
      <c r="U435" s="432" t="s">
        <v>21</v>
      </c>
      <c r="V435" s="432" t="s">
        <v>22</v>
      </c>
      <c r="W435" s="432" t="s">
        <v>23</v>
      </c>
      <c r="X435" s="432" t="s">
        <v>24</v>
      </c>
      <c r="Y435" s="432" t="s">
        <v>25</v>
      </c>
      <c r="Z435" s="432" t="s">
        <v>26</v>
      </c>
      <c r="AA435" s="432" t="s">
        <v>27</v>
      </c>
      <c r="AB435" s="432" t="s">
        <v>28</v>
      </c>
      <c r="AC435" s="432" t="s">
        <v>29</v>
      </c>
      <c r="AD435" s="460" t="s">
        <v>30</v>
      </c>
      <c r="AE435" s="522">
        <f>AE434+1</f>
        <v>434</v>
      </c>
      <c r="AF435" s="507"/>
    </row>
    <row r="436" spans="2:32" x14ac:dyDescent="0.35">
      <c r="B436" s="485">
        <f t="shared" ref="B436:B492" si="375">B435+1</f>
        <v>435</v>
      </c>
      <c r="C436" s="660" t="s">
        <v>365</v>
      </c>
      <c r="D436" s="175">
        <v>4</v>
      </c>
      <c r="E436" s="708">
        <v>8.5</v>
      </c>
      <c r="F436" s="175">
        <v>7</v>
      </c>
      <c r="G436" s="175">
        <v>7</v>
      </c>
      <c r="H436" s="175">
        <v>7</v>
      </c>
      <c r="I436" s="175">
        <v>8</v>
      </c>
      <c r="J436" s="175">
        <v>8</v>
      </c>
      <c r="K436" s="175">
        <v>9</v>
      </c>
      <c r="L436" s="175">
        <v>3</v>
      </c>
      <c r="M436" s="708">
        <v>5.5</v>
      </c>
      <c r="N436" s="708">
        <v>4.5</v>
      </c>
      <c r="O436" s="708">
        <v>7.5</v>
      </c>
      <c r="Q436" s="517">
        <f t="shared" ref="Q436:Q492" si="376">Q435+1</f>
        <v>435</v>
      </c>
      <c r="R436" s="660" t="s">
        <v>365</v>
      </c>
      <c r="S436" s="174">
        <f t="shared" ref="S436" si="377">D436</f>
        <v>4</v>
      </c>
      <c r="T436" s="174">
        <f>S436+E436</f>
        <v>12.5</v>
      </c>
      <c r="U436" s="174">
        <f t="shared" ref="U436" si="378">T436+F436</f>
        <v>19.5</v>
      </c>
      <c r="V436" s="174">
        <f t="shared" ref="V436" si="379">U436+G436</f>
        <v>26.5</v>
      </c>
      <c r="W436" s="174">
        <f t="shared" ref="W436" si="380">V436+H436</f>
        <v>33.5</v>
      </c>
      <c r="X436" s="174">
        <f t="shared" ref="X436" si="381">W436+I436</f>
        <v>41.5</v>
      </c>
      <c r="Y436" s="174">
        <f t="shared" ref="Y436" si="382">X436+J436</f>
        <v>49.5</v>
      </c>
      <c r="Z436" s="174">
        <f t="shared" ref="Z436" si="383">Y436+K436</f>
        <v>58.5</v>
      </c>
      <c r="AA436" s="174">
        <f t="shared" ref="AA436" si="384">Z436+L436</f>
        <v>61.5</v>
      </c>
      <c r="AB436" s="174">
        <f t="shared" ref="AB436" si="385">AA436+M436</f>
        <v>67</v>
      </c>
      <c r="AC436" s="174">
        <f t="shared" ref="AC436" si="386">AB436+N436</f>
        <v>71.5</v>
      </c>
      <c r="AD436" s="462">
        <f>AC436+O436</f>
        <v>79</v>
      </c>
      <c r="AE436" s="522">
        <f t="shared" ref="AE436:AE492" si="387">AE435+1</f>
        <v>435</v>
      </c>
      <c r="AF436" s="507"/>
    </row>
    <row r="437" spans="2:32" ht="18.5" x14ac:dyDescent="0.35">
      <c r="B437" s="485">
        <f t="shared" si="375"/>
        <v>436</v>
      </c>
      <c r="C437" s="669" t="s">
        <v>373</v>
      </c>
      <c r="D437" s="432" t="s">
        <v>386</v>
      </c>
      <c r="E437" s="432" t="s">
        <v>387</v>
      </c>
      <c r="F437" s="432" t="s">
        <v>388</v>
      </c>
      <c r="G437" s="432" t="s">
        <v>389</v>
      </c>
      <c r="H437" s="432" t="s">
        <v>390</v>
      </c>
      <c r="I437" s="432" t="s">
        <v>391</v>
      </c>
      <c r="J437" s="432" t="s">
        <v>392</v>
      </c>
      <c r="K437" s="432" t="s">
        <v>393</v>
      </c>
      <c r="L437" s="432" t="s">
        <v>394</v>
      </c>
      <c r="M437" s="432" t="s">
        <v>395</v>
      </c>
      <c r="N437" s="432" t="s">
        <v>396</v>
      </c>
      <c r="O437" s="460" t="s">
        <v>397</v>
      </c>
      <c r="Q437" s="517">
        <f t="shared" si="376"/>
        <v>436</v>
      </c>
      <c r="R437" s="669" t="s">
        <v>373</v>
      </c>
      <c r="S437" s="432" t="s">
        <v>132</v>
      </c>
      <c r="T437" s="432" t="s">
        <v>20</v>
      </c>
      <c r="U437" s="432" t="s">
        <v>21</v>
      </c>
      <c r="V437" s="432" t="s">
        <v>22</v>
      </c>
      <c r="W437" s="432" t="s">
        <v>23</v>
      </c>
      <c r="X437" s="432" t="s">
        <v>24</v>
      </c>
      <c r="Y437" s="432" t="s">
        <v>25</v>
      </c>
      <c r="Z437" s="432" t="s">
        <v>26</v>
      </c>
      <c r="AA437" s="432" t="s">
        <v>27</v>
      </c>
      <c r="AB437" s="432" t="s">
        <v>28</v>
      </c>
      <c r="AC437" s="432" t="s">
        <v>29</v>
      </c>
      <c r="AD437" s="460" t="s">
        <v>30</v>
      </c>
      <c r="AE437" s="522">
        <f t="shared" si="387"/>
        <v>436</v>
      </c>
      <c r="AF437" s="507"/>
    </row>
    <row r="438" spans="2:32" x14ac:dyDescent="0.35">
      <c r="B438" s="485">
        <f t="shared" si="375"/>
        <v>437</v>
      </c>
      <c r="C438" s="661" t="s">
        <v>212</v>
      </c>
      <c r="D438" s="175">
        <v>1</v>
      </c>
      <c r="E438" s="175">
        <v>3</v>
      </c>
      <c r="F438" s="175">
        <v>2</v>
      </c>
      <c r="G438" s="175">
        <v>2</v>
      </c>
      <c r="H438" s="175">
        <v>1</v>
      </c>
      <c r="I438" s="175">
        <v>6</v>
      </c>
      <c r="J438" s="175">
        <v>3</v>
      </c>
      <c r="K438" s="175">
        <v>2</v>
      </c>
      <c r="L438" s="175">
        <v>0</v>
      </c>
      <c r="M438" s="175">
        <v>1</v>
      </c>
      <c r="N438" s="175">
        <v>2</v>
      </c>
      <c r="O438" s="175">
        <v>4</v>
      </c>
      <c r="Q438" s="517">
        <f t="shared" si="376"/>
        <v>437</v>
      </c>
      <c r="R438" s="661" t="s">
        <v>212</v>
      </c>
      <c r="S438" s="174">
        <f t="shared" ref="S438" si="388">D438</f>
        <v>1</v>
      </c>
      <c r="T438" s="174">
        <f t="shared" ref="T438" si="389">S438+E438</f>
        <v>4</v>
      </c>
      <c r="U438" s="174">
        <f t="shared" ref="U438" si="390">T438+F438</f>
        <v>6</v>
      </c>
      <c r="V438" s="174">
        <f t="shared" ref="V438" si="391">U438+G438</f>
        <v>8</v>
      </c>
      <c r="W438" s="174">
        <f t="shared" ref="W438" si="392">V438+H438</f>
        <v>9</v>
      </c>
      <c r="X438" s="174">
        <f t="shared" ref="X438" si="393">W438+I438</f>
        <v>15</v>
      </c>
      <c r="Y438" s="174">
        <f t="shared" ref="Y438" si="394">X438+J438</f>
        <v>18</v>
      </c>
      <c r="Z438" s="174">
        <f t="shared" ref="Z438" si="395">Y438+K438</f>
        <v>20</v>
      </c>
      <c r="AA438" s="174">
        <f t="shared" ref="AA438" si="396">Z438+L438</f>
        <v>20</v>
      </c>
      <c r="AB438" s="174">
        <f t="shared" ref="AB438" si="397">AA438+M438</f>
        <v>21</v>
      </c>
      <c r="AC438" s="174">
        <f t="shared" ref="AC438" si="398">AB438+N438</f>
        <v>23</v>
      </c>
      <c r="AD438" s="462">
        <f t="shared" ref="AD438" si="399">AC438+O438</f>
        <v>27</v>
      </c>
      <c r="AE438" s="522">
        <f t="shared" si="387"/>
        <v>437</v>
      </c>
      <c r="AF438" s="507"/>
    </row>
    <row r="439" spans="2:32" x14ac:dyDescent="0.35">
      <c r="B439" s="485">
        <f t="shared" si="375"/>
        <v>438</v>
      </c>
      <c r="C439" s="661" t="s">
        <v>213</v>
      </c>
      <c r="D439" s="175">
        <v>5</v>
      </c>
      <c r="E439" s="175">
        <v>7</v>
      </c>
      <c r="F439" s="175">
        <v>5</v>
      </c>
      <c r="G439" s="175">
        <v>5</v>
      </c>
      <c r="H439" s="175">
        <v>2</v>
      </c>
      <c r="I439" s="175">
        <v>5</v>
      </c>
      <c r="J439" s="175">
        <v>8</v>
      </c>
      <c r="K439" s="175">
        <v>3</v>
      </c>
      <c r="L439" s="175">
        <v>5</v>
      </c>
      <c r="M439" s="175">
        <v>6</v>
      </c>
      <c r="N439" s="175">
        <v>9</v>
      </c>
      <c r="O439" s="175">
        <v>4</v>
      </c>
      <c r="Q439" s="517">
        <f t="shared" si="376"/>
        <v>438</v>
      </c>
      <c r="R439" s="661" t="s">
        <v>213</v>
      </c>
      <c r="S439" s="174">
        <f t="shared" ref="S439:S444" si="400">D439</f>
        <v>5</v>
      </c>
      <c r="T439" s="174">
        <f t="shared" ref="T439:T444" si="401">S439+E439</f>
        <v>12</v>
      </c>
      <c r="U439" s="174">
        <f t="shared" ref="U439:U444" si="402">T439+F439</f>
        <v>17</v>
      </c>
      <c r="V439" s="174">
        <f t="shared" ref="V439:V444" si="403">U439+G439</f>
        <v>22</v>
      </c>
      <c r="W439" s="174">
        <f t="shared" ref="W439:W444" si="404">V439+H439</f>
        <v>24</v>
      </c>
      <c r="X439" s="174">
        <f t="shared" ref="X439:X444" si="405">W439+I439</f>
        <v>29</v>
      </c>
      <c r="Y439" s="174">
        <f t="shared" ref="Y439:Y444" si="406">X439+J439</f>
        <v>37</v>
      </c>
      <c r="Z439" s="174">
        <f t="shared" ref="Z439:Z444" si="407">Y439+K439</f>
        <v>40</v>
      </c>
      <c r="AA439" s="174">
        <f t="shared" ref="AA439:AA444" si="408">Z439+L439</f>
        <v>45</v>
      </c>
      <c r="AB439" s="174">
        <f t="shared" ref="AB439:AB444" si="409">AA439+M439</f>
        <v>51</v>
      </c>
      <c r="AC439" s="174">
        <f t="shared" ref="AC439:AC444" si="410">AB439+N439</f>
        <v>60</v>
      </c>
      <c r="AD439" s="462">
        <f t="shared" ref="AD439:AD444" si="411">AC439+O439</f>
        <v>64</v>
      </c>
      <c r="AE439" s="522">
        <f t="shared" si="387"/>
        <v>438</v>
      </c>
      <c r="AF439" s="507"/>
    </row>
    <row r="440" spans="2:32" x14ac:dyDescent="0.35">
      <c r="B440" s="485">
        <f t="shared" si="375"/>
        <v>439</v>
      </c>
      <c r="C440" s="661" t="s">
        <v>214</v>
      </c>
      <c r="D440" s="175">
        <v>6</v>
      </c>
      <c r="E440" s="175">
        <v>3</v>
      </c>
      <c r="F440" s="175">
        <v>3</v>
      </c>
      <c r="G440" s="175">
        <v>5</v>
      </c>
      <c r="H440" s="175">
        <v>3</v>
      </c>
      <c r="I440" s="175">
        <v>1</v>
      </c>
      <c r="J440" s="175">
        <v>4</v>
      </c>
      <c r="K440" s="175">
        <v>4</v>
      </c>
      <c r="L440" s="175">
        <v>5</v>
      </c>
      <c r="M440" s="175">
        <v>3</v>
      </c>
      <c r="N440" s="175">
        <v>6</v>
      </c>
      <c r="O440" s="175">
        <v>4</v>
      </c>
      <c r="Q440" s="517">
        <f t="shared" si="376"/>
        <v>439</v>
      </c>
      <c r="R440" s="661" t="s">
        <v>214</v>
      </c>
      <c r="S440" s="174">
        <f t="shared" si="400"/>
        <v>6</v>
      </c>
      <c r="T440" s="174">
        <f t="shared" si="401"/>
        <v>9</v>
      </c>
      <c r="U440" s="174">
        <f t="shared" si="402"/>
        <v>12</v>
      </c>
      <c r="V440" s="174">
        <f t="shared" si="403"/>
        <v>17</v>
      </c>
      <c r="W440" s="174">
        <f t="shared" si="404"/>
        <v>20</v>
      </c>
      <c r="X440" s="174">
        <f t="shared" si="405"/>
        <v>21</v>
      </c>
      <c r="Y440" s="174">
        <f t="shared" si="406"/>
        <v>25</v>
      </c>
      <c r="Z440" s="174">
        <f t="shared" si="407"/>
        <v>29</v>
      </c>
      <c r="AA440" s="174">
        <f t="shared" si="408"/>
        <v>34</v>
      </c>
      <c r="AB440" s="174">
        <f t="shared" si="409"/>
        <v>37</v>
      </c>
      <c r="AC440" s="174">
        <f t="shared" si="410"/>
        <v>43</v>
      </c>
      <c r="AD440" s="462">
        <f t="shared" si="411"/>
        <v>47</v>
      </c>
      <c r="AE440" s="522">
        <f t="shared" si="387"/>
        <v>439</v>
      </c>
      <c r="AF440" s="507"/>
    </row>
    <row r="441" spans="2:32" x14ac:dyDescent="0.35">
      <c r="B441" s="485">
        <f t="shared" si="375"/>
        <v>440</v>
      </c>
      <c r="C441" s="661" t="s">
        <v>146</v>
      </c>
      <c r="D441" s="175">
        <v>2</v>
      </c>
      <c r="E441" s="175">
        <v>3</v>
      </c>
      <c r="F441" s="175">
        <v>1</v>
      </c>
      <c r="G441" s="175">
        <v>5</v>
      </c>
      <c r="H441" s="175">
        <v>5</v>
      </c>
      <c r="I441" s="175">
        <v>1</v>
      </c>
      <c r="J441" s="175">
        <v>1</v>
      </c>
      <c r="K441" s="175">
        <v>1</v>
      </c>
      <c r="L441" s="175">
        <v>2</v>
      </c>
      <c r="M441" s="175">
        <v>1</v>
      </c>
      <c r="N441" s="175">
        <v>4</v>
      </c>
      <c r="O441" s="175">
        <v>4</v>
      </c>
      <c r="Q441" s="517">
        <f t="shared" si="376"/>
        <v>440</v>
      </c>
      <c r="R441" s="661" t="s">
        <v>146</v>
      </c>
      <c r="S441" s="174">
        <f t="shared" si="400"/>
        <v>2</v>
      </c>
      <c r="T441" s="174">
        <f t="shared" si="401"/>
        <v>5</v>
      </c>
      <c r="U441" s="174">
        <f t="shared" si="402"/>
        <v>6</v>
      </c>
      <c r="V441" s="174">
        <f t="shared" si="403"/>
        <v>11</v>
      </c>
      <c r="W441" s="174">
        <f t="shared" si="404"/>
        <v>16</v>
      </c>
      <c r="X441" s="174">
        <f t="shared" si="405"/>
        <v>17</v>
      </c>
      <c r="Y441" s="174">
        <f t="shared" si="406"/>
        <v>18</v>
      </c>
      <c r="Z441" s="174">
        <f t="shared" si="407"/>
        <v>19</v>
      </c>
      <c r="AA441" s="174">
        <f t="shared" si="408"/>
        <v>21</v>
      </c>
      <c r="AB441" s="174">
        <f t="shared" si="409"/>
        <v>22</v>
      </c>
      <c r="AC441" s="174">
        <f t="shared" si="410"/>
        <v>26</v>
      </c>
      <c r="AD441" s="462">
        <f t="shared" si="411"/>
        <v>30</v>
      </c>
      <c r="AE441" s="522">
        <f t="shared" si="387"/>
        <v>440</v>
      </c>
      <c r="AF441" s="507"/>
    </row>
    <row r="442" spans="2:32" x14ac:dyDescent="0.35">
      <c r="B442" s="485">
        <f t="shared" si="375"/>
        <v>441</v>
      </c>
      <c r="C442" s="661" t="s">
        <v>147</v>
      </c>
      <c r="D442" s="175">
        <v>3</v>
      </c>
      <c r="E442" s="175">
        <v>2</v>
      </c>
      <c r="F442" s="175">
        <v>6</v>
      </c>
      <c r="G442" s="175">
        <v>4</v>
      </c>
      <c r="H442" s="175">
        <v>4</v>
      </c>
      <c r="I442" s="175">
        <v>5</v>
      </c>
      <c r="J442" s="175">
        <v>5</v>
      </c>
      <c r="K442" s="175">
        <v>4</v>
      </c>
      <c r="L442" s="175">
        <v>4</v>
      </c>
      <c r="M442" s="175">
        <v>3</v>
      </c>
      <c r="N442" s="175">
        <v>5</v>
      </c>
      <c r="O442" s="175">
        <v>6</v>
      </c>
      <c r="Q442" s="517">
        <f t="shared" si="376"/>
        <v>441</v>
      </c>
      <c r="R442" s="661" t="s">
        <v>147</v>
      </c>
      <c r="S442" s="174">
        <f t="shared" si="400"/>
        <v>3</v>
      </c>
      <c r="T442" s="174">
        <f t="shared" si="401"/>
        <v>5</v>
      </c>
      <c r="U442" s="174">
        <f t="shared" si="402"/>
        <v>11</v>
      </c>
      <c r="V442" s="174">
        <f t="shared" si="403"/>
        <v>15</v>
      </c>
      <c r="W442" s="174">
        <f t="shared" si="404"/>
        <v>19</v>
      </c>
      <c r="X442" s="174">
        <f t="shared" si="405"/>
        <v>24</v>
      </c>
      <c r="Y442" s="174">
        <f t="shared" si="406"/>
        <v>29</v>
      </c>
      <c r="Z442" s="174">
        <f t="shared" si="407"/>
        <v>33</v>
      </c>
      <c r="AA442" s="174">
        <f t="shared" si="408"/>
        <v>37</v>
      </c>
      <c r="AB442" s="174">
        <f t="shared" si="409"/>
        <v>40</v>
      </c>
      <c r="AC442" s="174">
        <f t="shared" si="410"/>
        <v>45</v>
      </c>
      <c r="AD442" s="462">
        <f t="shared" si="411"/>
        <v>51</v>
      </c>
      <c r="AE442" s="522">
        <f t="shared" si="387"/>
        <v>441</v>
      </c>
      <c r="AF442" s="507"/>
    </row>
    <row r="443" spans="2:32" x14ac:dyDescent="0.35">
      <c r="B443" s="485">
        <f t="shared" si="375"/>
        <v>442</v>
      </c>
      <c r="C443" s="661" t="s">
        <v>62</v>
      </c>
      <c r="D443" s="175">
        <v>5</v>
      </c>
      <c r="E443" s="175">
        <v>5</v>
      </c>
      <c r="F443" s="175">
        <v>7</v>
      </c>
      <c r="G443" s="175">
        <v>8</v>
      </c>
      <c r="H443" s="175">
        <v>9</v>
      </c>
      <c r="I443" s="175">
        <v>6</v>
      </c>
      <c r="J443" s="175">
        <v>6</v>
      </c>
      <c r="K443" s="175">
        <v>5</v>
      </c>
      <c r="L443" s="175">
        <v>6</v>
      </c>
      <c r="M443" s="175">
        <v>4</v>
      </c>
      <c r="N443" s="175">
        <v>8</v>
      </c>
      <c r="O443" s="175">
        <v>9</v>
      </c>
      <c r="Q443" s="517">
        <f t="shared" si="376"/>
        <v>442</v>
      </c>
      <c r="R443" s="661" t="s">
        <v>62</v>
      </c>
      <c r="S443" s="174">
        <f t="shared" si="400"/>
        <v>5</v>
      </c>
      <c r="T443" s="174">
        <f t="shared" si="401"/>
        <v>10</v>
      </c>
      <c r="U443" s="174">
        <f t="shared" si="402"/>
        <v>17</v>
      </c>
      <c r="V443" s="174">
        <f t="shared" si="403"/>
        <v>25</v>
      </c>
      <c r="W443" s="174">
        <f t="shared" si="404"/>
        <v>34</v>
      </c>
      <c r="X443" s="174">
        <f t="shared" si="405"/>
        <v>40</v>
      </c>
      <c r="Y443" s="174">
        <f t="shared" si="406"/>
        <v>46</v>
      </c>
      <c r="Z443" s="174">
        <f t="shared" si="407"/>
        <v>51</v>
      </c>
      <c r="AA443" s="174">
        <f t="shared" si="408"/>
        <v>57</v>
      </c>
      <c r="AB443" s="174">
        <f t="shared" si="409"/>
        <v>61</v>
      </c>
      <c r="AC443" s="174">
        <f t="shared" si="410"/>
        <v>69</v>
      </c>
      <c r="AD443" s="462">
        <f t="shared" si="411"/>
        <v>78</v>
      </c>
      <c r="AE443" s="522">
        <f t="shared" si="387"/>
        <v>442</v>
      </c>
      <c r="AF443" s="507"/>
    </row>
    <row r="444" spans="2:32" x14ac:dyDescent="0.35">
      <c r="B444" s="485">
        <f t="shared" si="375"/>
        <v>443</v>
      </c>
      <c r="C444" s="661" t="s">
        <v>0</v>
      </c>
      <c r="D444" s="175">
        <v>16</v>
      </c>
      <c r="E444" s="175">
        <v>17</v>
      </c>
      <c r="F444" s="175">
        <v>15</v>
      </c>
      <c r="G444" s="175">
        <v>19</v>
      </c>
      <c r="H444" s="175">
        <v>14</v>
      </c>
      <c r="I444" s="175">
        <v>17</v>
      </c>
      <c r="J444" s="175">
        <v>19</v>
      </c>
      <c r="K444" s="175">
        <v>12</v>
      </c>
      <c r="L444" s="175">
        <v>15</v>
      </c>
      <c r="M444" s="175">
        <v>13</v>
      </c>
      <c r="N444" s="175">
        <v>25</v>
      </c>
      <c r="O444" s="175">
        <v>20</v>
      </c>
      <c r="Q444" s="517">
        <f t="shared" si="376"/>
        <v>443</v>
      </c>
      <c r="R444" s="661" t="s">
        <v>0</v>
      </c>
      <c r="S444" s="174">
        <f t="shared" si="400"/>
        <v>16</v>
      </c>
      <c r="T444" s="174">
        <f t="shared" si="401"/>
        <v>33</v>
      </c>
      <c r="U444" s="174">
        <f t="shared" si="402"/>
        <v>48</v>
      </c>
      <c r="V444" s="174">
        <f t="shared" si="403"/>
        <v>67</v>
      </c>
      <c r="W444" s="174">
        <f t="shared" si="404"/>
        <v>81</v>
      </c>
      <c r="X444" s="174">
        <f t="shared" si="405"/>
        <v>98</v>
      </c>
      <c r="Y444" s="174">
        <f t="shared" si="406"/>
        <v>117</v>
      </c>
      <c r="Z444" s="174">
        <f t="shared" si="407"/>
        <v>129</v>
      </c>
      <c r="AA444" s="174">
        <f t="shared" si="408"/>
        <v>144</v>
      </c>
      <c r="AB444" s="174">
        <f t="shared" si="409"/>
        <v>157</v>
      </c>
      <c r="AC444" s="174">
        <f t="shared" si="410"/>
        <v>182</v>
      </c>
      <c r="AD444" s="462">
        <f t="shared" si="411"/>
        <v>202</v>
      </c>
      <c r="AE444" s="522">
        <f t="shared" si="387"/>
        <v>443</v>
      </c>
      <c r="AF444" s="507"/>
    </row>
    <row r="445" spans="2:32" ht="18.5" x14ac:dyDescent="0.35">
      <c r="B445" s="485">
        <f t="shared" si="375"/>
        <v>444</v>
      </c>
      <c r="C445" s="668" t="s">
        <v>372</v>
      </c>
      <c r="D445" s="432" t="s">
        <v>386</v>
      </c>
      <c r="E445" s="432" t="s">
        <v>387</v>
      </c>
      <c r="F445" s="432" t="s">
        <v>388</v>
      </c>
      <c r="G445" s="432" t="s">
        <v>389</v>
      </c>
      <c r="H445" s="432" t="s">
        <v>390</v>
      </c>
      <c r="I445" s="432" t="s">
        <v>391</v>
      </c>
      <c r="J445" s="432" t="s">
        <v>392</v>
      </c>
      <c r="K445" s="432" t="s">
        <v>393</v>
      </c>
      <c r="L445" s="432" t="s">
        <v>394</v>
      </c>
      <c r="M445" s="432" t="s">
        <v>395</v>
      </c>
      <c r="N445" s="432" t="s">
        <v>396</v>
      </c>
      <c r="O445" s="460" t="s">
        <v>397</v>
      </c>
      <c r="Q445" s="517">
        <f t="shared" si="376"/>
        <v>444</v>
      </c>
      <c r="R445" s="668" t="s">
        <v>372</v>
      </c>
      <c r="S445" s="432" t="s">
        <v>132</v>
      </c>
      <c r="T445" s="432" t="s">
        <v>20</v>
      </c>
      <c r="U445" s="432" t="s">
        <v>21</v>
      </c>
      <c r="V445" s="432" t="s">
        <v>22</v>
      </c>
      <c r="W445" s="432" t="s">
        <v>23</v>
      </c>
      <c r="X445" s="432" t="s">
        <v>24</v>
      </c>
      <c r="Y445" s="432" t="s">
        <v>25</v>
      </c>
      <c r="Z445" s="432" t="s">
        <v>26</v>
      </c>
      <c r="AA445" s="432" t="s">
        <v>27</v>
      </c>
      <c r="AB445" s="432" t="s">
        <v>28</v>
      </c>
      <c r="AC445" s="432" t="s">
        <v>29</v>
      </c>
      <c r="AD445" s="460" t="s">
        <v>30</v>
      </c>
      <c r="AE445" s="522">
        <f t="shared" si="387"/>
        <v>444</v>
      </c>
      <c r="AF445" s="507"/>
    </row>
    <row r="446" spans="2:32" x14ac:dyDescent="0.35">
      <c r="B446" s="485">
        <f t="shared" si="375"/>
        <v>445</v>
      </c>
      <c r="C446" s="661" t="s">
        <v>212</v>
      </c>
      <c r="D446" s="175">
        <v>1</v>
      </c>
      <c r="E446" s="175">
        <v>2</v>
      </c>
      <c r="F446" s="175">
        <v>2</v>
      </c>
      <c r="G446" s="175">
        <v>1</v>
      </c>
      <c r="H446" s="175">
        <v>1</v>
      </c>
      <c r="I446" s="175">
        <v>1</v>
      </c>
      <c r="J446" s="175">
        <v>1</v>
      </c>
      <c r="K446" s="175">
        <v>1</v>
      </c>
      <c r="L446" s="175">
        <v>4</v>
      </c>
      <c r="M446" s="175">
        <v>1</v>
      </c>
      <c r="N446" s="175">
        <v>4</v>
      </c>
      <c r="O446" s="175">
        <v>2</v>
      </c>
      <c r="Q446" s="517">
        <f t="shared" si="376"/>
        <v>445</v>
      </c>
      <c r="R446" s="661" t="s">
        <v>212</v>
      </c>
      <c r="S446" s="174">
        <f t="shared" ref="S446" si="412">D446</f>
        <v>1</v>
      </c>
      <c r="T446" s="174">
        <f t="shared" ref="T446" si="413">S446+E446</f>
        <v>3</v>
      </c>
      <c r="U446" s="174">
        <f t="shared" ref="U446" si="414">T446+F446</f>
        <v>5</v>
      </c>
      <c r="V446" s="174">
        <f t="shared" ref="V446" si="415">U446+G446</f>
        <v>6</v>
      </c>
      <c r="W446" s="174">
        <f t="shared" ref="W446" si="416">V446+H446</f>
        <v>7</v>
      </c>
      <c r="X446" s="174">
        <f t="shared" ref="X446" si="417">W446+I446</f>
        <v>8</v>
      </c>
      <c r="Y446" s="174">
        <f t="shared" ref="Y446" si="418">X446+J446</f>
        <v>9</v>
      </c>
      <c r="Z446" s="174">
        <f t="shared" ref="Z446" si="419">Y446+K446</f>
        <v>10</v>
      </c>
      <c r="AA446" s="174">
        <f t="shared" ref="AA446" si="420">Z446+L446</f>
        <v>14</v>
      </c>
      <c r="AB446" s="174">
        <f t="shared" ref="AB446" si="421">AA446+M446</f>
        <v>15</v>
      </c>
      <c r="AC446" s="174">
        <f t="shared" ref="AC446" si="422">AB446+N446</f>
        <v>19</v>
      </c>
      <c r="AD446" s="462">
        <f t="shared" ref="AD446" si="423">AC446+O446</f>
        <v>21</v>
      </c>
      <c r="AE446" s="522">
        <f t="shared" si="387"/>
        <v>445</v>
      </c>
      <c r="AF446" s="507"/>
    </row>
    <row r="447" spans="2:32" x14ac:dyDescent="0.35">
      <c r="B447" s="485">
        <f t="shared" si="375"/>
        <v>446</v>
      </c>
      <c r="C447" s="661" t="s">
        <v>213</v>
      </c>
      <c r="D447" s="175">
        <v>2</v>
      </c>
      <c r="E447" s="175">
        <v>5</v>
      </c>
      <c r="F447" s="175">
        <v>3</v>
      </c>
      <c r="G447" s="175">
        <v>3</v>
      </c>
      <c r="H447" s="175">
        <v>3</v>
      </c>
      <c r="I447" s="175">
        <v>4</v>
      </c>
      <c r="J447" s="175">
        <v>4</v>
      </c>
      <c r="K447" s="175">
        <v>2</v>
      </c>
      <c r="L447" s="175">
        <v>5</v>
      </c>
      <c r="M447" s="175">
        <v>1</v>
      </c>
      <c r="N447" s="175">
        <v>3</v>
      </c>
      <c r="O447" s="175">
        <v>4</v>
      </c>
      <c r="Q447" s="517">
        <f t="shared" si="376"/>
        <v>446</v>
      </c>
      <c r="R447" s="661" t="s">
        <v>213</v>
      </c>
      <c r="S447" s="174">
        <f t="shared" ref="S447:S452" si="424">D447</f>
        <v>2</v>
      </c>
      <c r="T447" s="174">
        <f t="shared" ref="T447:T452" si="425">S447+E447</f>
        <v>7</v>
      </c>
      <c r="U447" s="174">
        <f t="shared" ref="U447:U452" si="426">T447+F447</f>
        <v>10</v>
      </c>
      <c r="V447" s="174">
        <f t="shared" ref="V447:V452" si="427">U447+G447</f>
        <v>13</v>
      </c>
      <c r="W447" s="174">
        <f t="shared" ref="W447:W452" si="428">V447+H447</f>
        <v>16</v>
      </c>
      <c r="X447" s="174">
        <f t="shared" ref="X447:X452" si="429">W447+I447</f>
        <v>20</v>
      </c>
      <c r="Y447" s="174">
        <f t="shared" ref="Y447:Y452" si="430">X447+J447</f>
        <v>24</v>
      </c>
      <c r="Z447" s="174">
        <f t="shared" ref="Z447:Z452" si="431">Y447+K447</f>
        <v>26</v>
      </c>
      <c r="AA447" s="174">
        <f t="shared" ref="AA447:AA452" si="432">Z447+L447</f>
        <v>31</v>
      </c>
      <c r="AB447" s="174">
        <f t="shared" ref="AB447:AB452" si="433">AA447+M447</f>
        <v>32</v>
      </c>
      <c r="AC447" s="174">
        <f t="shared" ref="AC447:AC452" si="434">AB447+N447</f>
        <v>35</v>
      </c>
      <c r="AD447" s="462">
        <f t="shared" ref="AD447:AD452" si="435">AC447+O447</f>
        <v>39</v>
      </c>
      <c r="AE447" s="522">
        <f t="shared" si="387"/>
        <v>446</v>
      </c>
      <c r="AF447" s="507"/>
    </row>
    <row r="448" spans="2:32" x14ac:dyDescent="0.35">
      <c r="B448" s="485">
        <f t="shared" si="375"/>
        <v>447</v>
      </c>
      <c r="C448" s="661" t="s">
        <v>214</v>
      </c>
      <c r="D448" s="175">
        <v>4</v>
      </c>
      <c r="E448" s="175">
        <v>2</v>
      </c>
      <c r="F448" s="175">
        <v>1</v>
      </c>
      <c r="G448" s="175">
        <v>1</v>
      </c>
      <c r="H448" s="175">
        <v>4</v>
      </c>
      <c r="I448" s="175">
        <v>1</v>
      </c>
      <c r="J448" s="175">
        <v>2</v>
      </c>
      <c r="K448" s="175">
        <v>1</v>
      </c>
      <c r="L448" s="175">
        <v>3</v>
      </c>
      <c r="M448" s="175">
        <v>2</v>
      </c>
      <c r="N448" s="175">
        <v>1</v>
      </c>
      <c r="O448" s="175">
        <v>5</v>
      </c>
      <c r="Q448" s="517">
        <f t="shared" si="376"/>
        <v>447</v>
      </c>
      <c r="R448" s="661" t="s">
        <v>214</v>
      </c>
      <c r="S448" s="174">
        <f t="shared" si="424"/>
        <v>4</v>
      </c>
      <c r="T448" s="174">
        <f t="shared" si="425"/>
        <v>6</v>
      </c>
      <c r="U448" s="174">
        <f t="shared" si="426"/>
        <v>7</v>
      </c>
      <c r="V448" s="174">
        <f t="shared" si="427"/>
        <v>8</v>
      </c>
      <c r="W448" s="174">
        <f t="shared" si="428"/>
        <v>12</v>
      </c>
      <c r="X448" s="174">
        <f t="shared" si="429"/>
        <v>13</v>
      </c>
      <c r="Y448" s="174">
        <f t="shared" si="430"/>
        <v>15</v>
      </c>
      <c r="Z448" s="174">
        <f t="shared" si="431"/>
        <v>16</v>
      </c>
      <c r="AA448" s="174">
        <f t="shared" si="432"/>
        <v>19</v>
      </c>
      <c r="AB448" s="174">
        <f t="shared" si="433"/>
        <v>21</v>
      </c>
      <c r="AC448" s="174">
        <f t="shared" si="434"/>
        <v>22</v>
      </c>
      <c r="AD448" s="462">
        <f t="shared" si="435"/>
        <v>27</v>
      </c>
      <c r="AE448" s="522">
        <f t="shared" si="387"/>
        <v>447</v>
      </c>
      <c r="AF448" s="507"/>
    </row>
    <row r="449" spans="2:32" x14ac:dyDescent="0.35">
      <c r="B449" s="485">
        <f t="shared" si="375"/>
        <v>448</v>
      </c>
      <c r="C449" s="661" t="s">
        <v>146</v>
      </c>
      <c r="D449" s="175">
        <v>1</v>
      </c>
      <c r="E449" s="175">
        <v>2</v>
      </c>
      <c r="F449" s="175">
        <v>1</v>
      </c>
      <c r="G449" s="175">
        <v>4</v>
      </c>
      <c r="H449" s="175">
        <v>4</v>
      </c>
      <c r="I449" s="175">
        <v>1</v>
      </c>
      <c r="J449" s="175">
        <v>2</v>
      </c>
      <c r="K449" s="175">
        <v>1</v>
      </c>
      <c r="L449" s="175">
        <v>1</v>
      </c>
      <c r="M449" s="175">
        <v>0</v>
      </c>
      <c r="N449" s="175">
        <v>3</v>
      </c>
      <c r="O449" s="175">
        <v>2</v>
      </c>
      <c r="Q449" s="517">
        <f t="shared" si="376"/>
        <v>448</v>
      </c>
      <c r="R449" s="661" t="s">
        <v>146</v>
      </c>
      <c r="S449" s="174">
        <f t="shared" si="424"/>
        <v>1</v>
      </c>
      <c r="T449" s="174">
        <f t="shared" si="425"/>
        <v>3</v>
      </c>
      <c r="U449" s="174">
        <f t="shared" si="426"/>
        <v>4</v>
      </c>
      <c r="V449" s="174">
        <f t="shared" si="427"/>
        <v>8</v>
      </c>
      <c r="W449" s="174">
        <f t="shared" si="428"/>
        <v>12</v>
      </c>
      <c r="X449" s="174">
        <f t="shared" si="429"/>
        <v>13</v>
      </c>
      <c r="Y449" s="174">
        <f t="shared" si="430"/>
        <v>15</v>
      </c>
      <c r="Z449" s="174">
        <f t="shared" si="431"/>
        <v>16</v>
      </c>
      <c r="AA449" s="174">
        <f t="shared" si="432"/>
        <v>17</v>
      </c>
      <c r="AB449" s="174">
        <f t="shared" si="433"/>
        <v>17</v>
      </c>
      <c r="AC449" s="174">
        <f t="shared" si="434"/>
        <v>20</v>
      </c>
      <c r="AD449" s="462">
        <f t="shared" si="435"/>
        <v>22</v>
      </c>
      <c r="AE449" s="522">
        <f t="shared" si="387"/>
        <v>448</v>
      </c>
      <c r="AF449" s="507"/>
    </row>
    <row r="450" spans="2:32" x14ac:dyDescent="0.35">
      <c r="B450" s="485">
        <f t="shared" si="375"/>
        <v>449</v>
      </c>
      <c r="C450" s="661" t="s">
        <v>147</v>
      </c>
      <c r="D450" s="175">
        <v>3</v>
      </c>
      <c r="E450" s="175">
        <v>2</v>
      </c>
      <c r="F450" s="175">
        <v>4</v>
      </c>
      <c r="G450" s="175">
        <v>2</v>
      </c>
      <c r="H450" s="175">
        <v>5</v>
      </c>
      <c r="I450" s="175">
        <v>2</v>
      </c>
      <c r="J450" s="175">
        <v>2</v>
      </c>
      <c r="K450" s="175">
        <v>2</v>
      </c>
      <c r="L450" s="175">
        <v>1</v>
      </c>
      <c r="M450" s="175">
        <v>2</v>
      </c>
      <c r="N450" s="175">
        <v>3</v>
      </c>
      <c r="O450" s="175">
        <v>4</v>
      </c>
      <c r="Q450" s="517">
        <f t="shared" si="376"/>
        <v>449</v>
      </c>
      <c r="R450" s="661" t="s">
        <v>147</v>
      </c>
      <c r="S450" s="174">
        <f t="shared" si="424"/>
        <v>3</v>
      </c>
      <c r="T450" s="174">
        <f t="shared" si="425"/>
        <v>5</v>
      </c>
      <c r="U450" s="174">
        <f t="shared" si="426"/>
        <v>9</v>
      </c>
      <c r="V450" s="174">
        <f t="shared" si="427"/>
        <v>11</v>
      </c>
      <c r="W450" s="174">
        <f t="shared" si="428"/>
        <v>16</v>
      </c>
      <c r="X450" s="174">
        <f t="shared" si="429"/>
        <v>18</v>
      </c>
      <c r="Y450" s="174">
        <f t="shared" si="430"/>
        <v>20</v>
      </c>
      <c r="Z450" s="174">
        <f t="shared" si="431"/>
        <v>22</v>
      </c>
      <c r="AA450" s="174">
        <f t="shared" si="432"/>
        <v>23</v>
      </c>
      <c r="AB450" s="174">
        <f t="shared" si="433"/>
        <v>25</v>
      </c>
      <c r="AC450" s="174">
        <f t="shared" si="434"/>
        <v>28</v>
      </c>
      <c r="AD450" s="462">
        <f t="shared" si="435"/>
        <v>32</v>
      </c>
      <c r="AE450" s="522">
        <f t="shared" si="387"/>
        <v>449</v>
      </c>
      <c r="AF450" s="507"/>
    </row>
    <row r="451" spans="2:32" x14ac:dyDescent="0.35">
      <c r="B451" s="485">
        <f t="shared" si="375"/>
        <v>450</v>
      </c>
      <c r="C451" s="661" t="s">
        <v>62</v>
      </c>
      <c r="D451" s="175">
        <v>3</v>
      </c>
      <c r="E451" s="175">
        <v>3</v>
      </c>
      <c r="F451" s="175">
        <v>4</v>
      </c>
      <c r="G451" s="175">
        <v>6</v>
      </c>
      <c r="H451" s="175">
        <v>9</v>
      </c>
      <c r="I451" s="175">
        <v>3</v>
      </c>
      <c r="J451" s="175">
        <v>3</v>
      </c>
      <c r="K451" s="175">
        <v>3</v>
      </c>
      <c r="L451" s="175">
        <v>2</v>
      </c>
      <c r="M451" s="175">
        <v>2</v>
      </c>
      <c r="N451" s="175">
        <v>5</v>
      </c>
      <c r="O451" s="175">
        <v>6</v>
      </c>
      <c r="Q451" s="517">
        <f t="shared" si="376"/>
        <v>450</v>
      </c>
      <c r="R451" s="661" t="s">
        <v>62</v>
      </c>
      <c r="S451" s="174">
        <f t="shared" si="424"/>
        <v>3</v>
      </c>
      <c r="T451" s="174">
        <f t="shared" si="425"/>
        <v>6</v>
      </c>
      <c r="U451" s="174">
        <f t="shared" si="426"/>
        <v>10</v>
      </c>
      <c r="V451" s="174">
        <f t="shared" si="427"/>
        <v>16</v>
      </c>
      <c r="W451" s="174">
        <f t="shared" si="428"/>
        <v>25</v>
      </c>
      <c r="X451" s="174">
        <f t="shared" si="429"/>
        <v>28</v>
      </c>
      <c r="Y451" s="174">
        <f t="shared" si="430"/>
        <v>31</v>
      </c>
      <c r="Z451" s="174">
        <f t="shared" si="431"/>
        <v>34</v>
      </c>
      <c r="AA451" s="174">
        <f t="shared" si="432"/>
        <v>36</v>
      </c>
      <c r="AB451" s="174">
        <f t="shared" si="433"/>
        <v>38</v>
      </c>
      <c r="AC451" s="174">
        <f t="shared" si="434"/>
        <v>43</v>
      </c>
      <c r="AD451" s="462">
        <f t="shared" si="435"/>
        <v>49</v>
      </c>
      <c r="AE451" s="522">
        <f t="shared" si="387"/>
        <v>450</v>
      </c>
      <c r="AF451" s="507"/>
    </row>
    <row r="452" spans="2:32" x14ac:dyDescent="0.35">
      <c r="B452" s="485">
        <f t="shared" si="375"/>
        <v>451</v>
      </c>
      <c r="C452" s="661" t="s">
        <v>0</v>
      </c>
      <c r="D452" s="175">
        <v>9</v>
      </c>
      <c r="E452" s="175">
        <v>12</v>
      </c>
      <c r="F452" s="175">
        <v>10</v>
      </c>
      <c r="G452" s="175">
        <v>10</v>
      </c>
      <c r="H452" s="175">
        <v>17</v>
      </c>
      <c r="I452" s="175">
        <v>8</v>
      </c>
      <c r="J452" s="175">
        <v>9</v>
      </c>
      <c r="K452" s="175">
        <v>7</v>
      </c>
      <c r="L452" s="175">
        <v>13</v>
      </c>
      <c r="M452" s="175">
        <v>4</v>
      </c>
      <c r="N452" s="175">
        <v>12</v>
      </c>
      <c r="O452" s="175">
        <v>16</v>
      </c>
      <c r="Q452" s="517">
        <f t="shared" si="376"/>
        <v>451</v>
      </c>
      <c r="R452" s="661" t="s">
        <v>0</v>
      </c>
      <c r="S452" s="174">
        <f t="shared" si="424"/>
        <v>9</v>
      </c>
      <c r="T452" s="174">
        <f t="shared" si="425"/>
        <v>21</v>
      </c>
      <c r="U452" s="174">
        <f t="shared" si="426"/>
        <v>31</v>
      </c>
      <c r="V452" s="174">
        <f t="shared" si="427"/>
        <v>41</v>
      </c>
      <c r="W452" s="174">
        <f t="shared" si="428"/>
        <v>58</v>
      </c>
      <c r="X452" s="174">
        <f t="shared" si="429"/>
        <v>66</v>
      </c>
      <c r="Y452" s="174">
        <f t="shared" si="430"/>
        <v>75</v>
      </c>
      <c r="Z452" s="174">
        <f t="shared" si="431"/>
        <v>82</v>
      </c>
      <c r="AA452" s="174">
        <f t="shared" si="432"/>
        <v>95</v>
      </c>
      <c r="AB452" s="174">
        <f t="shared" si="433"/>
        <v>99</v>
      </c>
      <c r="AC452" s="174">
        <f t="shared" si="434"/>
        <v>111</v>
      </c>
      <c r="AD452" s="462">
        <f t="shared" si="435"/>
        <v>127</v>
      </c>
      <c r="AE452" s="522">
        <f t="shared" si="387"/>
        <v>451</v>
      </c>
      <c r="AF452" s="507"/>
    </row>
    <row r="453" spans="2:32" ht="18.5" x14ac:dyDescent="0.35">
      <c r="B453" s="485">
        <f t="shared" si="375"/>
        <v>452</v>
      </c>
      <c r="C453" s="667" t="s">
        <v>368</v>
      </c>
      <c r="D453" s="432" t="s">
        <v>386</v>
      </c>
      <c r="E453" s="432" t="s">
        <v>387</v>
      </c>
      <c r="F453" s="432" t="s">
        <v>388</v>
      </c>
      <c r="G453" s="432" t="s">
        <v>389</v>
      </c>
      <c r="H453" s="432" t="s">
        <v>390</v>
      </c>
      <c r="I453" s="432" t="s">
        <v>391</v>
      </c>
      <c r="J453" s="432" t="s">
        <v>392</v>
      </c>
      <c r="K453" s="432" t="s">
        <v>393</v>
      </c>
      <c r="L453" s="432" t="s">
        <v>394</v>
      </c>
      <c r="M453" s="432" t="s">
        <v>395</v>
      </c>
      <c r="N453" s="432" t="s">
        <v>396</v>
      </c>
      <c r="O453" s="460" t="s">
        <v>397</v>
      </c>
      <c r="Q453" s="517">
        <f t="shared" si="376"/>
        <v>452</v>
      </c>
      <c r="R453" s="667" t="s">
        <v>368</v>
      </c>
      <c r="S453" s="432" t="s">
        <v>132</v>
      </c>
      <c r="T453" s="432" t="s">
        <v>20</v>
      </c>
      <c r="U453" s="432" t="s">
        <v>21</v>
      </c>
      <c r="V453" s="432" t="s">
        <v>22</v>
      </c>
      <c r="W453" s="432" t="s">
        <v>23</v>
      </c>
      <c r="X453" s="432" t="s">
        <v>24</v>
      </c>
      <c r="Y453" s="432" t="s">
        <v>25</v>
      </c>
      <c r="Z453" s="432" t="s">
        <v>26</v>
      </c>
      <c r="AA453" s="432" t="s">
        <v>27</v>
      </c>
      <c r="AB453" s="432" t="s">
        <v>28</v>
      </c>
      <c r="AC453" s="432" t="s">
        <v>29</v>
      </c>
      <c r="AD453" s="460" t="s">
        <v>30</v>
      </c>
      <c r="AE453" s="522">
        <f t="shared" si="387"/>
        <v>452</v>
      </c>
      <c r="AF453" s="507"/>
    </row>
    <row r="454" spans="2:32" x14ac:dyDescent="0.35">
      <c r="B454" s="485">
        <f t="shared" si="375"/>
        <v>453</v>
      </c>
      <c r="C454" s="662" t="s">
        <v>212</v>
      </c>
      <c r="D454" s="708">
        <v>0</v>
      </c>
      <c r="E454" s="708">
        <v>0.5</v>
      </c>
      <c r="F454" s="708">
        <v>0</v>
      </c>
      <c r="G454" s="708">
        <v>0</v>
      </c>
      <c r="H454" s="708">
        <v>0</v>
      </c>
      <c r="I454" s="708">
        <v>0</v>
      </c>
      <c r="J454" s="708">
        <v>0</v>
      </c>
      <c r="K454" s="708">
        <v>0</v>
      </c>
      <c r="L454" s="708">
        <v>0</v>
      </c>
      <c r="M454" s="708">
        <v>0</v>
      </c>
      <c r="N454" s="708">
        <v>0</v>
      </c>
      <c r="O454" s="708">
        <v>0</v>
      </c>
      <c r="Q454" s="517">
        <f t="shared" si="376"/>
        <v>453</v>
      </c>
      <c r="R454" s="662" t="s">
        <v>212</v>
      </c>
      <c r="S454" s="174">
        <f t="shared" ref="S454" si="436">D454</f>
        <v>0</v>
      </c>
      <c r="T454" s="174">
        <f>S454+E454</f>
        <v>0.5</v>
      </c>
      <c r="U454" s="174">
        <f t="shared" ref="U454" si="437">T454+F454</f>
        <v>0.5</v>
      </c>
      <c r="V454" s="174">
        <f t="shared" ref="V454" si="438">U454+G454</f>
        <v>0.5</v>
      </c>
      <c r="W454" s="174">
        <f t="shared" ref="W454" si="439">V454+H454</f>
        <v>0.5</v>
      </c>
      <c r="X454" s="174">
        <f t="shared" ref="X454" si="440">W454+I454</f>
        <v>0.5</v>
      </c>
      <c r="Y454" s="174">
        <f t="shared" ref="Y454" si="441">X454+J454</f>
        <v>0.5</v>
      </c>
      <c r="Z454" s="174">
        <f t="shared" ref="Z454" si="442">Y454+K454</f>
        <v>0.5</v>
      </c>
      <c r="AA454" s="174">
        <f t="shared" ref="AA454" si="443">Z454+L454</f>
        <v>0.5</v>
      </c>
      <c r="AB454" s="174">
        <f t="shared" ref="AB454" si="444">AA454+M454</f>
        <v>0.5</v>
      </c>
      <c r="AC454" s="174">
        <f t="shared" ref="AC454" si="445">AB454+N454</f>
        <v>0.5</v>
      </c>
      <c r="AD454" s="462">
        <f>AC454+O454</f>
        <v>0.5</v>
      </c>
      <c r="AE454" s="522">
        <f t="shared" si="387"/>
        <v>453</v>
      </c>
      <c r="AF454" s="507"/>
    </row>
    <row r="455" spans="2:32" x14ac:dyDescent="0.35">
      <c r="B455" s="485">
        <f t="shared" si="375"/>
        <v>454</v>
      </c>
      <c r="C455" s="662" t="s">
        <v>213</v>
      </c>
      <c r="D455" s="708">
        <v>0</v>
      </c>
      <c r="E455" s="708">
        <v>0</v>
      </c>
      <c r="F455" s="708">
        <v>0</v>
      </c>
      <c r="G455" s="708">
        <v>0</v>
      </c>
      <c r="H455" s="708">
        <v>0</v>
      </c>
      <c r="I455" s="708">
        <v>1</v>
      </c>
      <c r="J455" s="708">
        <v>0</v>
      </c>
      <c r="K455" s="708">
        <v>0.5</v>
      </c>
      <c r="L455" s="708">
        <v>0</v>
      </c>
      <c r="M455" s="708">
        <v>0</v>
      </c>
      <c r="N455" s="708">
        <v>0</v>
      </c>
      <c r="O455" s="708">
        <v>0</v>
      </c>
      <c r="Q455" s="517">
        <f t="shared" si="376"/>
        <v>454</v>
      </c>
      <c r="R455" s="662" t="s">
        <v>213</v>
      </c>
      <c r="S455" s="174">
        <f t="shared" ref="S455:S460" si="446">D455</f>
        <v>0</v>
      </c>
      <c r="T455" s="174">
        <f t="shared" ref="T455:T460" si="447">S455+E455</f>
        <v>0</v>
      </c>
      <c r="U455" s="174">
        <f t="shared" ref="U455:U460" si="448">T455+F455</f>
        <v>0</v>
      </c>
      <c r="V455" s="174">
        <f t="shared" ref="V455:V460" si="449">U455+G455</f>
        <v>0</v>
      </c>
      <c r="W455" s="174">
        <f t="shared" ref="W455:W460" si="450">V455+H455</f>
        <v>0</v>
      </c>
      <c r="X455" s="174">
        <f t="shared" ref="X455:X460" si="451">W455+I455</f>
        <v>1</v>
      </c>
      <c r="Y455" s="174">
        <f t="shared" ref="Y455:Y460" si="452">X455+J455</f>
        <v>1</v>
      </c>
      <c r="Z455" s="174">
        <f t="shared" ref="Z455:Z460" si="453">Y455+K455</f>
        <v>1.5</v>
      </c>
      <c r="AA455" s="174">
        <f t="shared" ref="AA455:AA460" si="454">Z455+L455</f>
        <v>1.5</v>
      </c>
      <c r="AB455" s="174">
        <f t="shared" ref="AB455:AB460" si="455">AA455+M455</f>
        <v>1.5</v>
      </c>
      <c r="AC455" s="174">
        <f t="shared" ref="AC455:AC460" si="456">AB455+N455</f>
        <v>1.5</v>
      </c>
      <c r="AD455" s="462">
        <f t="shared" ref="AD455:AD460" si="457">AC455+O455</f>
        <v>1.5</v>
      </c>
      <c r="AE455" s="522">
        <f t="shared" si="387"/>
        <v>454</v>
      </c>
      <c r="AF455" s="507"/>
    </row>
    <row r="456" spans="2:32" x14ac:dyDescent="0.35">
      <c r="B456" s="485">
        <f t="shared" si="375"/>
        <v>455</v>
      </c>
      <c r="C456" s="662" t="s">
        <v>214</v>
      </c>
      <c r="D456" s="708">
        <v>0</v>
      </c>
      <c r="E456" s="708">
        <v>1.5</v>
      </c>
      <c r="F456" s="708">
        <v>0</v>
      </c>
      <c r="G456" s="708">
        <v>0</v>
      </c>
      <c r="H456" s="708">
        <v>0.5</v>
      </c>
      <c r="I456" s="708">
        <v>0</v>
      </c>
      <c r="J456" s="708">
        <v>0</v>
      </c>
      <c r="K456" s="708">
        <v>0</v>
      </c>
      <c r="L456" s="708">
        <v>1</v>
      </c>
      <c r="M456" s="708">
        <v>0</v>
      </c>
      <c r="N456" s="708">
        <v>0</v>
      </c>
      <c r="O456" s="708">
        <v>0</v>
      </c>
      <c r="Q456" s="517">
        <f t="shared" si="376"/>
        <v>455</v>
      </c>
      <c r="R456" s="662" t="s">
        <v>214</v>
      </c>
      <c r="S456" s="174">
        <f t="shared" si="446"/>
        <v>0</v>
      </c>
      <c r="T456" s="174">
        <f t="shared" si="447"/>
        <v>1.5</v>
      </c>
      <c r="U456" s="174">
        <f t="shared" si="448"/>
        <v>1.5</v>
      </c>
      <c r="V456" s="174">
        <f t="shared" si="449"/>
        <v>1.5</v>
      </c>
      <c r="W456" s="174">
        <f t="shared" si="450"/>
        <v>2</v>
      </c>
      <c r="X456" s="174">
        <f t="shared" si="451"/>
        <v>2</v>
      </c>
      <c r="Y456" s="174">
        <f t="shared" si="452"/>
        <v>2</v>
      </c>
      <c r="Z456" s="174">
        <f t="shared" si="453"/>
        <v>2</v>
      </c>
      <c r="AA456" s="174">
        <f t="shared" si="454"/>
        <v>3</v>
      </c>
      <c r="AB456" s="174">
        <f t="shared" si="455"/>
        <v>3</v>
      </c>
      <c r="AC456" s="174">
        <f t="shared" si="456"/>
        <v>3</v>
      </c>
      <c r="AD456" s="462">
        <f t="shared" si="457"/>
        <v>3</v>
      </c>
      <c r="AE456" s="522">
        <f t="shared" si="387"/>
        <v>455</v>
      </c>
      <c r="AF456" s="507"/>
    </row>
    <row r="457" spans="2:32" x14ac:dyDescent="0.35">
      <c r="B457" s="485">
        <f t="shared" si="375"/>
        <v>456</v>
      </c>
      <c r="C457" s="662" t="s">
        <v>146</v>
      </c>
      <c r="D457" s="708">
        <v>0</v>
      </c>
      <c r="E457" s="708">
        <v>0.5</v>
      </c>
      <c r="F457" s="708">
        <v>0</v>
      </c>
      <c r="G457" s="708">
        <v>0.5</v>
      </c>
      <c r="H457" s="708">
        <v>0</v>
      </c>
      <c r="I457" s="708">
        <v>0</v>
      </c>
      <c r="J457" s="708">
        <v>0</v>
      </c>
      <c r="K457" s="708">
        <v>0</v>
      </c>
      <c r="L457" s="708">
        <v>0</v>
      </c>
      <c r="M457" s="708">
        <v>0.5</v>
      </c>
      <c r="N457" s="708">
        <v>0</v>
      </c>
      <c r="O457" s="708">
        <v>0</v>
      </c>
      <c r="Q457" s="517">
        <f t="shared" si="376"/>
        <v>456</v>
      </c>
      <c r="R457" s="662" t="s">
        <v>146</v>
      </c>
      <c r="S457" s="174">
        <f t="shared" si="446"/>
        <v>0</v>
      </c>
      <c r="T457" s="174">
        <f t="shared" si="447"/>
        <v>0.5</v>
      </c>
      <c r="U457" s="174">
        <f t="shared" si="448"/>
        <v>0.5</v>
      </c>
      <c r="V457" s="174">
        <f t="shared" si="449"/>
        <v>1</v>
      </c>
      <c r="W457" s="174">
        <f t="shared" si="450"/>
        <v>1</v>
      </c>
      <c r="X457" s="174">
        <f t="shared" si="451"/>
        <v>1</v>
      </c>
      <c r="Y457" s="174">
        <f t="shared" si="452"/>
        <v>1</v>
      </c>
      <c r="Z457" s="174">
        <f t="shared" si="453"/>
        <v>1</v>
      </c>
      <c r="AA457" s="174">
        <f t="shared" si="454"/>
        <v>1</v>
      </c>
      <c r="AB457" s="174">
        <f t="shared" si="455"/>
        <v>1.5</v>
      </c>
      <c r="AC457" s="174">
        <f t="shared" si="456"/>
        <v>1.5</v>
      </c>
      <c r="AD457" s="462">
        <f t="shared" si="457"/>
        <v>1.5</v>
      </c>
      <c r="AE457" s="522">
        <f t="shared" si="387"/>
        <v>456</v>
      </c>
      <c r="AF457" s="507"/>
    </row>
    <row r="458" spans="2:32" x14ac:dyDescent="0.35">
      <c r="B458" s="485">
        <f t="shared" si="375"/>
        <v>457</v>
      </c>
      <c r="C458" s="662" t="s">
        <v>147</v>
      </c>
      <c r="D458" s="708">
        <v>0</v>
      </c>
      <c r="E458" s="708">
        <v>0</v>
      </c>
      <c r="F458" s="708">
        <v>0.5</v>
      </c>
      <c r="G458" s="708">
        <v>0</v>
      </c>
      <c r="H458" s="708">
        <v>0.5</v>
      </c>
      <c r="I458" s="708">
        <v>0</v>
      </c>
      <c r="J458" s="708">
        <v>0</v>
      </c>
      <c r="K458" s="708">
        <v>0</v>
      </c>
      <c r="L458" s="708">
        <v>0</v>
      </c>
      <c r="M458" s="708">
        <v>0</v>
      </c>
      <c r="N458" s="708">
        <v>0</v>
      </c>
      <c r="O458" s="708">
        <v>0</v>
      </c>
      <c r="Q458" s="517">
        <f t="shared" si="376"/>
        <v>457</v>
      </c>
      <c r="R458" s="662" t="s">
        <v>147</v>
      </c>
      <c r="S458" s="174">
        <f t="shared" si="446"/>
        <v>0</v>
      </c>
      <c r="T458" s="174">
        <f t="shared" si="447"/>
        <v>0</v>
      </c>
      <c r="U458" s="174">
        <f t="shared" si="448"/>
        <v>0.5</v>
      </c>
      <c r="V458" s="174">
        <f t="shared" si="449"/>
        <v>0.5</v>
      </c>
      <c r="W458" s="174">
        <f t="shared" si="450"/>
        <v>1</v>
      </c>
      <c r="X458" s="174">
        <f t="shared" si="451"/>
        <v>1</v>
      </c>
      <c r="Y458" s="174">
        <f t="shared" si="452"/>
        <v>1</v>
      </c>
      <c r="Z458" s="174">
        <f t="shared" si="453"/>
        <v>1</v>
      </c>
      <c r="AA458" s="174">
        <f t="shared" si="454"/>
        <v>1</v>
      </c>
      <c r="AB458" s="174">
        <f t="shared" si="455"/>
        <v>1</v>
      </c>
      <c r="AC458" s="174">
        <f t="shared" si="456"/>
        <v>1</v>
      </c>
      <c r="AD458" s="462">
        <f t="shared" si="457"/>
        <v>1</v>
      </c>
      <c r="AE458" s="522">
        <f t="shared" si="387"/>
        <v>457</v>
      </c>
      <c r="AF458" s="507"/>
    </row>
    <row r="459" spans="2:32" x14ac:dyDescent="0.35">
      <c r="B459" s="485">
        <f t="shared" si="375"/>
        <v>458</v>
      </c>
      <c r="C459" s="662" t="s">
        <v>62</v>
      </c>
      <c r="D459" s="708">
        <v>0</v>
      </c>
      <c r="E459" s="708">
        <v>0.5</v>
      </c>
      <c r="F459" s="708">
        <v>0.5</v>
      </c>
      <c r="G459" s="708">
        <v>0.5</v>
      </c>
      <c r="H459" s="708">
        <v>0.5</v>
      </c>
      <c r="I459" s="708">
        <v>0</v>
      </c>
      <c r="J459" s="708">
        <v>0</v>
      </c>
      <c r="K459" s="708">
        <v>0</v>
      </c>
      <c r="L459" s="708">
        <v>0</v>
      </c>
      <c r="M459" s="708">
        <v>0.5</v>
      </c>
      <c r="N459" s="708">
        <v>0</v>
      </c>
      <c r="O459" s="708">
        <v>0</v>
      </c>
      <c r="Q459" s="517">
        <f t="shared" si="376"/>
        <v>458</v>
      </c>
      <c r="R459" s="662" t="s">
        <v>62</v>
      </c>
      <c r="S459" s="174">
        <f t="shared" si="446"/>
        <v>0</v>
      </c>
      <c r="T459" s="174">
        <f t="shared" si="447"/>
        <v>0.5</v>
      </c>
      <c r="U459" s="174">
        <f t="shared" si="448"/>
        <v>1</v>
      </c>
      <c r="V459" s="174">
        <f t="shared" si="449"/>
        <v>1.5</v>
      </c>
      <c r="W459" s="174">
        <f t="shared" si="450"/>
        <v>2</v>
      </c>
      <c r="X459" s="174">
        <f t="shared" si="451"/>
        <v>2</v>
      </c>
      <c r="Y459" s="174">
        <f t="shared" si="452"/>
        <v>2</v>
      </c>
      <c r="Z459" s="174">
        <f t="shared" si="453"/>
        <v>2</v>
      </c>
      <c r="AA459" s="174">
        <f t="shared" si="454"/>
        <v>2</v>
      </c>
      <c r="AB459" s="174">
        <f t="shared" si="455"/>
        <v>2.5</v>
      </c>
      <c r="AC459" s="174">
        <f t="shared" si="456"/>
        <v>2.5</v>
      </c>
      <c r="AD459" s="462">
        <f>AC459+O459</f>
        <v>2.5</v>
      </c>
      <c r="AE459" s="522">
        <f t="shared" si="387"/>
        <v>458</v>
      </c>
      <c r="AF459" s="507"/>
    </row>
    <row r="460" spans="2:32" x14ac:dyDescent="0.35">
      <c r="B460" s="485">
        <f t="shared" si="375"/>
        <v>459</v>
      </c>
      <c r="C460" s="662" t="s">
        <v>0</v>
      </c>
      <c r="D460" s="708">
        <v>0</v>
      </c>
      <c r="E460" s="708">
        <v>2.5</v>
      </c>
      <c r="F460" s="708">
        <v>0.5</v>
      </c>
      <c r="G460" s="708">
        <v>0.5</v>
      </c>
      <c r="H460" s="708">
        <v>1</v>
      </c>
      <c r="I460" s="708">
        <v>1</v>
      </c>
      <c r="J460" s="708">
        <v>0</v>
      </c>
      <c r="K460" s="708">
        <v>0.5</v>
      </c>
      <c r="L460" s="708">
        <v>1</v>
      </c>
      <c r="M460" s="708">
        <v>0.5</v>
      </c>
      <c r="N460" s="708">
        <v>0</v>
      </c>
      <c r="O460" s="708">
        <v>0</v>
      </c>
      <c r="Q460" s="517">
        <f t="shared" si="376"/>
        <v>459</v>
      </c>
      <c r="R460" s="662" t="s">
        <v>0</v>
      </c>
      <c r="S460" s="174">
        <f t="shared" si="446"/>
        <v>0</v>
      </c>
      <c r="T460" s="174">
        <f t="shared" si="447"/>
        <v>2.5</v>
      </c>
      <c r="U460" s="174">
        <f t="shared" si="448"/>
        <v>3</v>
      </c>
      <c r="V460" s="174">
        <f t="shared" si="449"/>
        <v>3.5</v>
      </c>
      <c r="W460" s="174">
        <f t="shared" si="450"/>
        <v>4.5</v>
      </c>
      <c r="X460" s="174">
        <f t="shared" si="451"/>
        <v>5.5</v>
      </c>
      <c r="Y460" s="174">
        <f t="shared" si="452"/>
        <v>5.5</v>
      </c>
      <c r="Z460" s="174">
        <f t="shared" si="453"/>
        <v>6</v>
      </c>
      <c r="AA460" s="174">
        <f t="shared" si="454"/>
        <v>7</v>
      </c>
      <c r="AB460" s="174">
        <f t="shared" si="455"/>
        <v>7.5</v>
      </c>
      <c r="AC460" s="174">
        <f t="shared" si="456"/>
        <v>7.5</v>
      </c>
      <c r="AD460" s="462">
        <f t="shared" si="457"/>
        <v>7.5</v>
      </c>
      <c r="AE460" s="522">
        <f t="shared" si="387"/>
        <v>459</v>
      </c>
      <c r="AF460" s="507"/>
    </row>
    <row r="461" spans="2:32" ht="18.5" x14ac:dyDescent="0.35">
      <c r="B461" s="485">
        <f t="shared" si="375"/>
        <v>460</v>
      </c>
      <c r="C461" s="666" t="s">
        <v>367</v>
      </c>
      <c r="D461" s="432" t="s">
        <v>386</v>
      </c>
      <c r="E461" s="432" t="s">
        <v>387</v>
      </c>
      <c r="F461" s="432" t="s">
        <v>388</v>
      </c>
      <c r="G461" s="432" t="s">
        <v>389</v>
      </c>
      <c r="H461" s="432" t="s">
        <v>390</v>
      </c>
      <c r="I461" s="432" t="s">
        <v>391</v>
      </c>
      <c r="J461" s="432" t="s">
        <v>392</v>
      </c>
      <c r="K461" s="432" t="s">
        <v>393</v>
      </c>
      <c r="L461" s="432" t="s">
        <v>394</v>
      </c>
      <c r="M461" s="432" t="s">
        <v>395</v>
      </c>
      <c r="N461" s="432" t="s">
        <v>396</v>
      </c>
      <c r="O461" s="460" t="s">
        <v>397</v>
      </c>
      <c r="Q461" s="517">
        <f t="shared" si="376"/>
        <v>460</v>
      </c>
      <c r="R461" s="666" t="s">
        <v>367</v>
      </c>
      <c r="S461" s="432" t="s">
        <v>132</v>
      </c>
      <c r="T461" s="432" t="s">
        <v>20</v>
      </c>
      <c r="U461" s="432" t="s">
        <v>21</v>
      </c>
      <c r="V461" s="432" t="s">
        <v>22</v>
      </c>
      <c r="W461" s="432" t="s">
        <v>23</v>
      </c>
      <c r="X461" s="432" t="s">
        <v>24</v>
      </c>
      <c r="Y461" s="432" t="s">
        <v>25</v>
      </c>
      <c r="Z461" s="432" t="s">
        <v>26</v>
      </c>
      <c r="AA461" s="432" t="s">
        <v>27</v>
      </c>
      <c r="AB461" s="432" t="s">
        <v>28</v>
      </c>
      <c r="AC461" s="432" t="s">
        <v>29</v>
      </c>
      <c r="AD461" s="460" t="s">
        <v>30</v>
      </c>
      <c r="AE461" s="522">
        <f t="shared" si="387"/>
        <v>460</v>
      </c>
      <c r="AF461" s="507"/>
    </row>
    <row r="462" spans="2:32" x14ac:dyDescent="0.35">
      <c r="B462" s="485">
        <f t="shared" si="375"/>
        <v>461</v>
      </c>
      <c r="C462" s="662" t="s">
        <v>212</v>
      </c>
      <c r="D462" s="175">
        <v>1</v>
      </c>
      <c r="E462" s="175">
        <v>1</v>
      </c>
      <c r="F462" s="175">
        <v>0</v>
      </c>
      <c r="G462" s="175">
        <v>1</v>
      </c>
      <c r="H462" s="175">
        <v>1</v>
      </c>
      <c r="I462" s="175">
        <v>1</v>
      </c>
      <c r="J462" s="175">
        <v>0</v>
      </c>
      <c r="K462" s="175">
        <v>2</v>
      </c>
      <c r="L462" s="175">
        <v>1</v>
      </c>
      <c r="M462" s="175">
        <v>1</v>
      </c>
      <c r="N462" s="175">
        <v>1</v>
      </c>
      <c r="O462" s="175">
        <v>0</v>
      </c>
      <c r="Q462" s="517">
        <f t="shared" si="376"/>
        <v>461</v>
      </c>
      <c r="R462" s="662" t="s">
        <v>212</v>
      </c>
      <c r="S462" s="174">
        <f t="shared" ref="S462" si="458">D462</f>
        <v>1</v>
      </c>
      <c r="T462" s="174">
        <f t="shared" ref="T462" si="459">S462+E462</f>
        <v>2</v>
      </c>
      <c r="U462" s="174">
        <f t="shared" ref="U462" si="460">T462+F462</f>
        <v>2</v>
      </c>
      <c r="V462" s="174">
        <f t="shared" ref="V462" si="461">U462+G462</f>
        <v>3</v>
      </c>
      <c r="W462" s="174">
        <f t="shared" ref="W462" si="462">V462+H462</f>
        <v>4</v>
      </c>
      <c r="X462" s="174">
        <f t="shared" ref="X462" si="463">W462+I462</f>
        <v>5</v>
      </c>
      <c r="Y462" s="174">
        <f t="shared" ref="Y462" si="464">X462+J462</f>
        <v>5</v>
      </c>
      <c r="Z462" s="174">
        <f t="shared" ref="Z462" si="465">Y462+K462</f>
        <v>7</v>
      </c>
      <c r="AA462" s="174">
        <f t="shared" ref="AA462" si="466">Z462+L462</f>
        <v>8</v>
      </c>
      <c r="AB462" s="174">
        <f t="shared" ref="AB462" si="467">AA462+M462</f>
        <v>9</v>
      </c>
      <c r="AC462" s="174">
        <f t="shared" ref="AC462" si="468">AB462+N462</f>
        <v>10</v>
      </c>
      <c r="AD462" s="462">
        <f t="shared" ref="AD462" si="469">AC462+O462</f>
        <v>10</v>
      </c>
      <c r="AE462" s="522">
        <f t="shared" si="387"/>
        <v>461</v>
      </c>
      <c r="AF462" s="507"/>
    </row>
    <row r="463" spans="2:32" x14ac:dyDescent="0.35">
      <c r="B463" s="485">
        <f t="shared" si="375"/>
        <v>462</v>
      </c>
      <c r="C463" s="662" t="s">
        <v>213</v>
      </c>
      <c r="D463" s="175">
        <v>5</v>
      </c>
      <c r="E463" s="175">
        <v>2</v>
      </c>
      <c r="F463" s="175">
        <v>3</v>
      </c>
      <c r="G463" s="175">
        <v>3</v>
      </c>
      <c r="H463" s="175">
        <v>3</v>
      </c>
      <c r="I463" s="175">
        <v>3</v>
      </c>
      <c r="J463" s="175">
        <v>3</v>
      </c>
      <c r="K463" s="175">
        <v>1</v>
      </c>
      <c r="L463" s="175">
        <v>3</v>
      </c>
      <c r="M463" s="175">
        <v>1</v>
      </c>
      <c r="N463" s="175">
        <v>3</v>
      </c>
      <c r="O463" s="175">
        <v>1</v>
      </c>
      <c r="Q463" s="517">
        <f t="shared" si="376"/>
        <v>462</v>
      </c>
      <c r="R463" s="662" t="s">
        <v>213</v>
      </c>
      <c r="S463" s="174">
        <f t="shared" ref="S463:S468" si="470">D463</f>
        <v>5</v>
      </c>
      <c r="T463" s="174">
        <f t="shared" ref="T463:T468" si="471">S463+E463</f>
        <v>7</v>
      </c>
      <c r="U463" s="174">
        <f t="shared" ref="U463:U468" si="472">T463+F463</f>
        <v>10</v>
      </c>
      <c r="V463" s="174">
        <f t="shared" ref="V463:V468" si="473">U463+G463</f>
        <v>13</v>
      </c>
      <c r="W463" s="174">
        <f t="shared" ref="W463:W468" si="474">V463+H463</f>
        <v>16</v>
      </c>
      <c r="X463" s="174">
        <f t="shared" ref="X463:X468" si="475">W463+I463</f>
        <v>19</v>
      </c>
      <c r="Y463" s="174">
        <f t="shared" ref="Y463:Y468" si="476">X463+J463</f>
        <v>22</v>
      </c>
      <c r="Z463" s="174">
        <f t="shared" ref="Z463:Z468" si="477">Y463+K463</f>
        <v>23</v>
      </c>
      <c r="AA463" s="174">
        <f t="shared" ref="AA463:AA468" si="478">Z463+L463</f>
        <v>26</v>
      </c>
      <c r="AB463" s="174">
        <f t="shared" ref="AB463:AB468" si="479">AA463+M463</f>
        <v>27</v>
      </c>
      <c r="AC463" s="174">
        <f t="shared" ref="AC463:AC468" si="480">AB463+N463</f>
        <v>30</v>
      </c>
      <c r="AD463" s="462">
        <f t="shared" ref="AD463:AD468" si="481">AC463+O463</f>
        <v>31</v>
      </c>
      <c r="AE463" s="522">
        <f t="shared" si="387"/>
        <v>462</v>
      </c>
      <c r="AF463" s="507"/>
    </row>
    <row r="464" spans="2:32" x14ac:dyDescent="0.35">
      <c r="B464" s="485">
        <f t="shared" si="375"/>
        <v>463</v>
      </c>
      <c r="C464" s="662" t="s">
        <v>214</v>
      </c>
      <c r="D464" s="175">
        <v>2</v>
      </c>
      <c r="E464" s="175">
        <v>2</v>
      </c>
      <c r="F464" s="175">
        <v>3</v>
      </c>
      <c r="G464" s="175">
        <v>3</v>
      </c>
      <c r="H464" s="175">
        <v>2</v>
      </c>
      <c r="I464" s="175">
        <v>1</v>
      </c>
      <c r="J464" s="175">
        <v>2</v>
      </c>
      <c r="K464" s="175">
        <v>2</v>
      </c>
      <c r="L464" s="175">
        <v>3</v>
      </c>
      <c r="M464" s="175">
        <v>4</v>
      </c>
      <c r="N464" s="175">
        <v>2</v>
      </c>
      <c r="O464" s="175">
        <v>2</v>
      </c>
      <c r="Q464" s="517">
        <f t="shared" si="376"/>
        <v>463</v>
      </c>
      <c r="R464" s="662" t="s">
        <v>214</v>
      </c>
      <c r="S464" s="174">
        <f t="shared" si="470"/>
        <v>2</v>
      </c>
      <c r="T464" s="174">
        <f t="shared" si="471"/>
        <v>4</v>
      </c>
      <c r="U464" s="174">
        <f t="shared" si="472"/>
        <v>7</v>
      </c>
      <c r="V464" s="174">
        <f t="shared" si="473"/>
        <v>10</v>
      </c>
      <c r="W464" s="174">
        <f t="shared" si="474"/>
        <v>12</v>
      </c>
      <c r="X464" s="174">
        <f t="shared" si="475"/>
        <v>13</v>
      </c>
      <c r="Y464" s="174">
        <f t="shared" si="476"/>
        <v>15</v>
      </c>
      <c r="Z464" s="174">
        <f t="shared" si="477"/>
        <v>17</v>
      </c>
      <c r="AA464" s="174">
        <f t="shared" si="478"/>
        <v>20</v>
      </c>
      <c r="AB464" s="174">
        <f t="shared" si="479"/>
        <v>24</v>
      </c>
      <c r="AC464" s="174">
        <f t="shared" si="480"/>
        <v>26</v>
      </c>
      <c r="AD464" s="462">
        <f t="shared" si="481"/>
        <v>28</v>
      </c>
      <c r="AE464" s="522">
        <f t="shared" si="387"/>
        <v>463</v>
      </c>
      <c r="AF464" s="507"/>
    </row>
    <row r="465" spans="2:32" x14ac:dyDescent="0.35">
      <c r="B465" s="485">
        <f t="shared" si="375"/>
        <v>464</v>
      </c>
      <c r="C465" s="662" t="s">
        <v>146</v>
      </c>
      <c r="D465" s="175">
        <v>0</v>
      </c>
      <c r="E465" s="175">
        <v>1</v>
      </c>
      <c r="F465" s="175">
        <v>2</v>
      </c>
      <c r="G465" s="175">
        <v>1</v>
      </c>
      <c r="H465" s="175">
        <v>5</v>
      </c>
      <c r="I465" s="175">
        <v>2</v>
      </c>
      <c r="J465" s="175">
        <v>1</v>
      </c>
      <c r="K465" s="175">
        <v>1</v>
      </c>
      <c r="L465" s="175">
        <v>1</v>
      </c>
      <c r="M465" s="175">
        <v>1</v>
      </c>
      <c r="N465" s="175">
        <v>2</v>
      </c>
      <c r="O465" s="175">
        <v>0</v>
      </c>
      <c r="Q465" s="517">
        <f t="shared" si="376"/>
        <v>464</v>
      </c>
      <c r="R465" s="662" t="s">
        <v>146</v>
      </c>
      <c r="S465" s="174">
        <f t="shared" si="470"/>
        <v>0</v>
      </c>
      <c r="T465" s="174">
        <f t="shared" si="471"/>
        <v>1</v>
      </c>
      <c r="U465" s="174">
        <f t="shared" si="472"/>
        <v>3</v>
      </c>
      <c r="V465" s="174">
        <f t="shared" si="473"/>
        <v>4</v>
      </c>
      <c r="W465" s="174">
        <f t="shared" si="474"/>
        <v>9</v>
      </c>
      <c r="X465" s="174">
        <f t="shared" si="475"/>
        <v>11</v>
      </c>
      <c r="Y465" s="174">
        <f t="shared" si="476"/>
        <v>12</v>
      </c>
      <c r="Z465" s="174">
        <f t="shared" si="477"/>
        <v>13</v>
      </c>
      <c r="AA465" s="174">
        <f t="shared" si="478"/>
        <v>14</v>
      </c>
      <c r="AB465" s="174">
        <f t="shared" si="479"/>
        <v>15</v>
      </c>
      <c r="AC465" s="174">
        <f t="shared" si="480"/>
        <v>17</v>
      </c>
      <c r="AD465" s="462">
        <f t="shared" si="481"/>
        <v>17</v>
      </c>
      <c r="AE465" s="522">
        <f t="shared" si="387"/>
        <v>464</v>
      </c>
      <c r="AF465" s="507"/>
    </row>
    <row r="466" spans="2:32" x14ac:dyDescent="0.35">
      <c r="B466" s="485">
        <f t="shared" si="375"/>
        <v>465</v>
      </c>
      <c r="C466" s="662" t="s">
        <v>147</v>
      </c>
      <c r="D466" s="175">
        <v>2</v>
      </c>
      <c r="E466" s="175">
        <v>1</v>
      </c>
      <c r="F466" s="175">
        <v>2</v>
      </c>
      <c r="G466" s="175">
        <v>2</v>
      </c>
      <c r="H466" s="175">
        <v>2</v>
      </c>
      <c r="I466" s="175">
        <v>2</v>
      </c>
      <c r="J466" s="175">
        <v>2</v>
      </c>
      <c r="K466" s="175">
        <v>1</v>
      </c>
      <c r="L466" s="175">
        <v>2</v>
      </c>
      <c r="M466" s="175">
        <v>3</v>
      </c>
      <c r="N466" s="175">
        <v>2</v>
      </c>
      <c r="O466" s="175">
        <v>2</v>
      </c>
      <c r="Q466" s="517">
        <f t="shared" si="376"/>
        <v>465</v>
      </c>
      <c r="R466" s="662" t="s">
        <v>147</v>
      </c>
      <c r="S466" s="174">
        <f t="shared" si="470"/>
        <v>2</v>
      </c>
      <c r="T466" s="174">
        <f t="shared" si="471"/>
        <v>3</v>
      </c>
      <c r="U466" s="174">
        <f t="shared" si="472"/>
        <v>5</v>
      </c>
      <c r="V466" s="174">
        <f t="shared" si="473"/>
        <v>7</v>
      </c>
      <c r="W466" s="174">
        <f t="shared" si="474"/>
        <v>9</v>
      </c>
      <c r="X466" s="174">
        <f t="shared" si="475"/>
        <v>11</v>
      </c>
      <c r="Y466" s="174">
        <f t="shared" si="476"/>
        <v>13</v>
      </c>
      <c r="Z466" s="174">
        <f t="shared" si="477"/>
        <v>14</v>
      </c>
      <c r="AA466" s="174">
        <f t="shared" si="478"/>
        <v>16</v>
      </c>
      <c r="AB466" s="174">
        <f t="shared" si="479"/>
        <v>19</v>
      </c>
      <c r="AC466" s="174">
        <f t="shared" si="480"/>
        <v>21</v>
      </c>
      <c r="AD466" s="462">
        <f t="shared" si="481"/>
        <v>23</v>
      </c>
      <c r="AE466" s="522">
        <f t="shared" si="387"/>
        <v>465</v>
      </c>
      <c r="AF466" s="507"/>
    </row>
    <row r="467" spans="2:32" x14ac:dyDescent="0.35">
      <c r="B467" s="485">
        <f t="shared" si="375"/>
        <v>466</v>
      </c>
      <c r="C467" s="662" t="s">
        <v>62</v>
      </c>
      <c r="D467" s="175">
        <v>2</v>
      </c>
      <c r="E467" s="175">
        <v>2</v>
      </c>
      <c r="F467" s="175">
        <v>4</v>
      </c>
      <c r="G467" s="175">
        <v>3</v>
      </c>
      <c r="H467" s="175">
        <v>6</v>
      </c>
      <c r="I467" s="175">
        <v>4</v>
      </c>
      <c r="J467" s="175">
        <v>3</v>
      </c>
      <c r="K467" s="175">
        <v>2</v>
      </c>
      <c r="L467" s="175">
        <v>3</v>
      </c>
      <c r="M467" s="175">
        <v>4</v>
      </c>
      <c r="N467" s="175">
        <v>4</v>
      </c>
      <c r="O467" s="175">
        <v>2</v>
      </c>
      <c r="Q467" s="517">
        <f t="shared" si="376"/>
        <v>466</v>
      </c>
      <c r="R467" s="662" t="s">
        <v>62</v>
      </c>
      <c r="S467" s="174">
        <f t="shared" si="470"/>
        <v>2</v>
      </c>
      <c r="T467" s="174">
        <f t="shared" si="471"/>
        <v>4</v>
      </c>
      <c r="U467" s="174">
        <f t="shared" si="472"/>
        <v>8</v>
      </c>
      <c r="V467" s="174">
        <f t="shared" si="473"/>
        <v>11</v>
      </c>
      <c r="W467" s="174">
        <f t="shared" si="474"/>
        <v>17</v>
      </c>
      <c r="X467" s="174">
        <f t="shared" si="475"/>
        <v>21</v>
      </c>
      <c r="Y467" s="174">
        <f t="shared" si="476"/>
        <v>24</v>
      </c>
      <c r="Z467" s="174">
        <f t="shared" si="477"/>
        <v>26</v>
      </c>
      <c r="AA467" s="174">
        <f t="shared" si="478"/>
        <v>29</v>
      </c>
      <c r="AB467" s="174">
        <f t="shared" si="479"/>
        <v>33</v>
      </c>
      <c r="AC467" s="174">
        <f t="shared" si="480"/>
        <v>37</v>
      </c>
      <c r="AD467" s="462">
        <f t="shared" si="481"/>
        <v>39</v>
      </c>
      <c r="AE467" s="522">
        <f t="shared" si="387"/>
        <v>466</v>
      </c>
      <c r="AF467" s="507"/>
    </row>
    <row r="468" spans="2:32" x14ac:dyDescent="0.35">
      <c r="B468" s="485">
        <f t="shared" si="375"/>
        <v>467</v>
      </c>
      <c r="C468" s="662" t="s">
        <v>0</v>
      </c>
      <c r="D468" s="175">
        <v>9</v>
      </c>
      <c r="E468" s="175">
        <v>5</v>
      </c>
      <c r="F468" s="175">
        <v>10</v>
      </c>
      <c r="G468" s="175">
        <v>10</v>
      </c>
      <c r="H468" s="175">
        <v>12</v>
      </c>
      <c r="I468" s="175">
        <v>8</v>
      </c>
      <c r="J468" s="175">
        <v>7</v>
      </c>
      <c r="K468" s="175">
        <v>7</v>
      </c>
      <c r="L468" s="175">
        <v>8</v>
      </c>
      <c r="M468" s="175">
        <v>10</v>
      </c>
      <c r="N468" s="175">
        <v>9</v>
      </c>
      <c r="O468" s="175">
        <v>5</v>
      </c>
      <c r="Q468" s="517">
        <f t="shared" si="376"/>
        <v>467</v>
      </c>
      <c r="R468" s="662" t="s">
        <v>0</v>
      </c>
      <c r="S468" s="174">
        <f t="shared" si="470"/>
        <v>9</v>
      </c>
      <c r="T468" s="174">
        <f t="shared" si="471"/>
        <v>14</v>
      </c>
      <c r="U468" s="174">
        <f t="shared" si="472"/>
        <v>24</v>
      </c>
      <c r="V468" s="174">
        <f t="shared" si="473"/>
        <v>34</v>
      </c>
      <c r="W468" s="174">
        <f t="shared" si="474"/>
        <v>46</v>
      </c>
      <c r="X468" s="174">
        <f t="shared" si="475"/>
        <v>54</v>
      </c>
      <c r="Y468" s="174">
        <f t="shared" si="476"/>
        <v>61</v>
      </c>
      <c r="Z468" s="174">
        <f t="shared" si="477"/>
        <v>68</v>
      </c>
      <c r="AA468" s="174">
        <f t="shared" si="478"/>
        <v>76</v>
      </c>
      <c r="AB468" s="174">
        <f t="shared" si="479"/>
        <v>86</v>
      </c>
      <c r="AC468" s="174">
        <f t="shared" si="480"/>
        <v>95</v>
      </c>
      <c r="AD468" s="462">
        <f t="shared" si="481"/>
        <v>100</v>
      </c>
      <c r="AE468" s="522">
        <f t="shared" si="387"/>
        <v>467</v>
      </c>
      <c r="AF468" s="507"/>
    </row>
    <row r="469" spans="2:32" ht="18.5" x14ac:dyDescent="0.35">
      <c r="B469" s="485">
        <f t="shared" si="375"/>
        <v>468</v>
      </c>
      <c r="C469" s="673" t="s">
        <v>370</v>
      </c>
      <c r="D469" s="432" t="s">
        <v>386</v>
      </c>
      <c r="E469" s="432" t="s">
        <v>387</v>
      </c>
      <c r="F469" s="432" t="s">
        <v>388</v>
      </c>
      <c r="G469" s="432" t="s">
        <v>389</v>
      </c>
      <c r="H469" s="432" t="s">
        <v>390</v>
      </c>
      <c r="I469" s="432" t="s">
        <v>391</v>
      </c>
      <c r="J469" s="432" t="s">
        <v>392</v>
      </c>
      <c r="K469" s="432" t="s">
        <v>393</v>
      </c>
      <c r="L469" s="432" t="s">
        <v>394</v>
      </c>
      <c r="M469" s="432" t="s">
        <v>395</v>
      </c>
      <c r="N469" s="432" t="s">
        <v>396</v>
      </c>
      <c r="O469" s="460" t="s">
        <v>397</v>
      </c>
      <c r="Q469" s="517">
        <f t="shared" si="376"/>
        <v>468</v>
      </c>
      <c r="R469" s="673" t="s">
        <v>370</v>
      </c>
      <c r="S469" s="432" t="s">
        <v>132</v>
      </c>
      <c r="T469" s="432" t="s">
        <v>20</v>
      </c>
      <c r="U469" s="432" t="s">
        <v>21</v>
      </c>
      <c r="V469" s="432" t="s">
        <v>22</v>
      </c>
      <c r="W469" s="432" t="s">
        <v>23</v>
      </c>
      <c r="X469" s="432" t="s">
        <v>24</v>
      </c>
      <c r="Y469" s="432" t="s">
        <v>25</v>
      </c>
      <c r="Z469" s="432" t="s">
        <v>26</v>
      </c>
      <c r="AA469" s="432" t="s">
        <v>27</v>
      </c>
      <c r="AB469" s="432" t="s">
        <v>28</v>
      </c>
      <c r="AC469" s="432" t="s">
        <v>29</v>
      </c>
      <c r="AD469" s="460" t="s">
        <v>30</v>
      </c>
      <c r="AE469" s="522">
        <f t="shared" si="387"/>
        <v>468</v>
      </c>
      <c r="AF469" s="507"/>
    </row>
    <row r="470" spans="2:32" x14ac:dyDescent="0.35">
      <c r="B470" s="485">
        <f t="shared" si="375"/>
        <v>469</v>
      </c>
      <c r="C470" s="663" t="s">
        <v>212</v>
      </c>
      <c r="D470" s="175">
        <v>5</v>
      </c>
      <c r="E470" s="175">
        <v>5</v>
      </c>
      <c r="F470" s="175">
        <v>7</v>
      </c>
      <c r="G470" s="175">
        <v>4</v>
      </c>
      <c r="H470" s="175">
        <v>7</v>
      </c>
      <c r="I470" s="175">
        <v>5</v>
      </c>
      <c r="J470" s="175">
        <v>4</v>
      </c>
      <c r="K470" s="175">
        <v>4</v>
      </c>
      <c r="L470" s="175">
        <v>4</v>
      </c>
      <c r="M470" s="175">
        <v>8</v>
      </c>
      <c r="N470" s="175">
        <v>9</v>
      </c>
      <c r="O470" s="175">
        <v>5</v>
      </c>
      <c r="Q470" s="517">
        <f t="shared" si="376"/>
        <v>469</v>
      </c>
      <c r="R470" s="663" t="s">
        <v>212</v>
      </c>
      <c r="S470" s="174">
        <f t="shared" ref="S470" si="482">D470</f>
        <v>5</v>
      </c>
      <c r="T470" s="174">
        <f t="shared" ref="T470" si="483">S470+E470</f>
        <v>10</v>
      </c>
      <c r="U470" s="174">
        <f t="shared" ref="U470" si="484">T470+F470</f>
        <v>17</v>
      </c>
      <c r="V470" s="174">
        <f t="shared" ref="V470" si="485">U470+G470</f>
        <v>21</v>
      </c>
      <c r="W470" s="174">
        <f t="shared" ref="W470" si="486">V470+H470</f>
        <v>28</v>
      </c>
      <c r="X470" s="174">
        <f t="shared" ref="X470" si="487">W470+I470</f>
        <v>33</v>
      </c>
      <c r="Y470" s="174">
        <f t="shared" ref="Y470" si="488">X470+J470</f>
        <v>37</v>
      </c>
      <c r="Z470" s="174">
        <f t="shared" ref="Z470" si="489">Y470+K470</f>
        <v>41</v>
      </c>
      <c r="AA470" s="174">
        <f t="shared" ref="AA470" si="490">Z470+L470</f>
        <v>45</v>
      </c>
      <c r="AB470" s="174">
        <f t="shared" ref="AB470" si="491">AA470+M470</f>
        <v>53</v>
      </c>
      <c r="AC470" s="174">
        <f t="shared" ref="AC470" si="492">AB470+N470</f>
        <v>62</v>
      </c>
      <c r="AD470" s="462">
        <f t="shared" ref="AD470" si="493">AC470+O470</f>
        <v>67</v>
      </c>
      <c r="AE470" s="522">
        <f t="shared" si="387"/>
        <v>469</v>
      </c>
      <c r="AF470" s="507"/>
    </row>
    <row r="471" spans="2:32" x14ac:dyDescent="0.35">
      <c r="B471" s="485">
        <f t="shared" si="375"/>
        <v>470</v>
      </c>
      <c r="C471" s="663" t="s">
        <v>213</v>
      </c>
      <c r="D471" s="175">
        <v>16</v>
      </c>
      <c r="E471" s="175">
        <v>12</v>
      </c>
      <c r="F471" s="175">
        <v>8</v>
      </c>
      <c r="G471" s="175">
        <v>12</v>
      </c>
      <c r="H471" s="175">
        <v>5</v>
      </c>
      <c r="I471" s="175">
        <v>13</v>
      </c>
      <c r="J471" s="175">
        <v>6</v>
      </c>
      <c r="K471" s="175">
        <v>12</v>
      </c>
      <c r="L471" s="175">
        <v>15</v>
      </c>
      <c r="M471" s="175">
        <v>12</v>
      </c>
      <c r="N471" s="175">
        <v>9</v>
      </c>
      <c r="O471" s="175">
        <v>17</v>
      </c>
      <c r="Q471" s="517">
        <f t="shared" si="376"/>
        <v>470</v>
      </c>
      <c r="R471" s="663" t="s">
        <v>213</v>
      </c>
      <c r="S471" s="174">
        <f t="shared" ref="S471:S476" si="494">D471</f>
        <v>16</v>
      </c>
      <c r="T471" s="174">
        <f t="shared" ref="T471:T476" si="495">S471+E471</f>
        <v>28</v>
      </c>
      <c r="U471" s="174">
        <f t="shared" ref="U471:U476" si="496">T471+F471</f>
        <v>36</v>
      </c>
      <c r="V471" s="174">
        <f t="shared" ref="V471:V476" si="497">U471+G471</f>
        <v>48</v>
      </c>
      <c r="W471" s="174">
        <f t="shared" ref="W471:W476" si="498">V471+H471</f>
        <v>53</v>
      </c>
      <c r="X471" s="174">
        <f t="shared" ref="X471:X476" si="499">W471+I471</f>
        <v>66</v>
      </c>
      <c r="Y471" s="174">
        <f t="shared" ref="Y471:Y476" si="500">X471+J471</f>
        <v>72</v>
      </c>
      <c r="Z471" s="174">
        <f t="shared" ref="Z471:Z476" si="501">Y471+K471</f>
        <v>84</v>
      </c>
      <c r="AA471" s="174">
        <f t="shared" ref="AA471:AA476" si="502">Z471+L471</f>
        <v>99</v>
      </c>
      <c r="AB471" s="174">
        <f t="shared" ref="AB471:AB476" si="503">AA471+M471</f>
        <v>111</v>
      </c>
      <c r="AC471" s="174">
        <f t="shared" ref="AC471:AC476" si="504">AB471+N471</f>
        <v>120</v>
      </c>
      <c r="AD471" s="462">
        <f t="shared" ref="AD471:AD476" si="505">AC471+O471</f>
        <v>137</v>
      </c>
      <c r="AE471" s="522">
        <f t="shared" si="387"/>
        <v>470</v>
      </c>
      <c r="AF471" s="507"/>
    </row>
    <row r="472" spans="2:32" x14ac:dyDescent="0.35">
      <c r="B472" s="485">
        <f t="shared" si="375"/>
        <v>471</v>
      </c>
      <c r="C472" s="663" t="s">
        <v>214</v>
      </c>
      <c r="D472" s="175">
        <v>9</v>
      </c>
      <c r="E472" s="175">
        <v>11</v>
      </c>
      <c r="F472" s="175">
        <v>12</v>
      </c>
      <c r="G472" s="175">
        <v>8</v>
      </c>
      <c r="H472" s="175">
        <v>10</v>
      </c>
      <c r="I472" s="175">
        <v>11</v>
      </c>
      <c r="J472" s="175">
        <v>17</v>
      </c>
      <c r="K472" s="175">
        <v>10</v>
      </c>
      <c r="L472" s="175">
        <v>11</v>
      </c>
      <c r="M472" s="175">
        <v>13</v>
      </c>
      <c r="N472" s="175">
        <v>7</v>
      </c>
      <c r="O472" s="175">
        <v>18</v>
      </c>
      <c r="Q472" s="517">
        <f t="shared" si="376"/>
        <v>471</v>
      </c>
      <c r="R472" s="663" t="s">
        <v>214</v>
      </c>
      <c r="S472" s="174">
        <f t="shared" si="494"/>
        <v>9</v>
      </c>
      <c r="T472" s="174">
        <f t="shared" si="495"/>
        <v>20</v>
      </c>
      <c r="U472" s="174">
        <f t="shared" si="496"/>
        <v>32</v>
      </c>
      <c r="V472" s="174">
        <f t="shared" si="497"/>
        <v>40</v>
      </c>
      <c r="W472" s="174">
        <f t="shared" si="498"/>
        <v>50</v>
      </c>
      <c r="X472" s="174">
        <f t="shared" si="499"/>
        <v>61</v>
      </c>
      <c r="Y472" s="174">
        <f t="shared" si="500"/>
        <v>78</v>
      </c>
      <c r="Z472" s="174">
        <f t="shared" si="501"/>
        <v>88</v>
      </c>
      <c r="AA472" s="174">
        <f t="shared" si="502"/>
        <v>99</v>
      </c>
      <c r="AB472" s="174">
        <f t="shared" si="503"/>
        <v>112</v>
      </c>
      <c r="AC472" s="174">
        <f t="shared" si="504"/>
        <v>119</v>
      </c>
      <c r="AD472" s="462">
        <f t="shared" si="505"/>
        <v>137</v>
      </c>
      <c r="AE472" s="522">
        <f t="shared" si="387"/>
        <v>471</v>
      </c>
      <c r="AF472" s="507"/>
    </row>
    <row r="473" spans="2:32" x14ac:dyDescent="0.35">
      <c r="B473" s="485">
        <f t="shared" si="375"/>
        <v>472</v>
      </c>
      <c r="C473" s="663" t="s">
        <v>146</v>
      </c>
      <c r="D473" s="175">
        <v>11</v>
      </c>
      <c r="E473" s="175">
        <v>9</v>
      </c>
      <c r="F473" s="175">
        <v>9</v>
      </c>
      <c r="G473" s="175">
        <v>7</v>
      </c>
      <c r="H473" s="175">
        <v>5</v>
      </c>
      <c r="I473" s="175">
        <v>7</v>
      </c>
      <c r="J473" s="175">
        <v>8</v>
      </c>
      <c r="K473" s="175">
        <v>6</v>
      </c>
      <c r="L473" s="175">
        <v>6</v>
      </c>
      <c r="M473" s="175">
        <v>6</v>
      </c>
      <c r="N473" s="175">
        <v>9</v>
      </c>
      <c r="O473" s="175">
        <v>9</v>
      </c>
      <c r="Q473" s="517">
        <f t="shared" si="376"/>
        <v>472</v>
      </c>
      <c r="R473" s="663" t="s">
        <v>146</v>
      </c>
      <c r="S473" s="174">
        <f t="shared" si="494"/>
        <v>11</v>
      </c>
      <c r="T473" s="174">
        <f t="shared" si="495"/>
        <v>20</v>
      </c>
      <c r="U473" s="174">
        <f t="shared" si="496"/>
        <v>29</v>
      </c>
      <c r="V473" s="174">
        <f t="shared" si="497"/>
        <v>36</v>
      </c>
      <c r="W473" s="174">
        <f t="shared" si="498"/>
        <v>41</v>
      </c>
      <c r="X473" s="174">
        <f t="shared" si="499"/>
        <v>48</v>
      </c>
      <c r="Y473" s="174">
        <f t="shared" si="500"/>
        <v>56</v>
      </c>
      <c r="Z473" s="174">
        <f t="shared" si="501"/>
        <v>62</v>
      </c>
      <c r="AA473" s="174">
        <f t="shared" si="502"/>
        <v>68</v>
      </c>
      <c r="AB473" s="174">
        <f t="shared" si="503"/>
        <v>74</v>
      </c>
      <c r="AC473" s="174">
        <f t="shared" si="504"/>
        <v>83</v>
      </c>
      <c r="AD473" s="462">
        <f t="shared" si="505"/>
        <v>92</v>
      </c>
      <c r="AE473" s="522">
        <f t="shared" si="387"/>
        <v>472</v>
      </c>
      <c r="AF473" s="507"/>
    </row>
    <row r="474" spans="2:32" x14ac:dyDescent="0.35">
      <c r="B474" s="485">
        <f t="shared" si="375"/>
        <v>473</v>
      </c>
      <c r="C474" s="663" t="s">
        <v>147</v>
      </c>
      <c r="D474" s="175">
        <v>12</v>
      </c>
      <c r="E474" s="175">
        <v>10</v>
      </c>
      <c r="F474" s="175">
        <v>10</v>
      </c>
      <c r="G474" s="175">
        <v>9</v>
      </c>
      <c r="H474" s="175">
        <v>11</v>
      </c>
      <c r="I474" s="175">
        <v>11</v>
      </c>
      <c r="J474" s="175">
        <v>13</v>
      </c>
      <c r="K474" s="175">
        <v>11</v>
      </c>
      <c r="L474" s="175">
        <v>13</v>
      </c>
      <c r="M474" s="175">
        <v>12</v>
      </c>
      <c r="N474" s="175">
        <v>12</v>
      </c>
      <c r="O474" s="175">
        <v>12</v>
      </c>
      <c r="Q474" s="517">
        <f t="shared" si="376"/>
        <v>473</v>
      </c>
      <c r="R474" s="663" t="s">
        <v>147</v>
      </c>
      <c r="S474" s="174">
        <f t="shared" si="494"/>
        <v>12</v>
      </c>
      <c r="T474" s="174">
        <f t="shared" si="495"/>
        <v>22</v>
      </c>
      <c r="U474" s="174">
        <f t="shared" si="496"/>
        <v>32</v>
      </c>
      <c r="V474" s="174">
        <f t="shared" si="497"/>
        <v>41</v>
      </c>
      <c r="W474" s="174">
        <f t="shared" si="498"/>
        <v>52</v>
      </c>
      <c r="X474" s="174">
        <f t="shared" si="499"/>
        <v>63</v>
      </c>
      <c r="Y474" s="174">
        <f t="shared" si="500"/>
        <v>76</v>
      </c>
      <c r="Z474" s="174">
        <f t="shared" si="501"/>
        <v>87</v>
      </c>
      <c r="AA474" s="174">
        <f t="shared" si="502"/>
        <v>100</v>
      </c>
      <c r="AB474" s="174">
        <f t="shared" si="503"/>
        <v>112</v>
      </c>
      <c r="AC474" s="174">
        <f t="shared" si="504"/>
        <v>124</v>
      </c>
      <c r="AD474" s="462">
        <f t="shared" si="505"/>
        <v>136</v>
      </c>
      <c r="AE474" s="522">
        <f t="shared" si="387"/>
        <v>473</v>
      </c>
      <c r="AF474" s="507"/>
    </row>
    <row r="475" spans="2:32" x14ac:dyDescent="0.35">
      <c r="B475" s="485">
        <f t="shared" si="375"/>
        <v>474</v>
      </c>
      <c r="C475" s="663" t="s">
        <v>62</v>
      </c>
      <c r="D475" s="175">
        <v>23</v>
      </c>
      <c r="E475" s="175">
        <v>18</v>
      </c>
      <c r="F475" s="175">
        <v>19</v>
      </c>
      <c r="G475" s="175">
        <v>15</v>
      </c>
      <c r="H475" s="175">
        <v>15</v>
      </c>
      <c r="I475" s="175">
        <v>17</v>
      </c>
      <c r="J475" s="175">
        <v>21</v>
      </c>
      <c r="K475" s="175">
        <v>17</v>
      </c>
      <c r="L475" s="175">
        <v>19</v>
      </c>
      <c r="M475" s="175">
        <v>17</v>
      </c>
      <c r="N475" s="175">
        <v>20</v>
      </c>
      <c r="O475" s="175">
        <v>20</v>
      </c>
      <c r="Q475" s="517">
        <f t="shared" si="376"/>
        <v>474</v>
      </c>
      <c r="R475" s="663" t="s">
        <v>62</v>
      </c>
      <c r="S475" s="174">
        <f t="shared" si="494"/>
        <v>23</v>
      </c>
      <c r="T475" s="174">
        <f t="shared" si="495"/>
        <v>41</v>
      </c>
      <c r="U475" s="174">
        <f t="shared" si="496"/>
        <v>60</v>
      </c>
      <c r="V475" s="174">
        <f t="shared" si="497"/>
        <v>75</v>
      </c>
      <c r="W475" s="174">
        <f t="shared" si="498"/>
        <v>90</v>
      </c>
      <c r="X475" s="174">
        <f t="shared" si="499"/>
        <v>107</v>
      </c>
      <c r="Y475" s="174">
        <f t="shared" si="500"/>
        <v>128</v>
      </c>
      <c r="Z475" s="174">
        <f t="shared" si="501"/>
        <v>145</v>
      </c>
      <c r="AA475" s="174">
        <f t="shared" si="502"/>
        <v>164</v>
      </c>
      <c r="AB475" s="174">
        <f t="shared" si="503"/>
        <v>181</v>
      </c>
      <c r="AC475" s="174">
        <f t="shared" si="504"/>
        <v>201</v>
      </c>
      <c r="AD475" s="462">
        <f t="shared" si="505"/>
        <v>221</v>
      </c>
      <c r="AE475" s="522">
        <f t="shared" si="387"/>
        <v>474</v>
      </c>
      <c r="AF475" s="507"/>
    </row>
    <row r="476" spans="2:32" x14ac:dyDescent="0.35">
      <c r="B476" s="485">
        <f t="shared" si="375"/>
        <v>475</v>
      </c>
      <c r="C476" s="663" t="s">
        <v>0</v>
      </c>
      <c r="D476" s="175">
        <v>52</v>
      </c>
      <c r="E476" s="175">
        <v>46</v>
      </c>
      <c r="F476" s="175">
        <v>45</v>
      </c>
      <c r="G476" s="175">
        <v>39</v>
      </c>
      <c r="H476" s="175">
        <v>37</v>
      </c>
      <c r="I476" s="175">
        <v>46</v>
      </c>
      <c r="J476" s="175">
        <v>47</v>
      </c>
      <c r="K476" s="175">
        <v>42</v>
      </c>
      <c r="L476" s="175">
        <v>48</v>
      </c>
      <c r="M476" s="175">
        <v>50</v>
      </c>
      <c r="N476" s="175">
        <v>45</v>
      </c>
      <c r="O476" s="175">
        <v>60</v>
      </c>
      <c r="Q476" s="517">
        <f t="shared" si="376"/>
        <v>475</v>
      </c>
      <c r="R476" s="663" t="s">
        <v>0</v>
      </c>
      <c r="S476" s="174">
        <f t="shared" si="494"/>
        <v>52</v>
      </c>
      <c r="T476" s="174">
        <f t="shared" si="495"/>
        <v>98</v>
      </c>
      <c r="U476" s="174">
        <f t="shared" si="496"/>
        <v>143</v>
      </c>
      <c r="V476" s="174">
        <f t="shared" si="497"/>
        <v>182</v>
      </c>
      <c r="W476" s="174">
        <f t="shared" si="498"/>
        <v>219</v>
      </c>
      <c r="X476" s="174">
        <f t="shared" si="499"/>
        <v>265</v>
      </c>
      <c r="Y476" s="174">
        <f t="shared" si="500"/>
        <v>312</v>
      </c>
      <c r="Z476" s="174">
        <f t="shared" si="501"/>
        <v>354</v>
      </c>
      <c r="AA476" s="174">
        <f t="shared" si="502"/>
        <v>402</v>
      </c>
      <c r="AB476" s="174">
        <f t="shared" si="503"/>
        <v>452</v>
      </c>
      <c r="AC476" s="174">
        <f t="shared" si="504"/>
        <v>497</v>
      </c>
      <c r="AD476" s="462">
        <f t="shared" si="505"/>
        <v>557</v>
      </c>
      <c r="AE476" s="522">
        <f t="shared" si="387"/>
        <v>475</v>
      </c>
      <c r="AF476" s="507"/>
    </row>
    <row r="477" spans="2:32" ht="18.5" x14ac:dyDescent="0.35">
      <c r="B477" s="485">
        <f t="shared" si="375"/>
        <v>476</v>
      </c>
      <c r="C477" s="665" t="s">
        <v>371</v>
      </c>
      <c r="D477" s="432" t="s">
        <v>386</v>
      </c>
      <c r="E477" s="432" t="s">
        <v>387</v>
      </c>
      <c r="F477" s="432" t="s">
        <v>388</v>
      </c>
      <c r="G477" s="432" t="s">
        <v>389</v>
      </c>
      <c r="H477" s="432" t="s">
        <v>390</v>
      </c>
      <c r="I477" s="432" t="s">
        <v>391</v>
      </c>
      <c r="J477" s="432" t="s">
        <v>392</v>
      </c>
      <c r="K477" s="432" t="s">
        <v>393</v>
      </c>
      <c r="L477" s="432" t="s">
        <v>394</v>
      </c>
      <c r="M477" s="432" t="s">
        <v>395</v>
      </c>
      <c r="N477" s="432" t="s">
        <v>396</v>
      </c>
      <c r="O477" s="460" t="s">
        <v>397</v>
      </c>
      <c r="Q477" s="517">
        <f t="shared" si="376"/>
        <v>476</v>
      </c>
      <c r="R477" s="665" t="s">
        <v>371</v>
      </c>
      <c r="S477" s="432" t="s">
        <v>132</v>
      </c>
      <c r="T477" s="432" t="s">
        <v>20</v>
      </c>
      <c r="U477" s="432" t="s">
        <v>21</v>
      </c>
      <c r="V477" s="432" t="s">
        <v>22</v>
      </c>
      <c r="W477" s="432" t="s">
        <v>23</v>
      </c>
      <c r="X477" s="432" t="s">
        <v>24</v>
      </c>
      <c r="Y477" s="432" t="s">
        <v>25</v>
      </c>
      <c r="Z477" s="432" t="s">
        <v>26</v>
      </c>
      <c r="AA477" s="432" t="s">
        <v>27</v>
      </c>
      <c r="AB477" s="432" t="s">
        <v>28</v>
      </c>
      <c r="AC477" s="432" t="s">
        <v>29</v>
      </c>
      <c r="AD477" s="460" t="s">
        <v>30</v>
      </c>
      <c r="AE477" s="522">
        <f t="shared" si="387"/>
        <v>476</v>
      </c>
      <c r="AF477" s="507"/>
    </row>
    <row r="478" spans="2:32" x14ac:dyDescent="0.35">
      <c r="B478" s="485">
        <f t="shared" si="375"/>
        <v>477</v>
      </c>
      <c r="C478" s="663" t="s">
        <v>212</v>
      </c>
      <c r="D478" s="175">
        <v>4</v>
      </c>
      <c r="E478" s="175">
        <v>3</v>
      </c>
      <c r="F478" s="175">
        <v>7</v>
      </c>
      <c r="G478" s="175">
        <v>4</v>
      </c>
      <c r="H478" s="175">
        <v>4</v>
      </c>
      <c r="I478" s="175">
        <v>3</v>
      </c>
      <c r="J478" s="175">
        <v>2</v>
      </c>
      <c r="K478" s="175">
        <v>2</v>
      </c>
      <c r="L478" s="175">
        <v>4</v>
      </c>
      <c r="M478" s="175">
        <v>4</v>
      </c>
      <c r="N478" s="175">
        <v>7</v>
      </c>
      <c r="O478" s="175">
        <v>6</v>
      </c>
      <c r="Q478" s="517">
        <f t="shared" si="376"/>
        <v>477</v>
      </c>
      <c r="R478" s="663" t="s">
        <v>212</v>
      </c>
      <c r="S478" s="174">
        <f t="shared" ref="S478:S484" si="506">D478</f>
        <v>4</v>
      </c>
      <c r="T478" s="174">
        <f t="shared" ref="T478:T484" si="507">S478+E478</f>
        <v>7</v>
      </c>
      <c r="U478" s="174">
        <f t="shared" ref="U478:U484" si="508">T478+F478</f>
        <v>14</v>
      </c>
      <c r="V478" s="174">
        <f t="shared" ref="V478:V484" si="509">U478+G478</f>
        <v>18</v>
      </c>
      <c r="W478" s="174">
        <f t="shared" ref="W478:W484" si="510">V478+H478</f>
        <v>22</v>
      </c>
      <c r="X478" s="174">
        <f t="shared" ref="X478:X484" si="511">W478+I478</f>
        <v>25</v>
      </c>
      <c r="Y478" s="174">
        <f t="shared" ref="Y478:Y484" si="512">X478+J478</f>
        <v>27</v>
      </c>
      <c r="Z478" s="174">
        <f t="shared" ref="Z478:Z484" si="513">Y478+K478</f>
        <v>29</v>
      </c>
      <c r="AA478" s="174">
        <f t="shared" ref="AA478:AA484" si="514">Z478+L478</f>
        <v>33</v>
      </c>
      <c r="AB478" s="174">
        <f t="shared" ref="AB478:AB484" si="515">AA478+M478</f>
        <v>37</v>
      </c>
      <c r="AC478" s="174">
        <f t="shared" ref="AC478:AC484" si="516">AB478+N478</f>
        <v>44</v>
      </c>
      <c r="AD478" s="462">
        <f t="shared" ref="AD478:AD484" si="517">AC478+O478</f>
        <v>50</v>
      </c>
      <c r="AE478" s="522">
        <f t="shared" si="387"/>
        <v>477</v>
      </c>
      <c r="AF478" s="507"/>
    </row>
    <row r="479" spans="2:32" x14ac:dyDescent="0.35">
      <c r="B479" s="485">
        <f t="shared" si="375"/>
        <v>478</v>
      </c>
      <c r="C479" s="663" t="s">
        <v>213</v>
      </c>
      <c r="D479" s="175">
        <v>13</v>
      </c>
      <c r="E479" s="175">
        <v>10</v>
      </c>
      <c r="F479" s="175">
        <v>7</v>
      </c>
      <c r="G479" s="175">
        <v>11</v>
      </c>
      <c r="H479" s="175">
        <v>5</v>
      </c>
      <c r="I479" s="175">
        <v>12</v>
      </c>
      <c r="J479" s="175">
        <v>6</v>
      </c>
      <c r="K479" s="175">
        <v>9</v>
      </c>
      <c r="L479" s="175">
        <v>11</v>
      </c>
      <c r="M479" s="175">
        <v>7</v>
      </c>
      <c r="N479" s="175">
        <v>7</v>
      </c>
      <c r="O479" s="175">
        <v>11</v>
      </c>
      <c r="Q479" s="517">
        <f t="shared" si="376"/>
        <v>478</v>
      </c>
      <c r="R479" s="663" t="s">
        <v>213</v>
      </c>
      <c r="S479" s="174">
        <f t="shared" si="506"/>
        <v>13</v>
      </c>
      <c r="T479" s="174">
        <f t="shared" si="507"/>
        <v>23</v>
      </c>
      <c r="U479" s="174">
        <f t="shared" si="508"/>
        <v>30</v>
      </c>
      <c r="V479" s="174">
        <f t="shared" si="509"/>
        <v>41</v>
      </c>
      <c r="W479" s="174">
        <f t="shared" si="510"/>
        <v>46</v>
      </c>
      <c r="X479" s="174">
        <f t="shared" si="511"/>
        <v>58</v>
      </c>
      <c r="Y479" s="174">
        <f t="shared" si="512"/>
        <v>64</v>
      </c>
      <c r="Z479" s="174">
        <f t="shared" si="513"/>
        <v>73</v>
      </c>
      <c r="AA479" s="174">
        <f t="shared" si="514"/>
        <v>84</v>
      </c>
      <c r="AB479" s="174">
        <f t="shared" si="515"/>
        <v>91</v>
      </c>
      <c r="AC479" s="174">
        <f t="shared" si="516"/>
        <v>98</v>
      </c>
      <c r="AD479" s="462">
        <f t="shared" si="517"/>
        <v>109</v>
      </c>
      <c r="AE479" s="522">
        <f t="shared" si="387"/>
        <v>478</v>
      </c>
      <c r="AF479" s="507"/>
    </row>
    <row r="480" spans="2:32" x14ac:dyDescent="0.35">
      <c r="B480" s="485">
        <f t="shared" si="375"/>
        <v>479</v>
      </c>
      <c r="C480" s="663" t="s">
        <v>214</v>
      </c>
      <c r="D480" s="175">
        <v>12</v>
      </c>
      <c r="E480" s="175">
        <v>10</v>
      </c>
      <c r="F480" s="175">
        <v>8</v>
      </c>
      <c r="G480" s="175">
        <v>6</v>
      </c>
      <c r="H480" s="175">
        <v>8</v>
      </c>
      <c r="I480" s="175">
        <v>7</v>
      </c>
      <c r="J480" s="175">
        <v>14</v>
      </c>
      <c r="K480" s="175">
        <v>6</v>
      </c>
      <c r="L480" s="175">
        <v>8</v>
      </c>
      <c r="M480" s="175">
        <v>10</v>
      </c>
      <c r="N480" s="175">
        <v>6</v>
      </c>
      <c r="O480" s="175">
        <v>14</v>
      </c>
      <c r="Q480" s="517">
        <f t="shared" si="376"/>
        <v>479</v>
      </c>
      <c r="R480" s="663" t="s">
        <v>214</v>
      </c>
      <c r="S480" s="174">
        <f t="shared" si="506"/>
        <v>12</v>
      </c>
      <c r="T480" s="174">
        <f t="shared" si="507"/>
        <v>22</v>
      </c>
      <c r="U480" s="174">
        <f t="shared" si="508"/>
        <v>30</v>
      </c>
      <c r="V480" s="174">
        <f t="shared" si="509"/>
        <v>36</v>
      </c>
      <c r="W480" s="174">
        <f t="shared" si="510"/>
        <v>44</v>
      </c>
      <c r="X480" s="174">
        <f t="shared" si="511"/>
        <v>51</v>
      </c>
      <c r="Y480" s="174">
        <f t="shared" si="512"/>
        <v>65</v>
      </c>
      <c r="Z480" s="174">
        <f t="shared" si="513"/>
        <v>71</v>
      </c>
      <c r="AA480" s="174">
        <f t="shared" si="514"/>
        <v>79</v>
      </c>
      <c r="AB480" s="174">
        <f t="shared" si="515"/>
        <v>89</v>
      </c>
      <c r="AC480" s="174">
        <f t="shared" si="516"/>
        <v>95</v>
      </c>
      <c r="AD480" s="462">
        <f t="shared" si="517"/>
        <v>109</v>
      </c>
      <c r="AE480" s="522">
        <f t="shared" si="387"/>
        <v>479</v>
      </c>
      <c r="AF480" s="507"/>
    </row>
    <row r="481" spans="2:32" x14ac:dyDescent="0.35">
      <c r="B481" s="485">
        <f t="shared" si="375"/>
        <v>480</v>
      </c>
      <c r="C481" s="663" t="s">
        <v>146</v>
      </c>
      <c r="D481" s="175">
        <v>7</v>
      </c>
      <c r="E481" s="175">
        <v>7</v>
      </c>
      <c r="F481" s="175">
        <v>10</v>
      </c>
      <c r="G481" s="175">
        <v>4</v>
      </c>
      <c r="H481" s="175">
        <v>6</v>
      </c>
      <c r="I481" s="175">
        <v>2</v>
      </c>
      <c r="J481" s="175">
        <v>5</v>
      </c>
      <c r="K481" s="175">
        <v>4</v>
      </c>
      <c r="L481" s="175">
        <v>5</v>
      </c>
      <c r="M481" s="175">
        <v>4</v>
      </c>
      <c r="N481" s="175">
        <v>7</v>
      </c>
      <c r="O481" s="175">
        <v>6</v>
      </c>
      <c r="Q481" s="517">
        <f t="shared" si="376"/>
        <v>480</v>
      </c>
      <c r="R481" s="663" t="s">
        <v>146</v>
      </c>
      <c r="S481" s="174">
        <f t="shared" si="506"/>
        <v>7</v>
      </c>
      <c r="T481" s="174">
        <f t="shared" si="507"/>
        <v>14</v>
      </c>
      <c r="U481" s="174">
        <f t="shared" si="508"/>
        <v>24</v>
      </c>
      <c r="V481" s="174">
        <f t="shared" si="509"/>
        <v>28</v>
      </c>
      <c r="W481" s="174">
        <f t="shared" si="510"/>
        <v>34</v>
      </c>
      <c r="X481" s="174">
        <f t="shared" si="511"/>
        <v>36</v>
      </c>
      <c r="Y481" s="174">
        <f t="shared" si="512"/>
        <v>41</v>
      </c>
      <c r="Z481" s="174">
        <f t="shared" si="513"/>
        <v>45</v>
      </c>
      <c r="AA481" s="174">
        <f t="shared" si="514"/>
        <v>50</v>
      </c>
      <c r="AB481" s="174">
        <f t="shared" si="515"/>
        <v>54</v>
      </c>
      <c r="AC481" s="174">
        <f t="shared" si="516"/>
        <v>61</v>
      </c>
      <c r="AD481" s="462">
        <f t="shared" si="517"/>
        <v>67</v>
      </c>
      <c r="AE481" s="522">
        <f t="shared" si="387"/>
        <v>480</v>
      </c>
      <c r="AF481" s="507"/>
    </row>
    <row r="482" spans="2:32" x14ac:dyDescent="0.35">
      <c r="B482" s="485">
        <f t="shared" si="375"/>
        <v>481</v>
      </c>
      <c r="C482" s="663" t="s">
        <v>147</v>
      </c>
      <c r="D482" s="175">
        <v>13</v>
      </c>
      <c r="E482" s="175">
        <v>7</v>
      </c>
      <c r="F482" s="175">
        <v>7</v>
      </c>
      <c r="G482" s="175">
        <v>10</v>
      </c>
      <c r="H482" s="175">
        <v>7</v>
      </c>
      <c r="I482" s="175">
        <v>7</v>
      </c>
      <c r="J482" s="175">
        <v>13</v>
      </c>
      <c r="K482" s="175">
        <v>9</v>
      </c>
      <c r="L482" s="175">
        <v>13</v>
      </c>
      <c r="M482" s="175">
        <v>8</v>
      </c>
      <c r="N482" s="175">
        <v>11</v>
      </c>
      <c r="O482" s="175">
        <v>11</v>
      </c>
      <c r="Q482" s="517">
        <f t="shared" si="376"/>
        <v>481</v>
      </c>
      <c r="R482" s="663" t="s">
        <v>147</v>
      </c>
      <c r="S482" s="174">
        <f t="shared" si="506"/>
        <v>13</v>
      </c>
      <c r="T482" s="174">
        <f t="shared" si="507"/>
        <v>20</v>
      </c>
      <c r="U482" s="174">
        <f t="shared" si="508"/>
        <v>27</v>
      </c>
      <c r="V482" s="174">
        <f t="shared" si="509"/>
        <v>37</v>
      </c>
      <c r="W482" s="174">
        <f t="shared" si="510"/>
        <v>44</v>
      </c>
      <c r="X482" s="174">
        <f t="shared" si="511"/>
        <v>51</v>
      </c>
      <c r="Y482" s="174">
        <f t="shared" si="512"/>
        <v>64</v>
      </c>
      <c r="Z482" s="174">
        <f t="shared" si="513"/>
        <v>73</v>
      </c>
      <c r="AA482" s="174">
        <f t="shared" si="514"/>
        <v>86</v>
      </c>
      <c r="AB482" s="174">
        <f t="shared" si="515"/>
        <v>94</v>
      </c>
      <c r="AC482" s="174">
        <f t="shared" si="516"/>
        <v>105</v>
      </c>
      <c r="AD482" s="462">
        <f t="shared" si="517"/>
        <v>116</v>
      </c>
      <c r="AE482" s="522">
        <f t="shared" si="387"/>
        <v>481</v>
      </c>
      <c r="AF482" s="507"/>
    </row>
    <row r="483" spans="2:32" x14ac:dyDescent="0.35">
      <c r="B483" s="485">
        <f t="shared" si="375"/>
        <v>482</v>
      </c>
      <c r="C483" s="663" t="s">
        <v>62</v>
      </c>
      <c r="D483" s="175">
        <v>20</v>
      </c>
      <c r="E483" s="175">
        <v>14</v>
      </c>
      <c r="F483" s="175">
        <v>17</v>
      </c>
      <c r="G483" s="175">
        <v>14</v>
      </c>
      <c r="H483" s="175">
        <v>13</v>
      </c>
      <c r="I483" s="175">
        <v>9</v>
      </c>
      <c r="J483" s="175">
        <v>17</v>
      </c>
      <c r="K483" s="175">
        <v>13</v>
      </c>
      <c r="L483" s="175">
        <v>18</v>
      </c>
      <c r="M483" s="175">
        <v>11</v>
      </c>
      <c r="N483" s="175">
        <v>18</v>
      </c>
      <c r="O483" s="175">
        <v>16</v>
      </c>
      <c r="Q483" s="517">
        <f t="shared" si="376"/>
        <v>482</v>
      </c>
      <c r="R483" s="663" t="s">
        <v>62</v>
      </c>
      <c r="S483" s="174">
        <f t="shared" si="506"/>
        <v>20</v>
      </c>
      <c r="T483" s="174">
        <f t="shared" si="507"/>
        <v>34</v>
      </c>
      <c r="U483" s="174">
        <f t="shared" si="508"/>
        <v>51</v>
      </c>
      <c r="V483" s="174">
        <f t="shared" si="509"/>
        <v>65</v>
      </c>
      <c r="W483" s="174">
        <f t="shared" si="510"/>
        <v>78</v>
      </c>
      <c r="X483" s="174">
        <f t="shared" si="511"/>
        <v>87</v>
      </c>
      <c r="Y483" s="174">
        <f t="shared" si="512"/>
        <v>104</v>
      </c>
      <c r="Z483" s="174">
        <f t="shared" si="513"/>
        <v>117</v>
      </c>
      <c r="AA483" s="174">
        <f t="shared" si="514"/>
        <v>135</v>
      </c>
      <c r="AB483" s="174">
        <f t="shared" si="515"/>
        <v>146</v>
      </c>
      <c r="AC483" s="174">
        <f t="shared" si="516"/>
        <v>164</v>
      </c>
      <c r="AD483" s="462">
        <f t="shared" si="517"/>
        <v>180</v>
      </c>
      <c r="AE483" s="522">
        <f t="shared" si="387"/>
        <v>482</v>
      </c>
      <c r="AF483" s="507"/>
    </row>
    <row r="484" spans="2:32" x14ac:dyDescent="0.35">
      <c r="B484" s="485">
        <f t="shared" si="375"/>
        <v>483</v>
      </c>
      <c r="C484" s="663" t="s">
        <v>0</v>
      </c>
      <c r="D484" s="175">
        <v>47</v>
      </c>
      <c r="E484" s="175">
        <v>36</v>
      </c>
      <c r="F484" s="175">
        <v>38</v>
      </c>
      <c r="G484" s="175">
        <v>34</v>
      </c>
      <c r="H484" s="175">
        <v>29</v>
      </c>
      <c r="I484" s="175">
        <v>31</v>
      </c>
      <c r="J484" s="175">
        <v>39</v>
      </c>
      <c r="K484" s="175">
        <v>28</v>
      </c>
      <c r="L484" s="175">
        <v>40</v>
      </c>
      <c r="M484" s="175">
        <v>32</v>
      </c>
      <c r="N484" s="175">
        <v>37</v>
      </c>
      <c r="O484" s="175">
        <v>47</v>
      </c>
      <c r="Q484" s="517">
        <f t="shared" si="376"/>
        <v>483</v>
      </c>
      <c r="R484" s="663" t="s">
        <v>0</v>
      </c>
      <c r="S484" s="174">
        <f t="shared" si="506"/>
        <v>47</v>
      </c>
      <c r="T484" s="174">
        <f t="shared" si="507"/>
        <v>83</v>
      </c>
      <c r="U484" s="174">
        <f t="shared" si="508"/>
        <v>121</v>
      </c>
      <c r="V484" s="174">
        <f t="shared" si="509"/>
        <v>155</v>
      </c>
      <c r="W484" s="174">
        <f t="shared" si="510"/>
        <v>184</v>
      </c>
      <c r="X484" s="174">
        <f t="shared" si="511"/>
        <v>215</v>
      </c>
      <c r="Y484" s="174">
        <f t="shared" si="512"/>
        <v>254</v>
      </c>
      <c r="Z484" s="174">
        <f t="shared" si="513"/>
        <v>282</v>
      </c>
      <c r="AA484" s="174">
        <f t="shared" si="514"/>
        <v>322</v>
      </c>
      <c r="AB484" s="174">
        <f t="shared" si="515"/>
        <v>354</v>
      </c>
      <c r="AC484" s="174">
        <f t="shared" si="516"/>
        <v>391</v>
      </c>
      <c r="AD484" s="462">
        <f t="shared" si="517"/>
        <v>438</v>
      </c>
      <c r="AE484" s="522">
        <f t="shared" si="387"/>
        <v>483</v>
      </c>
      <c r="AF484" s="507"/>
    </row>
    <row r="485" spans="2:32" ht="18.5" x14ac:dyDescent="0.35">
      <c r="B485" s="485">
        <f t="shared" si="375"/>
        <v>484</v>
      </c>
      <c r="C485" s="664" t="s">
        <v>369</v>
      </c>
      <c r="D485" s="432" t="s">
        <v>386</v>
      </c>
      <c r="E485" s="432" t="s">
        <v>387</v>
      </c>
      <c r="F485" s="432" t="s">
        <v>388</v>
      </c>
      <c r="G485" s="432" t="s">
        <v>389</v>
      </c>
      <c r="H485" s="432" t="s">
        <v>390</v>
      </c>
      <c r="I485" s="432" t="s">
        <v>391</v>
      </c>
      <c r="J485" s="432" t="s">
        <v>392</v>
      </c>
      <c r="K485" s="432" t="s">
        <v>393</v>
      </c>
      <c r="L485" s="432" t="s">
        <v>394</v>
      </c>
      <c r="M485" s="432" t="s">
        <v>395</v>
      </c>
      <c r="N485" s="432" t="s">
        <v>396</v>
      </c>
      <c r="O485" s="460" t="s">
        <v>397</v>
      </c>
      <c r="Q485" s="517">
        <f t="shared" si="376"/>
        <v>484</v>
      </c>
      <c r="R485" s="664" t="s">
        <v>369</v>
      </c>
      <c r="S485" s="432" t="s">
        <v>132</v>
      </c>
      <c r="T485" s="432" t="s">
        <v>20</v>
      </c>
      <c r="U485" s="432" t="s">
        <v>21</v>
      </c>
      <c r="V485" s="432" t="s">
        <v>22</v>
      </c>
      <c r="W485" s="432" t="s">
        <v>23</v>
      </c>
      <c r="X485" s="432" t="s">
        <v>24</v>
      </c>
      <c r="Y485" s="432" t="s">
        <v>25</v>
      </c>
      <c r="Z485" s="432" t="s">
        <v>26</v>
      </c>
      <c r="AA485" s="432" t="s">
        <v>27</v>
      </c>
      <c r="AB485" s="432" t="s">
        <v>28</v>
      </c>
      <c r="AC485" s="432" t="s">
        <v>29</v>
      </c>
      <c r="AD485" s="460" t="s">
        <v>30</v>
      </c>
      <c r="AE485" s="522">
        <f t="shared" si="387"/>
        <v>484</v>
      </c>
      <c r="AF485" s="507"/>
    </row>
    <row r="486" spans="2:32" x14ac:dyDescent="0.35">
      <c r="B486" s="485">
        <f t="shared" si="375"/>
        <v>485</v>
      </c>
      <c r="C486" s="663" t="s">
        <v>212</v>
      </c>
      <c r="D486" s="175">
        <v>0</v>
      </c>
      <c r="E486" s="175">
        <v>0</v>
      </c>
      <c r="F486" s="175">
        <v>1</v>
      </c>
      <c r="G486" s="175">
        <v>0</v>
      </c>
      <c r="H486" s="175">
        <v>0</v>
      </c>
      <c r="I486" s="175">
        <v>0</v>
      </c>
      <c r="J486" s="175">
        <v>0</v>
      </c>
      <c r="K486" s="175">
        <v>0</v>
      </c>
      <c r="L486" s="175">
        <v>0</v>
      </c>
      <c r="M486" s="175">
        <v>0</v>
      </c>
      <c r="N486" s="175">
        <v>0</v>
      </c>
      <c r="O486" s="175">
        <v>0</v>
      </c>
      <c r="Q486" s="517">
        <f t="shared" si="376"/>
        <v>485</v>
      </c>
      <c r="R486" s="663" t="s">
        <v>212</v>
      </c>
      <c r="S486" s="174">
        <f t="shared" ref="S486:S492" si="518">D486</f>
        <v>0</v>
      </c>
      <c r="T486" s="174">
        <f t="shared" ref="T486:T492" si="519">S486+E486</f>
        <v>0</v>
      </c>
      <c r="U486" s="174">
        <f t="shared" ref="U486:U492" si="520">T486+F486</f>
        <v>1</v>
      </c>
      <c r="V486" s="174">
        <f t="shared" ref="V486:V492" si="521">U486+G486</f>
        <v>1</v>
      </c>
      <c r="W486" s="174">
        <f t="shared" ref="W486:W492" si="522">V486+H486</f>
        <v>1</v>
      </c>
      <c r="X486" s="174">
        <f t="shared" ref="X486:X492" si="523">W486+I486</f>
        <v>1</v>
      </c>
      <c r="Y486" s="174">
        <f t="shared" ref="Y486:Y492" si="524">X486+J486</f>
        <v>1</v>
      </c>
      <c r="Z486" s="174">
        <f t="shared" ref="Z486:Z492" si="525">Y486+K486</f>
        <v>1</v>
      </c>
      <c r="AA486" s="174">
        <f t="shared" ref="AA486:AA492" si="526">Z486+L486</f>
        <v>1</v>
      </c>
      <c r="AB486" s="174">
        <f t="shared" ref="AB486:AB492" si="527">AA486+M486</f>
        <v>1</v>
      </c>
      <c r="AC486" s="174">
        <f t="shared" ref="AC486:AC492" si="528">AB486+N486</f>
        <v>1</v>
      </c>
      <c r="AD486" s="462">
        <f t="shared" ref="AD486:AD492" si="529">AC486+O486</f>
        <v>1</v>
      </c>
      <c r="AE486" s="522">
        <f t="shared" si="387"/>
        <v>485</v>
      </c>
      <c r="AF486" s="507"/>
    </row>
    <row r="487" spans="2:32" x14ac:dyDescent="0.35">
      <c r="B487" s="485">
        <f t="shared" si="375"/>
        <v>486</v>
      </c>
      <c r="C487" s="663" t="s">
        <v>213</v>
      </c>
      <c r="D487" s="175">
        <v>1</v>
      </c>
      <c r="E487" s="175">
        <v>0</v>
      </c>
      <c r="F487" s="175">
        <v>1</v>
      </c>
      <c r="G487" s="175">
        <v>1</v>
      </c>
      <c r="H487" s="175">
        <v>0</v>
      </c>
      <c r="I487" s="175">
        <v>0</v>
      </c>
      <c r="J487" s="175">
        <v>0</v>
      </c>
      <c r="K487" s="175">
        <v>0</v>
      </c>
      <c r="L487" s="175">
        <v>0</v>
      </c>
      <c r="M487" s="175">
        <v>0</v>
      </c>
      <c r="N487" s="175">
        <v>0</v>
      </c>
      <c r="O487" s="175">
        <v>0</v>
      </c>
      <c r="Q487" s="517">
        <f t="shared" si="376"/>
        <v>486</v>
      </c>
      <c r="R487" s="663" t="s">
        <v>213</v>
      </c>
      <c r="S487" s="174">
        <f t="shared" si="518"/>
        <v>1</v>
      </c>
      <c r="T487" s="174">
        <f t="shared" si="519"/>
        <v>1</v>
      </c>
      <c r="U487" s="174">
        <f t="shared" si="520"/>
        <v>2</v>
      </c>
      <c r="V487" s="174">
        <f t="shared" si="521"/>
        <v>3</v>
      </c>
      <c r="W487" s="174">
        <f t="shared" si="522"/>
        <v>3</v>
      </c>
      <c r="X487" s="174">
        <f t="shared" si="523"/>
        <v>3</v>
      </c>
      <c r="Y487" s="174">
        <f t="shared" si="524"/>
        <v>3</v>
      </c>
      <c r="Z487" s="174">
        <f t="shared" si="525"/>
        <v>3</v>
      </c>
      <c r="AA487" s="174">
        <f t="shared" si="526"/>
        <v>3</v>
      </c>
      <c r="AB487" s="174">
        <f t="shared" si="527"/>
        <v>3</v>
      </c>
      <c r="AC487" s="174">
        <f t="shared" si="528"/>
        <v>3</v>
      </c>
      <c r="AD487" s="462">
        <f t="shared" si="529"/>
        <v>3</v>
      </c>
      <c r="AE487" s="522">
        <f t="shared" si="387"/>
        <v>486</v>
      </c>
      <c r="AF487" s="507"/>
    </row>
    <row r="488" spans="2:32" x14ac:dyDescent="0.35">
      <c r="B488" s="485">
        <f t="shared" si="375"/>
        <v>487</v>
      </c>
      <c r="C488" s="663" t="s">
        <v>214</v>
      </c>
      <c r="D488" s="175">
        <v>0</v>
      </c>
      <c r="E488" s="175">
        <v>1</v>
      </c>
      <c r="F488" s="175">
        <v>0</v>
      </c>
      <c r="G488" s="175">
        <v>0</v>
      </c>
      <c r="H488" s="175">
        <v>1</v>
      </c>
      <c r="I488" s="175">
        <v>0</v>
      </c>
      <c r="J488" s="175">
        <v>0</v>
      </c>
      <c r="K488" s="175">
        <v>0</v>
      </c>
      <c r="L488" s="175">
        <v>0</v>
      </c>
      <c r="M488" s="175">
        <v>0</v>
      </c>
      <c r="N488" s="175">
        <v>0</v>
      </c>
      <c r="O488" s="175">
        <v>0</v>
      </c>
      <c r="Q488" s="517">
        <f t="shared" si="376"/>
        <v>487</v>
      </c>
      <c r="R488" s="663" t="s">
        <v>214</v>
      </c>
      <c r="S488" s="174">
        <f t="shared" si="518"/>
        <v>0</v>
      </c>
      <c r="T488" s="174">
        <f t="shared" si="519"/>
        <v>1</v>
      </c>
      <c r="U488" s="174">
        <f t="shared" si="520"/>
        <v>1</v>
      </c>
      <c r="V488" s="174">
        <f t="shared" si="521"/>
        <v>1</v>
      </c>
      <c r="W488" s="174">
        <f t="shared" si="522"/>
        <v>2</v>
      </c>
      <c r="X488" s="174">
        <f t="shared" si="523"/>
        <v>2</v>
      </c>
      <c r="Y488" s="174">
        <f t="shared" si="524"/>
        <v>2</v>
      </c>
      <c r="Z488" s="174">
        <f t="shared" si="525"/>
        <v>2</v>
      </c>
      <c r="AA488" s="174">
        <f t="shared" si="526"/>
        <v>2</v>
      </c>
      <c r="AB488" s="174">
        <f t="shared" si="527"/>
        <v>2</v>
      </c>
      <c r="AC488" s="174">
        <f t="shared" si="528"/>
        <v>2</v>
      </c>
      <c r="AD488" s="462">
        <f t="shared" si="529"/>
        <v>2</v>
      </c>
      <c r="AE488" s="522">
        <f t="shared" si="387"/>
        <v>487</v>
      </c>
      <c r="AF488" s="507"/>
    </row>
    <row r="489" spans="2:32" x14ac:dyDescent="0.35">
      <c r="B489" s="485">
        <f t="shared" si="375"/>
        <v>488</v>
      </c>
      <c r="C489" s="663" t="s">
        <v>146</v>
      </c>
      <c r="D489" s="175">
        <v>0</v>
      </c>
      <c r="E489" s="175">
        <v>0</v>
      </c>
      <c r="F489" s="175">
        <v>0</v>
      </c>
      <c r="G489" s="175">
        <v>0</v>
      </c>
      <c r="H489" s="175">
        <v>0</v>
      </c>
      <c r="I489" s="175">
        <v>1</v>
      </c>
      <c r="J489" s="175">
        <v>0</v>
      </c>
      <c r="K489" s="175">
        <v>1</v>
      </c>
      <c r="L489" s="175">
        <v>0</v>
      </c>
      <c r="M489" s="175">
        <v>0</v>
      </c>
      <c r="N489" s="175">
        <v>0</v>
      </c>
      <c r="O489" s="175">
        <v>0</v>
      </c>
      <c r="Q489" s="517">
        <f t="shared" si="376"/>
        <v>488</v>
      </c>
      <c r="R489" s="663" t="s">
        <v>146</v>
      </c>
      <c r="S489" s="174">
        <f t="shared" si="518"/>
        <v>0</v>
      </c>
      <c r="T489" s="174">
        <f t="shared" si="519"/>
        <v>0</v>
      </c>
      <c r="U489" s="174">
        <f t="shared" si="520"/>
        <v>0</v>
      </c>
      <c r="V489" s="174">
        <f t="shared" si="521"/>
        <v>0</v>
      </c>
      <c r="W489" s="174">
        <f t="shared" si="522"/>
        <v>0</v>
      </c>
      <c r="X489" s="174">
        <f t="shared" si="523"/>
        <v>1</v>
      </c>
      <c r="Y489" s="174">
        <f t="shared" si="524"/>
        <v>1</v>
      </c>
      <c r="Z489" s="174">
        <f t="shared" si="525"/>
        <v>2</v>
      </c>
      <c r="AA489" s="174">
        <f t="shared" si="526"/>
        <v>2</v>
      </c>
      <c r="AB489" s="174">
        <f t="shared" si="527"/>
        <v>2</v>
      </c>
      <c r="AC489" s="174">
        <f t="shared" si="528"/>
        <v>2</v>
      </c>
      <c r="AD489" s="462">
        <f t="shared" si="529"/>
        <v>2</v>
      </c>
      <c r="AE489" s="522">
        <f t="shared" si="387"/>
        <v>488</v>
      </c>
      <c r="AF489" s="507"/>
    </row>
    <row r="490" spans="2:32" x14ac:dyDescent="0.35">
      <c r="B490" s="485">
        <f t="shared" si="375"/>
        <v>489</v>
      </c>
      <c r="C490" s="663" t="s">
        <v>147</v>
      </c>
      <c r="D490" s="175">
        <v>0</v>
      </c>
      <c r="E490" s="175">
        <v>0</v>
      </c>
      <c r="F490" s="175">
        <v>0</v>
      </c>
      <c r="G490" s="175">
        <v>1</v>
      </c>
      <c r="H490" s="175">
        <v>0</v>
      </c>
      <c r="I490" s="175">
        <v>0</v>
      </c>
      <c r="J490" s="175">
        <v>0</v>
      </c>
      <c r="K490" s="175">
        <v>0</v>
      </c>
      <c r="L490" s="175">
        <v>1</v>
      </c>
      <c r="M490" s="175">
        <v>0</v>
      </c>
      <c r="N490" s="175">
        <v>1</v>
      </c>
      <c r="O490" s="175">
        <v>0</v>
      </c>
      <c r="Q490" s="517">
        <f t="shared" si="376"/>
        <v>489</v>
      </c>
      <c r="R490" s="663" t="s">
        <v>147</v>
      </c>
      <c r="S490" s="174">
        <f t="shared" si="518"/>
        <v>0</v>
      </c>
      <c r="T490" s="174">
        <f t="shared" si="519"/>
        <v>0</v>
      </c>
      <c r="U490" s="174">
        <f t="shared" si="520"/>
        <v>0</v>
      </c>
      <c r="V490" s="174">
        <f t="shared" si="521"/>
        <v>1</v>
      </c>
      <c r="W490" s="174">
        <f t="shared" si="522"/>
        <v>1</v>
      </c>
      <c r="X490" s="174">
        <f t="shared" si="523"/>
        <v>1</v>
      </c>
      <c r="Y490" s="174">
        <f t="shared" si="524"/>
        <v>1</v>
      </c>
      <c r="Z490" s="174">
        <f t="shared" si="525"/>
        <v>1</v>
      </c>
      <c r="AA490" s="174">
        <f t="shared" si="526"/>
        <v>2</v>
      </c>
      <c r="AB490" s="174">
        <f t="shared" si="527"/>
        <v>2</v>
      </c>
      <c r="AC490" s="174">
        <f t="shared" si="528"/>
        <v>3</v>
      </c>
      <c r="AD490" s="462">
        <f t="shared" si="529"/>
        <v>3</v>
      </c>
      <c r="AE490" s="522">
        <f t="shared" si="387"/>
        <v>489</v>
      </c>
      <c r="AF490" s="507"/>
    </row>
    <row r="491" spans="2:32" x14ac:dyDescent="0.35">
      <c r="B491" s="485">
        <f t="shared" si="375"/>
        <v>490</v>
      </c>
      <c r="C491" s="663" t="s">
        <v>62</v>
      </c>
      <c r="D491" s="175">
        <v>0</v>
      </c>
      <c r="E491" s="175">
        <v>0</v>
      </c>
      <c r="F491" s="175">
        <v>0</v>
      </c>
      <c r="G491" s="175">
        <v>1</v>
      </c>
      <c r="H491" s="175">
        <v>0</v>
      </c>
      <c r="I491" s="175">
        <v>1</v>
      </c>
      <c r="J491" s="175">
        <v>0</v>
      </c>
      <c r="K491" s="175">
        <v>1</v>
      </c>
      <c r="L491" s="175">
        <v>1</v>
      </c>
      <c r="M491" s="175">
        <v>0</v>
      </c>
      <c r="N491" s="175">
        <v>1</v>
      </c>
      <c r="O491" s="175">
        <v>0</v>
      </c>
      <c r="Q491" s="517">
        <f t="shared" si="376"/>
        <v>490</v>
      </c>
      <c r="R491" s="663" t="s">
        <v>62</v>
      </c>
      <c r="S491" s="174">
        <f t="shared" si="518"/>
        <v>0</v>
      </c>
      <c r="T491" s="174">
        <f t="shared" si="519"/>
        <v>0</v>
      </c>
      <c r="U491" s="174">
        <f t="shared" si="520"/>
        <v>0</v>
      </c>
      <c r="V491" s="174">
        <f t="shared" si="521"/>
        <v>1</v>
      </c>
      <c r="W491" s="174">
        <f t="shared" si="522"/>
        <v>1</v>
      </c>
      <c r="X491" s="174">
        <f t="shared" si="523"/>
        <v>2</v>
      </c>
      <c r="Y491" s="174">
        <f t="shared" si="524"/>
        <v>2</v>
      </c>
      <c r="Z491" s="174">
        <f t="shared" si="525"/>
        <v>3</v>
      </c>
      <c r="AA491" s="174">
        <f t="shared" si="526"/>
        <v>4</v>
      </c>
      <c r="AB491" s="174">
        <f t="shared" si="527"/>
        <v>4</v>
      </c>
      <c r="AC491" s="174">
        <f t="shared" si="528"/>
        <v>5</v>
      </c>
      <c r="AD491" s="462">
        <f t="shared" si="529"/>
        <v>5</v>
      </c>
      <c r="AE491" s="522">
        <f t="shared" si="387"/>
        <v>490</v>
      </c>
      <c r="AF491" s="507"/>
    </row>
    <row r="492" spans="2:32" x14ac:dyDescent="0.35">
      <c r="B492" s="485">
        <f t="shared" si="375"/>
        <v>491</v>
      </c>
      <c r="C492" s="663" t="s">
        <v>0</v>
      </c>
      <c r="D492" s="175">
        <v>1</v>
      </c>
      <c r="E492" s="175">
        <v>1</v>
      </c>
      <c r="F492" s="175">
        <v>1</v>
      </c>
      <c r="G492" s="175">
        <v>1</v>
      </c>
      <c r="H492" s="175">
        <v>1</v>
      </c>
      <c r="I492" s="175">
        <v>1</v>
      </c>
      <c r="J492" s="175">
        <v>0</v>
      </c>
      <c r="K492" s="175">
        <v>1</v>
      </c>
      <c r="L492" s="175">
        <v>1</v>
      </c>
      <c r="M492" s="175">
        <v>0</v>
      </c>
      <c r="N492" s="175">
        <v>1</v>
      </c>
      <c r="O492" s="175">
        <v>0</v>
      </c>
      <c r="Q492" s="517">
        <f t="shared" si="376"/>
        <v>491</v>
      </c>
      <c r="R492" s="663" t="s">
        <v>0</v>
      </c>
      <c r="S492" s="174">
        <f t="shared" si="518"/>
        <v>1</v>
      </c>
      <c r="T492" s="174">
        <f t="shared" si="519"/>
        <v>2</v>
      </c>
      <c r="U492" s="174">
        <f t="shared" si="520"/>
        <v>3</v>
      </c>
      <c r="V492" s="174">
        <f t="shared" si="521"/>
        <v>4</v>
      </c>
      <c r="W492" s="174">
        <f t="shared" si="522"/>
        <v>5</v>
      </c>
      <c r="X492" s="174">
        <f t="shared" si="523"/>
        <v>6</v>
      </c>
      <c r="Y492" s="174">
        <f t="shared" si="524"/>
        <v>6</v>
      </c>
      <c r="Z492" s="174">
        <f t="shared" si="525"/>
        <v>7</v>
      </c>
      <c r="AA492" s="174">
        <f t="shared" si="526"/>
        <v>8</v>
      </c>
      <c r="AB492" s="174">
        <f t="shared" si="527"/>
        <v>8</v>
      </c>
      <c r="AC492" s="174">
        <f t="shared" si="528"/>
        <v>9</v>
      </c>
      <c r="AD492" s="462">
        <f t="shared" si="529"/>
        <v>9</v>
      </c>
      <c r="AE492" s="522">
        <f t="shared" si="387"/>
        <v>491</v>
      </c>
      <c r="AF492" s="507"/>
    </row>
  </sheetData>
  <phoneticPr fontId="88" type="noConversion"/>
  <pageMargins left="0.7" right="0.7" top="0.75" bottom="0.75" header="0.3" footer="0.3"/>
  <pageSetup paperSize="9" orientation="portrait" r:id="rId1"/>
  <headerFooter>
    <oddFooter>&amp;C&amp;1#&amp;"Calibri"&amp;10&amp;K000000OFFICIAL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E26"/>
  <sheetViews>
    <sheetView showGridLines="0" tabSelected="1" workbookViewId="0">
      <selection activeCell="C26" sqref="C26"/>
    </sheetView>
  </sheetViews>
  <sheetFormatPr defaultColWidth="8.84375" defaultRowHeight="15.5" x14ac:dyDescent="0.35"/>
  <cols>
    <col min="1" max="1" width="8.84375" style="130"/>
    <col min="2" max="2" width="1.84375" style="130" customWidth="1"/>
    <col min="3" max="3" width="51" style="130" customWidth="1"/>
    <col min="4" max="4" width="4.765625" style="130" customWidth="1"/>
    <col min="5" max="5" width="72.69140625" style="130" customWidth="1"/>
    <col min="6" max="16384" width="8.84375" style="130"/>
  </cols>
  <sheetData>
    <row r="1" spans="2:5" ht="16" thickBot="1" x14ac:dyDescent="0.4"/>
    <row r="2" spans="2:5" x14ac:dyDescent="0.35">
      <c r="B2" s="721"/>
      <c r="C2" s="722"/>
      <c r="D2" s="722"/>
      <c r="E2" s="723"/>
    </row>
    <row r="3" spans="2:5" x14ac:dyDescent="0.35">
      <c r="B3" s="724"/>
      <c r="C3" s="725" t="s">
        <v>358</v>
      </c>
      <c r="D3" s="726"/>
      <c r="E3" s="727"/>
    </row>
    <row r="4" spans="2:5" x14ac:dyDescent="0.35">
      <c r="B4" s="724"/>
      <c r="C4" s="728" t="s">
        <v>216</v>
      </c>
      <c r="D4" s="726"/>
      <c r="E4" s="727"/>
    </row>
    <row r="5" spans="2:5" x14ac:dyDescent="0.35">
      <c r="B5" s="724"/>
      <c r="C5" s="726"/>
      <c r="D5" s="726"/>
      <c r="E5" s="727"/>
    </row>
    <row r="6" spans="2:5" x14ac:dyDescent="0.35">
      <c r="B6" s="724"/>
      <c r="C6" s="725" t="s">
        <v>118</v>
      </c>
      <c r="D6" s="726"/>
      <c r="E6" s="727"/>
    </row>
    <row r="7" spans="2:5" x14ac:dyDescent="0.35">
      <c r="B7" s="724"/>
      <c r="C7" s="728" t="s">
        <v>119</v>
      </c>
      <c r="D7" s="726"/>
      <c r="E7" s="727"/>
    </row>
    <row r="8" spans="2:5" x14ac:dyDescent="0.35">
      <c r="B8" s="724"/>
      <c r="C8" s="726" t="s">
        <v>120</v>
      </c>
      <c r="D8" s="726"/>
      <c r="E8" s="727"/>
    </row>
    <row r="9" spans="2:5" x14ac:dyDescent="0.35">
      <c r="B9" s="724"/>
      <c r="C9" s="726"/>
      <c r="D9" s="726"/>
      <c r="E9" s="727"/>
    </row>
    <row r="10" spans="2:5" x14ac:dyDescent="0.35">
      <c r="B10" s="724"/>
      <c r="C10" s="726"/>
      <c r="D10" s="726"/>
      <c r="E10" s="727" t="s">
        <v>122</v>
      </c>
    </row>
    <row r="11" spans="2:5" x14ac:dyDescent="0.35">
      <c r="B11" s="724"/>
      <c r="C11" s="726"/>
      <c r="D11" s="729"/>
      <c r="E11" s="727" t="s">
        <v>123</v>
      </c>
    </row>
    <row r="12" spans="2:5" x14ac:dyDescent="0.35">
      <c r="B12" s="724"/>
      <c r="C12" s="726"/>
      <c r="D12" s="730"/>
      <c r="E12" s="727" t="s">
        <v>121</v>
      </c>
    </row>
    <row r="13" spans="2:5" x14ac:dyDescent="0.35">
      <c r="B13" s="724"/>
      <c r="C13" s="726"/>
      <c r="D13" s="729"/>
      <c r="E13" s="731"/>
    </row>
    <row r="14" spans="2:5" ht="16" thickBot="1" x14ac:dyDescent="0.4">
      <c r="B14" s="732"/>
      <c r="C14" s="733" t="s">
        <v>403</v>
      </c>
      <c r="D14" s="733"/>
      <c r="E14" s="734"/>
    </row>
    <row r="15" spans="2:5" ht="16" thickBot="1" x14ac:dyDescent="0.4"/>
    <row r="16" spans="2:5" ht="16" thickTop="1" x14ac:dyDescent="0.35">
      <c r="B16" s="741"/>
      <c r="C16" s="735" t="s">
        <v>402</v>
      </c>
      <c r="D16" s="736"/>
      <c r="E16" s="737"/>
    </row>
    <row r="17" spans="2:5" s="720" customFormat="1" ht="33" customHeight="1" x14ac:dyDescent="0.35">
      <c r="B17" s="742" t="s">
        <v>398</v>
      </c>
      <c r="C17" s="1188" t="s">
        <v>519</v>
      </c>
      <c r="D17" s="1186"/>
      <c r="E17" s="1187"/>
    </row>
    <row r="18" spans="2:5" s="720" customFormat="1" ht="18" customHeight="1" x14ac:dyDescent="0.35">
      <c r="B18" s="742" t="s">
        <v>399</v>
      </c>
      <c r="C18" s="1067" t="s">
        <v>471</v>
      </c>
      <c r="D18" s="738"/>
      <c r="E18" s="739"/>
    </row>
    <row r="19" spans="2:5" s="720" customFormat="1" ht="17.25" customHeight="1" x14ac:dyDescent="0.35">
      <c r="B19" s="742" t="s">
        <v>400</v>
      </c>
      <c r="C19" s="740" t="s">
        <v>260</v>
      </c>
      <c r="D19" s="738"/>
      <c r="E19" s="739"/>
    </row>
    <row r="20" spans="2:5" s="720" customFormat="1" ht="17.25" customHeight="1" x14ac:dyDescent="0.35">
      <c r="B20" s="1056" t="s">
        <v>401</v>
      </c>
      <c r="C20" s="1189" t="s">
        <v>302</v>
      </c>
      <c r="D20" s="1189"/>
      <c r="E20" s="1190"/>
    </row>
    <row r="21" spans="2:5" s="720" customFormat="1" ht="45.4" customHeight="1" x14ac:dyDescent="0.35">
      <c r="B21" s="1069"/>
      <c r="C21" s="1185"/>
      <c r="D21" s="1186"/>
      <c r="E21" s="1187"/>
    </row>
    <row r="22" spans="2:5" s="720" customFormat="1" ht="46.5" customHeight="1" thickBot="1" x14ac:dyDescent="0.4">
      <c r="B22" s="743"/>
      <c r="C22" s="1183"/>
      <c r="D22" s="1183"/>
      <c r="E22" s="1184"/>
    </row>
    <row r="23" spans="2:5" ht="16" thickTop="1" x14ac:dyDescent="0.35">
      <c r="C23" s="637"/>
    </row>
    <row r="24" spans="2:5" x14ac:dyDescent="0.35">
      <c r="C24" s="637"/>
    </row>
    <row r="25" spans="2:5" x14ac:dyDescent="0.35">
      <c r="C25" s="637"/>
    </row>
    <row r="26" spans="2:5" x14ac:dyDescent="0.35">
      <c r="C26" s="637"/>
    </row>
  </sheetData>
  <mergeCells count="4">
    <mergeCell ref="C22:E22"/>
    <mergeCell ref="C21:E21"/>
    <mergeCell ref="C17:E17"/>
    <mergeCell ref="C20:E20"/>
  </mergeCells>
  <pageMargins left="0.7" right="0.7" top="0.75" bottom="0.75" header="0.3" footer="0.3"/>
  <pageSetup paperSize="9" scale="79" orientation="landscape" r:id="rId1"/>
  <headerFooter>
    <oddFooter>&amp;C&amp;1#&amp;"Calibri"&amp;10&amp;K000000OFFICIAL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3"/>
  <sheetViews>
    <sheetView workbookViewId="0">
      <selection activeCell="L13" sqref="L13"/>
    </sheetView>
  </sheetViews>
  <sheetFormatPr defaultRowHeight="15.5" x14ac:dyDescent="0.35"/>
  <cols>
    <col min="1" max="1" width="15.3046875" bestFit="1" customWidth="1"/>
    <col min="3" max="3" width="11.07421875" bestFit="1" customWidth="1"/>
    <col min="5" max="5" width="10.3046875" customWidth="1"/>
    <col min="6" max="6" width="10.84375" bestFit="1" customWidth="1"/>
    <col min="7" max="7" width="10.4609375" customWidth="1"/>
  </cols>
  <sheetData>
    <row r="1" spans="1:7" x14ac:dyDescent="0.35">
      <c r="A1" t="s">
        <v>0</v>
      </c>
    </row>
    <row r="2" spans="1:7" s="28" customFormat="1" x14ac:dyDescent="0.35">
      <c r="B2" s="28">
        <v>6</v>
      </c>
      <c r="C2" s="28">
        <v>5</v>
      </c>
      <c r="D2" s="28">
        <v>4</v>
      </c>
      <c r="E2" s="28">
        <v>3</v>
      </c>
      <c r="F2" s="28">
        <v>2</v>
      </c>
      <c r="G2" s="28">
        <v>1</v>
      </c>
    </row>
    <row r="3" spans="1:7" s="28" customFormat="1" x14ac:dyDescent="0.35">
      <c r="B3" s="28" t="str">
        <f>HLOOKUP(B2,'Graph Data'!1:3,3,FALSE)</f>
        <v>2021/53</v>
      </c>
      <c r="C3" s="28" t="str">
        <f>HLOOKUP(C2,'Graph Data'!1:3,3,FALSE)</f>
        <v>2021/54</v>
      </c>
      <c r="D3" s="28" t="str">
        <f>HLOOKUP(D2,'Graph Data'!1:3,3,FALSE)</f>
        <v>2021/55</v>
      </c>
      <c r="E3" s="28" t="str">
        <f>HLOOKUP(E2,'Graph Data'!1:3,3,FALSE)</f>
        <v>2021/56</v>
      </c>
      <c r="F3" s="28" t="str">
        <f>HLOOKUP(F2,'Graph Data'!1:3,3,FALSE)</f>
        <v>2021/57</v>
      </c>
      <c r="G3" s="28" t="str">
        <f>HLOOKUP(G2,'Graph Data'!1:3,3,FALSE)</f>
        <v>2021/58</v>
      </c>
    </row>
    <row r="4" spans="1:7" s="28" customFormat="1" x14ac:dyDescent="0.35">
      <c r="B4" s="28" t="str">
        <f>HLOOKUP(B2,'Graph Data'!1:14,4,FALSE)</f>
        <v>October</v>
      </c>
      <c r="C4" s="28" t="str">
        <f>HLOOKUP(C2,'Graph Data'!1:14,4,FALSE)</f>
        <v>November</v>
      </c>
      <c r="D4" s="28" t="str">
        <f>HLOOKUP(D2,'Graph Data'!1:14,4,FALSE)</f>
        <v>December</v>
      </c>
      <c r="E4" s="28" t="str">
        <f>HLOOKUP(E2,'Graph Data'!1:14,4,FALSE)</f>
        <v>January</v>
      </c>
      <c r="F4" s="28" t="str">
        <f>HLOOKUP(F2,'Graph Data'!1:14,4,FALSE)</f>
        <v>February</v>
      </c>
      <c r="G4" s="28" t="str">
        <f>HLOOKUP(G2,'Graph Data'!1:14,4,FALSE)</f>
        <v>March</v>
      </c>
    </row>
    <row r="5" spans="1:7" s="28" customFormat="1" x14ac:dyDescent="0.35">
      <c r="B5" s="28" t="str">
        <f>B4</f>
        <v>October</v>
      </c>
      <c r="C5" s="64" t="str">
        <f t="shared" ref="C5:G5" si="0">C4</f>
        <v>November</v>
      </c>
      <c r="D5" s="64" t="str">
        <f t="shared" si="0"/>
        <v>December</v>
      </c>
      <c r="E5" s="64" t="str">
        <f t="shared" si="0"/>
        <v>January</v>
      </c>
      <c r="F5" s="64" t="str">
        <f t="shared" si="0"/>
        <v>February</v>
      </c>
      <c r="G5" s="64" t="str">
        <f t="shared" si="0"/>
        <v>March</v>
      </c>
    </row>
    <row r="6" spans="1:7" x14ac:dyDescent="0.35">
      <c r="A6" s="72" t="s">
        <v>39</v>
      </c>
      <c r="B6">
        <f>HLOOKUP($B$2,'Graph Data'!$1:$15,6,FALSE)</f>
        <v>387</v>
      </c>
      <c r="C6" s="28">
        <f>HLOOKUP($C$2,'Graph Data'!$1:$14,6,FALSE)</f>
        <v>346</v>
      </c>
      <c r="D6" s="28">
        <f>HLOOKUP($D$2,'Graph Data'!$1:$14,6,FALSE)</f>
        <v>424</v>
      </c>
      <c r="E6" s="28">
        <f>HLOOKUP(E2,'Graph Data'!$1:$14,6,FALSE)</f>
        <v>369</v>
      </c>
      <c r="F6" s="28">
        <f>HLOOKUP(F2,'Graph Data'!$1:$14,6,FALSE)</f>
        <v>332</v>
      </c>
      <c r="G6" s="28">
        <f>HLOOKUP(G2,'Graph Data'!$1:$14,6,FALSE)</f>
        <v>418</v>
      </c>
    </row>
    <row r="7" spans="1:7" x14ac:dyDescent="0.35">
      <c r="A7" s="72" t="s">
        <v>40</v>
      </c>
      <c r="B7" s="28">
        <f>HLOOKUP(B2,'Graph Data'!$1:$15,7,FALSE)</f>
        <v>773</v>
      </c>
      <c r="C7" s="28">
        <f>HLOOKUP(C2,'Graph Data'!$1:$14,7,FALSE)</f>
        <v>742</v>
      </c>
      <c r="D7" s="28">
        <f>HLOOKUP(D2,'Graph Data'!$1:$14,7,FALSE)</f>
        <v>803</v>
      </c>
      <c r="E7" s="28">
        <f>HLOOKUP(E2,'Graph Data'!$1:$14,7,FALSE)</f>
        <v>785</v>
      </c>
      <c r="F7" s="28">
        <f>HLOOKUP(F2,'Graph Data'!$1:$14,7,FALSE)</f>
        <v>764</v>
      </c>
      <c r="G7" s="28">
        <f>HLOOKUP(G2,'Graph Data'!$1:$14,7,FALSE)</f>
        <v>792</v>
      </c>
    </row>
    <row r="8" spans="1:7" x14ac:dyDescent="0.35">
      <c r="A8" s="72" t="s">
        <v>5</v>
      </c>
      <c r="B8" s="28">
        <f>HLOOKUP(B2,'Graph Data'!$1:$14,8,FALSE)</f>
        <v>53</v>
      </c>
      <c r="C8" s="28">
        <f>HLOOKUP(C2,'Graph Data'!$1:$14,8,FALSE)</f>
        <v>45</v>
      </c>
      <c r="D8" s="28">
        <f>HLOOKUP(D2,'Graph Data'!$1:$14,8,FALSE)</f>
        <v>48</v>
      </c>
      <c r="E8" s="28">
        <f>HLOOKUP(E2,'Graph Data'!$1:$14,8,FALSE)</f>
        <v>66</v>
      </c>
      <c r="F8" s="28">
        <f>HLOOKUP(F2,'Graph Data'!$1:$14,8,FALSE)</f>
        <v>40</v>
      </c>
      <c r="G8" s="28">
        <f>HLOOKUP(G2,'Graph Data'!$1:$14,8,FALSE)</f>
        <v>44</v>
      </c>
    </row>
    <row r="9" spans="1:7" x14ac:dyDescent="0.35">
      <c r="A9" s="72" t="s">
        <v>35</v>
      </c>
      <c r="B9" s="28">
        <f>HLOOKUP(B2,'Graph Data'!$1:$14,9,FALSE)</f>
        <v>127</v>
      </c>
      <c r="C9" s="28">
        <f>HLOOKUP(C2,'Graph Data'!$1:$14,9,FALSE)</f>
        <v>102</v>
      </c>
      <c r="D9" s="28">
        <f>HLOOKUP(D2,'Graph Data'!$1:$14,9,FALSE)</f>
        <v>106</v>
      </c>
      <c r="E9" s="28">
        <f>HLOOKUP(E2,'Graph Data'!$1:$14,9,FALSE)</f>
        <v>93</v>
      </c>
      <c r="F9" s="28">
        <f>HLOOKUP(F2,'Graph Data'!$1:$14,9,FALSE)</f>
        <v>108</v>
      </c>
      <c r="G9" s="28">
        <f>HLOOKUP(G2,'Graph Data'!$1:$14,9,FALSE)</f>
        <v>129</v>
      </c>
    </row>
    <row r="10" spans="1:7" s="64" customFormat="1" x14ac:dyDescent="0.35">
      <c r="A10" s="1001" t="s">
        <v>458</v>
      </c>
      <c r="B10" s="64">
        <f>HLOOKUP(B2,'Graph Data'!$1:$14,10,FALSE)</f>
        <v>830</v>
      </c>
      <c r="C10" s="64">
        <f>HLOOKUP(C2,'Graph Data'!$1:$14,10,FALSE)</f>
        <v>774</v>
      </c>
      <c r="D10" s="64">
        <f>HLOOKUP(D2,'Graph Data'!$1:$14,10,FALSE)</f>
        <v>910</v>
      </c>
      <c r="E10" s="64">
        <f>HLOOKUP(E2,'Graph Data'!$1:$14,10,FALSE)</f>
        <v>823</v>
      </c>
      <c r="F10" s="64">
        <f>HLOOKUP(F2,'Graph Data'!$1:$14,10,FALSE)</f>
        <v>821</v>
      </c>
      <c r="G10" s="64">
        <f>HLOOKUP(G2,'Graph Data'!$1:$14,10,FALSE)</f>
        <v>901</v>
      </c>
    </row>
    <row r="11" spans="1:7" x14ac:dyDescent="0.35">
      <c r="A11" s="73" t="s">
        <v>68</v>
      </c>
      <c r="B11" s="28">
        <f>HLOOKUP(B2,'Graph Data'!$1:$14,11,FALSE)</f>
        <v>212</v>
      </c>
      <c r="C11" s="64">
        <f>HLOOKUP(C2,'Graph Data'!$1:$14,11,FALSE)</f>
        <v>196</v>
      </c>
      <c r="D11" s="64">
        <f>HLOOKUP(D2,'Graph Data'!$1:$14,11,FALSE)</f>
        <v>148</v>
      </c>
      <c r="E11" s="64">
        <f>HLOOKUP(E2,'Graph Data'!$1:$14,11,FALSE)</f>
        <v>161</v>
      </c>
      <c r="F11" s="64">
        <f>HLOOKUP(F2,'Graph Data'!$1:$14,11,FALSE)</f>
        <v>151</v>
      </c>
      <c r="G11" s="64">
        <f>HLOOKUP(G2,'Graph Data'!$1:$14,11,FALSE)</f>
        <v>118</v>
      </c>
    </row>
    <row r="12" spans="1:7" x14ac:dyDescent="0.35">
      <c r="A12" s="70" t="s">
        <v>48</v>
      </c>
      <c r="B12" s="28">
        <f>HLOOKUP(B2,'Graph Data'!$1:$14,12,FALSE)</f>
        <v>5</v>
      </c>
      <c r="C12" s="28">
        <f>HLOOKUP(C2,'Graph Data'!$1:$14,12,FALSE)</f>
        <v>6</v>
      </c>
      <c r="D12" s="28">
        <f>HLOOKUP(D2,'Graph Data'!$1:$14,12,FALSE)</f>
        <v>3</v>
      </c>
      <c r="E12" s="28">
        <f>HLOOKUP(E2,'Graph Data'!$1:$14,12,FALSE)</f>
        <v>3</v>
      </c>
      <c r="F12" s="28">
        <f>HLOOKUP(F2,'Graph Data'!$1:$14,12,FALSE)</f>
        <v>5</v>
      </c>
      <c r="G12" s="28">
        <f>HLOOKUP(G2,'Graph Data'!$1:$14,12,FALSE)</f>
        <v>6</v>
      </c>
    </row>
    <row r="13" spans="1:7" ht="23" x14ac:dyDescent="0.35">
      <c r="A13" s="70" t="s">
        <v>139</v>
      </c>
      <c r="B13" s="28">
        <f>HLOOKUP(B2,'Graph Data'!$1:$15,14,FALSE)</f>
        <v>112</v>
      </c>
      <c r="C13" s="28">
        <f>HLOOKUP(C2,'Graph Data'!$1:$15,14,FALSE)</f>
        <v>78</v>
      </c>
      <c r="D13" s="28">
        <f>HLOOKUP(D2,'Graph Data'!$1:$15,14,FALSE)</f>
        <v>112</v>
      </c>
      <c r="E13" s="28">
        <f>HLOOKUP(E2,'Graph Data'!$1:$15,14,FALSE)</f>
        <v>108</v>
      </c>
      <c r="F13" s="28">
        <f>HLOOKUP(F2,'Graph Data'!$1:$15,14,FALSE)</f>
        <v>66</v>
      </c>
      <c r="G13" s="28">
        <f>HLOOKUP(G2,'Graph Data'!$1:$15,14,FALSE)</f>
        <v>115</v>
      </c>
    </row>
    <row r="17" spans="1:7" x14ac:dyDescent="0.35">
      <c r="A17" s="64" t="s">
        <v>115</v>
      </c>
      <c r="B17" s="64">
        <v>6</v>
      </c>
      <c r="C17" s="64">
        <v>5</v>
      </c>
      <c r="D17" s="64">
        <v>4</v>
      </c>
      <c r="E17" s="64">
        <v>3</v>
      </c>
      <c r="F17" s="64">
        <v>2</v>
      </c>
      <c r="G17" s="64">
        <v>1</v>
      </c>
    </row>
    <row r="18" spans="1:7" x14ac:dyDescent="0.35">
      <c r="A18" s="64"/>
      <c r="B18" s="64" t="str">
        <f>HLOOKUP(B17,'Graph Data'!$17:$21,3,FALSE)</f>
        <v>2021/53</v>
      </c>
      <c r="C18" s="64" t="str">
        <f>HLOOKUP(C17,'Graph Data'!$17:$21,3,FALSE)</f>
        <v>2021/54</v>
      </c>
      <c r="D18" s="64" t="str">
        <f>HLOOKUP(D17,'Graph Data'!$17:$21,3,FALSE)</f>
        <v>2021/55</v>
      </c>
      <c r="E18" s="64" t="str">
        <f>HLOOKUP(E17,'Graph Data'!$17:$21,3,FALSE)</f>
        <v>2021/56</v>
      </c>
      <c r="F18" s="64" t="str">
        <f>HLOOKUP(F17,'Graph Data'!$17:$21,3,FALSE)</f>
        <v>2021/57</v>
      </c>
      <c r="G18" s="64" t="str">
        <f>HLOOKUP(G17,'Graph Data'!$17:$21,3,FALSE)</f>
        <v>2021/58</v>
      </c>
    </row>
    <row r="19" spans="1:7" x14ac:dyDescent="0.35">
      <c r="A19" s="64"/>
      <c r="B19" s="64" t="str">
        <f>HLOOKUP(B17,'Graph Data'!$17:$21,4,FALSE)</f>
        <v>October</v>
      </c>
      <c r="C19" s="64" t="str">
        <f>HLOOKUP(C17,'Graph Data'!$17:$21,4,FALSE)</f>
        <v>November</v>
      </c>
      <c r="D19" s="64" t="str">
        <f>HLOOKUP(D17,'Graph Data'!$17:$21,4,FALSE)</f>
        <v>December</v>
      </c>
      <c r="E19" s="64" t="str">
        <f>HLOOKUP(E17,'Graph Data'!$17:$21,4,FALSE)</f>
        <v>January</v>
      </c>
      <c r="F19" s="64" t="str">
        <f>HLOOKUP(F17,'Graph Data'!$17:$21,4,FALSE)</f>
        <v>February</v>
      </c>
      <c r="G19" s="64" t="str">
        <f>HLOOKUP(G17,'Graph Data'!$17:$21,4,FALSE)</f>
        <v>March</v>
      </c>
    </row>
    <row r="20" spans="1:7" x14ac:dyDescent="0.35">
      <c r="A20" s="64"/>
      <c r="B20" s="64" t="str">
        <f>B19</f>
        <v>October</v>
      </c>
      <c r="C20" s="64" t="str">
        <f t="shared" ref="C20:G20" si="1">C19</f>
        <v>November</v>
      </c>
      <c r="D20" s="64" t="str">
        <f t="shared" si="1"/>
        <v>December</v>
      </c>
      <c r="E20" s="64" t="str">
        <f t="shared" si="1"/>
        <v>January</v>
      </c>
      <c r="F20" s="64" t="str">
        <f t="shared" si="1"/>
        <v>February</v>
      </c>
      <c r="G20" s="64" t="str">
        <f t="shared" si="1"/>
        <v>March</v>
      </c>
    </row>
    <row r="21" spans="1:7" x14ac:dyDescent="0.35">
      <c r="A21" s="78" t="s">
        <v>39</v>
      </c>
      <c r="B21" s="64">
        <f>HLOOKUP(B17,'Graph Data'!$17:$27,6,FALSE)</f>
        <v>41</v>
      </c>
      <c r="C21" s="64">
        <f>HLOOKUP(C17,'Graph Data'!$17:$27,6,FALSE)</f>
        <v>40</v>
      </c>
      <c r="D21" s="64">
        <f>HLOOKUP(D17,'Graph Data'!$17:$27,6,FALSE)</f>
        <v>44</v>
      </c>
      <c r="E21" s="64">
        <f>HLOOKUP(E17,'Graph Data'!$17:$27,6,FALSE)</f>
        <v>39</v>
      </c>
      <c r="F21" s="64">
        <f>HLOOKUP(F17,'Graph Data'!$17:$27,6,FALSE)</f>
        <v>41</v>
      </c>
      <c r="G21" s="64">
        <f>HLOOKUP(G17,'Graph Data'!$17:$27,6,FALSE)</f>
        <v>52</v>
      </c>
    </row>
    <row r="22" spans="1:7" x14ac:dyDescent="0.35">
      <c r="A22" s="78" t="s">
        <v>40</v>
      </c>
      <c r="B22" s="64">
        <f>HLOOKUP(B17,'Graph Data'!$17:$27,7,FALSE)</f>
        <v>65</v>
      </c>
      <c r="C22" s="64">
        <f>HLOOKUP(C17,'Graph Data'!$17:$27,7,FALSE)</f>
        <v>68</v>
      </c>
      <c r="D22" s="64">
        <f>HLOOKUP(D17,'Graph Data'!$17:$27,7,FALSE)</f>
        <v>80</v>
      </c>
      <c r="E22" s="64">
        <f>HLOOKUP(E17,'Graph Data'!$17:$27,7,FALSE)</f>
        <v>69</v>
      </c>
      <c r="F22" s="64">
        <f>HLOOKUP(F17,'Graph Data'!$17:$27,7,FALSE)</f>
        <v>79</v>
      </c>
      <c r="G22" s="64">
        <f>HLOOKUP(G17,'Graph Data'!$17:$27,7,FALSE)</f>
        <v>100</v>
      </c>
    </row>
    <row r="23" spans="1:7" x14ac:dyDescent="0.35">
      <c r="A23" s="78" t="s">
        <v>37</v>
      </c>
      <c r="B23" s="64">
        <f>HLOOKUP(B17,'Graph Data'!$17:$27,8,FALSE)</f>
        <v>4</v>
      </c>
      <c r="C23" s="64">
        <f>HLOOKUP(C17,'Graph Data'!$17:$27,8,FALSE)</f>
        <v>6</v>
      </c>
      <c r="D23" s="64">
        <f>HLOOKUP(D17,'Graph Data'!$17:$27,8,FALSE)</f>
        <v>0</v>
      </c>
      <c r="E23" s="64">
        <f>HLOOKUP(E17,'Graph Data'!$17:$27,8,FALSE)</f>
        <v>3</v>
      </c>
      <c r="F23" s="64">
        <f>HLOOKUP(F17,'Graph Data'!$17:$27,8,FALSE)</f>
        <v>2</v>
      </c>
      <c r="G23" s="64">
        <f>HLOOKUP(G17,'Graph Data'!$17:$27,8,FALSE)</f>
        <v>1</v>
      </c>
    </row>
    <row r="24" spans="1:7" x14ac:dyDescent="0.35">
      <c r="A24" s="78" t="s">
        <v>35</v>
      </c>
      <c r="B24" s="64">
        <f>HLOOKUP(B17,'Graph Data'!$17:$27,9,FALSE)</f>
        <v>16</v>
      </c>
      <c r="C24" s="64">
        <f>HLOOKUP(C17,'Graph Data'!$17:$27,9,FALSE)</f>
        <v>4</v>
      </c>
      <c r="D24" s="64">
        <f>HLOOKUP(D17,'Graph Data'!$17:$27,9,FALSE)</f>
        <v>9</v>
      </c>
      <c r="E24" s="64">
        <f>HLOOKUP(E17,'Graph Data'!$17:$27,9,FALSE)</f>
        <v>8</v>
      </c>
      <c r="F24" s="64">
        <f>HLOOKUP(F17,'Graph Data'!$17:$27,9,FALSE)</f>
        <v>9</v>
      </c>
      <c r="G24" s="64">
        <f>HLOOKUP(G17,'Graph Data'!$17:$27,9,FALSE)</f>
        <v>14</v>
      </c>
    </row>
    <row r="25" spans="1:7" x14ac:dyDescent="0.35">
      <c r="A25" s="82" t="s">
        <v>143</v>
      </c>
      <c r="B25" s="64">
        <f>HLOOKUP(B17,'Graph Data'!$17:$27,10,FALSE)</f>
        <v>16</v>
      </c>
      <c r="C25" s="64">
        <f>HLOOKUP(C17,'Graph Data'!$17:$27,10,FALSE)</f>
        <v>11</v>
      </c>
      <c r="D25" s="64">
        <f>HLOOKUP(D17,'Graph Data'!$17:$27,10,FALSE)</f>
        <v>21</v>
      </c>
      <c r="E25" s="64">
        <f>HLOOKUP(E17,'Graph Data'!$17:$27,10,FALSE)</f>
        <v>15</v>
      </c>
      <c r="F25" s="64">
        <f>HLOOKUP(F17,'Graph Data'!$17:$27,10,FALSE)</f>
        <v>15</v>
      </c>
      <c r="G25" s="64">
        <f>HLOOKUP(G17,'Graph Data'!$17:$27,10,FALSE)</f>
        <v>7</v>
      </c>
    </row>
    <row r="26" spans="1:7" x14ac:dyDescent="0.35">
      <c r="A26" s="85" t="s">
        <v>68</v>
      </c>
      <c r="B26" s="64">
        <f>HLOOKUP(B17,'Graph Data'!$17:$27,11,FALSE)</f>
        <v>36</v>
      </c>
      <c r="C26" s="64">
        <f>HLOOKUP(C17,'Graph Data'!$17:$27,11,FALSE)</f>
        <v>26</v>
      </c>
      <c r="D26" s="64">
        <f>HLOOKUP(D17,'Graph Data'!$17:$27,11,FALSE)</f>
        <v>17</v>
      </c>
      <c r="E26" s="64">
        <f>HLOOKUP(E17,'Graph Data'!$17:$27,11,FALSE)</f>
        <v>15</v>
      </c>
      <c r="F26" s="64">
        <f>HLOOKUP(F17,'Graph Data'!$17:$27,11,FALSE)</f>
        <v>17</v>
      </c>
      <c r="G26" s="64">
        <f>HLOOKUP(G17,'Graph Data'!$17:$27,11,FALSE)</f>
        <v>28</v>
      </c>
    </row>
    <row r="27" spans="1:7" s="64" customFormat="1" x14ac:dyDescent="0.35">
      <c r="A27" s="70" t="s">
        <v>48</v>
      </c>
      <c r="B27" s="64">
        <f>HLOOKUP(B17,'Graph Data'!$17:$29,12,FALSE)</f>
        <v>25</v>
      </c>
      <c r="C27" s="64">
        <f>HLOOKUP(C17,'Graph Data'!$17:$29,12,FALSE)</f>
        <v>23</v>
      </c>
      <c r="D27" s="64">
        <f>HLOOKUP(D17,'Graph Data'!$17:$29,12,FALSE)</f>
        <v>28</v>
      </c>
      <c r="E27" s="64">
        <f>HLOOKUP(E17,'Graph Data'!$17:$29,12,FALSE)</f>
        <v>27</v>
      </c>
      <c r="F27" s="64">
        <f>HLOOKUP(F17,'Graph Data'!$17:$29,12,FALSE)</f>
        <v>25</v>
      </c>
      <c r="G27" s="64">
        <f>HLOOKUP(G17,'Graph Data'!$17:$29,12,FALSE)</f>
        <v>21</v>
      </c>
    </row>
    <row r="28" spans="1:7" ht="23" x14ac:dyDescent="0.35">
      <c r="A28" s="70" t="s">
        <v>138</v>
      </c>
      <c r="B28" s="64">
        <f>HLOOKUP(B17,'Graph Data'!$17:$29,13,FALSE)</f>
        <v>29</v>
      </c>
      <c r="C28" s="64">
        <f>HLOOKUP(C17,'Graph Data'!$17:$29,13,FALSE)</f>
        <v>13</v>
      </c>
      <c r="D28" s="64">
        <f>HLOOKUP(D17,'Graph Data'!$17:$29,13,FALSE)</f>
        <v>30</v>
      </c>
      <c r="E28" s="64">
        <f>HLOOKUP(E17,'Graph Data'!$17:$29,13,FALSE)</f>
        <v>15</v>
      </c>
      <c r="F28" s="64">
        <f>HLOOKUP(F17,'Graph Data'!$17:$29,13,FALSE)</f>
        <v>15</v>
      </c>
      <c r="G28" s="64">
        <f>HLOOKUP(G17,'Graph Data'!$17:$29,13,FALSE)</f>
        <v>30</v>
      </c>
    </row>
    <row r="30" spans="1:7" x14ac:dyDescent="0.35">
      <c r="A30" s="74" t="s">
        <v>144</v>
      </c>
      <c r="B30" s="64">
        <v>6</v>
      </c>
      <c r="C30" s="64">
        <v>5</v>
      </c>
      <c r="D30" s="64">
        <v>4</v>
      </c>
      <c r="E30" s="64">
        <v>3</v>
      </c>
      <c r="F30" s="64">
        <v>2</v>
      </c>
      <c r="G30" s="64">
        <v>1</v>
      </c>
    </row>
    <row r="31" spans="1:7" x14ac:dyDescent="0.35">
      <c r="A31" s="64"/>
      <c r="B31" s="64" t="str">
        <f>HLOOKUP(B30,'Graph Data'!31:34,3,FALSE)</f>
        <v>2021/53</v>
      </c>
      <c r="C31" s="64" t="str">
        <f>HLOOKUP(C30,'Graph Data'!31:34,3,FALSE)</f>
        <v>2021/54</v>
      </c>
      <c r="D31" s="64" t="str">
        <f>HLOOKUP(D30,'Graph Data'!31:34,3,FALSE)</f>
        <v>2021/55</v>
      </c>
      <c r="E31" s="64" t="str">
        <f>HLOOKUP(E30,'Graph Data'!31:34,3,FALSE)</f>
        <v>2021/56</v>
      </c>
      <c r="F31" s="64" t="str">
        <f>HLOOKUP(F30,'Graph Data'!31:34,3,FALSE)</f>
        <v>2021/57</v>
      </c>
      <c r="G31" s="64" t="str">
        <f>HLOOKUP(G30,'Graph Data'!31:34,3,FALSE)</f>
        <v>2021/58</v>
      </c>
    </row>
    <row r="32" spans="1:7" x14ac:dyDescent="0.35">
      <c r="A32" s="64"/>
      <c r="B32" s="64" t="str">
        <f>HLOOKUP(B30,'Graph Data'!31:34,4,FALSE)</f>
        <v>October</v>
      </c>
      <c r="C32" s="64" t="str">
        <f>HLOOKUP(C30,'Graph Data'!31:34,4,FALSE)</f>
        <v>November</v>
      </c>
      <c r="D32" s="64" t="str">
        <f>HLOOKUP(D30,'Graph Data'!31:34,4,FALSE)</f>
        <v>December</v>
      </c>
      <c r="E32" s="64" t="str">
        <f>HLOOKUP(E30,'Graph Data'!31:34,4,FALSE)</f>
        <v>January</v>
      </c>
      <c r="F32" s="64" t="str">
        <f>HLOOKUP(F30,'Graph Data'!31:34,4,FALSE)</f>
        <v>February</v>
      </c>
      <c r="G32" s="64" t="str">
        <f>HLOOKUP(G30,'Graph Data'!31:34,4,FALSE)</f>
        <v>March</v>
      </c>
    </row>
    <row r="33" spans="1:7" x14ac:dyDescent="0.35">
      <c r="A33" s="64"/>
      <c r="B33" s="64" t="str">
        <f>B32</f>
        <v>October</v>
      </c>
      <c r="C33" s="64" t="str">
        <f t="shared" ref="C33:G33" si="2">C32</f>
        <v>November</v>
      </c>
      <c r="D33" s="64" t="str">
        <f t="shared" si="2"/>
        <v>December</v>
      </c>
      <c r="E33" s="64" t="str">
        <f t="shared" si="2"/>
        <v>January</v>
      </c>
      <c r="F33" s="64" t="str">
        <f t="shared" si="2"/>
        <v>February</v>
      </c>
      <c r="G33" s="64" t="str">
        <f t="shared" si="2"/>
        <v>March</v>
      </c>
    </row>
    <row r="34" spans="1:7" x14ac:dyDescent="0.35">
      <c r="A34" s="78" t="s">
        <v>39</v>
      </c>
      <c r="B34" s="64">
        <f>HLOOKUP($B$30,'Graph Data'!$31:$43,6,FALSE)</f>
        <v>120</v>
      </c>
      <c r="C34" s="64">
        <f>HLOOKUP(C30,'Graph Data'!31:43,6,FALSE)</f>
        <v>95</v>
      </c>
      <c r="D34" s="64">
        <f>HLOOKUP(D30,'Graph Data'!31:43,6,FALSE)</f>
        <v>135</v>
      </c>
      <c r="E34" s="64">
        <f>HLOOKUP(E30,'Graph Data'!31:43,6,FALSE)</f>
        <v>96</v>
      </c>
      <c r="F34" s="64">
        <f>HLOOKUP(F30,'Graph Data'!31:43,6,FALSE)</f>
        <v>109</v>
      </c>
      <c r="G34" s="64">
        <f>HLOOKUP(G30,'Graph Data'!31:43,6,FALSE)</f>
        <v>116</v>
      </c>
    </row>
    <row r="35" spans="1:7" x14ac:dyDescent="0.35">
      <c r="A35" s="78" t="s">
        <v>40</v>
      </c>
      <c r="B35" s="64">
        <f>HLOOKUP(B30,'Graph Data'!$31:$43,7,FALSE)</f>
        <v>226</v>
      </c>
      <c r="C35" s="64">
        <f>HLOOKUP(C30,'Graph Data'!$31:$43,7,FALSE)</f>
        <v>224</v>
      </c>
      <c r="D35" s="64">
        <f>HLOOKUP(D30,'Graph Data'!$31:$43,7,FALSE)</f>
        <v>261</v>
      </c>
      <c r="E35" s="64">
        <f>HLOOKUP(E30,'Graph Data'!$31:$43,7,FALSE)</f>
        <v>262</v>
      </c>
      <c r="F35" s="64">
        <f>HLOOKUP(F30,'Graph Data'!$31:$43,7,FALSE)</f>
        <v>216</v>
      </c>
      <c r="G35" s="64">
        <f>HLOOKUP(G30,'Graph Data'!$31:$43,7,FALSE)</f>
        <v>212</v>
      </c>
    </row>
    <row r="36" spans="1:7" x14ac:dyDescent="0.35">
      <c r="A36" s="78" t="s">
        <v>5</v>
      </c>
      <c r="B36" s="64">
        <f>HLOOKUP(B30,'Graph Data'!$31:$43,8,FALSE)</f>
        <v>9</v>
      </c>
      <c r="C36" s="64">
        <f>HLOOKUP(C30,'Graph Data'!$31:$43,8,FALSE)</f>
        <v>13</v>
      </c>
      <c r="D36" s="64">
        <f>HLOOKUP(D30,'Graph Data'!$31:$43,8,FALSE)</f>
        <v>11</v>
      </c>
      <c r="E36" s="64">
        <f>HLOOKUP(E30,'Graph Data'!$31:$43,8,FALSE)</f>
        <v>23</v>
      </c>
      <c r="F36" s="64">
        <f>HLOOKUP(F30,'Graph Data'!$31:$43,8,FALSE)</f>
        <v>14</v>
      </c>
      <c r="G36" s="64">
        <f>HLOOKUP(G30,'Graph Data'!$31:$43,8,FALSE)</f>
        <v>23</v>
      </c>
    </row>
    <row r="37" spans="1:7" x14ac:dyDescent="0.35">
      <c r="A37" s="200" t="s">
        <v>35</v>
      </c>
      <c r="B37" s="64">
        <f>HLOOKUP(B30,'Graph Data'!$31:$43,9,FALSE)</f>
        <v>39</v>
      </c>
      <c r="C37" s="64">
        <f>HLOOKUP(C30,'Graph Data'!$31:$43,9,FALSE)</f>
        <v>26</v>
      </c>
      <c r="D37" s="64">
        <f>HLOOKUP(D30,'Graph Data'!$31:$43,9,FALSE)</f>
        <v>35</v>
      </c>
      <c r="E37" s="64">
        <f>HLOOKUP(E30,'Graph Data'!$31:$43,9,FALSE)</f>
        <v>26</v>
      </c>
      <c r="F37" s="64">
        <f>HLOOKUP(F30,'Graph Data'!$31:$43,9,FALSE)</f>
        <v>38</v>
      </c>
      <c r="G37" s="64">
        <f>HLOOKUP(G30,'Graph Data'!$31:$43,9,FALSE)</f>
        <v>38</v>
      </c>
    </row>
    <row r="38" spans="1:7" x14ac:dyDescent="0.35">
      <c r="A38" s="82" t="s">
        <v>143</v>
      </c>
      <c r="B38" s="64">
        <f>HLOOKUP(B30,'Graph Data'!$31:$43,10,FALSE)</f>
        <v>47</v>
      </c>
      <c r="C38" s="64">
        <f>HLOOKUP(C30,'Graph Data'!$31:$43,10,FALSE)</f>
        <v>30</v>
      </c>
      <c r="D38" s="64">
        <f>HLOOKUP(D30,'Graph Data'!$31:$43,10,FALSE)</f>
        <v>38</v>
      </c>
      <c r="E38" s="64">
        <f>HLOOKUP(E30,'Graph Data'!$31:$43,10,FALSE)</f>
        <v>30</v>
      </c>
      <c r="F38" s="64">
        <f>HLOOKUP(F30,'Graph Data'!$31:$43,10,FALSE)</f>
        <v>25</v>
      </c>
      <c r="G38" s="64">
        <f>HLOOKUP(G30,'Graph Data'!$31:$43,10,FALSE)</f>
        <v>29</v>
      </c>
    </row>
    <row r="39" spans="1:7" s="64" customFormat="1" x14ac:dyDescent="0.35">
      <c r="A39" s="86" t="s">
        <v>208</v>
      </c>
      <c r="B39" s="64">
        <f>HLOOKUP(B30,'Graph Data'!$31:$43,11,FALSE)</f>
        <v>37</v>
      </c>
      <c r="C39" s="64">
        <f>HLOOKUP(C30,'Graph Data'!$31:$43,11,FALSE)</f>
        <v>21</v>
      </c>
      <c r="D39" s="64">
        <f>HLOOKUP(D30,'Graph Data'!$31:$43,11,FALSE)</f>
        <v>33</v>
      </c>
      <c r="E39" s="64">
        <f>HLOOKUP(E30,'Graph Data'!$31:$43,11,FALSE)</f>
        <v>31</v>
      </c>
      <c r="F39" s="64">
        <f>HLOOKUP(F30,'Graph Data'!$31:$43,11,FALSE)</f>
        <v>19</v>
      </c>
      <c r="G39" s="64">
        <f>HLOOKUP(G30,'Graph Data'!$31:$43,11,FALSE)</f>
        <v>32</v>
      </c>
    </row>
    <row r="40" spans="1:7" s="64" customFormat="1" x14ac:dyDescent="0.35">
      <c r="A40" s="201" t="s">
        <v>37</v>
      </c>
      <c r="B40" s="64">
        <f>HLOOKUP(B30,'Graph Data'!$31:$43,12,FALSE)</f>
        <v>5</v>
      </c>
      <c r="C40" s="64">
        <f>HLOOKUP(C30,'Graph Data'!$31:$43,12,FALSE)</f>
        <v>10</v>
      </c>
      <c r="D40" s="64">
        <f>HLOOKUP(D30,'Graph Data'!$31:$43,12,FALSE)</f>
        <v>8</v>
      </c>
      <c r="E40" s="64">
        <f>HLOOKUP(E30,'Graph Data'!$31:$43,12,FALSE)</f>
        <v>1</v>
      </c>
      <c r="F40" s="64">
        <f>HLOOKUP(F30,'Graph Data'!$31:$43,12,FALSE)</f>
        <v>8</v>
      </c>
      <c r="G40" s="64">
        <f>HLOOKUP(G30,'Graph Data'!$31:$43,12,FALSE)</f>
        <v>11</v>
      </c>
    </row>
    <row r="41" spans="1:7" x14ac:dyDescent="0.35">
      <c r="A41" s="202" t="s">
        <v>68</v>
      </c>
      <c r="B41" s="64">
        <f>HLOOKUP(B30,'Graph Data'!$31:$44,13,FALSE)</f>
        <v>55</v>
      </c>
      <c r="C41" s="64">
        <f>HLOOKUP(C30,'Graph Data'!$31:$44,13,FALSE)</f>
        <v>47</v>
      </c>
      <c r="D41" s="64">
        <f>HLOOKUP(D30,'Graph Data'!$31:$44,13,FALSE)</f>
        <v>50</v>
      </c>
      <c r="E41" s="64">
        <f>HLOOKUP(E30,'Graph Data'!$31:$44,13,FALSE)</f>
        <v>47</v>
      </c>
      <c r="F41" s="64">
        <f>HLOOKUP(F30,'Graph Data'!$31:$44,13,FALSE)</f>
        <v>50</v>
      </c>
      <c r="G41" s="64">
        <f>HLOOKUP(G30,'Graph Data'!$31:$44,13,FALSE)</f>
        <v>50</v>
      </c>
    </row>
    <row r="42" spans="1:7" s="64" customFormat="1" x14ac:dyDescent="0.35">
      <c r="A42" s="202" t="s">
        <v>76</v>
      </c>
      <c r="B42" s="64">
        <f>HLOOKUP(B30,'Graph Data'!$31:$44,14,FALSE)</f>
        <v>231</v>
      </c>
      <c r="C42" s="64">
        <f>HLOOKUP(C30,'Graph Data'!$31:$44,14,FALSE)</f>
        <v>198</v>
      </c>
      <c r="D42" s="64">
        <f>HLOOKUP(D30,'Graph Data'!$31:$44,14,FALSE)</f>
        <v>176</v>
      </c>
      <c r="E42" s="64">
        <f>HLOOKUP(E30,'Graph Data'!$31:$44,14,FALSE)</f>
        <v>195</v>
      </c>
      <c r="F42" s="64">
        <f>HLOOKUP(F30,'Graph Data'!$31:$44,14,FALSE)</f>
        <v>204</v>
      </c>
      <c r="G42" s="64">
        <f>HLOOKUP(G30,'Graph Data'!$31:$44,14,FALSE)</f>
        <v>281</v>
      </c>
    </row>
    <row r="43" spans="1:7" s="64" customFormat="1" x14ac:dyDescent="0.35">
      <c r="A43" s="88"/>
    </row>
    <row r="44" spans="1:7" x14ac:dyDescent="0.35">
      <c r="A44" s="74" t="s">
        <v>145</v>
      </c>
      <c r="B44" s="64">
        <v>6</v>
      </c>
      <c r="C44" s="64">
        <v>5</v>
      </c>
      <c r="D44" s="64">
        <v>4</v>
      </c>
      <c r="E44" s="64">
        <v>3</v>
      </c>
      <c r="F44" s="64">
        <v>2</v>
      </c>
      <c r="G44" s="64">
        <v>1</v>
      </c>
    </row>
    <row r="45" spans="1:7" x14ac:dyDescent="0.35">
      <c r="A45" s="64"/>
      <c r="B45" s="64" t="str">
        <f>HLOOKUP(B44,'Graph Data'!48:52,3,FALSE)</f>
        <v>2021/53</v>
      </c>
      <c r="C45" s="64" t="str">
        <f>HLOOKUP(C44,'Graph Data'!48:52,3,FALSE)</f>
        <v>2021/54</v>
      </c>
      <c r="D45" s="64" t="str">
        <f>HLOOKUP(D44,'Graph Data'!48:52,3,FALSE)</f>
        <v>2021/55</v>
      </c>
      <c r="E45" s="64" t="str">
        <f>HLOOKUP(E44,'Graph Data'!48:52,3,FALSE)</f>
        <v>2021/56</v>
      </c>
      <c r="F45" s="64" t="str">
        <f>HLOOKUP(F44,'Graph Data'!48:52,3,FALSE)</f>
        <v>2021/57</v>
      </c>
      <c r="G45" s="64" t="str">
        <f>HLOOKUP(G44,'Graph Data'!48:52,3,FALSE)</f>
        <v>2021/58</v>
      </c>
    </row>
    <row r="46" spans="1:7" x14ac:dyDescent="0.35">
      <c r="A46" s="64"/>
      <c r="B46" s="64" t="str">
        <f>HLOOKUP(B44,'Graph Data'!48:52,4,FALSE)</f>
        <v>October</v>
      </c>
      <c r="C46" s="64" t="str">
        <f>HLOOKUP(C44,'Graph Data'!48:52,4,FALSE)</f>
        <v>November</v>
      </c>
      <c r="D46" s="64" t="str">
        <f>HLOOKUP(D44,'Graph Data'!48:52,4,FALSE)</f>
        <v>December</v>
      </c>
      <c r="E46" s="64" t="str">
        <f>HLOOKUP(E44,'Graph Data'!48:52,4,FALSE)</f>
        <v>January</v>
      </c>
      <c r="F46" s="64" t="str">
        <f>HLOOKUP(F44,'Graph Data'!48:52,4,FALSE)</f>
        <v>February</v>
      </c>
      <c r="G46" s="64" t="str">
        <f>HLOOKUP(G44,'Graph Data'!48:52,4,FALSE)</f>
        <v>March</v>
      </c>
    </row>
    <row r="47" spans="1:7" x14ac:dyDescent="0.35">
      <c r="A47" s="64"/>
      <c r="B47" s="64" t="str">
        <f>B46</f>
        <v>October</v>
      </c>
      <c r="C47" s="64" t="str">
        <f t="shared" ref="C47:G47" si="3">C46</f>
        <v>November</v>
      </c>
      <c r="D47" s="64" t="str">
        <f t="shared" si="3"/>
        <v>December</v>
      </c>
      <c r="E47" s="64" t="str">
        <f t="shared" si="3"/>
        <v>January</v>
      </c>
      <c r="F47" s="64" t="str">
        <f t="shared" si="3"/>
        <v>February</v>
      </c>
      <c r="G47" s="64" t="str">
        <f t="shared" si="3"/>
        <v>March</v>
      </c>
    </row>
    <row r="48" spans="1:7" x14ac:dyDescent="0.35">
      <c r="A48" s="78" t="s">
        <v>39</v>
      </c>
      <c r="B48" s="64">
        <f>HLOOKUP(B44,'Graph Data'!$48:$60,6,FALSE)</f>
        <v>61</v>
      </c>
      <c r="C48" s="64">
        <f>HLOOKUP(C44,'Graph Data'!$48:$60,6,FALSE)</f>
        <v>71</v>
      </c>
      <c r="D48" s="64">
        <f>HLOOKUP(D44,'Graph Data'!$48:$60,6,FALSE)</f>
        <v>80</v>
      </c>
      <c r="E48" s="64">
        <f>HLOOKUP(E44,'Graph Data'!$48:$60,6,FALSE)</f>
        <v>71</v>
      </c>
      <c r="F48" s="64">
        <f>HLOOKUP(F44,'Graph Data'!$48:$60,6,FALSE)</f>
        <v>66</v>
      </c>
      <c r="G48" s="64">
        <f>HLOOKUP(G44,'Graph Data'!$48:$60,6,FALSE)</f>
        <v>87</v>
      </c>
    </row>
    <row r="49" spans="1:7" x14ac:dyDescent="0.35">
      <c r="A49" s="78" t="s">
        <v>40</v>
      </c>
      <c r="B49" s="64">
        <f>HLOOKUP(B44,'Graph Data'!$48:$60,7,FALSE)</f>
        <v>129</v>
      </c>
      <c r="C49" s="64">
        <f>HLOOKUP(C44,'Graph Data'!$48:$60,7,FALSE)</f>
        <v>136</v>
      </c>
      <c r="D49" s="64">
        <f>HLOOKUP(D44,'Graph Data'!$48:$60,7,FALSE)</f>
        <v>164</v>
      </c>
      <c r="E49" s="64">
        <f>HLOOKUP(E44,'Graph Data'!$48:$60,7,FALSE)</f>
        <v>142</v>
      </c>
      <c r="F49" s="64">
        <f>HLOOKUP(F44,'Graph Data'!$48:$60,7,FALSE)</f>
        <v>126</v>
      </c>
      <c r="G49" s="64">
        <f>HLOOKUP(G44,'Graph Data'!$48:$60,7,FALSE)</f>
        <v>142</v>
      </c>
    </row>
    <row r="50" spans="1:7" x14ac:dyDescent="0.35">
      <c r="A50" s="78" t="s">
        <v>37</v>
      </c>
      <c r="B50" s="64">
        <f>HLOOKUP(B44,'Graph Data'!$48:$60,8,FALSE)</f>
        <v>2</v>
      </c>
      <c r="C50" s="64">
        <f>HLOOKUP(C44,'Graph Data'!$48:$60,8,FALSE)</f>
        <v>0</v>
      </c>
      <c r="D50" s="64">
        <f>HLOOKUP(D44,'Graph Data'!$48:$60,8,FALSE)</f>
        <v>2</v>
      </c>
      <c r="E50" s="64">
        <f>HLOOKUP(E44,'Graph Data'!$48:$60,8,FALSE)</f>
        <v>4</v>
      </c>
      <c r="F50" s="64">
        <f>HLOOKUP(F44,'Graph Data'!$48:$60,8,FALSE)</f>
        <v>1</v>
      </c>
      <c r="G50" s="64">
        <f>HLOOKUP(G44,'Graph Data'!$48:$60,8,FALSE)</f>
        <v>8</v>
      </c>
    </row>
    <row r="51" spans="1:7" x14ac:dyDescent="0.35">
      <c r="A51" s="78" t="s">
        <v>52</v>
      </c>
      <c r="B51" s="64">
        <f>HLOOKUP(B44,'Graph Data'!$48:$60,9,FALSE)</f>
        <v>111</v>
      </c>
      <c r="C51" s="64">
        <f>HLOOKUP(C44,'Graph Data'!$48:$60,9,FALSE)</f>
        <v>88</v>
      </c>
      <c r="D51" s="64">
        <f>HLOOKUP(D44,'Graph Data'!$48:$60,9,FALSE)</f>
        <v>83</v>
      </c>
      <c r="E51" s="64">
        <f>HLOOKUP(E44,'Graph Data'!$48:$60,9,FALSE)</f>
        <v>78</v>
      </c>
      <c r="F51" s="64">
        <f>HLOOKUP(F44,'Graph Data'!$48:$60,9,FALSE)</f>
        <v>85</v>
      </c>
      <c r="G51" s="64">
        <f>HLOOKUP(G44,'Graph Data'!$48:$60,9,FALSE)</f>
        <v>66</v>
      </c>
    </row>
    <row r="52" spans="1:7" ht="23" x14ac:dyDescent="0.35">
      <c r="A52" s="80" t="s">
        <v>150</v>
      </c>
      <c r="B52" s="64">
        <f>HLOOKUP(B44,'Graph Data'!$48:$60,10,FALSE)</f>
        <v>4</v>
      </c>
      <c r="C52" s="64">
        <f>HLOOKUP(C44,'Graph Data'!$48:$60,10,FALSE)</f>
        <v>7</v>
      </c>
      <c r="D52" s="64">
        <f>HLOOKUP(D44,'Graph Data'!$48:$60,10,FALSE)</f>
        <v>6</v>
      </c>
      <c r="E52" s="64">
        <f>HLOOKUP(E44,'Graph Data'!$48:$60,10,FALSE)</f>
        <v>6</v>
      </c>
      <c r="F52" s="64">
        <f>HLOOKUP(F44,'Graph Data'!$48:$60,10,FALSE)</f>
        <v>2</v>
      </c>
      <c r="G52" s="64">
        <f>HLOOKUP(G44,'Graph Data'!$48:$60,10,FALSE)</f>
        <v>4</v>
      </c>
    </row>
    <row r="53" spans="1:7" ht="23" x14ac:dyDescent="0.35">
      <c r="A53" s="80" t="s">
        <v>151</v>
      </c>
      <c r="B53" s="64">
        <f>HLOOKUP(B44,'Graph Data'!$48:$60,11,FALSE)</f>
        <v>6</v>
      </c>
      <c r="C53" s="64">
        <f>HLOOKUP(C44,'Graph Data'!$48:$60,11,FALSE)</f>
        <v>3</v>
      </c>
      <c r="D53" s="64">
        <f>HLOOKUP(D44,'Graph Data'!$48:$60,11,FALSE)</f>
        <v>3</v>
      </c>
      <c r="E53" s="64">
        <f>HLOOKUP(E44,'Graph Data'!$48:$60,11,FALSE)</f>
        <v>1</v>
      </c>
      <c r="F53" s="64">
        <f>HLOOKUP(F44,'Graph Data'!$48:$60,11,FALSE)</f>
        <v>2</v>
      </c>
      <c r="G53" s="64">
        <f>HLOOKUP(G44,'Graph Data'!$48:$60,11,FALSE)</f>
        <v>2</v>
      </c>
    </row>
    <row r="54" spans="1:7" x14ac:dyDescent="0.35">
      <c r="A54" s="82" t="s">
        <v>143</v>
      </c>
      <c r="B54" s="64">
        <f>HLOOKUP(B44,'Graph Data'!$48:$60,12,FALSE)</f>
        <v>20</v>
      </c>
      <c r="C54" s="64">
        <f>HLOOKUP(C44,'Graph Data'!$48:$60,12,FALSE)</f>
        <v>20</v>
      </c>
      <c r="D54" s="64">
        <f>HLOOKUP(D44,'Graph Data'!$48:$60,12,FALSE)</f>
        <v>27</v>
      </c>
      <c r="E54" s="64">
        <f>HLOOKUP(E44,'Graph Data'!$48:$60,12,FALSE)</f>
        <v>11</v>
      </c>
      <c r="F54" s="64">
        <f>HLOOKUP(F44,'Graph Data'!$48:$60,12,FALSE)</f>
        <v>14</v>
      </c>
      <c r="G54" s="64">
        <f>HLOOKUP(G44,'Graph Data'!$48:$60,12,FALSE)</f>
        <v>11</v>
      </c>
    </row>
    <row r="55" spans="1:7" x14ac:dyDescent="0.35">
      <c r="A55" s="93" t="s">
        <v>68</v>
      </c>
      <c r="B55" s="64">
        <f>HLOOKUP(B44,'Graph Data'!$48:$60,13,FALSE)</f>
        <v>34</v>
      </c>
      <c r="C55" s="64">
        <f>HLOOKUP(C44,'Graph Data'!$48:$60,13,FALSE)</f>
        <v>32</v>
      </c>
      <c r="D55" s="64">
        <f>HLOOKUP(D44,'Graph Data'!$48:$60,13,FALSE)</f>
        <v>24</v>
      </c>
      <c r="E55" s="64">
        <f>HLOOKUP(E44,'Graph Data'!$48:$60,13,FALSE)</f>
        <v>24</v>
      </c>
      <c r="F55" s="64">
        <f>HLOOKUP(F44,'Graph Data'!$48:$60,13,FALSE)</f>
        <v>23</v>
      </c>
      <c r="G55" s="64">
        <f>HLOOKUP(G44,'Graph Data'!$48:$60,13,FALSE)</f>
        <v>40</v>
      </c>
    </row>
    <row r="58" spans="1:7" x14ac:dyDescent="0.35">
      <c r="A58" s="74" t="s">
        <v>152</v>
      </c>
      <c r="B58" s="64">
        <v>6</v>
      </c>
      <c r="C58" s="64">
        <v>5</v>
      </c>
      <c r="D58" s="64">
        <v>4</v>
      </c>
      <c r="E58" s="64">
        <v>3</v>
      </c>
      <c r="F58" s="64">
        <v>2</v>
      </c>
      <c r="G58" s="64">
        <v>1</v>
      </c>
    </row>
    <row r="59" spans="1:7" x14ac:dyDescent="0.35">
      <c r="A59" s="64"/>
      <c r="B59" s="64" t="str">
        <f>HLOOKUP(B58,'Graph Data'!94:97,3,FALSE)</f>
        <v>2021/53</v>
      </c>
      <c r="C59" s="64" t="str">
        <f>HLOOKUP(C58,'Graph Data'!94:97,3,FALSE)</f>
        <v>2021/54</v>
      </c>
      <c r="D59" s="64" t="str">
        <f>HLOOKUP(D58,'Graph Data'!94:97,3,FALSE)</f>
        <v>2021/55</v>
      </c>
      <c r="E59" s="64" t="str">
        <f>HLOOKUP(E58,'Graph Data'!94:97,3,FALSE)</f>
        <v>2021/56</v>
      </c>
      <c r="F59" s="64" t="str">
        <f>HLOOKUP(F58,'Graph Data'!94:97,3,FALSE)</f>
        <v>2021/57</v>
      </c>
      <c r="G59" s="64" t="str">
        <f>HLOOKUP(G58,'Graph Data'!94:97,3,FALSE)</f>
        <v>2021/58</v>
      </c>
    </row>
    <row r="60" spans="1:7" x14ac:dyDescent="0.35">
      <c r="A60" s="64"/>
      <c r="B60" s="64" t="str">
        <f>HLOOKUP(B58,'Graph Data'!94:97,4,FALSE)</f>
        <v>October</v>
      </c>
      <c r="C60" s="64" t="str">
        <f>HLOOKUP(C58,'Graph Data'!94:97,4,FALSE)</f>
        <v>November</v>
      </c>
      <c r="D60" s="64" t="str">
        <f>HLOOKUP(D58,'Graph Data'!94:97,4,FALSE)</f>
        <v>December</v>
      </c>
      <c r="E60" s="64" t="str">
        <f>HLOOKUP(E58,'Graph Data'!94:97,4,FALSE)</f>
        <v>January</v>
      </c>
      <c r="F60" s="64" t="str">
        <f>HLOOKUP(F58,'Graph Data'!94:97,4,FALSE)</f>
        <v>February</v>
      </c>
      <c r="G60" s="64" t="str">
        <f>HLOOKUP(G58,'Graph Data'!94:97,4,FALSE)</f>
        <v>March</v>
      </c>
    </row>
    <row r="61" spans="1:7" x14ac:dyDescent="0.35">
      <c r="A61" s="64"/>
      <c r="B61" s="64" t="str">
        <f>B60</f>
        <v>October</v>
      </c>
      <c r="C61" s="64" t="str">
        <f t="shared" ref="C61:G61" si="4">C60</f>
        <v>November</v>
      </c>
      <c r="D61" s="64" t="str">
        <f t="shared" si="4"/>
        <v>December</v>
      </c>
      <c r="E61" s="64" t="str">
        <f t="shared" si="4"/>
        <v>January</v>
      </c>
      <c r="F61" s="64" t="str">
        <f t="shared" si="4"/>
        <v>February</v>
      </c>
      <c r="G61" s="64" t="str">
        <f t="shared" si="4"/>
        <v>March</v>
      </c>
    </row>
    <row r="62" spans="1:7" x14ac:dyDescent="0.35">
      <c r="A62" s="78" t="s">
        <v>39</v>
      </c>
      <c r="B62" s="64">
        <f>HLOOKUP(B58,'Graph Data'!$94:$108,6,FALSE)</f>
        <v>165</v>
      </c>
      <c r="C62" s="64">
        <f>HLOOKUP(C58,'Graph Data'!$94:$108,6,FALSE)</f>
        <v>140</v>
      </c>
      <c r="D62" s="64">
        <f>HLOOKUP(D58,'Graph Data'!$94:$108,6,FALSE)</f>
        <v>165</v>
      </c>
      <c r="E62" s="64">
        <f>HLOOKUP(E58,'Graph Data'!$94:$108,6,FALSE)</f>
        <v>163</v>
      </c>
      <c r="F62" s="64">
        <f>HLOOKUP(F58,'Graph Data'!$94:$108,6,FALSE)</f>
        <v>116</v>
      </c>
      <c r="G62" s="64">
        <f>HLOOKUP(G58,'Graph Data'!$94:$108,6,FALSE)</f>
        <v>163</v>
      </c>
    </row>
    <row r="63" spans="1:7" x14ac:dyDescent="0.35">
      <c r="A63" s="78" t="s">
        <v>40</v>
      </c>
      <c r="B63" s="64">
        <f>HLOOKUP(B58,'Graph Data'!$94:$108,7,FALSE)</f>
        <v>353</v>
      </c>
      <c r="C63" s="64">
        <f>HLOOKUP(C58,'Graph Data'!$94:$108,7,FALSE)</f>
        <v>314</v>
      </c>
      <c r="D63" s="64">
        <f>HLOOKUP(D58,'Graph Data'!$94:$108,7,FALSE)</f>
        <v>298</v>
      </c>
      <c r="E63" s="64">
        <f>HLOOKUP(E58,'Graph Data'!$94:$108,7,FALSE)</f>
        <v>312</v>
      </c>
      <c r="F63" s="64">
        <f>HLOOKUP(F58,'Graph Data'!$94:$108,7,FALSE)</f>
        <v>343</v>
      </c>
      <c r="G63" s="64">
        <f>HLOOKUP(G58,'Graph Data'!$94:$108,7,FALSE)</f>
        <v>338</v>
      </c>
    </row>
    <row r="64" spans="1:7" x14ac:dyDescent="0.35">
      <c r="A64" s="78" t="s">
        <v>5</v>
      </c>
      <c r="B64" s="64">
        <f>HLOOKUP(B58,'Graph Data'!$94:$108,8,FALSE)</f>
        <v>33</v>
      </c>
      <c r="C64" s="64">
        <f>HLOOKUP(C58,'Graph Data'!$94:$108,8,FALSE)</f>
        <v>21</v>
      </c>
      <c r="D64" s="64">
        <f>HLOOKUP(D58,'Graph Data'!$94:$108,8,FALSE)</f>
        <v>26</v>
      </c>
      <c r="E64" s="64">
        <f>HLOOKUP(E58,'Graph Data'!$94:$108,8,FALSE)</f>
        <v>27</v>
      </c>
      <c r="F64" s="64">
        <f>HLOOKUP(F58,'Graph Data'!$94:$108,8,FALSE)</f>
        <v>14</v>
      </c>
      <c r="G64" s="64">
        <f>HLOOKUP(G58,'Graph Data'!$94:$108,8,FALSE)</f>
        <v>11</v>
      </c>
    </row>
    <row r="65" spans="1:7" x14ac:dyDescent="0.35">
      <c r="A65" s="78" t="s">
        <v>35</v>
      </c>
      <c r="B65" s="64">
        <f>HLOOKUP(B58,'Graph Data'!$94:$108,9,FALSE)</f>
        <v>43</v>
      </c>
      <c r="C65" s="64">
        <f>HLOOKUP(C58,'Graph Data'!$94:$108,9,FALSE)</f>
        <v>44</v>
      </c>
      <c r="D65" s="64">
        <f>HLOOKUP(D58,'Graph Data'!$94:$108,9,FALSE)</f>
        <v>40</v>
      </c>
      <c r="E65" s="64">
        <f>HLOOKUP(E58,'Graph Data'!$94:$108,9,FALSE)</f>
        <v>44</v>
      </c>
      <c r="F65" s="64">
        <f>HLOOKUP(F58,'Graph Data'!$94:$108,9,FALSE)</f>
        <v>41</v>
      </c>
      <c r="G65" s="64">
        <f>HLOOKUP(G58,'Graph Data'!$94:$108,9,FALSE)</f>
        <v>56</v>
      </c>
    </row>
    <row r="66" spans="1:7" ht="23" x14ac:dyDescent="0.35">
      <c r="A66" s="80" t="s">
        <v>46</v>
      </c>
      <c r="B66" s="64">
        <f>HLOOKUP(B58,'Graph Data'!$94:$108,10,FALSE)</f>
        <v>1</v>
      </c>
      <c r="C66" s="64">
        <f>HLOOKUP(C58,'Graph Data'!$94:$108,10,FALSE)</f>
        <v>2</v>
      </c>
      <c r="D66" s="64">
        <f>HLOOKUP(D58,'Graph Data'!$94:$108,10,FALSE)</f>
        <v>0</v>
      </c>
      <c r="E66" s="64">
        <f>HLOOKUP(E58,'Graph Data'!$94:$108,10,FALSE)</f>
        <v>0</v>
      </c>
      <c r="F66" s="64">
        <f>HLOOKUP(F58,'Graph Data'!$94:$108,10,FALSE)</f>
        <v>1</v>
      </c>
      <c r="G66" s="64">
        <f>HLOOKUP(G58,'Graph Data'!$94:$108,10,FALSE)</f>
        <v>2</v>
      </c>
    </row>
    <row r="67" spans="1:7" x14ac:dyDescent="0.35">
      <c r="A67" s="80" t="s">
        <v>48</v>
      </c>
      <c r="B67" s="64">
        <f>HLOOKUP(B58,'Graph Data'!$94:$108,11,FALSE)</f>
        <v>96</v>
      </c>
      <c r="C67" s="64">
        <f>HLOOKUP(C58,'Graph Data'!$94:$108,11,FALSE)</f>
        <v>73</v>
      </c>
      <c r="D67" s="64">
        <f>HLOOKUP(D58,'Graph Data'!$94:$108,11,FALSE)</f>
        <v>57</v>
      </c>
      <c r="E67" s="64">
        <f>HLOOKUP(E58,'Graph Data'!$94:$108,11,FALSE)</f>
        <v>73</v>
      </c>
      <c r="F67" s="64">
        <f>HLOOKUP(F58,'Graph Data'!$94:$108,11,FALSE)</f>
        <v>48</v>
      </c>
      <c r="G67" s="64">
        <f>HLOOKUP(G58,'Graph Data'!$94:$108,11,FALSE)</f>
        <v>60</v>
      </c>
    </row>
    <row r="68" spans="1:7" ht="34.5" x14ac:dyDescent="0.35">
      <c r="A68" s="80" t="s">
        <v>49</v>
      </c>
      <c r="B68" s="64">
        <f>HLOOKUP(B58,'Graph Data'!$94:$108,12,FALSE)</f>
        <v>35</v>
      </c>
      <c r="C68" s="64">
        <f>HLOOKUP(C58,'Graph Data'!$94:$108,12,FALSE)</f>
        <v>32</v>
      </c>
      <c r="D68" s="64">
        <f>HLOOKUP(D58,'Graph Data'!$94:$108,12,FALSE)</f>
        <v>46</v>
      </c>
      <c r="E68" s="64">
        <f>HLOOKUP(E58,'Graph Data'!$94:$108,12,FALSE)</f>
        <v>50</v>
      </c>
      <c r="F68" s="64">
        <f>HLOOKUP(F58,'Graph Data'!$94:$108,12,FALSE)</f>
        <v>31</v>
      </c>
      <c r="G68" s="64">
        <f>HLOOKUP(G58,'Graph Data'!$94:$108,12,FALSE)</f>
        <v>39</v>
      </c>
    </row>
    <row r="69" spans="1:7" x14ac:dyDescent="0.35">
      <c r="A69" s="82" t="s">
        <v>143</v>
      </c>
      <c r="B69" s="64">
        <f>HLOOKUP(B58,'Graph Data'!$94:$108,13,FALSE)</f>
        <v>63</v>
      </c>
      <c r="C69" s="64">
        <f>HLOOKUP(C58,'Graph Data'!$94:$108,13,FALSE)</f>
        <v>59</v>
      </c>
      <c r="D69" s="64">
        <f>HLOOKUP(D58,'Graph Data'!$94:$108,13,FALSE)</f>
        <v>59</v>
      </c>
      <c r="E69" s="64">
        <f>HLOOKUP(E58,'Graph Data'!$94:$108,13,FALSE)</f>
        <v>80</v>
      </c>
      <c r="F69" s="64">
        <f>HLOOKUP(F58,'Graph Data'!$94:$108,13,FALSE)</f>
        <v>59</v>
      </c>
      <c r="G69" s="64">
        <f>HLOOKUP(G58,'Graph Data'!$94:$108,13,FALSE)</f>
        <v>86</v>
      </c>
    </row>
    <row r="70" spans="1:7" x14ac:dyDescent="0.35">
      <c r="A70" s="93" t="s">
        <v>149</v>
      </c>
      <c r="B70" s="64">
        <f>HLOOKUP(B58,'Graph Data'!$94:$108,14,FALSE)</f>
        <v>36</v>
      </c>
      <c r="C70" s="64">
        <f>HLOOKUP(C58,'Graph Data'!$94:$108,14,FALSE)</f>
        <v>34</v>
      </c>
      <c r="D70" s="64">
        <f>HLOOKUP(D58,'Graph Data'!$94:$108,14,FALSE)</f>
        <v>46</v>
      </c>
      <c r="E70" s="64">
        <f>HLOOKUP(E58,'Graph Data'!$94:$108,14,FALSE)</f>
        <v>50</v>
      </c>
      <c r="F70" s="64">
        <f>HLOOKUP(F58,'Graph Data'!$94:$108,14,FALSE)</f>
        <v>32</v>
      </c>
      <c r="G70" s="64">
        <f>HLOOKUP(G58,'Graph Data'!$94:$108,14,FALSE)</f>
        <v>41</v>
      </c>
    </row>
    <row r="71" spans="1:7" x14ac:dyDescent="0.35">
      <c r="A71" s="93" t="s">
        <v>68</v>
      </c>
      <c r="B71" s="64">
        <f>HLOOKUP(B58,'Graph Data'!$94:$108,15,FALSE)</f>
        <v>87</v>
      </c>
      <c r="C71" s="64">
        <f>HLOOKUP(C58,'Graph Data'!$94:$108,15,FALSE)</f>
        <v>91</v>
      </c>
      <c r="D71" s="64">
        <f>HLOOKUP(D58,'Graph Data'!$94:$108,15,FALSE)</f>
        <v>57</v>
      </c>
      <c r="E71" s="64">
        <f>HLOOKUP(E58,'Graph Data'!$94:$108,15,FALSE)</f>
        <v>75</v>
      </c>
      <c r="F71" s="64">
        <f>HLOOKUP(F58,'Graph Data'!$94:$108,15,FALSE)</f>
        <v>61</v>
      </c>
      <c r="G71" s="64">
        <f>HLOOKUP(G58,'Graph Data'!$94:$108,15,FALSE)</f>
        <v>0</v>
      </c>
    </row>
    <row r="74" spans="1:7" x14ac:dyDescent="0.35">
      <c r="A74" s="74" t="s">
        <v>146</v>
      </c>
      <c r="B74" s="64">
        <v>6</v>
      </c>
      <c r="C74" s="64">
        <v>5</v>
      </c>
      <c r="D74" s="64">
        <v>4</v>
      </c>
      <c r="E74" s="64">
        <v>3</v>
      </c>
      <c r="F74" s="64">
        <v>2</v>
      </c>
      <c r="G74" s="64">
        <v>1</v>
      </c>
    </row>
    <row r="75" spans="1:7" x14ac:dyDescent="0.35">
      <c r="A75" s="64"/>
      <c r="B75" s="64" t="str">
        <f>HLOOKUP(B74,'Graph Data'!62:65,3,FALSE)</f>
        <v>2021/53</v>
      </c>
      <c r="C75" s="64" t="str">
        <f>HLOOKUP(C74,'Graph Data'!62:65,3,FALSE)</f>
        <v>2021/54</v>
      </c>
      <c r="D75" s="64" t="str">
        <f>HLOOKUP(D74,'Graph Data'!62:65,3,FALSE)</f>
        <v>2021/55</v>
      </c>
      <c r="E75" s="64" t="str">
        <f>HLOOKUP(E74,'Graph Data'!62:65,3,FALSE)</f>
        <v>2021/56</v>
      </c>
      <c r="F75" s="64" t="str">
        <f>HLOOKUP(F74,'Graph Data'!62:65,3,FALSE)</f>
        <v>2021/57</v>
      </c>
      <c r="G75" s="64" t="str">
        <f>HLOOKUP(G74,'Graph Data'!62:65,3,FALSE)</f>
        <v>2021/58</v>
      </c>
    </row>
    <row r="76" spans="1:7" x14ac:dyDescent="0.35">
      <c r="A76" s="64"/>
      <c r="B76" s="64" t="str">
        <f>HLOOKUP(B74,'Graph Data'!62:65,4,FALSE)</f>
        <v>October</v>
      </c>
      <c r="C76" s="64" t="str">
        <f>HLOOKUP(C74,'Graph Data'!62:65,4,FALSE)</f>
        <v>November</v>
      </c>
      <c r="D76" s="64" t="str">
        <f>HLOOKUP(D74,'Graph Data'!62:65,4,FALSE)</f>
        <v>December</v>
      </c>
      <c r="E76" s="64" t="str">
        <f>HLOOKUP(E74,'Graph Data'!62:65,4,FALSE)</f>
        <v>January</v>
      </c>
      <c r="F76" s="64" t="str">
        <f>HLOOKUP(F74,'Graph Data'!62:65,4,FALSE)</f>
        <v>February</v>
      </c>
      <c r="G76" s="64" t="str">
        <f>HLOOKUP(G74,'Graph Data'!62:65,4,FALSE)</f>
        <v>March</v>
      </c>
    </row>
    <row r="77" spans="1:7" x14ac:dyDescent="0.35">
      <c r="A77" s="64"/>
      <c r="B77" s="64" t="str">
        <f>B76</f>
        <v>October</v>
      </c>
      <c r="C77" s="64" t="str">
        <f t="shared" ref="C77:G77" si="5">C76</f>
        <v>November</v>
      </c>
      <c r="D77" s="64" t="str">
        <f t="shared" si="5"/>
        <v>December</v>
      </c>
      <c r="E77" s="64" t="str">
        <f t="shared" si="5"/>
        <v>January</v>
      </c>
      <c r="F77" s="64" t="str">
        <f t="shared" si="5"/>
        <v>February</v>
      </c>
      <c r="G77" s="64" t="str">
        <f t="shared" si="5"/>
        <v>March</v>
      </c>
    </row>
    <row r="78" spans="1:7" x14ac:dyDescent="0.35">
      <c r="A78" s="78" t="s">
        <v>39</v>
      </c>
      <c r="B78" s="64">
        <f>HLOOKUP(B74,'Graph Data'!$62:$75,6,FALSE)</f>
        <v>83</v>
      </c>
      <c r="C78" s="64">
        <f>HLOOKUP(C74,'Graph Data'!$62:$75,6,FALSE)</f>
        <v>69</v>
      </c>
      <c r="D78" s="64">
        <f>HLOOKUP(D74,'Graph Data'!$62:$75,6,FALSE)</f>
        <v>65</v>
      </c>
      <c r="E78" s="64">
        <f>HLOOKUP(E74,'Graph Data'!$62:$75,6,FALSE)</f>
        <v>82</v>
      </c>
      <c r="F78" s="64">
        <f>HLOOKUP(F74,'Graph Data'!$62:$75,6,FALSE)</f>
        <v>55</v>
      </c>
      <c r="G78" s="64">
        <f>HLOOKUP(G74,'Graph Data'!$62:$75,6,FALSE)</f>
        <v>55</v>
      </c>
    </row>
    <row r="79" spans="1:7" x14ac:dyDescent="0.35">
      <c r="A79" s="78" t="s">
        <v>40</v>
      </c>
      <c r="B79" s="64">
        <f>HLOOKUP(B74,'Graph Data'!$62:$75,7,FALSE)</f>
        <v>156</v>
      </c>
      <c r="C79" s="64">
        <f>HLOOKUP(C74,'Graph Data'!$62:$75,7,FALSE)</f>
        <v>152</v>
      </c>
      <c r="D79" s="64">
        <f>HLOOKUP(D74,'Graph Data'!$62:$75,7,FALSE)</f>
        <v>138</v>
      </c>
      <c r="E79" s="64">
        <f>HLOOKUP(E74,'Graph Data'!$62:$75,7,FALSE)</f>
        <v>127</v>
      </c>
      <c r="F79" s="64">
        <f>HLOOKUP(F74,'Graph Data'!$62:$75,7,FALSE)</f>
        <v>170</v>
      </c>
      <c r="G79" s="64">
        <f>HLOOKUP(G74,'Graph Data'!$62:$75,7,FALSE)</f>
        <v>158</v>
      </c>
    </row>
    <row r="80" spans="1:7" x14ac:dyDescent="0.35">
      <c r="A80" s="78" t="s">
        <v>5</v>
      </c>
      <c r="B80" s="64">
        <f>HLOOKUP(B74,'Graph Data'!$62:$75,8,FALSE)</f>
        <v>15</v>
      </c>
      <c r="C80" s="64">
        <f>HLOOKUP(C74,'Graph Data'!$62:$75,8,FALSE)</f>
        <v>9</v>
      </c>
      <c r="D80" s="64">
        <f>HLOOKUP(D74,'Graph Data'!$62:$75,8,FALSE)</f>
        <v>9</v>
      </c>
      <c r="E80" s="64">
        <f>HLOOKUP(E74,'Graph Data'!$62:$75,8,FALSE)</f>
        <v>11</v>
      </c>
      <c r="F80" s="64">
        <f>HLOOKUP(F74,'Graph Data'!$62:$75,8,FALSE)</f>
        <v>5</v>
      </c>
      <c r="G80" s="64">
        <f>HLOOKUP(G74,'Graph Data'!$62:$75,8,FALSE)</f>
        <v>5</v>
      </c>
    </row>
    <row r="81" spans="1:7" x14ac:dyDescent="0.35">
      <c r="A81" s="78" t="s">
        <v>35</v>
      </c>
      <c r="B81" s="64">
        <f>HLOOKUP(B74,'Graph Data'!$62:$75,9,FALSE)</f>
        <v>21</v>
      </c>
      <c r="C81" s="64">
        <f>HLOOKUP(C74,'Graph Data'!$62:$75,9,FALSE)</f>
        <v>17</v>
      </c>
      <c r="D81" s="64">
        <f>HLOOKUP(D74,'Graph Data'!$62:$75,9,FALSE)</f>
        <v>25</v>
      </c>
      <c r="E81" s="64">
        <f>HLOOKUP(E74,'Graph Data'!$62:$75,9,FALSE)</f>
        <v>21</v>
      </c>
      <c r="F81" s="64">
        <f>HLOOKUP(F74,'Graph Data'!$62:$75,9,FALSE)</f>
        <v>15</v>
      </c>
      <c r="G81" s="64">
        <f>HLOOKUP(G74,'Graph Data'!$62:$75,9,FALSE)</f>
        <v>29</v>
      </c>
    </row>
    <row r="82" spans="1:7" ht="23" x14ac:dyDescent="0.35">
      <c r="A82" s="80" t="s">
        <v>46</v>
      </c>
      <c r="B82" s="64">
        <f>HLOOKUP(B74,'Graph Data'!$62:$75,10,FALSE)</f>
        <v>1</v>
      </c>
      <c r="C82" s="64">
        <f>HLOOKUP(C74,'Graph Data'!$62:$75,10,FALSE)</f>
        <v>2</v>
      </c>
      <c r="D82" s="64">
        <f>HLOOKUP(D74,'Graph Data'!$62:$75,10,FALSE)</f>
        <v>0</v>
      </c>
      <c r="E82" s="64">
        <f>HLOOKUP(E74,'Graph Data'!$62:$75,10,FALSE)</f>
        <v>0</v>
      </c>
      <c r="F82" s="64">
        <f>HLOOKUP(F74,'Graph Data'!$62:$75,10,FALSE)</f>
        <v>0</v>
      </c>
      <c r="G82" s="64">
        <f>HLOOKUP(G74,'Graph Data'!$62:$75,10,FALSE)</f>
        <v>1</v>
      </c>
    </row>
    <row r="83" spans="1:7" x14ac:dyDescent="0.35">
      <c r="A83" s="80" t="s">
        <v>48</v>
      </c>
      <c r="B83" s="64">
        <f>HLOOKUP(B74,'Graph Data'!$62:$75,11,FALSE)</f>
        <v>56</v>
      </c>
      <c r="C83" s="64">
        <f>HLOOKUP(C74,'Graph Data'!$62:$75,11,FALSE)</f>
        <v>54</v>
      </c>
      <c r="D83" s="64">
        <f>HLOOKUP(D74,'Graph Data'!$62:$75,11,FALSE)</f>
        <v>32</v>
      </c>
      <c r="E83" s="64">
        <f>HLOOKUP(E74,'Graph Data'!$62:$75,11,FALSE)</f>
        <v>30</v>
      </c>
      <c r="F83" s="64">
        <f>HLOOKUP(F74,'Graph Data'!$62:$75,11,FALSE)</f>
        <v>22</v>
      </c>
      <c r="G83" s="64">
        <f>HLOOKUP(G74,'Graph Data'!$62:$75,11,FALSE)</f>
        <v>33</v>
      </c>
    </row>
    <row r="84" spans="1:7" ht="34.5" x14ac:dyDescent="0.35">
      <c r="A84" s="80" t="s">
        <v>49</v>
      </c>
      <c r="B84" s="64">
        <f>HLOOKUP(B74,'Graph Data'!$62:$75,12,FALSE)</f>
        <v>19</v>
      </c>
      <c r="C84" s="64">
        <f>HLOOKUP(C74,'Graph Data'!$62:$75,12,FALSE)</f>
        <v>19</v>
      </c>
      <c r="D84" s="64">
        <f>HLOOKUP(D74,'Graph Data'!$62:$75,12,FALSE)</f>
        <v>26</v>
      </c>
      <c r="E84" s="64">
        <f>HLOOKUP(E74,'Graph Data'!$62:$75,12,FALSE)</f>
        <v>31</v>
      </c>
      <c r="F84" s="64">
        <f>HLOOKUP(F74,'Graph Data'!$62:$75,12,FALSE)</f>
        <v>17</v>
      </c>
      <c r="G84" s="64">
        <f>HLOOKUP(G74,'Graph Data'!$62:$75,12,FALSE)</f>
        <v>24</v>
      </c>
    </row>
    <row r="85" spans="1:7" x14ac:dyDescent="0.35">
      <c r="A85" s="82" t="s">
        <v>143</v>
      </c>
      <c r="B85" s="64">
        <f>HLOOKUP(B74,'Graph Data'!$62:$75,13,FALSE)</f>
        <v>32</v>
      </c>
      <c r="C85" s="64">
        <f>HLOOKUP(C74,'Graph Data'!$62:$75,13,FALSE)</f>
        <v>31</v>
      </c>
      <c r="D85" s="64">
        <f>HLOOKUP(D74,'Graph Data'!$62:$75,13,FALSE)</f>
        <v>35</v>
      </c>
      <c r="E85" s="64">
        <f>HLOOKUP(E74,'Graph Data'!$62:$75,13,FALSE)</f>
        <v>46</v>
      </c>
      <c r="F85" s="64">
        <f>HLOOKUP(F74,'Graph Data'!$62:$75,13,FALSE)</f>
        <v>41</v>
      </c>
      <c r="G85" s="64">
        <f>HLOOKUP(G74,'Graph Data'!$62:$75,13,FALSE)</f>
        <v>50</v>
      </c>
    </row>
    <row r="86" spans="1:7" x14ac:dyDescent="0.35">
      <c r="A86" s="86" t="s">
        <v>148</v>
      </c>
      <c r="B86" s="64">
        <f>HLOOKUP($B$74,'Graph Data'!$62:$75,14,FALSE)</f>
        <v>20</v>
      </c>
      <c r="C86" s="64">
        <f>HLOOKUP(C74,'Graph Data'!$62:$75,14,FALSE)</f>
        <v>21</v>
      </c>
      <c r="D86" s="64">
        <f>HLOOKUP(D74,'Graph Data'!$62:$75,14,FALSE)</f>
        <v>26</v>
      </c>
      <c r="E86" s="64">
        <f>HLOOKUP(E74,'Graph Data'!$62:$75,14,FALSE)</f>
        <v>31</v>
      </c>
      <c r="F86" s="64">
        <f>HLOOKUP(F74,'Graph Data'!$62:$75,14,FALSE)</f>
        <v>17</v>
      </c>
      <c r="G86" s="64">
        <f>HLOOKUP(G74,'Graph Data'!$62:$75,14,FALSE)</f>
        <v>25</v>
      </c>
    </row>
    <row r="87" spans="1:7" x14ac:dyDescent="0.35">
      <c r="A87" s="93" t="s">
        <v>68</v>
      </c>
      <c r="B87" s="64">
        <f>HLOOKUP(B74,'Graph Data'!$62:$76,15,FALSE)</f>
        <v>44</v>
      </c>
      <c r="C87" s="64">
        <f>HLOOKUP(C74,'Graph Data'!$62:$76,15,FALSE)</f>
        <v>43</v>
      </c>
      <c r="D87" s="64">
        <f>HLOOKUP(D74,'Graph Data'!$62:$76,15,FALSE)</f>
        <v>25</v>
      </c>
      <c r="E87" s="64">
        <f>HLOOKUP(E74,'Graph Data'!$62:$76,15,FALSE)</f>
        <v>36</v>
      </c>
      <c r="F87" s="64">
        <f>HLOOKUP(F74,'Graph Data'!$62:$76,15,FALSE)</f>
        <v>30</v>
      </c>
      <c r="G87" s="64">
        <f>HLOOKUP(G74,'Graph Data'!$62:$76,15,FALSE)</f>
        <v>37</v>
      </c>
    </row>
    <row r="88" spans="1:7" s="64" customFormat="1" x14ac:dyDescent="0.35">
      <c r="A88" s="94"/>
    </row>
    <row r="90" spans="1:7" x14ac:dyDescent="0.35">
      <c r="A90" s="74" t="s">
        <v>147</v>
      </c>
      <c r="B90" s="64">
        <v>6</v>
      </c>
      <c r="C90" s="64">
        <v>5</v>
      </c>
      <c r="D90" s="64">
        <v>4</v>
      </c>
      <c r="E90" s="64">
        <v>3</v>
      </c>
      <c r="F90" s="64">
        <v>2</v>
      </c>
      <c r="G90" s="64">
        <v>1</v>
      </c>
    </row>
    <row r="91" spans="1:7" x14ac:dyDescent="0.35">
      <c r="A91" s="64"/>
      <c r="B91" s="64" t="str">
        <f>HLOOKUP(B90,'Graph Data'!78:81,3,FALSE)</f>
        <v>2021/53</v>
      </c>
      <c r="C91" s="64" t="str">
        <f>HLOOKUP(C90,'Graph Data'!78:81,3,FALSE)</f>
        <v>2021/54</v>
      </c>
      <c r="D91" s="64" t="str">
        <f>HLOOKUP(D90,'Graph Data'!78:81,3,FALSE)</f>
        <v>2021/55</v>
      </c>
      <c r="E91" s="64" t="str">
        <f>HLOOKUP(E90,'Graph Data'!78:81,3,FALSE)</f>
        <v>2021/56</v>
      </c>
      <c r="F91" s="64" t="str">
        <f>HLOOKUP(F90,'Graph Data'!78:81,3,FALSE)</f>
        <v>2021/57</v>
      </c>
      <c r="G91" s="64" t="str">
        <f>HLOOKUP(G90,'Graph Data'!78:81,3,FALSE)</f>
        <v>2021/58</v>
      </c>
    </row>
    <row r="92" spans="1:7" x14ac:dyDescent="0.35">
      <c r="A92" s="64"/>
      <c r="B92" s="64" t="str">
        <f>HLOOKUP(B90,'Graph Data'!78:81,4,FALSE)</f>
        <v>October</v>
      </c>
      <c r="C92" s="64" t="str">
        <f>HLOOKUP(C90,'Graph Data'!78:81,4,FALSE)</f>
        <v>November</v>
      </c>
      <c r="D92" s="64" t="str">
        <f>HLOOKUP(D90,'Graph Data'!78:81,4,FALSE)</f>
        <v>December</v>
      </c>
      <c r="E92" s="64" t="str">
        <f>HLOOKUP(E90,'Graph Data'!78:81,4,FALSE)</f>
        <v>January</v>
      </c>
      <c r="F92" s="64" t="str">
        <f>HLOOKUP(F90,'Graph Data'!78:81,4,FALSE)</f>
        <v>February</v>
      </c>
      <c r="G92" s="64" t="str">
        <f>HLOOKUP(G90,'Graph Data'!78:81,4,FALSE)</f>
        <v>March</v>
      </c>
    </row>
    <row r="93" spans="1:7" x14ac:dyDescent="0.35">
      <c r="A93" s="64"/>
      <c r="B93" s="64" t="str">
        <f>B92</f>
        <v>October</v>
      </c>
      <c r="C93" s="64" t="str">
        <f t="shared" ref="C93:G93" si="6">C92</f>
        <v>November</v>
      </c>
      <c r="D93" s="64" t="str">
        <f t="shared" si="6"/>
        <v>December</v>
      </c>
      <c r="E93" s="64" t="str">
        <f t="shared" si="6"/>
        <v>January</v>
      </c>
      <c r="F93" s="64" t="str">
        <f t="shared" si="6"/>
        <v>February</v>
      </c>
      <c r="G93" s="64" t="str">
        <f t="shared" si="6"/>
        <v>March</v>
      </c>
    </row>
    <row r="94" spans="1:7" x14ac:dyDescent="0.35">
      <c r="A94" s="78" t="s">
        <v>39</v>
      </c>
      <c r="B94" s="64">
        <f>HLOOKUP(B90,'Graph Data'!$78:$92,6,FALSE)</f>
        <v>82</v>
      </c>
      <c r="C94" s="64">
        <f>HLOOKUP(C90,'Graph Data'!$78:$92,6,FALSE)</f>
        <v>71</v>
      </c>
      <c r="D94" s="64">
        <f>HLOOKUP(D90,'Graph Data'!$78:$92,6,FALSE)</f>
        <v>100</v>
      </c>
      <c r="E94" s="64">
        <f>HLOOKUP(E90,'Graph Data'!$78:$92,6,FALSE)</f>
        <v>81</v>
      </c>
      <c r="F94" s="64">
        <f>HLOOKUP(F90,'Graph Data'!$78:$92,6,FALSE)</f>
        <v>61</v>
      </c>
      <c r="G94" s="64">
        <f>HLOOKUP(G90,'Graph Data'!$78:$92,6,FALSE)</f>
        <v>108</v>
      </c>
    </row>
    <row r="95" spans="1:7" x14ac:dyDescent="0.35">
      <c r="A95" s="78" t="s">
        <v>40</v>
      </c>
      <c r="B95" s="64">
        <f>HLOOKUP(B90,'Graph Data'!$78:$92,7,FALSE)</f>
        <v>197</v>
      </c>
      <c r="C95" s="64">
        <f>HLOOKUP(C90,'Graph Data'!$78:$92,7,FALSE)</f>
        <v>162</v>
      </c>
      <c r="D95" s="64">
        <f>HLOOKUP(D90,'Graph Data'!$78:$92,7,FALSE)</f>
        <v>160</v>
      </c>
      <c r="E95" s="64">
        <f>HLOOKUP(E90,'Graph Data'!$78:$92,7,FALSE)</f>
        <v>185</v>
      </c>
      <c r="F95" s="64">
        <f>HLOOKUP(F90,'Graph Data'!$78:$92,7,FALSE)</f>
        <v>173</v>
      </c>
      <c r="G95" s="64">
        <f>HLOOKUP(G90,'Graph Data'!$78:$92,7,FALSE)</f>
        <v>180</v>
      </c>
    </row>
    <row r="96" spans="1:7" x14ac:dyDescent="0.35">
      <c r="A96" s="78" t="s">
        <v>5</v>
      </c>
      <c r="B96" s="64">
        <f>HLOOKUP(B90,'Graph Data'!$78:$92,8,FALSE)</f>
        <v>18</v>
      </c>
      <c r="C96" s="64">
        <f>HLOOKUP(C90,'Graph Data'!$78:$92,8,FALSE)</f>
        <v>12</v>
      </c>
      <c r="D96" s="64">
        <f>HLOOKUP(D90,'Graph Data'!$78:$92,8,FALSE)</f>
        <v>17</v>
      </c>
      <c r="E96" s="64">
        <f>HLOOKUP(E90,'Graph Data'!$78:$92,8,FALSE)</f>
        <v>16</v>
      </c>
      <c r="F96" s="64">
        <f>HLOOKUP(F90,'Graph Data'!$78:$92,8,FALSE)</f>
        <v>9</v>
      </c>
      <c r="G96" s="64">
        <f>HLOOKUP(G90,'Graph Data'!$78:$92,8,FALSE)</f>
        <v>6</v>
      </c>
    </row>
    <row r="97" spans="1:7" x14ac:dyDescent="0.35">
      <c r="A97" s="78" t="s">
        <v>35</v>
      </c>
      <c r="B97" s="64">
        <f>HLOOKUP(B90,'Graph Data'!$78:$92,9,FALSE)</f>
        <v>22</v>
      </c>
      <c r="C97" s="64">
        <f>HLOOKUP(C90,'Graph Data'!$78:$92,9,FALSE)</f>
        <v>27</v>
      </c>
      <c r="D97" s="64">
        <f>HLOOKUP(D90,'Graph Data'!$78:$92,9,FALSE)</f>
        <v>15</v>
      </c>
      <c r="E97" s="64">
        <f>HLOOKUP(E90,'Graph Data'!$78:$92,9,FALSE)</f>
        <v>23</v>
      </c>
      <c r="F97" s="64">
        <f>HLOOKUP(F90,'Graph Data'!$78:$92,9,FALSE)</f>
        <v>26</v>
      </c>
      <c r="G97" s="64">
        <f>HLOOKUP(G90,'Graph Data'!$78:$92,9,FALSE)</f>
        <v>27</v>
      </c>
    </row>
    <row r="98" spans="1:7" ht="23" x14ac:dyDescent="0.35">
      <c r="A98" s="80" t="s">
        <v>46</v>
      </c>
      <c r="B98" s="64">
        <f>HLOOKUP(B90,'Graph Data'!$78:$92,10,FALSE)</f>
        <v>0</v>
      </c>
      <c r="C98" s="64">
        <f>HLOOKUP(C90,'Graph Data'!$78:$92,10,FALSE)</f>
        <v>0</v>
      </c>
      <c r="D98" s="64">
        <f>HLOOKUP(D90,'Graph Data'!$78:$92,10,FALSE)</f>
        <v>0</v>
      </c>
      <c r="E98" s="64">
        <f>HLOOKUP(E90,'Graph Data'!$78:$92,10,FALSE)</f>
        <v>0</v>
      </c>
      <c r="F98" s="64">
        <f>HLOOKUP(F90,'Graph Data'!$78:$92,10,FALSE)</f>
        <v>1</v>
      </c>
      <c r="G98" s="64">
        <f>HLOOKUP(G90,'Graph Data'!$78:$92,10,FALSE)</f>
        <v>1</v>
      </c>
    </row>
    <row r="99" spans="1:7" x14ac:dyDescent="0.35">
      <c r="A99" s="80" t="s">
        <v>48</v>
      </c>
      <c r="B99" s="64">
        <f>HLOOKUP(B90,'Graph Data'!$78:$92,11,FALSE)</f>
        <v>40</v>
      </c>
      <c r="C99" s="64">
        <f>HLOOKUP(C90,'Graph Data'!$78:$92,11,FALSE)</f>
        <v>19</v>
      </c>
      <c r="D99" s="64">
        <f>HLOOKUP(D90,'Graph Data'!$78:$92,11,FALSE)</f>
        <v>25</v>
      </c>
      <c r="E99" s="64">
        <f>HLOOKUP(E90,'Graph Data'!$78:$92,11,FALSE)</f>
        <v>43</v>
      </c>
      <c r="F99" s="64">
        <f>HLOOKUP(F90,'Graph Data'!$78:$92,11,FALSE)</f>
        <v>26</v>
      </c>
      <c r="G99" s="64">
        <f>HLOOKUP(G90,'Graph Data'!$78:$92,11,FALSE)</f>
        <v>27</v>
      </c>
    </row>
    <row r="100" spans="1:7" ht="34.5" x14ac:dyDescent="0.35">
      <c r="A100" s="80" t="s">
        <v>49</v>
      </c>
      <c r="B100" s="64">
        <f>HLOOKUP(B90,'Graph Data'!$78:$92,12,FALSE)</f>
        <v>16</v>
      </c>
      <c r="C100" s="64">
        <f>HLOOKUP(C90,'Graph Data'!$78:$92,12,FALSE)</f>
        <v>13</v>
      </c>
      <c r="D100" s="64">
        <f>HLOOKUP(D90,'Graph Data'!$78:$92,12,FALSE)</f>
        <v>20</v>
      </c>
      <c r="E100" s="64">
        <f>HLOOKUP(E90,'Graph Data'!$78:$92,12,FALSE)</f>
        <v>19</v>
      </c>
      <c r="F100" s="64">
        <f>HLOOKUP(F90,'Graph Data'!$78:$92,12,FALSE)</f>
        <v>14</v>
      </c>
      <c r="G100" s="64">
        <f>HLOOKUP(G90,'Graph Data'!$78:$92,12,FALSE)</f>
        <v>15</v>
      </c>
    </row>
    <row r="101" spans="1:7" x14ac:dyDescent="0.35">
      <c r="A101" s="82" t="s">
        <v>143</v>
      </c>
      <c r="B101" s="64">
        <f>HLOOKUP(B90,'Graph Data'!$78:$92,13,FALSE)</f>
        <v>31</v>
      </c>
      <c r="C101" s="64">
        <f>HLOOKUP(C90,'Graph Data'!$78:$92,13,FALSE)</f>
        <v>28</v>
      </c>
      <c r="D101" s="64">
        <f>HLOOKUP(D90,'Graph Data'!$78:$92,13,FALSE)</f>
        <v>24</v>
      </c>
      <c r="E101" s="64">
        <f>HLOOKUP(E90,'Graph Data'!$78:$92,13,FALSE)</f>
        <v>34</v>
      </c>
      <c r="F101" s="64">
        <f>HLOOKUP(F90,'Graph Data'!$78:$92,13,FALSE)</f>
        <v>18</v>
      </c>
      <c r="G101" s="64">
        <f>HLOOKUP(G90,'Graph Data'!$78:$92,13,FALSE)</f>
        <v>36</v>
      </c>
    </row>
    <row r="102" spans="1:7" x14ac:dyDescent="0.35">
      <c r="A102" s="82" t="s">
        <v>149</v>
      </c>
      <c r="B102" s="64">
        <f>HLOOKUP(B90,'Graph Data'!$78:$92,14,FALSE)</f>
        <v>16</v>
      </c>
      <c r="C102" s="64">
        <f>HLOOKUP(C90,'Graph Data'!$78:$92,14,FALSE)</f>
        <v>13</v>
      </c>
      <c r="D102" s="64">
        <f>HLOOKUP(D90,'Graph Data'!$78:$92,14,FALSE)</f>
        <v>20</v>
      </c>
      <c r="E102" s="64">
        <f>HLOOKUP(E90,'Graph Data'!$78:$92,14,FALSE)</f>
        <v>19</v>
      </c>
      <c r="F102" s="64">
        <f>HLOOKUP(F90,'Graph Data'!$78:$92,14,FALSE)</f>
        <v>15</v>
      </c>
      <c r="G102" s="64">
        <f>HLOOKUP(G90,'Graph Data'!$78:$92,14,FALSE)</f>
        <v>16</v>
      </c>
    </row>
    <row r="103" spans="1:7" x14ac:dyDescent="0.35">
      <c r="A103" s="93" t="s">
        <v>68</v>
      </c>
      <c r="B103" s="64">
        <f>HLOOKUP(B90,'Graph Data'!$78:$92,15,FALSE)</f>
        <v>43</v>
      </c>
      <c r="C103" s="64">
        <f>HLOOKUP(C90,'Graph Data'!$78:$92,15,FALSE)</f>
        <v>48</v>
      </c>
      <c r="D103" s="64">
        <f>HLOOKUP(D90,'Graph Data'!$78:$92,15,FALSE)</f>
        <v>32</v>
      </c>
      <c r="E103" s="64">
        <f>HLOOKUP(E90,'Graph Data'!$78:$92,15,FALSE)</f>
        <v>39</v>
      </c>
      <c r="F103" s="64">
        <f>HLOOKUP(F90,'Graph Data'!$78:$92,15,FALSE)</f>
        <v>31</v>
      </c>
      <c r="G103" s="64">
        <f>HLOOKUP(G90,'Graph Data'!$78:$92,15,FALSE)</f>
        <v>50</v>
      </c>
    </row>
  </sheetData>
  <pageMargins left="0.7" right="0.7" top="0.75" bottom="0.75" header="0.3" footer="0.3"/>
  <pageSetup paperSize="9" orientation="portrait" r:id="rId1"/>
  <headerFooter>
    <oddFooter>&amp;C&amp;1#&amp;"Calibri"&amp;10&amp;K000000OFFICIAL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S108"/>
  <sheetViews>
    <sheetView workbookViewId="0">
      <pane xSplit="1" ySplit="5" topLeftCell="BZ6" activePane="bottomRight" state="frozen"/>
      <selection activeCell="R23" sqref="R23"/>
      <selection pane="topRight" activeCell="R23" sqref="R23"/>
      <selection pane="bottomLeft" activeCell="R23" sqref="R23"/>
      <selection pane="bottomRight" activeCell="CH6" sqref="CH6"/>
    </sheetView>
  </sheetViews>
  <sheetFormatPr defaultRowHeight="15.5" x14ac:dyDescent="0.35"/>
  <cols>
    <col min="1" max="1" width="24.4609375" customWidth="1"/>
    <col min="64" max="64" width="8.84375" customWidth="1"/>
  </cols>
  <sheetData>
    <row r="1" spans="1:97" s="28" customFormat="1" x14ac:dyDescent="0.35">
      <c r="A1" s="31" t="s">
        <v>134</v>
      </c>
      <c r="B1" s="28">
        <f t="shared" ref="B1" si="0">IF(AND(B2=1,C2=0)=TRUE,1,IF(AND(B2=0,C2=0,C1=0)=TRUE,0,C1+1))</f>
        <v>96</v>
      </c>
      <c r="C1" s="28">
        <f t="shared" ref="C1" si="1">IF(AND(C2=1,D2=0)=TRUE,1,IF(AND(C2=0,D2=0,D1=0)=TRUE,0,D1+1))</f>
        <v>95</v>
      </c>
      <c r="D1" s="28">
        <f t="shared" ref="D1" si="2">IF(AND(D2=1,E2=0)=TRUE,1,IF(AND(D2=0,E2=0,E1=0)=TRUE,0,E1+1))</f>
        <v>94</v>
      </c>
      <c r="E1" s="28">
        <f t="shared" ref="E1:F1" si="3">IF(AND(E2=1,F2=0)=TRUE,1,IF(AND(E2=0,F2=0,F1=0)=TRUE,0,F1+1))</f>
        <v>93</v>
      </c>
      <c r="F1" s="28">
        <f t="shared" si="3"/>
        <v>92</v>
      </c>
      <c r="G1" s="28">
        <f t="shared" ref="G1" si="4">IF(AND(G2=1,H2=0)=TRUE,1,IF(AND(G2=0,H2=0,H1=0)=TRUE,0,H1+1))</f>
        <v>91</v>
      </c>
      <c r="H1" s="28">
        <f t="shared" ref="H1" si="5">IF(AND(H2=1,I2=0)=TRUE,1,IF(AND(H2=0,I2=0,I1=0)=TRUE,0,I1+1))</f>
        <v>90</v>
      </c>
      <c r="I1" s="28">
        <f t="shared" ref="I1:J1" si="6">IF(AND(I2=1,J2=0)=TRUE,1,IF(AND(I2=0,J2=0,J1=0)=TRUE,0,J1+1))</f>
        <v>89</v>
      </c>
      <c r="J1" s="28">
        <f t="shared" si="6"/>
        <v>88</v>
      </c>
      <c r="K1" s="28">
        <f t="shared" ref="K1:M1" si="7">IF(AND(K2=1,L2=0)=TRUE,1,IF(AND(K2=0,L2=0,L1=0)=TRUE,0,L1+1))</f>
        <v>87</v>
      </c>
      <c r="L1" s="28">
        <f t="shared" si="7"/>
        <v>86</v>
      </c>
      <c r="M1" s="28">
        <f t="shared" si="7"/>
        <v>85</v>
      </c>
      <c r="N1" s="28">
        <f>IF(AND(N2=1,O2=0)=TRUE,1,IF(AND(N2=0,O2=0,O1=0)=TRUE,0,O1+1))</f>
        <v>84</v>
      </c>
      <c r="O1" s="28">
        <f t="shared" ref="O1:T1" si="8">IF(AND(O2=1,P2=0)=TRUE,1,IF(AND(O2=0,P2=0,P1=0)=TRUE,0,P1+1))</f>
        <v>83</v>
      </c>
      <c r="P1" s="28">
        <f t="shared" si="8"/>
        <v>82</v>
      </c>
      <c r="Q1" s="28">
        <f t="shared" si="8"/>
        <v>81</v>
      </c>
      <c r="R1" s="28">
        <f t="shared" si="8"/>
        <v>80</v>
      </c>
      <c r="S1" s="28">
        <f t="shared" si="8"/>
        <v>79</v>
      </c>
      <c r="T1" s="28">
        <f t="shared" si="8"/>
        <v>78</v>
      </c>
      <c r="U1" s="64">
        <f t="shared" ref="U1" si="9">IF(AND(U2=1,V2=0)=TRUE,1,IF(AND(U2=0,V2=0,V1=0)=TRUE,0,V1+1))</f>
        <v>77</v>
      </c>
      <c r="V1" s="64">
        <f t="shared" ref="V1" si="10">IF(AND(V2=1,W2=0)=TRUE,1,IF(AND(V2=0,W2=0,W1=0)=TRUE,0,W1+1))</f>
        <v>76</v>
      </c>
      <c r="W1" s="64">
        <f t="shared" ref="W1" si="11">IF(AND(W2=1,X2=0)=TRUE,1,IF(AND(W2=0,X2=0,X1=0)=TRUE,0,X1+1))</f>
        <v>75</v>
      </c>
      <c r="X1" s="64">
        <f t="shared" ref="X1" si="12">IF(AND(X2=1,Y2=0)=TRUE,1,IF(AND(X2=0,Y2=0,Y1=0)=TRUE,0,Y1+1))</f>
        <v>74</v>
      </c>
      <c r="Y1" s="64">
        <f t="shared" ref="Y1" si="13">IF(AND(Y2=1,Z2=0)=TRUE,1,IF(AND(Y2=0,Z2=0,Z1=0)=TRUE,0,Z1+1))</f>
        <v>73</v>
      </c>
      <c r="Z1" s="64">
        <f t="shared" ref="Z1" si="14">IF(AND(Z2=1,AA2=0)=TRUE,1,IF(AND(Z2=0,AA2=0,AA1=0)=TRUE,0,AA1+1))</f>
        <v>72</v>
      </c>
      <c r="AA1" s="64">
        <f t="shared" ref="AA1" si="15">IF(AND(AA2=1,AB2=0)=TRUE,1,IF(AND(AA2=0,AB2=0,AB1=0)=TRUE,0,AB1+1))</f>
        <v>71</v>
      </c>
      <c r="AB1" s="64">
        <f t="shared" ref="AB1" si="16">IF(AND(AB2=1,AC2=0)=TRUE,1,IF(AND(AB2=0,AC2=0,AC1=0)=TRUE,0,AC1+1))</f>
        <v>70</v>
      </c>
      <c r="AC1" s="64">
        <f t="shared" ref="AC1" si="17">IF(AND(AC2=1,AD2=0)=TRUE,1,IF(AND(AC2=0,AD2=0,AD1=0)=TRUE,0,AD1+1))</f>
        <v>69</v>
      </c>
      <c r="AD1" s="64">
        <f t="shared" ref="AD1" si="18">IF(AND(AD2=1,AE2=0)=TRUE,1,IF(AND(AD2=0,AE2=0,AE1=0)=TRUE,0,AE1+1))</f>
        <v>68</v>
      </c>
      <c r="AE1" s="64">
        <f t="shared" ref="AE1" si="19">IF(AND(AE2=1,AF2=0)=TRUE,1,IF(AND(AE2=0,AF2=0,AF1=0)=TRUE,0,AF1+1))</f>
        <v>67</v>
      </c>
      <c r="AF1" s="64">
        <f t="shared" ref="AF1" si="20">IF(AND(AF2=1,AG2=0)=TRUE,1,IF(AND(AF2=0,AG2=0,AG1=0)=TRUE,0,AG1+1))</f>
        <v>66</v>
      </c>
      <c r="AG1" s="64">
        <f t="shared" ref="AG1" si="21">IF(AND(AG2=1,AH2=0)=TRUE,1,IF(AND(AG2=0,AH2=0,AH1=0)=TRUE,0,AH1+1))</f>
        <v>65</v>
      </c>
      <c r="AH1" s="64">
        <f t="shared" ref="AH1" si="22">IF(AND(AH2=1,AI2=0)=TRUE,1,IF(AND(AH2=0,AI2=0,AI1=0)=TRUE,0,AI1+1))</f>
        <v>64</v>
      </c>
      <c r="AI1" s="64">
        <f t="shared" ref="AI1" si="23">IF(AND(AI2=1,AJ2=0)=TRUE,1,IF(AND(AI2=0,AJ2=0,AJ1=0)=TRUE,0,AJ1+1))</f>
        <v>63</v>
      </c>
      <c r="AJ1" s="64">
        <f t="shared" ref="AJ1" si="24">IF(AND(AJ2=1,AK2=0)=TRUE,1,IF(AND(AJ2=0,AK2=0,AK1=0)=TRUE,0,AK1+1))</f>
        <v>62</v>
      </c>
      <c r="AK1" s="64">
        <f t="shared" ref="AK1:AL1" si="25">IF(AND(AK2=1,AL2=0)=TRUE,1,IF(AND(AK2=0,AL2=0,AL1=0)=TRUE,0,AL1+1))</f>
        <v>61</v>
      </c>
      <c r="AL1" s="64">
        <f t="shared" si="25"/>
        <v>60</v>
      </c>
      <c r="AM1" s="64">
        <f t="shared" ref="AM1" si="26">IF(AND(AM2=1,AN2=0)=TRUE,1,IF(AND(AM2=0,AN2=0,AN1=0)=TRUE,0,AN1+1))</f>
        <v>59</v>
      </c>
      <c r="AN1" s="64">
        <f t="shared" ref="AN1" si="27">IF(AND(AN2=1,AO2=0)=TRUE,1,IF(AND(AN2=0,AO2=0,AO1=0)=TRUE,0,AO1+1))</f>
        <v>58</v>
      </c>
      <c r="AO1" s="64">
        <f t="shared" ref="AO1" si="28">IF(AND(AO2=1,AP2=0)=TRUE,1,IF(AND(AO2=0,AP2=0,AP1=0)=TRUE,0,AP1+1))</f>
        <v>57</v>
      </c>
      <c r="AP1" s="64">
        <f t="shared" ref="AP1" si="29">IF(AND(AP2=1,AQ2=0)=TRUE,1,IF(AND(AP2=0,AQ2=0,AQ1=0)=TRUE,0,AQ1+1))</f>
        <v>56</v>
      </c>
      <c r="AQ1" s="64">
        <f t="shared" ref="AQ1" si="30">IF(AND(AQ2=1,AR2=0)=TRUE,1,IF(AND(AQ2=0,AR2=0,AR1=0)=TRUE,0,AR1+1))</f>
        <v>55</v>
      </c>
      <c r="AR1" s="64">
        <f t="shared" ref="AR1" si="31">IF(AND(AR2=1,AS2=0)=TRUE,1,IF(AND(AR2=0,AS2=0,AS1=0)=TRUE,0,AS1+1))</f>
        <v>54</v>
      </c>
      <c r="AS1" s="64">
        <f t="shared" ref="AS1" si="32">IF(AND(AS2=1,AT2=0)=TRUE,1,IF(AND(AS2=0,AT2=0,AT1=0)=TRUE,0,AT1+1))</f>
        <v>53</v>
      </c>
      <c r="AT1" s="64">
        <f t="shared" ref="AT1" si="33">IF(AND(AT2=1,AU2=0)=TRUE,1,IF(AND(AT2=0,AU2=0,AU1=0)=TRUE,0,AU1+1))</f>
        <v>52</v>
      </c>
      <c r="AU1" s="64">
        <f t="shared" ref="AU1" si="34">IF(AND(AU2=1,AV2=0)=TRUE,1,IF(AND(AU2=0,AV2=0,AV1=0)=TRUE,0,AV1+1))</f>
        <v>51</v>
      </c>
      <c r="AV1" s="64">
        <f t="shared" ref="AV1" si="35">IF(AND(AV2=1,AW2=0)=TRUE,1,IF(AND(AV2=0,AW2=0,AW1=0)=TRUE,0,AW1+1))</f>
        <v>50</v>
      </c>
      <c r="AW1" s="64">
        <f t="shared" ref="AW1" si="36">IF(AND(AW2=1,AX2=0)=TRUE,1,IF(AND(AW2=0,AX2=0,AX1=0)=TRUE,0,AX1+1))</f>
        <v>49</v>
      </c>
      <c r="AX1" s="64">
        <f t="shared" ref="AX1" si="37">IF(AND(AX2=1,AY2=0)=TRUE,1,IF(AND(AX2=0,AY2=0,AY1=0)=TRUE,0,AY1+1))</f>
        <v>48</v>
      </c>
      <c r="AY1" s="64">
        <f t="shared" ref="AY1" si="38">IF(AND(AY2=1,AZ2=0)=TRUE,1,IF(AND(AY2=0,AZ2=0,AZ1=0)=TRUE,0,AZ1+1))</f>
        <v>47</v>
      </c>
      <c r="AZ1" s="64">
        <f t="shared" ref="AZ1" si="39">IF(AND(AZ2=1,BA2=0)=TRUE,1,IF(AND(AZ2=0,BA2=0,BA1=0)=TRUE,0,BA1+1))</f>
        <v>46</v>
      </c>
      <c r="BA1" s="64">
        <f t="shared" ref="BA1" si="40">IF(AND(BA2=1,BB2=0)=TRUE,1,IF(AND(BA2=0,BB2=0,BB1=0)=TRUE,0,BB1+1))</f>
        <v>45</v>
      </c>
      <c r="BB1" s="64">
        <f t="shared" ref="BB1" si="41">IF(AND(BB2=1,BC2=0)=TRUE,1,IF(AND(BB2=0,BC2=0,BC1=0)=TRUE,0,BC1+1))</f>
        <v>44</v>
      </c>
      <c r="BC1" s="64">
        <f t="shared" ref="BC1" si="42">IF(AND(BC2=1,BD2=0)=TRUE,1,IF(AND(BC2=0,BD2=0,BD1=0)=TRUE,0,BD1+1))</f>
        <v>43</v>
      </c>
      <c r="BD1" s="64">
        <f t="shared" ref="BD1" si="43">IF(AND(BD2=1,BE2=0)=TRUE,1,IF(AND(BD2=0,BE2=0,BE1=0)=TRUE,0,BE1+1))</f>
        <v>42</v>
      </c>
      <c r="BE1" s="64">
        <f t="shared" ref="BE1" si="44">IF(AND(BE2=1,BF2=0)=TRUE,1,IF(AND(BE2=0,BF2=0,BF1=0)=TRUE,0,BF1+1))</f>
        <v>41</v>
      </c>
      <c r="BF1" s="64">
        <f t="shared" ref="BF1" si="45">IF(AND(BF2=1,BG2=0)=TRUE,1,IF(AND(BF2=0,BG2=0,BG1=0)=TRUE,0,BG1+1))</f>
        <v>40</v>
      </c>
      <c r="BG1" s="64">
        <f t="shared" ref="BG1" si="46">IF(AND(BG2=1,BH2=0)=TRUE,1,IF(AND(BG2=0,BH2=0,BH1=0)=TRUE,0,BH1+1))</f>
        <v>39</v>
      </c>
      <c r="BH1" s="64">
        <f t="shared" ref="BH1" si="47">IF(AND(BH2=1,BI2=0)=TRUE,1,IF(AND(BH2=0,BI2=0,BI1=0)=TRUE,0,BI1+1))</f>
        <v>38</v>
      </c>
      <c r="BI1" s="64">
        <f t="shared" ref="BI1" si="48">IF(AND(BI2=1,BJ2=0)=TRUE,1,IF(AND(BI2=0,BJ2=0,BJ1=0)=TRUE,0,BJ1+1))</f>
        <v>37</v>
      </c>
      <c r="BJ1" s="64">
        <f t="shared" ref="BJ1" si="49">IF(AND(BJ2=1,BK2=0)=TRUE,1,IF(AND(BJ2=0,BK2=0,BK1=0)=TRUE,0,BK1+1))</f>
        <v>36</v>
      </c>
      <c r="BK1" s="64">
        <f t="shared" ref="BK1" si="50">IF(AND(BK2=1,BL2=0)=TRUE,1,IF(AND(BK2=0,BL2=0,BL1=0)=TRUE,0,BL1+1))</f>
        <v>35</v>
      </c>
      <c r="BL1" s="64">
        <f t="shared" ref="BL1" si="51">IF(AND(BL2=1,BM2=0)=TRUE,1,IF(AND(BL2=0,BM2=0,BM1=0)=TRUE,0,BM1+1))</f>
        <v>34</v>
      </c>
      <c r="BM1" s="64">
        <f t="shared" ref="BM1" si="52">IF(AND(BM2=1,BN2=0)=TRUE,1,IF(AND(BM2=0,BN2=0,BN1=0)=TRUE,0,BN1+1))</f>
        <v>33</v>
      </c>
      <c r="BN1" s="64">
        <f t="shared" ref="BN1" si="53">IF(AND(BN2=1,BO2=0)=TRUE,1,IF(AND(BN2=0,BO2=0,BO1=0)=TRUE,0,BO1+1))</f>
        <v>32</v>
      </c>
      <c r="BO1" s="64">
        <f t="shared" ref="BO1" si="54">IF(AND(BO2=1,BP2=0)=TRUE,1,IF(AND(BO2=0,BP2=0,BP1=0)=TRUE,0,BP1+1))</f>
        <v>31</v>
      </c>
      <c r="BP1" s="64">
        <f t="shared" ref="BP1" si="55">IF(AND(BP2=1,BQ2=0)=TRUE,1,IF(AND(BP2=0,BQ2=0,BQ1=0)=TRUE,0,BQ1+1))</f>
        <v>30</v>
      </c>
      <c r="BQ1" s="64">
        <f t="shared" ref="BQ1" si="56">IF(AND(BQ2=1,BR2=0)=TRUE,1,IF(AND(BQ2=0,BR2=0,BR1=0)=TRUE,0,BR1+1))</f>
        <v>29</v>
      </c>
      <c r="BR1" s="64">
        <f t="shared" ref="BR1" si="57">IF(AND(BR2=1,BS2=0)=TRUE,1,IF(AND(BR2=0,BS2=0,BS1=0)=TRUE,0,BS1+1))</f>
        <v>28</v>
      </c>
      <c r="BS1" s="64">
        <f t="shared" ref="BS1" si="58">IF(AND(BS2=1,BT2=0)=TRUE,1,IF(AND(BS2=0,BT2=0,BT1=0)=TRUE,0,BT1+1))</f>
        <v>27</v>
      </c>
      <c r="BT1" s="64">
        <f t="shared" ref="BT1" si="59">IF(AND(BT2=1,BU2=0)=TRUE,1,IF(AND(BT2=0,BU2=0,BU1=0)=TRUE,0,BU1+1))</f>
        <v>26</v>
      </c>
      <c r="BU1" s="64">
        <f t="shared" ref="BU1" si="60">IF(AND(BU2=1,BV2=0)=TRUE,1,IF(AND(BU2=0,BV2=0,BV1=0)=TRUE,0,BV1+1))</f>
        <v>25</v>
      </c>
      <c r="BV1" s="64">
        <f t="shared" ref="BV1" si="61">IF(AND(BV2=1,BW2=0)=TRUE,1,IF(AND(BV2=0,BW2=0,BW1=0)=TRUE,0,BW1+1))</f>
        <v>24</v>
      </c>
      <c r="BW1" s="64">
        <f t="shared" ref="BW1" si="62">IF(AND(BW2=1,BX2=0)=TRUE,1,IF(AND(BW2=0,BX2=0,BX1=0)=TRUE,0,BX1+1))</f>
        <v>23</v>
      </c>
      <c r="BX1" s="64">
        <f t="shared" ref="BX1" si="63">IF(AND(BX2=1,BY2=0)=TRUE,1,IF(AND(BX2=0,BY2=0,BY1=0)=TRUE,0,BY1+1))</f>
        <v>22</v>
      </c>
      <c r="BY1" s="64">
        <f t="shared" ref="BY1" si="64">IF(AND(BY2=1,BZ2=0)=TRUE,1,IF(AND(BY2=0,BZ2=0,BZ1=0)=TRUE,0,BZ1+1))</f>
        <v>21</v>
      </c>
      <c r="BZ1" s="64">
        <f t="shared" ref="BZ1" si="65">IF(AND(BZ2=1,CA2=0)=TRUE,1,IF(AND(BZ2=0,CA2=0,CA1=0)=TRUE,0,CA1+1))</f>
        <v>20</v>
      </c>
      <c r="CA1" s="64">
        <f t="shared" ref="CA1" si="66">IF(AND(CA2=1,CB2=0)=TRUE,1,IF(AND(CA2=0,CB2=0,CB1=0)=TRUE,0,CB1+1))</f>
        <v>19</v>
      </c>
      <c r="CB1" s="64">
        <f t="shared" ref="CB1" si="67">IF(AND(CB2=1,CC2=0)=TRUE,1,IF(AND(CB2=0,CC2=0,CC1=0)=TRUE,0,CC1+1))</f>
        <v>18</v>
      </c>
      <c r="CC1" s="64">
        <f t="shared" ref="CC1" si="68">IF(AND(CC2=1,CD2=0)=TRUE,1,IF(AND(CC2=0,CD2=0,CD1=0)=TRUE,0,CD1+1))</f>
        <v>17</v>
      </c>
      <c r="CD1" s="64">
        <f t="shared" ref="CD1" si="69">IF(AND(CD2=1,CE2=0)=TRUE,1,IF(AND(CD2=0,CE2=0,CE1=0)=TRUE,0,CE1+1))</f>
        <v>16</v>
      </c>
      <c r="CE1" s="64">
        <f t="shared" ref="CE1" si="70">IF(AND(CE2=1,CF2=0)=TRUE,1,IF(AND(CE2=0,CF2=0,CF1=0)=TRUE,0,CF1+1))</f>
        <v>15</v>
      </c>
      <c r="CF1" s="64">
        <f t="shared" ref="CF1" si="71">IF(AND(CF2=1,CG2=0)=TRUE,1,IF(AND(CF2=0,CG2=0,CG1=0)=TRUE,0,CG1+1))</f>
        <v>14</v>
      </c>
      <c r="CG1" s="64">
        <f t="shared" ref="CG1" si="72">IF(AND(CG2=1,CH2=0)=TRUE,1,IF(AND(CG2=0,CH2=0,CH1=0)=TRUE,0,CH1+1))</f>
        <v>13</v>
      </c>
      <c r="CH1" s="64">
        <f t="shared" ref="CH1" si="73">IF(AND(CH2=1,CI2=0)=TRUE,1,IF(AND(CH2=0,CI2=0,CI1=0)=TRUE,0,CI1+1))</f>
        <v>12</v>
      </c>
      <c r="CI1" s="64">
        <f t="shared" ref="CI1" si="74">IF(AND(CI2=1,CJ2=0)=TRUE,1,IF(AND(CI2=0,CJ2=0,CJ1=0)=TRUE,0,CJ1+1))</f>
        <v>11</v>
      </c>
      <c r="CJ1" s="64">
        <f t="shared" ref="CJ1" si="75">IF(AND(CJ2=1,CK2=0)=TRUE,1,IF(AND(CJ2=0,CK2=0,CK1=0)=TRUE,0,CK1+1))</f>
        <v>10</v>
      </c>
      <c r="CK1" s="64">
        <f t="shared" ref="CK1" si="76">IF(AND(CK2=1,CL2=0)=TRUE,1,IF(AND(CK2=0,CL2=0,CL1=0)=TRUE,0,CL1+1))</f>
        <v>9</v>
      </c>
      <c r="CL1" s="64">
        <f t="shared" ref="CL1" si="77">IF(AND(CL2=1,CM2=0)=TRUE,1,IF(AND(CL2=0,CM2=0,CM1=0)=TRUE,0,CM1+1))</f>
        <v>8</v>
      </c>
      <c r="CM1" s="64">
        <f t="shared" ref="CM1" si="78">IF(AND(CM2=1,CN2=0)=TRUE,1,IF(AND(CM2=0,CN2=0,CN1=0)=TRUE,0,CN1+1))</f>
        <v>7</v>
      </c>
      <c r="CN1" s="64">
        <f t="shared" ref="CN1" si="79">IF(AND(CN2=1,CO2=0)=TRUE,1,IF(AND(CN2=0,CO2=0,CO1=0)=TRUE,0,CO1+1))</f>
        <v>6</v>
      </c>
      <c r="CO1" s="64">
        <f t="shared" ref="CO1" si="80">IF(AND(CO2=1,CP2=0)=TRUE,1,IF(AND(CO2=0,CP2=0,CP1=0)=TRUE,0,CP1+1))</f>
        <v>5</v>
      </c>
      <c r="CP1" s="64">
        <f t="shared" ref="CP1" si="81">IF(AND(CP2=1,CQ2=0)=TRUE,1,IF(AND(CP2=0,CQ2=0,CQ1=0)=TRUE,0,CQ1+1))</f>
        <v>4</v>
      </c>
      <c r="CQ1" s="64">
        <f t="shared" ref="CQ1" si="82">IF(AND(CQ2=1,CR2=0)=TRUE,1,IF(AND(CQ2=0,CR2=0,CR1=0)=TRUE,0,CR1+1))</f>
        <v>3</v>
      </c>
      <c r="CR1" s="64">
        <f t="shared" ref="CR1" si="83">IF(AND(CR2=1,CS2=0)=TRUE,1,IF(AND(CR2=0,CS2=0,CS1=0)=TRUE,0,CS1+1))</f>
        <v>2</v>
      </c>
      <c r="CS1" s="64">
        <f t="shared" ref="CS1" si="84">IF(AND(CS2=1,CT2=0)=TRUE,1,IF(AND(CS2=0,CT2=0,CT1=0)=TRUE,0,CT1+1))</f>
        <v>1</v>
      </c>
    </row>
    <row r="2" spans="1:97" s="28" customFormat="1" x14ac:dyDescent="0.35">
      <c r="A2" s="28" t="s">
        <v>137</v>
      </c>
      <c r="B2" s="28">
        <f t="shared" ref="B2:H2" si="85">IF(SUM(B6:B14)&gt;1,1,0)</f>
        <v>1</v>
      </c>
      <c r="C2" s="28">
        <f t="shared" si="85"/>
        <v>1</v>
      </c>
      <c r="D2" s="28">
        <f t="shared" si="85"/>
        <v>1</v>
      </c>
      <c r="E2" s="28">
        <f t="shared" si="85"/>
        <v>1</v>
      </c>
      <c r="F2" s="28">
        <f t="shared" si="85"/>
        <v>1</v>
      </c>
      <c r="G2" s="28">
        <f t="shared" si="85"/>
        <v>1</v>
      </c>
      <c r="H2" s="28">
        <f t="shared" si="85"/>
        <v>1</v>
      </c>
      <c r="I2" s="28">
        <f t="shared" ref="I2:AW2" si="86">IF(SUM(I6:I14)&gt;1,1,0)</f>
        <v>1</v>
      </c>
      <c r="J2" s="28">
        <f t="shared" si="86"/>
        <v>1</v>
      </c>
      <c r="K2" s="28">
        <f t="shared" si="86"/>
        <v>1</v>
      </c>
      <c r="L2" s="28">
        <f t="shared" si="86"/>
        <v>1</v>
      </c>
      <c r="M2" s="28">
        <f t="shared" si="86"/>
        <v>1</v>
      </c>
      <c r="N2" s="28">
        <f>IF(SUM(N6:N14)&gt;1,1,0)</f>
        <v>1</v>
      </c>
      <c r="O2" s="28">
        <f t="shared" si="86"/>
        <v>1</v>
      </c>
      <c r="P2" s="28">
        <f t="shared" si="86"/>
        <v>1</v>
      </c>
      <c r="Q2" s="28">
        <f t="shared" si="86"/>
        <v>1</v>
      </c>
      <c r="R2" s="28">
        <f t="shared" si="86"/>
        <v>1</v>
      </c>
      <c r="S2" s="28">
        <f t="shared" si="86"/>
        <v>1</v>
      </c>
      <c r="T2" s="28">
        <f t="shared" si="86"/>
        <v>1</v>
      </c>
      <c r="U2" s="28">
        <f t="shared" si="86"/>
        <v>1</v>
      </c>
      <c r="V2" s="28">
        <f t="shared" si="86"/>
        <v>1</v>
      </c>
      <c r="W2" s="28">
        <f t="shared" si="86"/>
        <v>1</v>
      </c>
      <c r="X2" s="28">
        <f t="shared" si="86"/>
        <v>1</v>
      </c>
      <c r="Y2" s="28">
        <f t="shared" si="86"/>
        <v>1</v>
      </c>
      <c r="Z2" s="28">
        <f t="shared" si="86"/>
        <v>1</v>
      </c>
      <c r="AA2" s="64">
        <f t="shared" si="86"/>
        <v>1</v>
      </c>
      <c r="AB2" s="64">
        <f t="shared" si="86"/>
        <v>1</v>
      </c>
      <c r="AC2" s="64">
        <f t="shared" si="86"/>
        <v>1</v>
      </c>
      <c r="AD2" s="64">
        <f t="shared" si="86"/>
        <v>1</v>
      </c>
      <c r="AE2" s="64">
        <f t="shared" si="86"/>
        <v>1</v>
      </c>
      <c r="AF2" s="64">
        <f t="shared" si="86"/>
        <v>1</v>
      </c>
      <c r="AG2" s="64">
        <f t="shared" si="86"/>
        <v>1</v>
      </c>
      <c r="AH2" s="64">
        <f t="shared" si="86"/>
        <v>1</v>
      </c>
      <c r="AI2" s="64">
        <f t="shared" si="86"/>
        <v>1</v>
      </c>
      <c r="AJ2" s="64">
        <f t="shared" si="86"/>
        <v>1</v>
      </c>
      <c r="AK2" s="64">
        <f t="shared" si="86"/>
        <v>1</v>
      </c>
      <c r="AL2" s="64">
        <f t="shared" si="86"/>
        <v>1</v>
      </c>
      <c r="AM2" s="64">
        <f t="shared" si="86"/>
        <v>1</v>
      </c>
      <c r="AN2" s="64">
        <f t="shared" si="86"/>
        <v>1</v>
      </c>
      <c r="AO2" s="64">
        <f t="shared" si="86"/>
        <v>1</v>
      </c>
      <c r="AP2" s="64">
        <f t="shared" si="86"/>
        <v>1</v>
      </c>
      <c r="AQ2" s="64">
        <f t="shared" si="86"/>
        <v>1</v>
      </c>
      <c r="AR2" s="64">
        <f t="shared" si="86"/>
        <v>1</v>
      </c>
      <c r="AS2" s="64">
        <f t="shared" si="86"/>
        <v>1</v>
      </c>
      <c r="AT2" s="64">
        <f t="shared" si="86"/>
        <v>1</v>
      </c>
      <c r="AU2" s="64">
        <f t="shared" si="86"/>
        <v>1</v>
      </c>
      <c r="AV2" s="64">
        <f t="shared" si="86"/>
        <v>1</v>
      </c>
      <c r="AW2" s="64">
        <f t="shared" si="86"/>
        <v>1</v>
      </c>
      <c r="AX2" s="64">
        <f t="shared" ref="AX2:BI2" si="87">IF(SUM(AX6:AX14)&gt;1,1,0)</f>
        <v>1</v>
      </c>
      <c r="AY2" s="64">
        <f t="shared" si="87"/>
        <v>1</v>
      </c>
      <c r="AZ2" s="64">
        <f t="shared" si="87"/>
        <v>1</v>
      </c>
      <c r="BA2" s="64">
        <f t="shared" si="87"/>
        <v>1</v>
      </c>
      <c r="BB2" s="64">
        <f t="shared" si="87"/>
        <v>1</v>
      </c>
      <c r="BC2" s="64">
        <f t="shared" si="87"/>
        <v>1</v>
      </c>
      <c r="BD2" s="64">
        <f t="shared" si="87"/>
        <v>1</v>
      </c>
      <c r="BE2" s="64">
        <f t="shared" si="87"/>
        <v>1</v>
      </c>
      <c r="BF2" s="64">
        <f t="shared" si="87"/>
        <v>1</v>
      </c>
      <c r="BG2" s="64">
        <f t="shared" si="87"/>
        <v>1</v>
      </c>
      <c r="BH2" s="64">
        <f t="shared" si="87"/>
        <v>1</v>
      </c>
      <c r="BI2" s="64">
        <f t="shared" si="87"/>
        <v>1</v>
      </c>
      <c r="BJ2" s="64">
        <f t="shared" ref="BJ2:BW2" si="88">IF(SUM(BJ6:BJ14)&gt;1,1,0)</f>
        <v>1</v>
      </c>
      <c r="BK2" s="64">
        <f t="shared" si="88"/>
        <v>1</v>
      </c>
      <c r="BL2" s="64">
        <f t="shared" si="88"/>
        <v>1</v>
      </c>
      <c r="BM2" s="64">
        <f t="shared" si="88"/>
        <v>1</v>
      </c>
      <c r="BN2" s="64">
        <f t="shared" si="88"/>
        <v>1</v>
      </c>
      <c r="BO2" s="64">
        <f t="shared" si="88"/>
        <v>1</v>
      </c>
      <c r="BP2" s="64">
        <f t="shared" si="88"/>
        <v>1</v>
      </c>
      <c r="BQ2" s="64">
        <f t="shared" si="88"/>
        <v>1</v>
      </c>
      <c r="BR2" s="64">
        <f t="shared" si="88"/>
        <v>1</v>
      </c>
      <c r="BS2" s="64">
        <f t="shared" si="88"/>
        <v>1</v>
      </c>
      <c r="BT2" s="64">
        <f t="shared" si="88"/>
        <v>1</v>
      </c>
      <c r="BU2" s="64">
        <f t="shared" si="88"/>
        <v>1</v>
      </c>
      <c r="BV2" s="64">
        <f t="shared" si="88"/>
        <v>1</v>
      </c>
      <c r="BW2" s="64">
        <f t="shared" si="88"/>
        <v>1</v>
      </c>
      <c r="BX2" s="64">
        <f t="shared" ref="BX2:CD2" si="89">IF(SUM(BX6:BX14)&gt;1,1,0)</f>
        <v>1</v>
      </c>
      <c r="BY2" s="64">
        <f t="shared" si="89"/>
        <v>1</v>
      </c>
      <c r="BZ2" s="64">
        <f t="shared" si="89"/>
        <v>1</v>
      </c>
      <c r="CA2" s="64">
        <f t="shared" si="89"/>
        <v>1</v>
      </c>
      <c r="CB2" s="64">
        <f t="shared" si="89"/>
        <v>1</v>
      </c>
      <c r="CC2" s="64">
        <f t="shared" si="89"/>
        <v>1</v>
      </c>
      <c r="CD2" s="64">
        <f t="shared" si="89"/>
        <v>1</v>
      </c>
      <c r="CE2" s="64">
        <f t="shared" ref="CE2:CG2" si="90">IF(SUM(CE6:CE14)&gt;1,1,0)</f>
        <v>1</v>
      </c>
      <c r="CF2" s="64">
        <f t="shared" si="90"/>
        <v>1</v>
      </c>
      <c r="CG2" s="64">
        <f t="shared" si="90"/>
        <v>1</v>
      </c>
      <c r="CH2" s="64">
        <f t="shared" ref="CH2:CN2" si="91">IF(SUM(CH6:CH14)&gt;1,1,0)</f>
        <v>1</v>
      </c>
      <c r="CI2" s="64">
        <f t="shared" si="91"/>
        <v>1</v>
      </c>
      <c r="CJ2" s="64">
        <f t="shared" si="91"/>
        <v>1</v>
      </c>
      <c r="CK2" s="64">
        <f t="shared" si="91"/>
        <v>1</v>
      </c>
      <c r="CL2" s="64">
        <f t="shared" si="91"/>
        <v>1</v>
      </c>
      <c r="CM2" s="64">
        <f t="shared" si="91"/>
        <v>1</v>
      </c>
      <c r="CN2" s="64">
        <f t="shared" si="91"/>
        <v>1</v>
      </c>
      <c r="CO2" s="64">
        <f t="shared" ref="CO2:CS2" si="92">IF(SUM(CO6:CO14)&gt;1,1,0)</f>
        <v>1</v>
      </c>
      <c r="CP2" s="64">
        <f t="shared" si="92"/>
        <v>1</v>
      </c>
      <c r="CQ2" s="64">
        <f t="shared" si="92"/>
        <v>1</v>
      </c>
      <c r="CR2" s="64">
        <f t="shared" si="92"/>
        <v>1</v>
      </c>
      <c r="CS2" s="64">
        <f t="shared" si="92"/>
        <v>1</v>
      </c>
    </row>
    <row r="3" spans="1:97" s="28" customFormat="1" x14ac:dyDescent="0.35">
      <c r="B3" s="28" t="s">
        <v>136</v>
      </c>
      <c r="C3" s="28" t="s">
        <v>136</v>
      </c>
      <c r="D3" s="28" t="s">
        <v>136</v>
      </c>
      <c r="E3" s="28" t="s">
        <v>136</v>
      </c>
      <c r="F3" s="28" t="s">
        <v>136</v>
      </c>
      <c r="G3" s="28" t="s">
        <v>136</v>
      </c>
      <c r="H3" s="28" t="s">
        <v>136</v>
      </c>
      <c r="I3" s="28" t="s">
        <v>136</v>
      </c>
      <c r="J3" s="28" t="s">
        <v>136</v>
      </c>
      <c r="K3" s="28" t="s">
        <v>136</v>
      </c>
      <c r="L3" s="28" t="s">
        <v>136</v>
      </c>
      <c r="M3" s="28" t="s">
        <v>136</v>
      </c>
      <c r="N3" s="28" t="s">
        <v>135</v>
      </c>
      <c r="O3" s="64" t="s">
        <v>135</v>
      </c>
      <c r="P3" s="64" t="s">
        <v>135</v>
      </c>
      <c r="Q3" s="64" t="s">
        <v>135</v>
      </c>
      <c r="R3" s="64" t="s">
        <v>135</v>
      </c>
      <c r="S3" s="64" t="s">
        <v>135</v>
      </c>
      <c r="T3" s="64" t="s">
        <v>135</v>
      </c>
      <c r="U3" s="64" t="s">
        <v>135</v>
      </c>
      <c r="V3" s="64" t="s">
        <v>135</v>
      </c>
      <c r="W3" s="64" t="s">
        <v>135</v>
      </c>
      <c r="X3" s="64" t="s">
        <v>135</v>
      </c>
      <c r="Y3" s="64" t="s">
        <v>135</v>
      </c>
      <c r="Z3" s="64" t="s">
        <v>207</v>
      </c>
      <c r="AA3" s="64" t="s">
        <v>207</v>
      </c>
      <c r="AB3" s="64" t="s">
        <v>207</v>
      </c>
      <c r="AC3" s="64" t="s">
        <v>207</v>
      </c>
      <c r="AD3" s="64" t="s">
        <v>207</v>
      </c>
      <c r="AE3" s="64" t="s">
        <v>207</v>
      </c>
      <c r="AF3" s="64" t="s">
        <v>207</v>
      </c>
      <c r="AG3" s="64" t="s">
        <v>207</v>
      </c>
      <c r="AH3" s="64" t="s">
        <v>207</v>
      </c>
      <c r="AI3" s="64" t="s">
        <v>207</v>
      </c>
      <c r="AJ3" s="64" t="s">
        <v>207</v>
      </c>
      <c r="AK3" s="64" t="s">
        <v>207</v>
      </c>
      <c r="AL3" s="64" t="s">
        <v>251</v>
      </c>
      <c r="AM3" s="64" t="s">
        <v>251</v>
      </c>
      <c r="AN3" s="64" t="s">
        <v>251</v>
      </c>
      <c r="AO3" s="64" t="s">
        <v>251</v>
      </c>
      <c r="AP3" s="64" t="s">
        <v>251</v>
      </c>
      <c r="AQ3" s="64" t="s">
        <v>251</v>
      </c>
      <c r="AR3" s="64" t="s">
        <v>251</v>
      </c>
      <c r="AS3" s="64" t="s">
        <v>251</v>
      </c>
      <c r="AT3" s="64" t="s">
        <v>251</v>
      </c>
      <c r="AU3" s="64" t="s">
        <v>251</v>
      </c>
      <c r="AV3" s="64" t="s">
        <v>251</v>
      </c>
      <c r="AW3" s="64" t="s">
        <v>251</v>
      </c>
      <c r="AX3" s="64" t="s">
        <v>259</v>
      </c>
      <c r="AY3" s="64" t="s">
        <v>259</v>
      </c>
      <c r="AZ3" s="64" t="s">
        <v>259</v>
      </c>
      <c r="BA3" s="64" t="s">
        <v>259</v>
      </c>
      <c r="BB3" s="64" t="s">
        <v>259</v>
      </c>
      <c r="BC3" s="64" t="s">
        <v>259</v>
      </c>
      <c r="BD3" s="64" t="s">
        <v>259</v>
      </c>
      <c r="BE3" s="64" t="s">
        <v>259</v>
      </c>
      <c r="BF3" s="64" t="s">
        <v>259</v>
      </c>
      <c r="BG3" s="64" t="s">
        <v>259</v>
      </c>
      <c r="BH3" s="64" t="s">
        <v>259</v>
      </c>
      <c r="BI3" s="64" t="s">
        <v>259</v>
      </c>
      <c r="BJ3" s="64" t="s">
        <v>406</v>
      </c>
      <c r="BK3" s="64" t="s">
        <v>407</v>
      </c>
      <c r="BL3" s="64" t="s">
        <v>408</v>
      </c>
      <c r="BM3" s="64" t="s">
        <v>409</v>
      </c>
      <c r="BN3" s="64" t="s">
        <v>410</v>
      </c>
      <c r="BO3" s="64" t="s">
        <v>411</v>
      </c>
      <c r="BP3" s="64" t="s">
        <v>412</v>
      </c>
      <c r="BQ3" s="64" t="s">
        <v>413</v>
      </c>
      <c r="BR3" s="64" t="s">
        <v>414</v>
      </c>
      <c r="BS3" s="64" t="s">
        <v>415</v>
      </c>
      <c r="BT3" s="64" t="s">
        <v>416</v>
      </c>
      <c r="BU3" s="64" t="s">
        <v>417</v>
      </c>
      <c r="BV3" s="64" t="s">
        <v>418</v>
      </c>
      <c r="BW3" s="64" t="s">
        <v>419</v>
      </c>
      <c r="BX3" s="64" t="s">
        <v>472</v>
      </c>
      <c r="BY3" s="64" t="s">
        <v>473</v>
      </c>
      <c r="BZ3" s="64" t="s">
        <v>474</v>
      </c>
      <c r="CA3" s="64" t="s">
        <v>475</v>
      </c>
      <c r="CB3" s="64" t="s">
        <v>476</v>
      </c>
      <c r="CC3" s="64" t="s">
        <v>477</v>
      </c>
      <c r="CD3" s="64" t="s">
        <v>484</v>
      </c>
      <c r="CE3" s="64" t="s">
        <v>485</v>
      </c>
      <c r="CF3" s="64" t="s">
        <v>486</v>
      </c>
      <c r="CG3" s="64" t="s">
        <v>487</v>
      </c>
      <c r="CH3" s="64" t="s">
        <v>506</v>
      </c>
      <c r="CI3" s="64" t="s">
        <v>507</v>
      </c>
      <c r="CJ3" s="64" t="s">
        <v>508</v>
      </c>
      <c r="CK3" s="64" t="s">
        <v>509</v>
      </c>
      <c r="CL3" s="64" t="s">
        <v>510</v>
      </c>
      <c r="CM3" s="64" t="s">
        <v>511</v>
      </c>
      <c r="CN3" s="64" t="s">
        <v>512</v>
      </c>
      <c r="CO3" s="64" t="s">
        <v>513</v>
      </c>
      <c r="CP3" s="64" t="s">
        <v>514</v>
      </c>
      <c r="CQ3" s="64" t="s">
        <v>515</v>
      </c>
      <c r="CR3" s="64" t="s">
        <v>516</v>
      </c>
      <c r="CS3" s="64" t="s">
        <v>517</v>
      </c>
    </row>
    <row r="4" spans="1:97" s="28" customFormat="1" x14ac:dyDescent="0.35">
      <c r="B4" s="28" t="s">
        <v>19</v>
      </c>
      <c r="C4" s="28" t="s">
        <v>20</v>
      </c>
      <c r="D4" s="28" t="s">
        <v>21</v>
      </c>
      <c r="E4" s="28" t="s">
        <v>22</v>
      </c>
      <c r="F4" s="28" t="s">
        <v>23</v>
      </c>
      <c r="G4" s="28" t="s">
        <v>24</v>
      </c>
      <c r="H4" s="28" t="s">
        <v>25</v>
      </c>
      <c r="I4" s="28" t="s">
        <v>26</v>
      </c>
      <c r="J4" s="28" t="s">
        <v>27</v>
      </c>
      <c r="K4" s="28" t="s">
        <v>28</v>
      </c>
      <c r="L4" s="28" t="s">
        <v>29</v>
      </c>
      <c r="M4" s="28" t="s">
        <v>30</v>
      </c>
      <c r="N4" s="28" t="s">
        <v>19</v>
      </c>
      <c r="O4" s="64" t="s">
        <v>20</v>
      </c>
      <c r="P4" s="64" t="s">
        <v>21</v>
      </c>
      <c r="Q4" s="64" t="s">
        <v>22</v>
      </c>
      <c r="R4" s="64" t="s">
        <v>23</v>
      </c>
      <c r="S4" s="64" t="s">
        <v>24</v>
      </c>
      <c r="T4" s="64" t="s">
        <v>25</v>
      </c>
      <c r="U4" s="64" t="s">
        <v>26</v>
      </c>
      <c r="V4" s="64" t="s">
        <v>27</v>
      </c>
      <c r="W4" s="64" t="s">
        <v>28</v>
      </c>
      <c r="X4" s="64" t="s">
        <v>29</v>
      </c>
      <c r="Y4" s="64" t="s">
        <v>30</v>
      </c>
      <c r="Z4" s="64" t="s">
        <v>19</v>
      </c>
      <c r="AA4" s="64" t="s">
        <v>20</v>
      </c>
      <c r="AB4" s="64" t="s">
        <v>21</v>
      </c>
      <c r="AC4" s="64" t="s">
        <v>22</v>
      </c>
      <c r="AD4" s="64" t="s">
        <v>23</v>
      </c>
      <c r="AE4" s="64" t="s">
        <v>24</v>
      </c>
      <c r="AF4" s="64" t="s">
        <v>25</v>
      </c>
      <c r="AG4" s="64" t="s">
        <v>26</v>
      </c>
      <c r="AH4" s="64" t="s">
        <v>27</v>
      </c>
      <c r="AI4" s="64" t="s">
        <v>28</v>
      </c>
      <c r="AJ4" s="64" t="s">
        <v>29</v>
      </c>
      <c r="AK4" s="64" t="s">
        <v>30</v>
      </c>
      <c r="AL4" s="64" t="s">
        <v>19</v>
      </c>
      <c r="AM4" s="64" t="s">
        <v>20</v>
      </c>
      <c r="AN4" s="64" t="s">
        <v>21</v>
      </c>
      <c r="AO4" s="64" t="s">
        <v>22</v>
      </c>
      <c r="AP4" s="64" t="s">
        <v>23</v>
      </c>
      <c r="AQ4" s="64" t="s">
        <v>24</v>
      </c>
      <c r="AR4" s="64" t="s">
        <v>25</v>
      </c>
      <c r="AS4" s="64" t="s">
        <v>26</v>
      </c>
      <c r="AT4" s="64" t="s">
        <v>27</v>
      </c>
      <c r="AU4" s="64" t="s">
        <v>28</v>
      </c>
      <c r="AV4" s="64" t="s">
        <v>29</v>
      </c>
      <c r="AW4" s="64" t="s">
        <v>30</v>
      </c>
      <c r="AX4" s="64" t="s">
        <v>19</v>
      </c>
      <c r="AY4" s="64" t="s">
        <v>20</v>
      </c>
      <c r="AZ4" s="64" t="s">
        <v>21</v>
      </c>
      <c r="BA4" s="64" t="s">
        <v>22</v>
      </c>
      <c r="BB4" s="64" t="s">
        <v>23</v>
      </c>
      <c r="BC4" s="64" t="s">
        <v>24</v>
      </c>
      <c r="BD4" s="64" t="s">
        <v>25</v>
      </c>
      <c r="BE4" s="64" t="s">
        <v>26</v>
      </c>
      <c r="BF4" s="64" t="s">
        <v>27</v>
      </c>
      <c r="BG4" s="64" t="s">
        <v>28</v>
      </c>
      <c r="BH4" s="64" t="s">
        <v>29</v>
      </c>
      <c r="BI4" s="64" t="s">
        <v>30</v>
      </c>
      <c r="BJ4" s="64" t="s">
        <v>19</v>
      </c>
      <c r="BK4" s="64" t="s">
        <v>20</v>
      </c>
      <c r="BL4" s="64" t="s">
        <v>21</v>
      </c>
      <c r="BM4" s="64" t="s">
        <v>22</v>
      </c>
      <c r="BN4" s="64" t="s">
        <v>23</v>
      </c>
      <c r="BO4" s="64" t="s">
        <v>24</v>
      </c>
      <c r="BP4" s="64" t="s">
        <v>25</v>
      </c>
      <c r="BQ4" s="64" t="s">
        <v>26</v>
      </c>
      <c r="BR4" s="64" t="s">
        <v>27</v>
      </c>
      <c r="BS4" s="64" t="s">
        <v>28</v>
      </c>
      <c r="BT4" s="64" t="s">
        <v>29</v>
      </c>
      <c r="BU4" s="64" t="s">
        <v>30</v>
      </c>
      <c r="BV4" s="64" t="s">
        <v>19</v>
      </c>
      <c r="BW4" s="64" t="s">
        <v>20</v>
      </c>
      <c r="BX4" s="64" t="s">
        <v>478</v>
      </c>
      <c r="BY4" s="64" t="s">
        <v>479</v>
      </c>
      <c r="BZ4" s="64" t="s">
        <v>480</v>
      </c>
      <c r="CA4" s="64" t="s">
        <v>481</v>
      </c>
      <c r="CB4" s="64" t="s">
        <v>482</v>
      </c>
      <c r="CC4" s="64" t="s">
        <v>483</v>
      </c>
      <c r="CD4" s="64" t="s">
        <v>488</v>
      </c>
      <c r="CE4" s="64" t="s">
        <v>489</v>
      </c>
      <c r="CF4" s="64" t="s">
        <v>490</v>
      </c>
      <c r="CG4" s="64" t="s">
        <v>491</v>
      </c>
      <c r="CH4" s="64" t="s">
        <v>132</v>
      </c>
      <c r="CI4" s="64" t="s">
        <v>20</v>
      </c>
      <c r="CJ4" s="64" t="s">
        <v>478</v>
      </c>
      <c r="CK4" s="64" t="s">
        <v>479</v>
      </c>
      <c r="CL4" s="64" t="s">
        <v>480</v>
      </c>
      <c r="CM4" s="64" t="s">
        <v>481</v>
      </c>
      <c r="CN4" s="64" t="s">
        <v>482</v>
      </c>
      <c r="CO4" s="64" t="s">
        <v>483</v>
      </c>
      <c r="CP4" s="64" t="s">
        <v>488</v>
      </c>
      <c r="CQ4" s="64" t="s">
        <v>489</v>
      </c>
      <c r="CR4" s="64" t="s">
        <v>490</v>
      </c>
      <c r="CS4" s="64" t="s">
        <v>491</v>
      </c>
    </row>
    <row r="5" spans="1:97" x14ac:dyDescent="0.35">
      <c r="A5" s="67"/>
      <c r="B5" s="68">
        <v>42826</v>
      </c>
      <c r="C5" s="68">
        <v>42856</v>
      </c>
      <c r="D5" s="68">
        <v>42887</v>
      </c>
      <c r="E5" s="68">
        <v>42917</v>
      </c>
      <c r="F5" s="68">
        <v>42948</v>
      </c>
      <c r="G5" s="68">
        <v>42979</v>
      </c>
      <c r="H5" s="68">
        <v>43009</v>
      </c>
      <c r="I5" s="68">
        <v>43040</v>
      </c>
      <c r="J5" s="68">
        <v>43070</v>
      </c>
      <c r="K5" s="68">
        <v>43101</v>
      </c>
      <c r="L5" s="68">
        <v>43132</v>
      </c>
      <c r="M5" s="68">
        <v>43160</v>
      </c>
      <c r="N5" s="68">
        <v>43191</v>
      </c>
      <c r="O5" s="68">
        <v>43221</v>
      </c>
      <c r="P5" s="68">
        <v>43252</v>
      </c>
      <c r="Q5" s="68">
        <v>43282</v>
      </c>
      <c r="R5" s="68">
        <v>43313</v>
      </c>
      <c r="S5" s="68">
        <v>43344</v>
      </c>
      <c r="T5" s="68">
        <v>43374</v>
      </c>
      <c r="U5" s="68">
        <v>43405</v>
      </c>
      <c r="V5" s="68">
        <v>43435</v>
      </c>
      <c r="W5" s="68">
        <v>43466</v>
      </c>
      <c r="X5" s="68">
        <v>43497</v>
      </c>
      <c r="Y5" s="68">
        <v>43525</v>
      </c>
      <c r="Z5" s="68">
        <v>43556</v>
      </c>
      <c r="AA5" s="68">
        <v>43586</v>
      </c>
      <c r="AB5" s="68">
        <v>43617</v>
      </c>
      <c r="AC5" s="68">
        <v>43647</v>
      </c>
      <c r="AD5" s="68">
        <v>43678</v>
      </c>
      <c r="AE5" s="68">
        <v>43709</v>
      </c>
      <c r="AF5" s="68">
        <v>43739</v>
      </c>
      <c r="AG5" s="68">
        <v>43770</v>
      </c>
      <c r="AH5" s="68">
        <v>43800</v>
      </c>
      <c r="AI5" s="68">
        <v>43831</v>
      </c>
      <c r="AJ5" s="68">
        <v>43862</v>
      </c>
      <c r="AK5" s="68">
        <v>43891</v>
      </c>
      <c r="AL5" s="68">
        <v>43922</v>
      </c>
      <c r="AM5" s="68">
        <v>43952</v>
      </c>
      <c r="AN5" s="68">
        <v>43983</v>
      </c>
      <c r="AO5" s="68">
        <v>44013</v>
      </c>
      <c r="AP5" s="68">
        <v>44044</v>
      </c>
      <c r="AQ5" s="68">
        <v>44075</v>
      </c>
      <c r="AR5" s="68">
        <v>44105</v>
      </c>
      <c r="AS5" s="68">
        <v>44136</v>
      </c>
      <c r="AT5" s="68">
        <v>44166</v>
      </c>
      <c r="AU5" s="68">
        <v>44197</v>
      </c>
      <c r="AV5" s="68">
        <v>44228</v>
      </c>
      <c r="AW5" s="68">
        <v>44256</v>
      </c>
      <c r="AX5" s="68">
        <v>44287</v>
      </c>
      <c r="AY5" s="68">
        <v>44317</v>
      </c>
      <c r="AZ5" s="68">
        <v>44348</v>
      </c>
      <c r="BA5" s="68">
        <v>44378</v>
      </c>
      <c r="BB5" s="68">
        <v>44409</v>
      </c>
      <c r="BC5" s="68">
        <v>44440</v>
      </c>
      <c r="BD5" s="68">
        <v>44470</v>
      </c>
      <c r="BE5" s="68">
        <v>44501</v>
      </c>
      <c r="BF5" s="68">
        <v>44531</v>
      </c>
      <c r="BG5" s="68">
        <v>44562</v>
      </c>
      <c r="BH5" s="68">
        <v>44593</v>
      </c>
      <c r="BI5" s="68">
        <v>44621</v>
      </c>
      <c r="BJ5" s="68">
        <v>44652</v>
      </c>
      <c r="BK5" s="68">
        <v>44682</v>
      </c>
      <c r="BL5" s="68">
        <v>44713</v>
      </c>
      <c r="BM5" s="68">
        <v>44743</v>
      </c>
      <c r="BN5" s="68">
        <v>44774</v>
      </c>
      <c r="BO5" s="68">
        <v>44805</v>
      </c>
      <c r="BP5" s="68">
        <v>44835</v>
      </c>
      <c r="BQ5" s="68">
        <v>44866</v>
      </c>
      <c r="BR5" s="68">
        <v>44896</v>
      </c>
      <c r="BS5" s="68">
        <v>44927</v>
      </c>
      <c r="BT5" s="68">
        <v>44958</v>
      </c>
      <c r="BU5" s="68">
        <v>44986</v>
      </c>
      <c r="BV5" s="68">
        <v>45017</v>
      </c>
      <c r="BW5" s="68">
        <v>45047</v>
      </c>
      <c r="BX5" s="68">
        <v>45078</v>
      </c>
      <c r="BY5" s="68">
        <v>45108</v>
      </c>
      <c r="BZ5" s="68">
        <v>45139</v>
      </c>
      <c r="CA5" s="68">
        <v>45170</v>
      </c>
      <c r="CB5" s="68">
        <v>45200</v>
      </c>
      <c r="CC5" s="68">
        <v>45231</v>
      </c>
      <c r="CD5" s="68">
        <v>45261</v>
      </c>
      <c r="CE5" s="68">
        <v>45292</v>
      </c>
      <c r="CF5" s="68">
        <v>45323</v>
      </c>
      <c r="CG5" s="68">
        <v>45352</v>
      </c>
      <c r="CH5" s="68">
        <v>45383</v>
      </c>
      <c r="CI5" s="68">
        <v>45413</v>
      </c>
      <c r="CJ5" s="68">
        <v>45444</v>
      </c>
      <c r="CK5" s="68">
        <v>45474</v>
      </c>
      <c r="CL5" s="68">
        <v>45505</v>
      </c>
      <c r="CM5" s="68">
        <v>45536</v>
      </c>
      <c r="CN5" s="68">
        <v>45566</v>
      </c>
      <c r="CO5" s="68">
        <v>45597</v>
      </c>
      <c r="CP5" s="68">
        <v>45627</v>
      </c>
      <c r="CQ5" s="68">
        <v>45658</v>
      </c>
      <c r="CR5" s="68">
        <v>45689</v>
      </c>
      <c r="CS5" s="68">
        <v>45717</v>
      </c>
    </row>
    <row r="6" spans="1:97" x14ac:dyDescent="0.35">
      <c r="A6" s="65" t="s">
        <v>39</v>
      </c>
      <c r="B6" s="66">
        <f>[2]Force!AL4</f>
        <v>394</v>
      </c>
      <c r="C6" s="66">
        <f>[2]Force!AM4</f>
        <v>383</v>
      </c>
      <c r="D6" s="66">
        <f>[2]Force!AN4</f>
        <v>381</v>
      </c>
      <c r="E6" s="66">
        <f>[2]Force!AO4</f>
        <v>442</v>
      </c>
      <c r="F6" s="66">
        <f>[2]Force!AP4</f>
        <v>378</v>
      </c>
      <c r="G6" s="66">
        <f>[2]Force!AQ4</f>
        <v>385</v>
      </c>
      <c r="H6" s="66">
        <f>[2]Force!AR4</f>
        <v>370</v>
      </c>
      <c r="I6" s="66">
        <f>[2]Force!AS4</f>
        <v>379</v>
      </c>
      <c r="J6" s="66">
        <f>[2]Force!AT4</f>
        <v>369</v>
      </c>
      <c r="K6" s="66">
        <f>[2]Force!AU4</f>
        <v>316</v>
      </c>
      <c r="L6" s="66">
        <f>[2]Force!AV4</f>
        <v>290</v>
      </c>
      <c r="M6" s="66">
        <f>[2]Force!AW4</f>
        <v>336</v>
      </c>
      <c r="N6" s="66">
        <f>[2]Force!AX4</f>
        <v>319</v>
      </c>
      <c r="O6" s="66">
        <f>[2]Force!AY4</f>
        <v>379</v>
      </c>
      <c r="P6" s="66">
        <f>[2]Force!AZ4</f>
        <v>412</v>
      </c>
      <c r="Q6" s="66">
        <f>[2]Force!BA4</f>
        <v>432</v>
      </c>
      <c r="R6" s="66">
        <f>[2]Force!BB4</f>
        <v>387</v>
      </c>
      <c r="S6" s="66">
        <f>[2]Force!BC4</f>
        <v>356</v>
      </c>
      <c r="T6" s="66">
        <f>[2]Force!BD4</f>
        <v>436</v>
      </c>
      <c r="U6" s="66">
        <f>[2]Force!BE4</f>
        <v>370</v>
      </c>
      <c r="V6" s="66">
        <f>[2]Force!BF4</f>
        <v>449</v>
      </c>
      <c r="W6" s="66">
        <f>[2]Force!BG4</f>
        <v>370</v>
      </c>
      <c r="X6" s="66">
        <f>[2]Force!BH4</f>
        <v>301</v>
      </c>
      <c r="Y6" s="66">
        <f>[2]Force!BI4</f>
        <v>399</v>
      </c>
      <c r="Z6" s="66">
        <f>[2]Force!BJ4</f>
        <v>383</v>
      </c>
      <c r="AA6" s="66">
        <f>[2]Force!BK4</f>
        <v>379</v>
      </c>
      <c r="AB6" s="66">
        <f>[2]Force!BL4</f>
        <v>422</v>
      </c>
      <c r="AC6" s="66">
        <f>[2]Force!BM4</f>
        <v>401</v>
      </c>
      <c r="AD6" s="66">
        <f>[2]Force!BN4</f>
        <v>368</v>
      </c>
      <c r="AE6" s="66">
        <f>[2]Force!BO4</f>
        <v>379</v>
      </c>
      <c r="AF6" s="66">
        <f>[2]Force!BP4</f>
        <v>394</v>
      </c>
      <c r="AG6" s="66">
        <f>[2]Force!BQ4</f>
        <v>398</v>
      </c>
      <c r="AH6" s="66">
        <f>[2]Force!BR4</f>
        <v>453</v>
      </c>
      <c r="AI6" s="66">
        <f>[2]Force!BS4</f>
        <v>392</v>
      </c>
      <c r="AJ6" s="66">
        <f>[2]Force!BT4</f>
        <v>370</v>
      </c>
      <c r="AK6" s="66">
        <f>[2]Force!BU4</f>
        <v>344</v>
      </c>
      <c r="AL6" s="66">
        <f>[2]Force!BV4</f>
        <v>278</v>
      </c>
      <c r="AM6" s="66">
        <f>[2]Force!BW4</f>
        <v>342</v>
      </c>
      <c r="AN6" s="66">
        <f>[2]Force!BX4</f>
        <v>355</v>
      </c>
      <c r="AO6" s="66">
        <f>[2]Force!BY4</f>
        <v>406</v>
      </c>
      <c r="AP6" s="66">
        <f>[2]Force!BZ4</f>
        <v>393</v>
      </c>
      <c r="AQ6" s="66">
        <f>[2]Force!CA4</f>
        <v>403</v>
      </c>
      <c r="AR6" s="66">
        <f>[2]Force!CB4</f>
        <v>352</v>
      </c>
      <c r="AS6" s="66">
        <f>[2]Force!CC4</f>
        <v>268</v>
      </c>
      <c r="AT6" s="66">
        <f>[2]Force!CD4</f>
        <v>296</v>
      </c>
      <c r="AU6" s="66">
        <f>[2]Force!CE4</f>
        <v>253</v>
      </c>
      <c r="AV6" s="66">
        <f>[2]Force!CF4</f>
        <v>259</v>
      </c>
      <c r="AW6" s="66">
        <f>[2]Force!CG4</f>
        <v>321</v>
      </c>
      <c r="AX6" s="66">
        <f>[2]Force!CH4</f>
        <v>349</v>
      </c>
      <c r="AY6" s="66">
        <f>[2]Force!CI4</f>
        <v>349</v>
      </c>
      <c r="AZ6" s="66">
        <f>[2]Force!CJ4</f>
        <v>387</v>
      </c>
      <c r="BA6" s="66">
        <f>[2]Force!CK4</f>
        <v>407</v>
      </c>
      <c r="BB6" s="66">
        <f>[2]Force!CL4</f>
        <v>422</v>
      </c>
      <c r="BC6" s="66">
        <f>[2]Force!CM4</f>
        <v>410</v>
      </c>
      <c r="BD6" s="66">
        <f>[2]Force!CN4</f>
        <v>397</v>
      </c>
      <c r="BE6" s="66">
        <f>[2]Force!CO4</f>
        <v>349</v>
      </c>
      <c r="BF6" s="66">
        <f>[2]Force!CP4</f>
        <v>359</v>
      </c>
      <c r="BG6" s="66">
        <f>[2]Force!CQ4</f>
        <v>332</v>
      </c>
      <c r="BH6" s="66">
        <f>[2]Force!CR4</f>
        <v>319</v>
      </c>
      <c r="BI6" s="66">
        <f>[2]Force!CS4</f>
        <v>399</v>
      </c>
      <c r="BJ6" s="66">
        <f>[2]Force!CT4</f>
        <v>398</v>
      </c>
      <c r="BK6" s="66">
        <f>[2]Force!CU4</f>
        <v>431</v>
      </c>
      <c r="BL6" s="66">
        <f>[2]Force!CV4</f>
        <v>430</v>
      </c>
      <c r="BM6" s="66">
        <f>[2]Force!CW4</f>
        <v>451</v>
      </c>
      <c r="BN6" s="66">
        <f>[2]Force!CX4</f>
        <v>433</v>
      </c>
      <c r="BO6" s="66">
        <f>[2]Force!CY4</f>
        <v>374</v>
      </c>
      <c r="BP6" s="66">
        <f>[2]Force!CZ4</f>
        <v>394</v>
      </c>
      <c r="BQ6" s="66">
        <f>[2]Force!DA4</f>
        <v>351</v>
      </c>
      <c r="BR6" s="66">
        <f>[2]Force!DB4</f>
        <v>356</v>
      </c>
      <c r="BS6" s="66">
        <f>[2]Force!DC4</f>
        <v>358</v>
      </c>
      <c r="BT6" s="66">
        <f>[2]Force!DD4</f>
        <v>347</v>
      </c>
      <c r="BU6" s="66">
        <f>[2]Force!DE4</f>
        <v>396</v>
      </c>
      <c r="BV6" s="66">
        <f>[2]Force!DF4</f>
        <v>383</v>
      </c>
      <c r="BW6" s="66">
        <f>[2]Force!DG4</f>
        <v>430</v>
      </c>
      <c r="BX6" s="66">
        <f>[2]Force!DH4</f>
        <v>490</v>
      </c>
      <c r="BY6" s="66">
        <f>[2]Force!DI4</f>
        <v>432</v>
      </c>
      <c r="BZ6" s="66">
        <f>[2]Force!DJ4</f>
        <v>411</v>
      </c>
      <c r="CA6" s="66">
        <f>[2]Force!DK4</f>
        <v>400</v>
      </c>
      <c r="CB6" s="66">
        <f>[2]Force!DL4</f>
        <v>417</v>
      </c>
      <c r="CC6" s="66">
        <f>[2]Force!DM4</f>
        <v>365</v>
      </c>
      <c r="CD6" s="66">
        <f>[2]Force!DN4</f>
        <v>425</v>
      </c>
      <c r="CE6" s="66">
        <f>[2]Force!DO4</f>
        <v>372</v>
      </c>
      <c r="CF6" s="66">
        <f>[2]Force!DP4</f>
        <v>359</v>
      </c>
      <c r="CG6" s="66">
        <f>[2]Force!DQ4</f>
        <v>374</v>
      </c>
      <c r="CH6" s="66">
        <f>[2]Force!DR4</f>
        <v>408</v>
      </c>
      <c r="CI6" s="66">
        <f>[2]Force!DS4</f>
        <v>429</v>
      </c>
      <c r="CJ6" s="66">
        <f>[2]Force!DT4</f>
        <v>432</v>
      </c>
      <c r="CK6" s="66">
        <f>[2]Force!DU4</f>
        <v>479</v>
      </c>
      <c r="CL6" s="66">
        <f>[2]Force!DV4</f>
        <v>435</v>
      </c>
      <c r="CM6" s="66">
        <f>[2]Force!DW4</f>
        <v>351</v>
      </c>
      <c r="CN6" s="66">
        <f>[2]Force!DX4</f>
        <v>387</v>
      </c>
      <c r="CO6" s="66">
        <f>[2]Force!DY4</f>
        <v>346</v>
      </c>
      <c r="CP6" s="66">
        <f>[2]Force!DZ4</f>
        <v>424</v>
      </c>
      <c r="CQ6" s="66">
        <f>[2]Force!EA4</f>
        <v>369</v>
      </c>
      <c r="CR6" s="66">
        <f>[2]Force!EB4</f>
        <v>332</v>
      </c>
      <c r="CS6" s="66">
        <f>[2]Force!EC4</f>
        <v>418</v>
      </c>
    </row>
    <row r="7" spans="1:97" x14ac:dyDescent="0.35">
      <c r="A7" s="65" t="s">
        <v>40</v>
      </c>
      <c r="B7" s="66">
        <f>[2]Force!AL5</f>
        <v>622</v>
      </c>
      <c r="C7" s="66">
        <f>[2]Force!AM5</f>
        <v>652</v>
      </c>
      <c r="D7" s="66">
        <f>[2]Force!AN5</f>
        <v>692</v>
      </c>
      <c r="E7" s="66">
        <f>[2]Force!AO5</f>
        <v>688</v>
      </c>
      <c r="F7" s="66">
        <f>[2]Force!AP5</f>
        <v>650</v>
      </c>
      <c r="G7" s="66">
        <f>[2]Force!AQ5</f>
        <v>577</v>
      </c>
      <c r="H7" s="66">
        <f>[2]Force!AR5</f>
        <v>609</v>
      </c>
      <c r="I7" s="66">
        <f>[2]Force!AS5</f>
        <v>648</v>
      </c>
      <c r="J7" s="66">
        <f>[2]Force!AT5</f>
        <v>594</v>
      </c>
      <c r="K7" s="66">
        <f>[2]Force!AU5</f>
        <v>603</v>
      </c>
      <c r="L7" s="66">
        <f>[2]Force!AV5</f>
        <v>556</v>
      </c>
      <c r="M7" s="66">
        <f>[2]Force!AW5</f>
        <v>626</v>
      </c>
      <c r="N7" s="66">
        <f>[2]Force!AX5</f>
        <v>664</v>
      </c>
      <c r="O7" s="66">
        <f>[2]Force!AY5</f>
        <v>686</v>
      </c>
      <c r="P7" s="66">
        <f>[2]Force!AZ5</f>
        <v>757</v>
      </c>
      <c r="Q7" s="66">
        <f>[2]Force!BA5</f>
        <v>804</v>
      </c>
      <c r="R7" s="66">
        <f>[2]Force!BB5</f>
        <v>715</v>
      </c>
      <c r="S7" s="66">
        <f>[2]Force!BC5</f>
        <v>679</v>
      </c>
      <c r="T7" s="66">
        <f>[2]Force!BD5</f>
        <v>743</v>
      </c>
      <c r="U7" s="66">
        <f>[2]Force!BE5</f>
        <v>789</v>
      </c>
      <c r="V7" s="66">
        <f>[2]Force!BF5</f>
        <v>796</v>
      </c>
      <c r="W7" s="66">
        <f>[2]Force!BG5</f>
        <v>739</v>
      </c>
      <c r="X7" s="66">
        <f>[2]Force!BH5</f>
        <v>692</v>
      </c>
      <c r="Y7" s="66">
        <f>[2]Force!BI5</f>
        <v>788</v>
      </c>
      <c r="Z7" s="66">
        <f>[2]Force!BJ5</f>
        <v>744</v>
      </c>
      <c r="AA7" s="66">
        <f>[2]Force!BK5</f>
        <v>757</v>
      </c>
      <c r="AB7" s="66">
        <f>[2]Force!BL5</f>
        <v>697</v>
      </c>
      <c r="AC7" s="66">
        <f>[2]Force!BM5</f>
        <v>829</v>
      </c>
      <c r="AD7" s="66">
        <f>[2]Force!BN5</f>
        <v>814</v>
      </c>
      <c r="AE7" s="66">
        <f>[2]Force!BO5</f>
        <v>868</v>
      </c>
      <c r="AF7" s="66">
        <f>[2]Force!BP5</f>
        <v>934</v>
      </c>
      <c r="AG7" s="66">
        <f>[2]Force!BQ5</f>
        <v>873</v>
      </c>
      <c r="AH7" s="66">
        <f>[2]Force!BR5</f>
        <v>913</v>
      </c>
      <c r="AI7" s="66">
        <f>[2]Force!BS5</f>
        <v>828</v>
      </c>
      <c r="AJ7" s="66">
        <f>[2]Force!BT5</f>
        <v>823</v>
      </c>
      <c r="AK7" s="66">
        <f>[2]Force!BU5</f>
        <v>854</v>
      </c>
      <c r="AL7" s="66">
        <f>[2]Force!BV5</f>
        <v>731</v>
      </c>
      <c r="AM7" s="66">
        <f>[2]Force!BW5</f>
        <v>867</v>
      </c>
      <c r="AN7" s="66">
        <f>[2]Force!BX5</f>
        <v>999</v>
      </c>
      <c r="AO7" s="66">
        <f>[2]Force!BY5</f>
        <v>999</v>
      </c>
      <c r="AP7" s="66">
        <f>[2]Force!BZ5</f>
        <v>1040</v>
      </c>
      <c r="AQ7" s="66">
        <f>[2]Force!CA5</f>
        <v>940</v>
      </c>
      <c r="AR7" s="66">
        <f>[2]Force!CB5</f>
        <v>1014</v>
      </c>
      <c r="AS7" s="66">
        <f>[2]Force!CC5</f>
        <v>902</v>
      </c>
      <c r="AT7" s="66">
        <f>[2]Force!CD5</f>
        <v>806</v>
      </c>
      <c r="AU7" s="66">
        <f>[2]Force!CE5</f>
        <v>754</v>
      </c>
      <c r="AV7" s="66">
        <f>[2]Force!CF5</f>
        <v>755</v>
      </c>
      <c r="AW7" s="66">
        <f>[2]Force!CG5</f>
        <v>850</v>
      </c>
      <c r="AX7" s="66">
        <f>[2]Force!CH5</f>
        <v>893</v>
      </c>
      <c r="AY7" s="66">
        <f>[2]Force!CI5</f>
        <v>1034</v>
      </c>
      <c r="AZ7" s="66">
        <f>[2]Force!CJ5</f>
        <v>1039</v>
      </c>
      <c r="BA7" s="66">
        <f>[2]Force!CK5</f>
        <v>1105</v>
      </c>
      <c r="BB7" s="66">
        <f>[2]Force!CL5</f>
        <v>973</v>
      </c>
      <c r="BC7" s="66">
        <f>[2]Force!CM5</f>
        <v>1023</v>
      </c>
      <c r="BD7" s="66">
        <f>[2]Force!CN5</f>
        <v>1031</v>
      </c>
      <c r="BE7" s="66">
        <f>[2]Force!CO5</f>
        <v>976</v>
      </c>
      <c r="BF7" s="66">
        <f>[2]Force!CP5</f>
        <v>914</v>
      </c>
      <c r="BG7" s="66">
        <f>[2]Force!CQ5</f>
        <v>893</v>
      </c>
      <c r="BH7" s="66">
        <f>[2]Force!CR5</f>
        <v>861</v>
      </c>
      <c r="BI7" s="66">
        <f>[2]Force!CS5</f>
        <v>1003</v>
      </c>
      <c r="BJ7" s="66">
        <f>[2]Force!CT5</f>
        <v>882</v>
      </c>
      <c r="BK7" s="66">
        <f>[2]Force!CU5</f>
        <v>958</v>
      </c>
      <c r="BL7" s="66">
        <f>[2]Force!CV5</f>
        <v>947</v>
      </c>
      <c r="BM7" s="66">
        <f>[2]Force!CW5</f>
        <v>1023</v>
      </c>
      <c r="BN7" s="66">
        <f>[2]Force!CX5</f>
        <v>875</v>
      </c>
      <c r="BO7" s="66">
        <f>[2]Force!CY5</f>
        <v>879</v>
      </c>
      <c r="BP7" s="66">
        <f>[2]Force!CZ5</f>
        <v>871</v>
      </c>
      <c r="BQ7" s="66">
        <f>[2]Force!DA5</f>
        <v>901</v>
      </c>
      <c r="BR7" s="66">
        <f>[2]Force!DB5</f>
        <v>778</v>
      </c>
      <c r="BS7" s="66">
        <f>[2]Force!DC5</f>
        <v>774</v>
      </c>
      <c r="BT7" s="66">
        <f>[2]Force!DD5</f>
        <v>857</v>
      </c>
      <c r="BU7" s="66">
        <f>[2]Force!DE5</f>
        <v>957</v>
      </c>
      <c r="BV7" s="66">
        <f>[2]Force!DF5</f>
        <v>854</v>
      </c>
      <c r="BW7" s="66">
        <f>[2]Force!DG5</f>
        <v>814</v>
      </c>
      <c r="BX7" s="66">
        <f>[2]Force!DH5</f>
        <v>880</v>
      </c>
      <c r="BY7" s="66">
        <f>[2]Force!DI5</f>
        <v>840</v>
      </c>
      <c r="BZ7" s="66">
        <f>[2]Force!DJ5</f>
        <v>794</v>
      </c>
      <c r="CA7" s="66">
        <f>[2]Force!DK5</f>
        <v>847</v>
      </c>
      <c r="CB7" s="66">
        <f>[2]Force!DL5</f>
        <v>881</v>
      </c>
      <c r="CC7" s="66">
        <f>[2]Force!DM5</f>
        <v>852</v>
      </c>
      <c r="CD7" s="66">
        <f>[2]Force!DN5</f>
        <v>816</v>
      </c>
      <c r="CE7" s="66">
        <f>[2]Force!DO5</f>
        <v>826</v>
      </c>
      <c r="CF7" s="66">
        <f>[2]Force!DP5</f>
        <v>823</v>
      </c>
      <c r="CG7" s="66">
        <f>[2]Force!DQ5</f>
        <v>795</v>
      </c>
      <c r="CH7" s="66">
        <f>[2]Force!DR5</f>
        <v>801</v>
      </c>
      <c r="CI7" s="66">
        <f>[2]Force!DS5</f>
        <v>819</v>
      </c>
      <c r="CJ7" s="66">
        <f>[2]Force!DT5</f>
        <v>820</v>
      </c>
      <c r="CK7" s="66">
        <f>[2]Force!DU5</f>
        <v>902</v>
      </c>
      <c r="CL7" s="66">
        <f>[2]Force!DV5</f>
        <v>733</v>
      </c>
      <c r="CM7" s="66">
        <f>[2]Force!DW5</f>
        <v>771</v>
      </c>
      <c r="CN7" s="66">
        <f>[2]Force!DX5</f>
        <v>773</v>
      </c>
      <c r="CO7" s="66">
        <f>[2]Force!DY5</f>
        <v>742</v>
      </c>
      <c r="CP7" s="66">
        <f>[2]Force!DZ5</f>
        <v>803</v>
      </c>
      <c r="CQ7" s="66">
        <f>[2]Force!EA5</f>
        <v>785</v>
      </c>
      <c r="CR7" s="66">
        <f>[2]Force!EB5</f>
        <v>764</v>
      </c>
      <c r="CS7" s="66">
        <f>[2]Force!EC5</f>
        <v>792</v>
      </c>
    </row>
    <row r="8" spans="1:97" x14ac:dyDescent="0.35">
      <c r="A8" s="65" t="s">
        <v>5</v>
      </c>
      <c r="B8" s="66">
        <f>[2]Force!AL6</f>
        <v>37</v>
      </c>
      <c r="C8" s="66">
        <f>[2]Force!AM6</f>
        <v>78</v>
      </c>
      <c r="D8" s="66">
        <f>[2]Force!AN6</f>
        <v>52</v>
      </c>
      <c r="E8" s="66">
        <f>[2]Force!AO6</f>
        <v>28</v>
      </c>
      <c r="F8" s="66">
        <f>[2]Force!AP6</f>
        <v>47</v>
      </c>
      <c r="G8" s="66">
        <f>[2]Force!AQ6</f>
        <v>49</v>
      </c>
      <c r="H8" s="66">
        <f>[2]Force!AR6</f>
        <v>33</v>
      </c>
      <c r="I8" s="66">
        <f>[2]Force!AS6</f>
        <v>46</v>
      </c>
      <c r="J8" s="66">
        <f>[2]Force!AT6</f>
        <v>38</v>
      </c>
      <c r="K8" s="66">
        <f>[2]Force!AU6</f>
        <v>30</v>
      </c>
      <c r="L8" s="66">
        <f>[2]Force!AV6</f>
        <v>34</v>
      </c>
      <c r="M8" s="66">
        <f>[2]Force!AW6</f>
        <v>45</v>
      </c>
      <c r="N8" s="66">
        <f>[2]Force!AX6</f>
        <v>31</v>
      </c>
      <c r="O8" s="66">
        <f>[2]Force!AY6</f>
        <v>34</v>
      </c>
      <c r="P8" s="66">
        <f>[2]Force!AZ6</f>
        <v>41</v>
      </c>
      <c r="Q8" s="66">
        <f>[2]Force!BA6</f>
        <v>43</v>
      </c>
      <c r="R8" s="66">
        <f>[2]Force!BB6</f>
        <v>34</v>
      </c>
      <c r="S8" s="66">
        <f>[2]Force!BC6</f>
        <v>28</v>
      </c>
      <c r="T8" s="66">
        <f>[2]Force!BD6</f>
        <v>26</v>
      </c>
      <c r="U8" s="66">
        <f>[2]Force!BE6</f>
        <v>26</v>
      </c>
      <c r="V8" s="66">
        <f>[2]Force!BF6</f>
        <v>41</v>
      </c>
      <c r="W8" s="66">
        <f>[2]Force!BG6</f>
        <v>31</v>
      </c>
      <c r="X8" s="66">
        <f>[2]Force!BH6</f>
        <v>30</v>
      </c>
      <c r="Y8" s="66">
        <f>[2]Force!BI6</f>
        <v>39</v>
      </c>
      <c r="Z8" s="66">
        <f>[2]Force!BJ6</f>
        <v>34</v>
      </c>
      <c r="AA8" s="66">
        <f>[2]Force!BK6</f>
        <v>46</v>
      </c>
      <c r="AB8" s="66">
        <f>[2]Force!BL6</f>
        <v>36</v>
      </c>
      <c r="AC8" s="66">
        <f>[2]Force!BM6</f>
        <v>44</v>
      </c>
      <c r="AD8" s="66">
        <f>[2]Force!BN6</f>
        <v>54</v>
      </c>
      <c r="AE8" s="66">
        <f>[2]Force!BO6</f>
        <v>47</v>
      </c>
      <c r="AF8" s="66">
        <f>[2]Force!BP6</f>
        <v>51</v>
      </c>
      <c r="AG8" s="66">
        <f>[2]Force!BQ6</f>
        <v>49</v>
      </c>
      <c r="AH8" s="66">
        <f>[2]Force!BR6</f>
        <v>55</v>
      </c>
      <c r="AI8" s="66">
        <f>[2]Force!BS6</f>
        <v>48</v>
      </c>
      <c r="AJ8" s="66">
        <f>[2]Force!BT6</f>
        <v>45</v>
      </c>
      <c r="AK8" s="66">
        <f>[2]Force!BU6</f>
        <v>48</v>
      </c>
      <c r="AL8" s="66">
        <f>[2]Force!BV6</f>
        <v>20</v>
      </c>
      <c r="AM8" s="66">
        <f>[2]Force!BW6</f>
        <v>34</v>
      </c>
      <c r="AN8" s="66">
        <f>[2]Force!BX6</f>
        <v>32</v>
      </c>
      <c r="AO8" s="66">
        <f>[2]Force!BY6</f>
        <v>37</v>
      </c>
      <c r="AP8" s="66">
        <f>[2]Force!BZ6</f>
        <v>47</v>
      </c>
      <c r="AQ8" s="66">
        <f>[2]Force!CA6</f>
        <v>38</v>
      </c>
      <c r="AR8" s="66">
        <f>[2]Force!CB6</f>
        <v>34</v>
      </c>
      <c r="AS8" s="66">
        <f>[2]Force!CC6</f>
        <v>36</v>
      </c>
      <c r="AT8" s="66">
        <f>[2]Force!CD6</f>
        <v>36</v>
      </c>
      <c r="AU8" s="66">
        <f>[2]Force!CE6</f>
        <v>35</v>
      </c>
      <c r="AV8" s="66">
        <f>[2]Force!CF6</f>
        <v>22</v>
      </c>
      <c r="AW8" s="66">
        <f>[2]Force!CG6</f>
        <v>42</v>
      </c>
      <c r="AX8" s="66">
        <f>[2]Force!CH6</f>
        <v>43</v>
      </c>
      <c r="AY8" s="66">
        <f>[2]Force!CI6</f>
        <v>33</v>
      </c>
      <c r="AZ8" s="66">
        <f>[2]Force!CJ6</f>
        <v>61</v>
      </c>
      <c r="BA8" s="66">
        <f>[2]Force!CK6</f>
        <v>82</v>
      </c>
      <c r="BB8" s="66">
        <f>[2]Force!CL6</f>
        <v>45</v>
      </c>
      <c r="BC8" s="66">
        <f>[2]Force!CM6</f>
        <v>51</v>
      </c>
      <c r="BD8" s="66">
        <f>[2]Force!CN6</f>
        <v>47</v>
      </c>
      <c r="BE8" s="66">
        <f>[2]Force!CO6</f>
        <v>54</v>
      </c>
      <c r="BF8" s="66">
        <f>[2]Force!CP6</f>
        <v>41</v>
      </c>
      <c r="BG8" s="66">
        <f>[2]Force!CQ6</f>
        <v>38</v>
      </c>
      <c r="BH8" s="66">
        <f>[2]Force!CR6</f>
        <v>55</v>
      </c>
      <c r="BI8" s="66">
        <f>[2]Force!CS6</f>
        <v>55</v>
      </c>
      <c r="BJ8" s="66">
        <f>[2]Force!CT6</f>
        <v>46</v>
      </c>
      <c r="BK8" s="66">
        <f>[2]Force!CU6</f>
        <v>33</v>
      </c>
      <c r="BL8" s="66">
        <f>[2]Force!CV6</f>
        <v>36</v>
      </c>
      <c r="BM8" s="66">
        <f>[2]Force!CW6</f>
        <v>41</v>
      </c>
      <c r="BN8" s="66">
        <f>[2]Force!CX6</f>
        <v>41</v>
      </c>
      <c r="BO8" s="66">
        <f>[2]Force!CY6</f>
        <v>34</v>
      </c>
      <c r="BP8" s="66">
        <f>[2]Force!CZ6</f>
        <v>43</v>
      </c>
      <c r="BQ8" s="66">
        <f>[2]Force!DA6</f>
        <v>35</v>
      </c>
      <c r="BR8" s="66">
        <f>[2]Force!DB6</f>
        <v>54</v>
      </c>
      <c r="BS8" s="66">
        <f>[2]Force!DC6</f>
        <v>46</v>
      </c>
      <c r="BT8" s="66">
        <f>[2]Force!DD6</f>
        <v>39</v>
      </c>
      <c r="BU8" s="66">
        <f>[2]Force!DE6</f>
        <v>46</v>
      </c>
      <c r="BV8" s="66">
        <f>[2]Force!DF6</f>
        <v>30</v>
      </c>
      <c r="BW8" s="66">
        <f>[2]Force!DG6</f>
        <v>50</v>
      </c>
      <c r="BX8" s="66">
        <f>[2]Force!DH6</f>
        <v>40</v>
      </c>
      <c r="BY8" s="66">
        <f>[2]Force!DI6</f>
        <v>33</v>
      </c>
      <c r="BZ8" s="66">
        <f>[2]Force!DJ6</f>
        <v>38</v>
      </c>
      <c r="CA8" s="66">
        <f>[2]Force!DK6</f>
        <v>50</v>
      </c>
      <c r="CB8" s="66">
        <f>[2]Force!DL6</f>
        <v>45</v>
      </c>
      <c r="CC8" s="66">
        <f>[2]Force!DM6</f>
        <v>44</v>
      </c>
      <c r="CD8" s="66">
        <f>[2]Force!DN6</f>
        <v>46</v>
      </c>
      <c r="CE8" s="66">
        <f>[2]Force!DO6</f>
        <v>48</v>
      </c>
      <c r="CF8" s="66">
        <f>[2]Force!DP6</f>
        <v>34</v>
      </c>
      <c r="CG8" s="66">
        <f>[2]Force!DQ6</f>
        <v>45</v>
      </c>
      <c r="CH8" s="66">
        <f>[2]Force!DR6</f>
        <v>45</v>
      </c>
      <c r="CI8" s="66">
        <f>[2]Force!DS6</f>
        <v>39</v>
      </c>
      <c r="CJ8" s="66">
        <f>[2]Force!DT6</f>
        <v>38</v>
      </c>
      <c r="CK8" s="66">
        <f>[2]Force!DU6</f>
        <v>47</v>
      </c>
      <c r="CL8" s="66">
        <f>[2]Force!DV6</f>
        <v>44</v>
      </c>
      <c r="CM8" s="66">
        <f>[2]Force!DW6</f>
        <v>41</v>
      </c>
      <c r="CN8" s="66">
        <f>[2]Force!DX6</f>
        <v>53</v>
      </c>
      <c r="CO8" s="66">
        <f>[2]Force!DY6</f>
        <v>45</v>
      </c>
      <c r="CP8" s="66">
        <f>[2]Force!DZ6</f>
        <v>48</v>
      </c>
      <c r="CQ8" s="66">
        <f>[2]Force!EA6</f>
        <v>66</v>
      </c>
      <c r="CR8" s="66">
        <f>[2]Force!EB6</f>
        <v>40</v>
      </c>
      <c r="CS8" s="66">
        <f>[2]Force!EC6</f>
        <v>44</v>
      </c>
    </row>
    <row r="9" spans="1:97" x14ac:dyDescent="0.35">
      <c r="A9" s="65" t="s">
        <v>35</v>
      </c>
      <c r="B9" s="66">
        <f>[2]Force!AL7</f>
        <v>66</v>
      </c>
      <c r="C9" s="66">
        <f>[2]Force!AM7</f>
        <v>99</v>
      </c>
      <c r="D9" s="66">
        <f>[2]Force!AN7</f>
        <v>92</v>
      </c>
      <c r="E9" s="66">
        <f>[2]Force!AO7</f>
        <v>83</v>
      </c>
      <c r="F9" s="66">
        <f>[2]Force!AP7</f>
        <v>71</v>
      </c>
      <c r="G9" s="66">
        <f>[2]Force!AQ7</f>
        <v>86</v>
      </c>
      <c r="H9" s="66">
        <f>[2]Force!AR7</f>
        <v>87</v>
      </c>
      <c r="I9" s="66">
        <f>[2]Force!AS7</f>
        <v>71</v>
      </c>
      <c r="J9" s="66">
        <f>[2]Force!AT7</f>
        <v>68</v>
      </c>
      <c r="K9" s="66">
        <f>[2]Force!AU7</f>
        <v>70</v>
      </c>
      <c r="L9" s="66">
        <f>[2]Force!AV7</f>
        <v>77</v>
      </c>
      <c r="M9" s="66">
        <f>[2]Force!AW7</f>
        <v>79</v>
      </c>
      <c r="N9" s="66">
        <f>[2]Force!AX7</f>
        <v>73</v>
      </c>
      <c r="O9" s="66">
        <f>[2]Force!AY7</f>
        <v>61</v>
      </c>
      <c r="P9" s="66">
        <f>[2]Force!AZ7</f>
        <v>83</v>
      </c>
      <c r="Q9" s="66">
        <f>[2]Force!BA7</f>
        <v>88</v>
      </c>
      <c r="R9" s="66">
        <f>[2]Force!BB7</f>
        <v>61</v>
      </c>
      <c r="S9" s="66">
        <f>[2]Force!BC7</f>
        <v>74</v>
      </c>
      <c r="T9" s="66">
        <f>[2]Force!BD7</f>
        <v>82</v>
      </c>
      <c r="U9" s="66">
        <f>[2]Force!BE7</f>
        <v>70</v>
      </c>
      <c r="V9" s="66">
        <f>[2]Force!BF7</f>
        <v>79</v>
      </c>
      <c r="W9" s="66">
        <f>[2]Force!BG7</f>
        <v>89</v>
      </c>
      <c r="X9" s="66">
        <f>[2]Force!BH7</f>
        <v>65</v>
      </c>
      <c r="Y9" s="66">
        <f>[2]Force!BI7</f>
        <v>65</v>
      </c>
      <c r="Z9" s="66">
        <f>[2]Force!BJ7</f>
        <v>73</v>
      </c>
      <c r="AA9" s="66">
        <f>[2]Force!BK7</f>
        <v>79</v>
      </c>
      <c r="AB9" s="66">
        <f>[2]Force!BL7</f>
        <v>69</v>
      </c>
      <c r="AC9" s="66">
        <f>[2]Force!BM7</f>
        <v>90</v>
      </c>
      <c r="AD9" s="66">
        <f>[2]Force!BN7</f>
        <v>67</v>
      </c>
      <c r="AE9" s="66">
        <f>[2]Force!BO7</f>
        <v>83</v>
      </c>
      <c r="AF9" s="66">
        <f>[2]Force!BP7</f>
        <v>66</v>
      </c>
      <c r="AG9" s="66">
        <f>[2]Force!BQ7</f>
        <v>79</v>
      </c>
      <c r="AH9" s="66">
        <f>[2]Force!BR7</f>
        <v>75</v>
      </c>
      <c r="AI9" s="66">
        <f>[2]Force!BS7</f>
        <v>87</v>
      </c>
      <c r="AJ9" s="66">
        <f>[2]Force!BT7</f>
        <v>96</v>
      </c>
      <c r="AK9" s="66">
        <f>[2]Force!BU7</f>
        <v>82</v>
      </c>
      <c r="AL9" s="66">
        <f>[2]Force!BV7</f>
        <v>54</v>
      </c>
      <c r="AM9" s="66">
        <f>[2]Force!BW7</f>
        <v>67</v>
      </c>
      <c r="AN9" s="66">
        <f>[2]Force!BX7</f>
        <v>84</v>
      </c>
      <c r="AO9" s="66">
        <f>[2]Force!BY7</f>
        <v>80</v>
      </c>
      <c r="AP9" s="66">
        <f>[2]Force!BZ7</f>
        <v>75</v>
      </c>
      <c r="AQ9" s="66">
        <f>[2]Force!CA7</f>
        <v>81</v>
      </c>
      <c r="AR9" s="66">
        <f>[2]Force!CB7</f>
        <v>67</v>
      </c>
      <c r="AS9" s="66">
        <f>[2]Force!CC7</f>
        <v>64</v>
      </c>
      <c r="AT9" s="66">
        <f>[2]Force!CD7</f>
        <v>74</v>
      </c>
      <c r="AU9" s="66">
        <f>[2]Force!CE7</f>
        <v>42</v>
      </c>
      <c r="AV9" s="66">
        <f>[2]Force!CF7</f>
        <v>70</v>
      </c>
      <c r="AW9" s="66">
        <f>[2]Force!CG7</f>
        <v>86</v>
      </c>
      <c r="AX9" s="66">
        <f>[2]Force!CH7</f>
        <v>66</v>
      </c>
      <c r="AY9" s="66">
        <f>[2]Force!CI7</f>
        <v>97</v>
      </c>
      <c r="AZ9" s="66">
        <f>[2]Force!CJ7</f>
        <v>109</v>
      </c>
      <c r="BA9" s="66">
        <f>[2]Force!CK7</f>
        <v>86</v>
      </c>
      <c r="BB9" s="66">
        <f>[2]Force!CL7</f>
        <v>63</v>
      </c>
      <c r="BC9" s="66">
        <f>[2]Force!CM7</f>
        <v>84</v>
      </c>
      <c r="BD9" s="66">
        <f>[2]Force!CN7</f>
        <v>91</v>
      </c>
      <c r="BE9" s="66">
        <f>[2]Force!CO7</f>
        <v>93</v>
      </c>
      <c r="BF9" s="66">
        <f>[2]Force!CP7</f>
        <v>67</v>
      </c>
      <c r="BG9" s="66">
        <f>[2]Force!CQ7</f>
        <v>81</v>
      </c>
      <c r="BH9" s="66">
        <f>[2]Force!CR7</f>
        <v>73</v>
      </c>
      <c r="BI9" s="66">
        <f>[2]Force!CS7</f>
        <v>97</v>
      </c>
      <c r="BJ9" s="66">
        <f>[2]Force!CT7</f>
        <v>94</v>
      </c>
      <c r="BK9" s="66">
        <f>[2]Force!CU7</f>
        <v>85</v>
      </c>
      <c r="BL9" s="66">
        <f>[2]Force!CV7</f>
        <v>98</v>
      </c>
      <c r="BM9" s="66">
        <f>[2]Force!CW7</f>
        <v>117</v>
      </c>
      <c r="BN9" s="66">
        <f>[2]Force!CX7</f>
        <v>86</v>
      </c>
      <c r="BO9" s="66">
        <f>[2]Force!CY7</f>
        <v>87</v>
      </c>
      <c r="BP9" s="66">
        <f>[2]Force!CZ7</f>
        <v>100</v>
      </c>
      <c r="BQ9" s="66">
        <f>[2]Force!DA7</f>
        <v>101</v>
      </c>
      <c r="BR9" s="66">
        <f>[2]Force!DB7</f>
        <v>61</v>
      </c>
      <c r="BS9" s="66">
        <f>[2]Force!DC7</f>
        <v>95</v>
      </c>
      <c r="BT9" s="66">
        <f>[2]Force!DD7</f>
        <v>84</v>
      </c>
      <c r="BU9" s="66">
        <f>[2]Force!DE7</f>
        <v>112</v>
      </c>
      <c r="BV9" s="66">
        <f>[2]Force!DF7</f>
        <v>68</v>
      </c>
      <c r="BW9" s="66">
        <f>[2]Force!DG7</f>
        <v>84</v>
      </c>
      <c r="BX9" s="66">
        <f>[2]Force!DH7</f>
        <v>112</v>
      </c>
      <c r="BY9" s="66">
        <f>[2]Force!DI7</f>
        <v>88</v>
      </c>
      <c r="BZ9" s="66">
        <f>[2]Force!DJ7</f>
        <v>86</v>
      </c>
      <c r="CA9" s="66">
        <f>[2]Force!DK7</f>
        <v>89</v>
      </c>
      <c r="CB9" s="66">
        <f>[2]Force!DL7</f>
        <v>136</v>
      </c>
      <c r="CC9" s="66">
        <f>[2]Force!DM7</f>
        <v>82</v>
      </c>
      <c r="CD9" s="66">
        <f>[2]Force!DN7</f>
        <v>102</v>
      </c>
      <c r="CE9" s="66">
        <f>[2]Force!DO7</f>
        <v>95</v>
      </c>
      <c r="CF9" s="66">
        <f>[2]Force!DP7</f>
        <v>97</v>
      </c>
      <c r="CG9" s="66">
        <f>[2]Force!DQ7</f>
        <v>87</v>
      </c>
      <c r="CH9" s="66">
        <f>[2]Force!DR7</f>
        <v>107</v>
      </c>
      <c r="CI9" s="66">
        <f>[2]Force!DS7</f>
        <v>147</v>
      </c>
      <c r="CJ9" s="66">
        <f>[2]Force!DT7</f>
        <v>117</v>
      </c>
      <c r="CK9" s="66">
        <f>[2]Force!DU7</f>
        <v>94</v>
      </c>
      <c r="CL9" s="66">
        <f>[2]Force!DV7</f>
        <v>90</v>
      </c>
      <c r="CM9" s="66">
        <f>[2]Force!DW7</f>
        <v>82</v>
      </c>
      <c r="CN9" s="66">
        <f>[2]Force!DX7</f>
        <v>127</v>
      </c>
      <c r="CO9" s="66">
        <f>[2]Force!DY7</f>
        <v>102</v>
      </c>
      <c r="CP9" s="66">
        <f>[2]Force!DZ7</f>
        <v>106</v>
      </c>
      <c r="CQ9" s="66">
        <f>[2]Force!EA7</f>
        <v>93</v>
      </c>
      <c r="CR9" s="66">
        <f>[2]Force!EB7</f>
        <v>108</v>
      </c>
      <c r="CS9" s="66">
        <f>[2]Force!EC7</f>
        <v>129</v>
      </c>
    </row>
    <row r="10" spans="1:97" s="64" customFormat="1" x14ac:dyDescent="0.35">
      <c r="A10" s="1001" t="s">
        <v>458</v>
      </c>
      <c r="B10" s="66">
        <f>[2]Force!AL35</f>
        <v>435</v>
      </c>
      <c r="C10" s="66">
        <f>[2]Force!AM35</f>
        <v>496</v>
      </c>
      <c r="D10" s="66">
        <f>[2]Force!AN35</f>
        <v>514</v>
      </c>
      <c r="E10" s="66">
        <f>[2]Force!AO35</f>
        <v>570</v>
      </c>
      <c r="F10" s="66">
        <f>[2]Force!AP35</f>
        <v>545</v>
      </c>
      <c r="G10" s="66">
        <f>[2]Force!AQ35</f>
        <v>575</v>
      </c>
      <c r="H10" s="66">
        <f>[2]Force!AR35</f>
        <v>595</v>
      </c>
      <c r="I10" s="66">
        <f>[2]Force!AS35</f>
        <v>646</v>
      </c>
      <c r="J10" s="66">
        <f>[2]Force!AT35</f>
        <v>700</v>
      </c>
      <c r="K10" s="66">
        <f>[2]Force!AU35</f>
        <v>755</v>
      </c>
      <c r="L10" s="66">
        <f>[2]Force!AV35</f>
        <v>677</v>
      </c>
      <c r="M10" s="66">
        <f>[2]Force!AW35</f>
        <v>764</v>
      </c>
      <c r="N10" s="66">
        <f>[2]Force!AX35</f>
        <v>800</v>
      </c>
      <c r="O10" s="66">
        <f>[2]Force!AY35</f>
        <v>861</v>
      </c>
      <c r="P10" s="66">
        <f>[2]Force!AZ35</f>
        <v>972</v>
      </c>
      <c r="Q10" s="66">
        <f>[2]Force!BA35</f>
        <v>1042</v>
      </c>
      <c r="R10" s="66">
        <f>[2]Force!BB35</f>
        <v>906</v>
      </c>
      <c r="S10" s="66">
        <f>[2]Force!BC35</f>
        <v>834</v>
      </c>
      <c r="T10" s="66">
        <f>[2]Force!BD35</f>
        <v>900</v>
      </c>
      <c r="U10" s="66">
        <f>[2]Force!BE35</f>
        <v>926</v>
      </c>
      <c r="V10" s="66">
        <f>[2]Force!BF35</f>
        <v>964</v>
      </c>
      <c r="W10" s="66">
        <f>[2]Force!BG35</f>
        <v>856</v>
      </c>
      <c r="X10" s="66">
        <f>[2]Force!BH35</f>
        <v>810</v>
      </c>
      <c r="Y10" s="66">
        <f>[2]Force!BI35</f>
        <v>883</v>
      </c>
      <c r="Z10" s="66">
        <f>[2]Force!BJ35</f>
        <v>855</v>
      </c>
      <c r="AA10" s="66">
        <f>[2]Force!BK35</f>
        <v>918</v>
      </c>
      <c r="AB10" s="66">
        <f>[2]Force!BL35</f>
        <v>919</v>
      </c>
      <c r="AC10" s="66">
        <f>[2]Force!BM35</f>
        <v>1002</v>
      </c>
      <c r="AD10" s="66">
        <f>[2]Force!BN35</f>
        <v>963</v>
      </c>
      <c r="AE10" s="66">
        <f>[2]Force!BO35</f>
        <v>948</v>
      </c>
      <c r="AF10" s="66">
        <f>[2]Force!BP35</f>
        <v>902</v>
      </c>
      <c r="AG10" s="66">
        <f>[2]Force!BQ35</f>
        <v>929</v>
      </c>
      <c r="AH10" s="66">
        <f>[2]Force!BR35</f>
        <v>1034</v>
      </c>
      <c r="AI10" s="66">
        <f>[2]Force!BS35</f>
        <v>873</v>
      </c>
      <c r="AJ10" s="66">
        <f>[2]Force!BT35</f>
        <v>877</v>
      </c>
      <c r="AK10" s="66">
        <f>[2]Force!BU35</f>
        <v>978</v>
      </c>
      <c r="AL10" s="66">
        <f>[2]Force!BV35</f>
        <v>951</v>
      </c>
      <c r="AM10" s="66">
        <f>[2]Force!BW35</f>
        <v>1032</v>
      </c>
      <c r="AN10" s="66">
        <f>[2]Force!BX35</f>
        <v>1022</v>
      </c>
      <c r="AO10" s="66">
        <f>[2]Force!BY35</f>
        <v>1065</v>
      </c>
      <c r="AP10" s="66">
        <f>[2]Force!BZ35</f>
        <v>1045</v>
      </c>
      <c r="AQ10" s="66">
        <f>[2]Force!CA35</f>
        <v>1022</v>
      </c>
      <c r="AR10" s="66">
        <f>[2]Force!CB35</f>
        <v>972</v>
      </c>
      <c r="AS10" s="66">
        <f>[2]Force!CC35</f>
        <v>859</v>
      </c>
      <c r="AT10" s="66">
        <f>[2]Force!CD35</f>
        <v>870</v>
      </c>
      <c r="AU10" s="66">
        <f>[2]Force!CE35</f>
        <v>888</v>
      </c>
      <c r="AV10" s="66">
        <f>[2]Force!CF35</f>
        <v>775</v>
      </c>
      <c r="AW10" s="66">
        <f>[2]Force!CG35</f>
        <v>838</v>
      </c>
      <c r="AX10" s="66">
        <f>[2]Force!CH35</f>
        <v>943</v>
      </c>
      <c r="AY10" s="66">
        <f>[2]Force!CI35</f>
        <v>1067</v>
      </c>
      <c r="AZ10" s="66">
        <f>[2]Force!CJ35</f>
        <v>1087</v>
      </c>
      <c r="BA10" s="66">
        <f>[2]Force!CK35</f>
        <v>1086</v>
      </c>
      <c r="BB10" s="66">
        <f>[2]Force!CL35</f>
        <v>1053</v>
      </c>
      <c r="BC10" s="66">
        <f>[2]Force!CM35</f>
        <v>1125</v>
      </c>
      <c r="BD10" s="66">
        <f>[2]Force!CN35</f>
        <v>1023</v>
      </c>
      <c r="BE10" s="66">
        <f>[2]Force!CO35</f>
        <v>886</v>
      </c>
      <c r="BF10" s="66">
        <f>[2]Force!CP35</f>
        <v>913</v>
      </c>
      <c r="BG10" s="66">
        <f>[2]Force!CQ35</f>
        <v>942</v>
      </c>
      <c r="BH10" s="66">
        <f>[2]Force!CR35</f>
        <v>833</v>
      </c>
      <c r="BI10" s="66">
        <f>[2]Force!CS35</f>
        <v>989</v>
      </c>
      <c r="BJ10" s="66">
        <f>[2]Force!CT35</f>
        <v>957</v>
      </c>
      <c r="BK10" s="66">
        <f>[2]Force!CU35</f>
        <v>977</v>
      </c>
      <c r="BL10" s="66">
        <f>[2]Force!CV35</f>
        <v>932</v>
      </c>
      <c r="BM10" s="66">
        <f>[2]Force!CW35</f>
        <v>1039</v>
      </c>
      <c r="BN10" s="66">
        <f>[2]Force!CX35</f>
        <v>939</v>
      </c>
      <c r="BO10" s="66">
        <f>[2]Force!CY35</f>
        <v>909</v>
      </c>
      <c r="BP10" s="66">
        <f>[2]Force!CZ35</f>
        <v>870</v>
      </c>
      <c r="BQ10" s="66">
        <f>[2]Force!DA35</f>
        <v>831</v>
      </c>
      <c r="BR10" s="66">
        <f>[2]Force!DB35</f>
        <v>898</v>
      </c>
      <c r="BS10" s="66">
        <f>[2]Force!DC35</f>
        <v>830</v>
      </c>
      <c r="BT10" s="66">
        <f>[2]Force!DD35</f>
        <v>830</v>
      </c>
      <c r="BU10" s="66">
        <f>[2]Force!DE35</f>
        <v>918</v>
      </c>
      <c r="BV10" s="66">
        <f>[2]Force!DF35</f>
        <v>906</v>
      </c>
      <c r="BW10" s="66">
        <f>[2]Force!DG35</f>
        <v>897</v>
      </c>
      <c r="BX10" s="66">
        <f>[2]Force!DH35</f>
        <v>908</v>
      </c>
      <c r="BY10" s="66">
        <f>[2]Force!DI35</f>
        <v>906</v>
      </c>
      <c r="BZ10" s="66">
        <f>[2]Force!DJ35</f>
        <v>877</v>
      </c>
      <c r="CA10" s="66">
        <f>[2]Force!DK35</f>
        <v>788</v>
      </c>
      <c r="CB10" s="66">
        <f>[2]Force!DL35</f>
        <v>857</v>
      </c>
      <c r="CC10" s="66">
        <f>[2]Force!DM35</f>
        <v>833</v>
      </c>
      <c r="CD10" s="66">
        <f>[2]Force!DN35</f>
        <v>908</v>
      </c>
      <c r="CE10" s="66">
        <f>[2]Force!DO35</f>
        <v>834</v>
      </c>
      <c r="CF10" s="66">
        <f>[2]Force!DP35</f>
        <v>804</v>
      </c>
      <c r="CG10" s="66">
        <f>[2]Force!DQ35</f>
        <v>860</v>
      </c>
      <c r="CH10" s="66">
        <f>[2]Force!DR35</f>
        <v>856</v>
      </c>
      <c r="CI10" s="66">
        <f>[2]Force!DS35</f>
        <v>836</v>
      </c>
      <c r="CJ10" s="66">
        <f>[2]Force!DT35</f>
        <v>858</v>
      </c>
      <c r="CK10" s="66">
        <f>[2]Force!DU35</f>
        <v>927</v>
      </c>
      <c r="CL10" s="66">
        <f>[2]Force!DV35</f>
        <v>892</v>
      </c>
      <c r="CM10" s="66">
        <f>[2]Force!DW35</f>
        <v>825</v>
      </c>
      <c r="CN10" s="66">
        <f>[2]Force!DX35</f>
        <v>830</v>
      </c>
      <c r="CO10" s="66">
        <f>[2]Force!DY35</f>
        <v>774</v>
      </c>
      <c r="CP10" s="66">
        <f>[2]Force!DZ35</f>
        <v>910</v>
      </c>
      <c r="CQ10" s="66">
        <f>[2]Force!EA35</f>
        <v>823</v>
      </c>
      <c r="CR10" s="66">
        <f>[2]Force!EB35</f>
        <v>821</v>
      </c>
      <c r="CS10" s="66">
        <f>[2]Force!EC35</f>
        <v>901</v>
      </c>
    </row>
    <row r="11" spans="1:97" x14ac:dyDescent="0.35">
      <c r="A11" s="93" t="s">
        <v>68</v>
      </c>
      <c r="B11" s="69">
        <f>[2]ASB!AL6</f>
        <v>236</v>
      </c>
      <c r="C11" s="69">
        <f>[2]ASB!AM6</f>
        <v>255</v>
      </c>
      <c r="D11" s="69">
        <f>[2]ASB!AN6</f>
        <v>240</v>
      </c>
      <c r="E11" s="69">
        <f>[2]ASB!AO6</f>
        <v>261</v>
      </c>
      <c r="F11" s="69">
        <f>[2]ASB!AP6</f>
        <v>216</v>
      </c>
      <c r="G11" s="69">
        <f>[2]ASB!AQ6</f>
        <v>198</v>
      </c>
      <c r="H11" s="69">
        <f>[2]ASB!AR6</f>
        <v>188</v>
      </c>
      <c r="I11" s="69">
        <f>[2]ASB!AS6</f>
        <v>167</v>
      </c>
      <c r="J11" s="69">
        <f>[2]ASB!AT6</f>
        <v>166</v>
      </c>
      <c r="K11" s="69">
        <f>[2]ASB!AU6</f>
        <v>173</v>
      </c>
      <c r="L11" s="69">
        <f>[2]ASB!AV6</f>
        <v>141</v>
      </c>
      <c r="M11" s="69">
        <f>[2]ASB!AW6</f>
        <v>193</v>
      </c>
      <c r="N11" s="69">
        <f>[2]ASB!AX6</f>
        <v>184</v>
      </c>
      <c r="O11" s="69">
        <f>[2]ASB!AY6</f>
        <v>243</v>
      </c>
      <c r="P11" s="69">
        <f>[2]ASB!AZ6</f>
        <v>229</v>
      </c>
      <c r="Q11" s="69">
        <f>[2]ASB!BA6</f>
        <v>254</v>
      </c>
      <c r="R11" s="69">
        <f>[2]ASB!BB6</f>
        <v>206</v>
      </c>
      <c r="S11" s="69">
        <f>[2]ASB!BC6</f>
        <v>233</v>
      </c>
      <c r="T11" s="69">
        <f>[2]ASB!BD6</f>
        <v>183</v>
      </c>
      <c r="U11" s="69">
        <f>[2]ASB!BE6</f>
        <v>153</v>
      </c>
      <c r="V11" s="69">
        <f>[2]ASB!BF6</f>
        <v>120</v>
      </c>
      <c r="W11" s="69">
        <f>[2]ASB!BG6</f>
        <v>127</v>
      </c>
      <c r="X11" s="69">
        <f>[2]ASB!BH6</f>
        <v>148</v>
      </c>
      <c r="Y11" s="69">
        <f>[2]ASB!BI6</f>
        <v>174</v>
      </c>
      <c r="Z11" s="69">
        <f>[2]ASB!BJ6</f>
        <v>159</v>
      </c>
      <c r="AA11" s="69">
        <f>[2]ASB!BK6</f>
        <v>176</v>
      </c>
      <c r="AB11" s="69">
        <f>[2]ASB!BL6</f>
        <v>175</v>
      </c>
      <c r="AC11" s="69">
        <f>[2]ASB!BM6</f>
        <v>179</v>
      </c>
      <c r="AD11" s="69">
        <f>[2]ASB!BN6</f>
        <v>152</v>
      </c>
      <c r="AE11" s="69">
        <f>[2]ASB!BO6</f>
        <v>181</v>
      </c>
      <c r="AF11" s="69">
        <f>[2]ASB!BP6</f>
        <v>141</v>
      </c>
      <c r="AG11" s="69">
        <f>[2]ASB!BQ6</f>
        <v>103</v>
      </c>
      <c r="AH11" s="69">
        <f>[2]ASB!BR6</f>
        <v>104</v>
      </c>
      <c r="AI11" s="69">
        <f>[2]ASB!BS6</f>
        <v>142</v>
      </c>
      <c r="AJ11" s="69">
        <f>[2]ASB!BT6</f>
        <v>113</v>
      </c>
      <c r="AK11" s="69">
        <f>[2]ASB!BU6</f>
        <v>156</v>
      </c>
      <c r="AL11" s="69">
        <f>[2]ASB!BV6</f>
        <v>395</v>
      </c>
      <c r="AM11" s="69">
        <f>[2]ASB!BW6</f>
        <v>263</v>
      </c>
      <c r="AN11" s="69">
        <f>[2]ASB!BX6</f>
        <v>203</v>
      </c>
      <c r="AO11" s="69">
        <f>[2]ASB!BY6</f>
        <v>220</v>
      </c>
      <c r="AP11" s="69">
        <f>[2]ASB!BZ6</f>
        <v>220</v>
      </c>
      <c r="AQ11" s="69">
        <f>[2]ASB!CA6</f>
        <v>192</v>
      </c>
      <c r="AR11" s="69">
        <f>[2]ASB!CB6</f>
        <v>138</v>
      </c>
      <c r="AS11" s="69">
        <f>[2]ASB!CC6</f>
        <v>141</v>
      </c>
      <c r="AT11" s="69">
        <f>[2]ASB!CD6</f>
        <v>110</v>
      </c>
      <c r="AU11" s="69">
        <f>[2]ASB!CE6</f>
        <v>143</v>
      </c>
      <c r="AV11" s="69">
        <f>[2]ASB!CF6</f>
        <v>147</v>
      </c>
      <c r="AW11" s="69">
        <f>[2]ASB!CG6</f>
        <v>141</v>
      </c>
      <c r="AX11" s="69">
        <f>[2]ASB!CH6</f>
        <v>194</v>
      </c>
      <c r="AY11" s="69">
        <f>[2]ASB!CI6</f>
        <v>160</v>
      </c>
      <c r="AZ11" s="69">
        <f>[2]ASB!CJ6</f>
        <v>202</v>
      </c>
      <c r="BA11" s="69">
        <f>[2]ASB!CK6</f>
        <v>195</v>
      </c>
      <c r="BB11" s="69">
        <f>[2]ASB!CL6</f>
        <v>161</v>
      </c>
      <c r="BC11" s="69">
        <f>[2]ASB!CM6</f>
        <v>171</v>
      </c>
      <c r="BD11" s="69">
        <f>[2]ASB!CN6</f>
        <v>177</v>
      </c>
      <c r="BE11" s="69">
        <f>[2]ASB!CO6</f>
        <v>174</v>
      </c>
      <c r="BF11" s="69">
        <f>[2]ASB!CP6</f>
        <v>159</v>
      </c>
      <c r="BG11" s="69">
        <f>[2]ASB!CQ6</f>
        <v>135</v>
      </c>
      <c r="BH11" s="69">
        <f>[2]ASB!CR6</f>
        <v>130</v>
      </c>
      <c r="BI11" s="69">
        <f>[2]ASB!CS6</f>
        <v>164</v>
      </c>
      <c r="BJ11" s="69">
        <f>[2]ASB!CT6</f>
        <v>126</v>
      </c>
      <c r="BK11" s="69">
        <f>[2]ASB!CU6</f>
        <v>150</v>
      </c>
      <c r="BL11" s="69">
        <f>[2]ASB!CV6</f>
        <v>167</v>
      </c>
      <c r="BM11" s="69">
        <f>[2]ASB!CW6</f>
        <v>134</v>
      </c>
      <c r="BN11" s="69">
        <f>[2]ASB!CX6</f>
        <v>199</v>
      </c>
      <c r="BO11" s="69">
        <f>[2]ASB!CY6</f>
        <v>153</v>
      </c>
      <c r="BP11" s="69">
        <f>[2]ASB!CZ6</f>
        <v>123</v>
      </c>
      <c r="BQ11" s="69">
        <f>[2]ASB!DA6</f>
        <v>124</v>
      </c>
      <c r="BR11" s="69">
        <f>[2]ASB!DB6</f>
        <v>110</v>
      </c>
      <c r="BS11" s="69">
        <f>[2]ASB!DC6</f>
        <v>94</v>
      </c>
      <c r="BT11" s="69">
        <f>[2]ASB!DD6</f>
        <v>111</v>
      </c>
      <c r="BU11" s="69">
        <f>[2]ASB!DE6</f>
        <v>115</v>
      </c>
      <c r="BV11" s="69">
        <f>[2]ASB!DF6</f>
        <v>99</v>
      </c>
      <c r="BW11" s="69">
        <f>[2]ASB!DG6</f>
        <v>117</v>
      </c>
      <c r="BX11" s="69">
        <f>[2]ASB!DH6</f>
        <v>127</v>
      </c>
      <c r="BY11" s="69">
        <f>[2]ASB!DI6</f>
        <v>123</v>
      </c>
      <c r="BZ11" s="69">
        <f>[2]ASB!DJ6</f>
        <v>162</v>
      </c>
      <c r="CA11" s="69">
        <f>[2]ASB!DK6</f>
        <v>189</v>
      </c>
      <c r="CB11" s="69">
        <f>[2]ASB!DL6</f>
        <v>143</v>
      </c>
      <c r="CC11" s="69">
        <f>[2]ASB!DM6</f>
        <v>155</v>
      </c>
      <c r="CD11" s="69">
        <f>[2]ASB!DN6</f>
        <v>133</v>
      </c>
      <c r="CE11" s="69">
        <f>[2]ASB!DO6</f>
        <v>156</v>
      </c>
      <c r="CF11" s="69">
        <f>[2]ASB!DP6</f>
        <v>177</v>
      </c>
      <c r="CG11" s="69">
        <f>[2]ASB!DQ6</f>
        <v>205</v>
      </c>
      <c r="CH11" s="69">
        <f>[2]ASB!DR6</f>
        <v>232</v>
      </c>
      <c r="CI11" s="69">
        <f>[2]ASB!DS6</f>
        <v>242</v>
      </c>
      <c r="CJ11" s="69">
        <f>[2]ASB!DT6</f>
        <v>231</v>
      </c>
      <c r="CK11" s="69">
        <f>[2]ASB!DU6</f>
        <v>232</v>
      </c>
      <c r="CL11" s="69">
        <f>[2]ASB!DV6</f>
        <v>204</v>
      </c>
      <c r="CM11" s="69">
        <f>[2]ASB!DW6</f>
        <v>218</v>
      </c>
      <c r="CN11" s="69">
        <f>[2]ASB!DX6</f>
        <v>212</v>
      </c>
      <c r="CO11" s="69">
        <f>[2]ASB!DY6</f>
        <v>196</v>
      </c>
      <c r="CP11" s="69">
        <f>[2]ASB!DZ6</f>
        <v>148</v>
      </c>
      <c r="CQ11" s="69">
        <f>[2]ASB!EA6</f>
        <v>161</v>
      </c>
      <c r="CR11" s="69">
        <f>[2]ASB!EB6</f>
        <v>151</v>
      </c>
      <c r="CS11" s="69">
        <f>[2]ASB!EC6</f>
        <v>118</v>
      </c>
    </row>
    <row r="12" spans="1:97" x14ac:dyDescent="0.35">
      <c r="A12" s="70" t="s">
        <v>46</v>
      </c>
      <c r="B12" s="71">
        <f>[2]Force!AL28</f>
        <v>2</v>
      </c>
      <c r="C12" s="71">
        <f>[2]Force!AM28</f>
        <v>9</v>
      </c>
      <c r="D12" s="71">
        <f>[2]Force!AN28</f>
        <v>5</v>
      </c>
      <c r="E12" s="71">
        <f>[2]Force!AO28</f>
        <v>7</v>
      </c>
      <c r="F12" s="71">
        <f>[2]Force!AP28</f>
        <v>10</v>
      </c>
      <c r="G12" s="71">
        <f>[2]Force!AQ28</f>
        <v>2</v>
      </c>
      <c r="H12" s="71">
        <f>[2]Force!AR28</f>
        <v>1</v>
      </c>
      <c r="I12" s="71">
        <f>[2]Force!AS28</f>
        <v>6</v>
      </c>
      <c r="J12" s="71">
        <f>[2]Force!AT28</f>
        <v>5</v>
      </c>
      <c r="K12" s="71">
        <f>[2]Force!AU28</f>
        <v>5</v>
      </c>
      <c r="L12" s="71">
        <f>[2]Force!AV28</f>
        <v>8</v>
      </c>
      <c r="M12" s="71">
        <f>[2]Force!AW28</f>
        <v>10</v>
      </c>
      <c r="N12" s="71">
        <f>[2]Force!AX28</f>
        <v>5</v>
      </c>
      <c r="O12" s="71">
        <f>[2]Force!AY28</f>
        <v>6</v>
      </c>
      <c r="P12" s="71">
        <f>[2]Force!AZ28</f>
        <v>4</v>
      </c>
      <c r="Q12" s="71">
        <f>[2]Force!BA28</f>
        <v>3</v>
      </c>
      <c r="R12" s="71">
        <f>[2]Force!BB28</f>
        <v>5</v>
      </c>
      <c r="S12" s="71">
        <f>[2]Force!BC28</f>
        <v>6</v>
      </c>
      <c r="T12" s="71">
        <f>[2]Force!BD28</f>
        <v>3</v>
      </c>
      <c r="U12" s="71">
        <f>[2]Force!BE28</f>
        <v>4</v>
      </c>
      <c r="V12" s="71">
        <f>[2]Force!BF28</f>
        <v>4</v>
      </c>
      <c r="W12" s="71">
        <f>[2]Force!BG28</f>
        <v>6</v>
      </c>
      <c r="X12" s="71">
        <f>[2]Force!BH28</f>
        <v>1</v>
      </c>
      <c r="Y12" s="71">
        <f>[2]Force!BI28</f>
        <v>4</v>
      </c>
      <c r="Z12" s="71">
        <f>[2]Force!BJ28</f>
        <v>6</v>
      </c>
      <c r="AA12" s="71">
        <f>[2]Force!BK28</f>
        <v>2</v>
      </c>
      <c r="AB12" s="71">
        <f>[2]Force!BL28</f>
        <v>8</v>
      </c>
      <c r="AC12" s="71">
        <f>[2]Force!BM28</f>
        <v>4</v>
      </c>
      <c r="AD12" s="71">
        <f>[2]Force!BN28</f>
        <v>5</v>
      </c>
      <c r="AE12" s="71">
        <f>[2]Force!BO28</f>
        <v>2</v>
      </c>
      <c r="AF12" s="71">
        <f>[2]Force!BP28</f>
        <v>3</v>
      </c>
      <c r="AG12" s="71">
        <f>[2]Force!BQ28</f>
        <v>9</v>
      </c>
      <c r="AH12" s="71">
        <f>[2]Force!BR28</f>
        <v>4</v>
      </c>
      <c r="AI12" s="71">
        <f>[2]Force!BS28</f>
        <v>5</v>
      </c>
      <c r="AJ12" s="71">
        <f>[2]Force!BT28</f>
        <v>7</v>
      </c>
      <c r="AK12" s="71">
        <f>[2]Force!BU28</f>
        <v>9</v>
      </c>
      <c r="AL12" s="71">
        <f>[2]Force!BV28</f>
        <v>2</v>
      </c>
      <c r="AM12" s="71">
        <f>[2]Force!BW28</f>
        <v>6</v>
      </c>
      <c r="AN12" s="71">
        <f>[2]Force!BX28</f>
        <v>1</v>
      </c>
      <c r="AO12" s="71">
        <f>[2]Force!BY28</f>
        <v>5</v>
      </c>
      <c r="AP12" s="71">
        <f>[2]Force!BZ28</f>
        <v>5</v>
      </c>
      <c r="AQ12" s="71">
        <f>[2]Force!CA28</f>
        <v>0</v>
      </c>
      <c r="AR12" s="71">
        <f>[2]Force!CB28</f>
        <v>4</v>
      </c>
      <c r="AS12" s="71">
        <f>[2]Force!CC28</f>
        <v>6</v>
      </c>
      <c r="AT12" s="71">
        <f>[2]Force!CD28</f>
        <v>3</v>
      </c>
      <c r="AU12" s="71">
        <f>[2]Force!CE28</f>
        <v>6</v>
      </c>
      <c r="AV12" s="71">
        <f>[2]Force!CF28</f>
        <v>6</v>
      </c>
      <c r="AW12" s="66">
        <f>[2]Force!CG28</f>
        <v>3</v>
      </c>
      <c r="AX12" s="66">
        <f>[2]Force!CH28</f>
        <v>3</v>
      </c>
      <c r="AY12" s="66">
        <f>[2]Force!CI28</f>
        <v>3</v>
      </c>
      <c r="AZ12" s="66">
        <f>[2]Force!CJ28</f>
        <v>9</v>
      </c>
      <c r="BA12" s="66">
        <f>[2]Force!CK28</f>
        <v>5</v>
      </c>
      <c r="BB12" s="66">
        <f>[2]Force!CL28</f>
        <v>3</v>
      </c>
      <c r="BC12" s="66">
        <f>[2]Force!CM28</f>
        <v>5</v>
      </c>
      <c r="BD12" s="66">
        <f>[2]Force!CN28</f>
        <v>3</v>
      </c>
      <c r="BE12" s="66">
        <f>[2]Force!CO28</f>
        <v>2</v>
      </c>
      <c r="BF12" s="66">
        <f>[2]Force!CP28</f>
        <v>10</v>
      </c>
      <c r="BG12" s="66">
        <f>[2]Force!CQ28</f>
        <v>3</v>
      </c>
      <c r="BH12" s="66">
        <f>[2]Force!CR28</f>
        <v>5</v>
      </c>
      <c r="BI12" s="66">
        <f>[2]Force!CS28</f>
        <v>5</v>
      </c>
      <c r="BJ12" s="66">
        <f>[2]Force!CT28</f>
        <v>4</v>
      </c>
      <c r="BK12" s="66">
        <f>[2]Force!CU28</f>
        <v>7</v>
      </c>
      <c r="BL12" s="66">
        <f>[2]Force!CV28</f>
        <v>4</v>
      </c>
      <c r="BM12" s="66">
        <f>[2]Force!CW28</f>
        <v>3</v>
      </c>
      <c r="BN12" s="66">
        <f>[2]Force!CX28</f>
        <v>4</v>
      </c>
      <c r="BO12" s="66">
        <f>[2]Force!CY28</f>
        <v>4</v>
      </c>
      <c r="BP12" s="66">
        <f>[2]Force!CZ28</f>
        <v>3</v>
      </c>
      <c r="BQ12" s="66">
        <f>[2]Force!DA28</f>
        <v>7</v>
      </c>
      <c r="BR12" s="66">
        <f>[2]Force!DB28</f>
        <v>4</v>
      </c>
      <c r="BS12" s="66">
        <f>[2]Force!DC28</f>
        <v>11</v>
      </c>
      <c r="BT12" s="66">
        <f>[2]Force!DD28</f>
        <v>3</v>
      </c>
      <c r="BU12" s="66">
        <f>[2]Force!DE28</f>
        <v>6</v>
      </c>
      <c r="BV12" s="66">
        <f>[2]Force!DF28</f>
        <v>6</v>
      </c>
      <c r="BW12" s="66">
        <f>[2]Force!DG28</f>
        <v>8</v>
      </c>
      <c r="BX12" s="66">
        <f>[2]Force!DH28</f>
        <v>2</v>
      </c>
      <c r="BY12" s="66">
        <f>[2]Force!DI28</f>
        <v>6</v>
      </c>
      <c r="BZ12" s="66">
        <f>[2]Force!DJ28</f>
        <v>4</v>
      </c>
      <c r="CA12" s="66">
        <f>[2]Force!DK28</f>
        <v>8</v>
      </c>
      <c r="CB12" s="66">
        <f>[2]Force!DL28</f>
        <v>6</v>
      </c>
      <c r="CC12" s="66">
        <f>[2]Force!DM28</f>
        <v>3</v>
      </c>
      <c r="CD12" s="66">
        <f>[2]Force!DN28</f>
        <v>6</v>
      </c>
      <c r="CE12" s="66">
        <f>[2]Force!DO28</f>
        <v>8</v>
      </c>
      <c r="CF12" s="66">
        <f>[2]Force!DP28</f>
        <v>4</v>
      </c>
      <c r="CG12" s="66">
        <f>[2]Force!DQ28</f>
        <v>3</v>
      </c>
      <c r="CH12" s="66">
        <f>[2]Force!DR28</f>
        <v>5</v>
      </c>
      <c r="CI12" s="66">
        <f>[2]Force!DS28</f>
        <v>5</v>
      </c>
      <c r="CJ12" s="66">
        <f>[2]Force!DT28</f>
        <v>3</v>
      </c>
      <c r="CK12" s="66">
        <f>[2]Force!DU28</f>
        <v>5</v>
      </c>
      <c r="CL12" s="66">
        <f>[2]Force!DV28</f>
        <v>2</v>
      </c>
      <c r="CM12" s="66">
        <f>[2]Force!DW28</f>
        <v>1</v>
      </c>
      <c r="CN12" s="66">
        <f>[2]Force!DX28</f>
        <v>5</v>
      </c>
      <c r="CO12" s="66">
        <f>[2]Force!DY28</f>
        <v>6</v>
      </c>
      <c r="CP12" s="66">
        <f>[2]Force!DZ28</f>
        <v>3</v>
      </c>
      <c r="CQ12" s="66">
        <f>[2]Force!EA28</f>
        <v>3</v>
      </c>
      <c r="CR12" s="66">
        <f>[2]Force!EB28</f>
        <v>5</v>
      </c>
      <c r="CS12" s="66">
        <f>[2]Force!EC28</f>
        <v>6</v>
      </c>
    </row>
    <row r="13" spans="1:97" x14ac:dyDescent="0.35">
      <c r="A13" s="70" t="s">
        <v>48</v>
      </c>
      <c r="B13" s="71">
        <f>[2]Force!AL30</f>
        <v>233</v>
      </c>
      <c r="C13" s="71">
        <f>[2]Force!AM30</f>
        <v>202</v>
      </c>
      <c r="D13" s="71">
        <f>[2]Force!AN30</f>
        <v>226</v>
      </c>
      <c r="E13" s="71">
        <f>[2]Force!AO30</f>
        <v>259</v>
      </c>
      <c r="F13" s="71">
        <f>[2]Force!AP30</f>
        <v>334</v>
      </c>
      <c r="G13" s="71">
        <f>[2]Force!AQ30</f>
        <v>292</v>
      </c>
      <c r="H13" s="71">
        <f>[2]Force!AR30</f>
        <v>338</v>
      </c>
      <c r="I13" s="71">
        <f>[2]Force!AS30</f>
        <v>262</v>
      </c>
      <c r="J13" s="71">
        <f>[2]Force!AT30</f>
        <v>195</v>
      </c>
      <c r="K13" s="71">
        <f>[2]Force!AU30</f>
        <v>210</v>
      </c>
      <c r="L13" s="71">
        <f>[2]Force!AV30</f>
        <v>185</v>
      </c>
      <c r="M13" s="71">
        <f>[2]Force!AW30</f>
        <v>270</v>
      </c>
      <c r="N13" s="71">
        <f>[2]Force!AX30</f>
        <v>248</v>
      </c>
      <c r="O13" s="71">
        <f>[2]Force!AY30</f>
        <v>278</v>
      </c>
      <c r="P13" s="71">
        <f>[2]Force!AZ30</f>
        <v>193</v>
      </c>
      <c r="Q13" s="71">
        <f>[2]Force!BA30</f>
        <v>195</v>
      </c>
      <c r="R13" s="71">
        <f>[2]Force!BB30</f>
        <v>219</v>
      </c>
      <c r="S13" s="71">
        <f>[2]Force!BC30</f>
        <v>328</v>
      </c>
      <c r="T13" s="71">
        <f>[2]Force!BD30</f>
        <v>295</v>
      </c>
      <c r="U13" s="71">
        <f>[2]Force!BE30</f>
        <v>298</v>
      </c>
      <c r="V13" s="71">
        <f>[2]Force!BF30</f>
        <v>233</v>
      </c>
      <c r="W13" s="71">
        <f>[2]Force!BG30</f>
        <v>253</v>
      </c>
      <c r="X13" s="71">
        <f>[2]Force!BH30</f>
        <v>229</v>
      </c>
      <c r="Y13" s="71">
        <f>[2]Force!BI30</f>
        <v>218</v>
      </c>
      <c r="Z13" s="71">
        <f>[2]Force!BJ30</f>
        <v>234</v>
      </c>
      <c r="AA13" s="71">
        <f>[2]Force!BK30</f>
        <v>232</v>
      </c>
      <c r="AB13" s="71">
        <f>[2]Force!BL30</f>
        <v>230</v>
      </c>
      <c r="AC13" s="71">
        <f>[2]Force!BM30</f>
        <v>189</v>
      </c>
      <c r="AD13" s="71">
        <f>[2]Force!BN30</f>
        <v>175</v>
      </c>
      <c r="AE13" s="71">
        <f>[2]Force!BO30</f>
        <v>256</v>
      </c>
      <c r="AF13" s="71">
        <f>[2]Force!BP30</f>
        <v>320</v>
      </c>
      <c r="AG13" s="71">
        <f>[2]Force!BQ30</f>
        <v>238</v>
      </c>
      <c r="AH13" s="71">
        <f>[2]Force!BR30</f>
        <v>268</v>
      </c>
      <c r="AI13" s="71">
        <f>[2]Force!BS30</f>
        <v>320</v>
      </c>
      <c r="AJ13" s="71">
        <f>[2]Force!BT30</f>
        <v>346</v>
      </c>
      <c r="AK13" s="71">
        <f>[2]Force!BU30</f>
        <v>202</v>
      </c>
      <c r="AL13" s="71">
        <f>[2]Force!BV30</f>
        <v>143</v>
      </c>
      <c r="AM13" s="71">
        <f>[2]Force!BW30</f>
        <v>137</v>
      </c>
      <c r="AN13" s="71">
        <f>[2]Force!BX30</f>
        <v>122</v>
      </c>
      <c r="AO13" s="71">
        <f>[2]Force!BY30</f>
        <v>165</v>
      </c>
      <c r="AP13" s="71">
        <f>[2]Force!BZ30</f>
        <v>180</v>
      </c>
      <c r="AQ13" s="71">
        <f>[2]Force!CA30</f>
        <v>131</v>
      </c>
      <c r="AR13" s="71">
        <f>[2]Force!CB30</f>
        <v>173</v>
      </c>
      <c r="AS13" s="71">
        <f>[2]Force!CC30</f>
        <v>165</v>
      </c>
      <c r="AT13" s="71">
        <f>[2]Force!CD30</f>
        <v>128</v>
      </c>
      <c r="AU13" s="71">
        <f>[2]Force!CE30</f>
        <v>124</v>
      </c>
      <c r="AV13" s="71">
        <f>[2]Force!CF30</f>
        <v>84</v>
      </c>
      <c r="AW13" s="66">
        <f>[2]Force!CG30</f>
        <v>153</v>
      </c>
      <c r="AX13" s="66">
        <f>[2]Force!CH30</f>
        <v>117</v>
      </c>
      <c r="AY13" s="66">
        <f>[2]Force!CI30</f>
        <v>127</v>
      </c>
      <c r="AZ13" s="66">
        <f>[2]Force!CJ30</f>
        <v>112</v>
      </c>
      <c r="BA13" s="66">
        <f>[2]Force!CK30</f>
        <v>170</v>
      </c>
      <c r="BB13" s="66">
        <f>[2]Force!CL30</f>
        <v>174</v>
      </c>
      <c r="BC13" s="66">
        <f>[2]Force!CM30</f>
        <v>131</v>
      </c>
      <c r="BD13" s="66">
        <f>[2]Force!CN30</f>
        <v>126</v>
      </c>
      <c r="BE13" s="66">
        <f>[2]Force!CO30</f>
        <v>225</v>
      </c>
      <c r="BF13" s="66">
        <f>[2]Force!CP30</f>
        <v>150</v>
      </c>
      <c r="BG13" s="66">
        <f>[2]Force!CQ30</f>
        <v>166</v>
      </c>
      <c r="BH13" s="66">
        <f>[2]Force!CR30</f>
        <v>142</v>
      </c>
      <c r="BI13" s="66">
        <f>[2]Force!CS30</f>
        <v>229</v>
      </c>
      <c r="BJ13" s="66">
        <f>[2]Force!CT30</f>
        <v>218</v>
      </c>
      <c r="BK13" s="66">
        <f>[2]Force!CU30</f>
        <v>212</v>
      </c>
      <c r="BL13" s="66">
        <f>[2]Force!CV30</f>
        <v>187</v>
      </c>
      <c r="BM13" s="66">
        <f>[2]Force!CW30</f>
        <v>195</v>
      </c>
      <c r="BN13" s="66">
        <f>[2]Force!CX30</f>
        <v>222</v>
      </c>
      <c r="BO13" s="66">
        <f>[2]Force!CY30</f>
        <v>245</v>
      </c>
      <c r="BP13" s="66">
        <f>[2]Force!CZ30</f>
        <v>237</v>
      </c>
      <c r="BQ13" s="66">
        <f>[2]Force!DA30</f>
        <v>228</v>
      </c>
      <c r="BR13" s="66">
        <f>[2]Force!DB30</f>
        <v>150</v>
      </c>
      <c r="BS13" s="66">
        <f>[2]Force!DC30</f>
        <v>233</v>
      </c>
      <c r="BT13" s="66">
        <f>[2]Force!DD30</f>
        <v>175</v>
      </c>
      <c r="BU13" s="66">
        <f>[2]Force!DE30</f>
        <v>158</v>
      </c>
      <c r="BV13" s="66">
        <f>[2]Force!DF30</f>
        <v>193</v>
      </c>
      <c r="BW13" s="66">
        <f>[2]Force!DG30</f>
        <v>156</v>
      </c>
      <c r="BX13" s="66">
        <f>[2]Force!DH30</f>
        <v>178</v>
      </c>
      <c r="BY13" s="66">
        <f>[2]Force!DI30</f>
        <v>228</v>
      </c>
      <c r="BZ13" s="66">
        <f>[2]Force!DJ30</f>
        <v>168</v>
      </c>
      <c r="CA13" s="66">
        <f>[2]Force!DK30</f>
        <v>163</v>
      </c>
      <c r="CB13" s="66">
        <f>[2]Force!DL30</f>
        <v>169</v>
      </c>
      <c r="CC13" s="66">
        <f>[2]Force!DM30</f>
        <v>178</v>
      </c>
      <c r="CD13" s="66">
        <f>[2]Force!DN30</f>
        <v>190</v>
      </c>
      <c r="CE13" s="66">
        <f>[2]Force!DO30</f>
        <v>141</v>
      </c>
      <c r="CF13" s="66">
        <f>[2]Force!DP30</f>
        <v>121</v>
      </c>
      <c r="CG13" s="66">
        <f>[2]Force!DQ30</f>
        <v>172</v>
      </c>
      <c r="CH13" s="66">
        <f>[2]Force!DR30</f>
        <v>179</v>
      </c>
      <c r="CI13" s="66">
        <f>[2]Force!DS30</f>
        <v>175</v>
      </c>
      <c r="CJ13" s="66">
        <f>[2]Force!DT30</f>
        <v>187</v>
      </c>
      <c r="CK13" s="66">
        <f>[2]Force!DU30</f>
        <v>161</v>
      </c>
      <c r="CL13" s="66">
        <f>[2]Force!DV30</f>
        <v>165</v>
      </c>
      <c r="CM13" s="66">
        <f>[2]Force!DW30</f>
        <v>174</v>
      </c>
      <c r="CN13" s="66">
        <f>[2]Force!DX30</f>
        <v>199</v>
      </c>
      <c r="CO13" s="66">
        <f>[2]Force!DY30</f>
        <v>171</v>
      </c>
      <c r="CP13" s="66">
        <f>[2]Force!DZ30</f>
        <v>126</v>
      </c>
      <c r="CQ13" s="66">
        <f>[2]Force!EA30</f>
        <v>148</v>
      </c>
      <c r="CR13" s="66">
        <f>[2]Force!EB30</f>
        <v>117</v>
      </c>
      <c r="CS13" s="66">
        <f>[2]Force!EC30</f>
        <v>116</v>
      </c>
    </row>
    <row r="14" spans="1:97" ht="23" x14ac:dyDescent="0.35">
      <c r="A14" s="70" t="s">
        <v>49</v>
      </c>
      <c r="B14" s="71">
        <f>[2]Force!AL31</f>
        <v>50</v>
      </c>
      <c r="C14" s="71">
        <f>[2]Force!AM31</f>
        <v>85</v>
      </c>
      <c r="D14" s="71">
        <f>[2]Force!AN31</f>
        <v>85</v>
      </c>
      <c r="E14" s="71">
        <f>[2]Force!AO31</f>
        <v>94</v>
      </c>
      <c r="F14" s="71">
        <f>[2]Force!AP31</f>
        <v>73</v>
      </c>
      <c r="G14" s="71">
        <f>[2]Force!AQ31</f>
        <v>91</v>
      </c>
      <c r="H14" s="71">
        <f>[2]Force!AR31</f>
        <v>97</v>
      </c>
      <c r="I14" s="71">
        <f>[2]Force!AS31</f>
        <v>89</v>
      </c>
      <c r="J14" s="71">
        <f>[2]Force!AT31</f>
        <v>81</v>
      </c>
      <c r="K14" s="71">
        <f>[2]Force!AU31</f>
        <v>86</v>
      </c>
      <c r="L14" s="71">
        <f>[2]Force!AV31</f>
        <v>59</v>
      </c>
      <c r="M14" s="71">
        <f>[2]Force!AW31</f>
        <v>74</v>
      </c>
      <c r="N14" s="71">
        <f>[2]Force!AX31</f>
        <v>75</v>
      </c>
      <c r="O14" s="71">
        <f>[2]Force!AY31</f>
        <v>86</v>
      </c>
      <c r="P14" s="71">
        <f>[2]Force!AZ31</f>
        <v>68</v>
      </c>
      <c r="Q14" s="71">
        <f>[2]Force!BA31</f>
        <v>93</v>
      </c>
      <c r="R14" s="71">
        <f>[2]Force!BB31</f>
        <v>104</v>
      </c>
      <c r="S14" s="71">
        <f>[2]Force!BC31</f>
        <v>97</v>
      </c>
      <c r="T14" s="71">
        <f>[2]Force!BD31</f>
        <v>88</v>
      </c>
      <c r="U14" s="71">
        <f>[2]Force!BE31</f>
        <v>68</v>
      </c>
      <c r="V14" s="71">
        <f>[2]Force!BF31</f>
        <v>78</v>
      </c>
      <c r="W14" s="71">
        <f>[2]Force!BG31</f>
        <v>63</v>
      </c>
      <c r="X14" s="71">
        <f>[2]Force!BH31</f>
        <v>55</v>
      </c>
      <c r="Y14" s="71">
        <f>[2]Force!BI31</f>
        <v>72</v>
      </c>
      <c r="Z14" s="71">
        <f>[2]Force!BJ31</f>
        <v>59</v>
      </c>
      <c r="AA14" s="71">
        <f>[2]Force!BK31</f>
        <v>68</v>
      </c>
      <c r="AB14" s="71">
        <f>[2]Force!BL31</f>
        <v>89</v>
      </c>
      <c r="AC14" s="71">
        <f>[2]Force!BM31</f>
        <v>72</v>
      </c>
      <c r="AD14" s="71">
        <f>[2]Force!BN31</f>
        <v>79</v>
      </c>
      <c r="AE14" s="71">
        <f>[2]Force!BO31</f>
        <v>82</v>
      </c>
      <c r="AF14" s="71">
        <f>[2]Force!BP31</f>
        <v>90</v>
      </c>
      <c r="AG14" s="71">
        <f>[2]Force!BQ31</f>
        <v>90</v>
      </c>
      <c r="AH14" s="71">
        <f>[2]Force!BR31</f>
        <v>87</v>
      </c>
      <c r="AI14" s="71">
        <f>[2]Force!BS31</f>
        <v>76</v>
      </c>
      <c r="AJ14" s="71">
        <f>[2]Force!BT31</f>
        <v>70</v>
      </c>
      <c r="AK14" s="71">
        <f>[2]Force!BU31</f>
        <v>56</v>
      </c>
      <c r="AL14" s="71">
        <f>[2]Force!BV31</f>
        <v>58</v>
      </c>
      <c r="AM14" s="71">
        <f>[2]Force!BW31</f>
        <v>61</v>
      </c>
      <c r="AN14" s="71">
        <f>[2]Force!BX31</f>
        <v>67</v>
      </c>
      <c r="AO14" s="71">
        <f>[2]Force!BY31</f>
        <v>55</v>
      </c>
      <c r="AP14" s="71">
        <f>[2]Force!BZ31</f>
        <v>52</v>
      </c>
      <c r="AQ14" s="71">
        <f>[2]Force!CA31</f>
        <v>67</v>
      </c>
      <c r="AR14" s="71">
        <f>[2]Force!CB31</f>
        <v>67</v>
      </c>
      <c r="AS14" s="71">
        <f>[2]Force!CC31</f>
        <v>66</v>
      </c>
      <c r="AT14" s="71">
        <f>[2]Force!CD31</f>
        <v>74</v>
      </c>
      <c r="AU14" s="71">
        <f>[2]Force!CE31</f>
        <v>66</v>
      </c>
      <c r="AV14" s="71">
        <f>[2]Force!CF31</f>
        <v>41</v>
      </c>
      <c r="AW14" s="66">
        <f>[2]Force!CG31</f>
        <v>66</v>
      </c>
      <c r="AX14" s="66">
        <f>[2]Force!CH31</f>
        <v>37</v>
      </c>
      <c r="AY14" s="66">
        <f>[2]Force!CI31</f>
        <v>56</v>
      </c>
      <c r="AZ14" s="66">
        <f>[2]Force!CJ31</f>
        <v>42</v>
      </c>
      <c r="BA14" s="66">
        <f>[2]Force!CK31</f>
        <v>62</v>
      </c>
      <c r="BB14" s="66">
        <f>[2]Force!CL31</f>
        <v>64</v>
      </c>
      <c r="BC14" s="66">
        <f>[2]Force!CM31</f>
        <v>62</v>
      </c>
      <c r="BD14" s="66">
        <f>[2]Force!CN31</f>
        <v>67</v>
      </c>
      <c r="BE14" s="66">
        <f>[2]Force!CO31</f>
        <v>80</v>
      </c>
      <c r="BF14" s="66">
        <f>[2]Force!CP31</f>
        <v>84</v>
      </c>
      <c r="BG14" s="66">
        <f>[2]Force!CQ31</f>
        <v>80</v>
      </c>
      <c r="BH14" s="66">
        <f>[2]Force!CR31</f>
        <v>83</v>
      </c>
      <c r="BI14" s="66">
        <f>[2]Force!CS31</f>
        <v>103</v>
      </c>
      <c r="BJ14" s="66">
        <f>[2]Force!CT31</f>
        <v>85</v>
      </c>
      <c r="BK14" s="66">
        <f>[2]Force!CU31</f>
        <v>84</v>
      </c>
      <c r="BL14" s="66">
        <f>[2]Force!CV31</f>
        <v>105</v>
      </c>
      <c r="BM14" s="66">
        <f>[2]Force!CW31</f>
        <v>119</v>
      </c>
      <c r="BN14" s="66">
        <f>[2]Force!CX31</f>
        <v>97</v>
      </c>
      <c r="BO14" s="66">
        <f>[2]Force!CY31</f>
        <v>113</v>
      </c>
      <c r="BP14" s="66">
        <f>[2]Force!CZ31</f>
        <v>114</v>
      </c>
      <c r="BQ14" s="66">
        <f>[2]Force!DA31</f>
        <v>96</v>
      </c>
      <c r="BR14" s="66">
        <f>[2]Force!DB31</f>
        <v>92</v>
      </c>
      <c r="BS14" s="66">
        <f>[2]Force!DC31</f>
        <v>101</v>
      </c>
      <c r="BT14" s="66">
        <f>[2]Force!DD31</f>
        <v>106</v>
      </c>
      <c r="BU14" s="66">
        <f>[2]Force!DE31</f>
        <v>93</v>
      </c>
      <c r="BV14" s="66">
        <f>[2]Force!DF31</f>
        <v>104</v>
      </c>
      <c r="BW14" s="66">
        <f>[2]Force!DG31</f>
        <v>101</v>
      </c>
      <c r="BX14" s="66">
        <f>[2]Force!DH31</f>
        <v>87</v>
      </c>
      <c r="BY14" s="66">
        <f>[2]Force!DI31</f>
        <v>94</v>
      </c>
      <c r="BZ14" s="66">
        <f>[2]Force!DJ31</f>
        <v>104</v>
      </c>
      <c r="CA14" s="66">
        <f>[2]Force!DK31</f>
        <v>96</v>
      </c>
      <c r="CB14" s="66">
        <f>[2]Force!DL31</f>
        <v>74</v>
      </c>
      <c r="CC14" s="66">
        <f>[2]Force!DM31</f>
        <v>81</v>
      </c>
      <c r="CD14" s="66">
        <f>[2]Force!DN31</f>
        <v>65</v>
      </c>
      <c r="CE14" s="66">
        <f>[2]Force!DO31</f>
        <v>81</v>
      </c>
      <c r="CF14" s="66">
        <f>[2]Force!DP31</f>
        <v>86</v>
      </c>
      <c r="CG14" s="66">
        <f>[2]Force!DQ31</f>
        <v>113</v>
      </c>
      <c r="CH14" s="66">
        <f>[2]Force!DR31</f>
        <v>112</v>
      </c>
      <c r="CI14" s="66">
        <f>[2]Force!DS31</f>
        <v>94</v>
      </c>
      <c r="CJ14" s="66">
        <f>[2]Force!DT31</f>
        <v>106</v>
      </c>
      <c r="CK14" s="66">
        <f>[2]Force!DU31</f>
        <v>66</v>
      </c>
      <c r="CL14" s="66">
        <f>[2]Force!DV31</f>
        <v>88</v>
      </c>
      <c r="CM14" s="66">
        <f>[2]Force!DW31</f>
        <v>90</v>
      </c>
      <c r="CN14" s="66">
        <f>[2]Force!DX31</f>
        <v>112</v>
      </c>
      <c r="CO14" s="66">
        <f>[2]Force!DY31</f>
        <v>78</v>
      </c>
      <c r="CP14" s="66">
        <f>[2]Force!DZ31</f>
        <v>112</v>
      </c>
      <c r="CQ14" s="66">
        <f>[2]Force!EA31</f>
        <v>108</v>
      </c>
      <c r="CR14" s="66">
        <f>[2]Force!EB31</f>
        <v>66</v>
      </c>
      <c r="CS14" s="66">
        <f>[2]Force!EC31</f>
        <v>115</v>
      </c>
    </row>
    <row r="15" spans="1:97" x14ac:dyDescent="0.35">
      <c r="A15" s="70" t="s">
        <v>138</v>
      </c>
      <c r="B15">
        <f>B12+B14</f>
        <v>52</v>
      </c>
      <c r="C15" s="28">
        <f t="shared" ref="C15:O15" si="93">C12+C14</f>
        <v>94</v>
      </c>
      <c r="D15" s="28">
        <f t="shared" si="93"/>
        <v>90</v>
      </c>
      <c r="E15" s="28">
        <f t="shared" si="93"/>
        <v>101</v>
      </c>
      <c r="F15" s="28">
        <f t="shared" si="93"/>
        <v>83</v>
      </c>
      <c r="G15" s="28">
        <f t="shared" si="93"/>
        <v>93</v>
      </c>
      <c r="H15" s="28">
        <f t="shared" si="93"/>
        <v>98</v>
      </c>
      <c r="I15" s="28">
        <f t="shared" si="93"/>
        <v>95</v>
      </c>
      <c r="J15" s="28">
        <f t="shared" si="93"/>
        <v>86</v>
      </c>
      <c r="K15" s="28">
        <f t="shared" si="93"/>
        <v>91</v>
      </c>
      <c r="L15" s="28">
        <f t="shared" si="93"/>
        <v>67</v>
      </c>
      <c r="M15" s="28">
        <f t="shared" si="93"/>
        <v>84</v>
      </c>
      <c r="N15" s="28">
        <f t="shared" si="93"/>
        <v>80</v>
      </c>
      <c r="O15" s="64">
        <f t="shared" si="93"/>
        <v>92</v>
      </c>
      <c r="P15" s="64">
        <f t="shared" ref="P15:V15" si="94">P12+P14</f>
        <v>72</v>
      </c>
      <c r="Q15" s="64">
        <f t="shared" si="94"/>
        <v>96</v>
      </c>
      <c r="R15" s="64">
        <f t="shared" si="94"/>
        <v>109</v>
      </c>
      <c r="S15" s="64">
        <f t="shared" si="94"/>
        <v>103</v>
      </c>
      <c r="T15" s="64">
        <f t="shared" si="94"/>
        <v>91</v>
      </c>
      <c r="U15" s="64">
        <f t="shared" si="94"/>
        <v>72</v>
      </c>
      <c r="V15" s="64">
        <f t="shared" si="94"/>
        <v>82</v>
      </c>
      <c r="W15" s="64">
        <f t="shared" ref="W15:AK15" si="95">W12+W14</f>
        <v>69</v>
      </c>
      <c r="X15" s="64">
        <f t="shared" si="95"/>
        <v>56</v>
      </c>
      <c r="Y15" s="64">
        <f t="shared" si="95"/>
        <v>76</v>
      </c>
      <c r="Z15" s="64">
        <f t="shared" si="95"/>
        <v>65</v>
      </c>
      <c r="AA15" s="64">
        <f t="shared" si="95"/>
        <v>70</v>
      </c>
      <c r="AB15" s="64">
        <f t="shared" si="95"/>
        <v>97</v>
      </c>
      <c r="AC15" s="64">
        <f t="shared" si="95"/>
        <v>76</v>
      </c>
      <c r="AD15" s="64">
        <f t="shared" si="95"/>
        <v>84</v>
      </c>
      <c r="AE15" s="64">
        <f t="shared" si="95"/>
        <v>84</v>
      </c>
      <c r="AF15" s="64">
        <f t="shared" si="95"/>
        <v>93</v>
      </c>
      <c r="AG15" s="64">
        <f t="shared" si="95"/>
        <v>99</v>
      </c>
      <c r="AH15" s="64">
        <f t="shared" si="95"/>
        <v>91</v>
      </c>
      <c r="AI15" s="64">
        <f t="shared" si="95"/>
        <v>81</v>
      </c>
      <c r="AJ15" s="64">
        <f t="shared" si="95"/>
        <v>77</v>
      </c>
      <c r="AK15" s="64">
        <f t="shared" si="95"/>
        <v>65</v>
      </c>
      <c r="AL15" s="64">
        <f t="shared" ref="AL15:AW15" si="96">AL12+AL14</f>
        <v>60</v>
      </c>
      <c r="AM15" s="64">
        <f t="shared" si="96"/>
        <v>67</v>
      </c>
      <c r="AN15" s="64">
        <f t="shared" si="96"/>
        <v>68</v>
      </c>
      <c r="AO15" s="64">
        <f t="shared" si="96"/>
        <v>60</v>
      </c>
      <c r="AP15" s="64">
        <f t="shared" si="96"/>
        <v>57</v>
      </c>
      <c r="AQ15" s="64">
        <f t="shared" si="96"/>
        <v>67</v>
      </c>
      <c r="AR15" s="64">
        <f t="shared" si="96"/>
        <v>71</v>
      </c>
      <c r="AS15" s="64">
        <f t="shared" si="96"/>
        <v>72</v>
      </c>
      <c r="AT15" s="64">
        <f t="shared" si="96"/>
        <v>77</v>
      </c>
      <c r="AU15" s="64">
        <f t="shared" si="96"/>
        <v>72</v>
      </c>
      <c r="AV15" s="64">
        <f t="shared" si="96"/>
        <v>47</v>
      </c>
      <c r="AW15" s="64">
        <f t="shared" si="96"/>
        <v>69</v>
      </c>
      <c r="AX15" s="64">
        <f t="shared" ref="AX15:BI15" si="97">AX12+AX14</f>
        <v>40</v>
      </c>
      <c r="AY15" s="64">
        <f t="shared" si="97"/>
        <v>59</v>
      </c>
      <c r="AZ15" s="64">
        <f t="shared" si="97"/>
        <v>51</v>
      </c>
      <c r="BA15" s="64">
        <f t="shared" si="97"/>
        <v>67</v>
      </c>
      <c r="BB15" s="64">
        <f t="shared" si="97"/>
        <v>67</v>
      </c>
      <c r="BC15" s="64">
        <f t="shared" si="97"/>
        <v>67</v>
      </c>
      <c r="BD15" s="64">
        <f t="shared" si="97"/>
        <v>70</v>
      </c>
      <c r="BE15" s="64">
        <f t="shared" si="97"/>
        <v>82</v>
      </c>
      <c r="BF15" s="64">
        <f t="shared" si="97"/>
        <v>94</v>
      </c>
      <c r="BG15" s="64">
        <f t="shared" si="97"/>
        <v>83</v>
      </c>
      <c r="BH15" s="64">
        <f t="shared" si="97"/>
        <v>88</v>
      </c>
      <c r="BI15" s="64">
        <f t="shared" si="97"/>
        <v>108</v>
      </c>
      <c r="BJ15" s="64">
        <f t="shared" ref="BJ15:BW15" si="98">BJ12+BJ14</f>
        <v>89</v>
      </c>
      <c r="BK15" s="64">
        <f t="shared" si="98"/>
        <v>91</v>
      </c>
      <c r="BL15" s="64">
        <f t="shared" si="98"/>
        <v>109</v>
      </c>
      <c r="BM15" s="64">
        <f t="shared" si="98"/>
        <v>122</v>
      </c>
      <c r="BN15" s="64">
        <f t="shared" si="98"/>
        <v>101</v>
      </c>
      <c r="BO15" s="64">
        <f t="shared" si="98"/>
        <v>117</v>
      </c>
      <c r="BP15" s="64">
        <f t="shared" si="98"/>
        <v>117</v>
      </c>
      <c r="BQ15" s="64">
        <f t="shared" si="98"/>
        <v>103</v>
      </c>
      <c r="BR15" s="64">
        <f t="shared" si="98"/>
        <v>96</v>
      </c>
      <c r="BS15" s="64">
        <f t="shared" si="98"/>
        <v>112</v>
      </c>
      <c r="BT15" s="64">
        <f t="shared" si="98"/>
        <v>109</v>
      </c>
      <c r="BU15" s="64">
        <f t="shared" si="98"/>
        <v>99</v>
      </c>
      <c r="BV15" s="64">
        <f t="shared" si="98"/>
        <v>110</v>
      </c>
      <c r="BW15" s="64">
        <f t="shared" si="98"/>
        <v>109</v>
      </c>
      <c r="BX15" s="64">
        <f t="shared" ref="BX15:CD15" si="99">BX12+BX14</f>
        <v>89</v>
      </c>
      <c r="BY15" s="64">
        <f t="shared" si="99"/>
        <v>100</v>
      </c>
      <c r="BZ15" s="64">
        <f t="shared" si="99"/>
        <v>108</v>
      </c>
      <c r="CA15" s="64">
        <f t="shared" si="99"/>
        <v>104</v>
      </c>
      <c r="CB15" s="64">
        <f t="shared" si="99"/>
        <v>80</v>
      </c>
      <c r="CC15" s="64">
        <f t="shared" si="99"/>
        <v>84</v>
      </c>
      <c r="CD15" s="64">
        <f t="shared" si="99"/>
        <v>71</v>
      </c>
      <c r="CE15" s="64">
        <f t="shared" ref="CE15:CG15" si="100">CE12+CE14</f>
        <v>89</v>
      </c>
      <c r="CF15" s="64">
        <f t="shared" si="100"/>
        <v>90</v>
      </c>
      <c r="CG15" s="64">
        <f t="shared" si="100"/>
        <v>116</v>
      </c>
      <c r="CH15" s="64">
        <f t="shared" ref="CH15:CN15" si="101">CH12+CH14</f>
        <v>117</v>
      </c>
      <c r="CI15" s="64">
        <f t="shared" si="101"/>
        <v>99</v>
      </c>
      <c r="CJ15" s="64">
        <f t="shared" si="101"/>
        <v>109</v>
      </c>
      <c r="CK15" s="64">
        <f t="shared" si="101"/>
        <v>71</v>
      </c>
      <c r="CL15" s="64">
        <f t="shared" si="101"/>
        <v>90</v>
      </c>
      <c r="CM15" s="64">
        <f t="shared" si="101"/>
        <v>91</v>
      </c>
      <c r="CN15" s="64">
        <f t="shared" si="101"/>
        <v>117</v>
      </c>
      <c r="CO15" s="64">
        <f t="shared" ref="CO15:CS15" si="102">CO12+CO14</f>
        <v>84</v>
      </c>
      <c r="CP15" s="64">
        <f t="shared" si="102"/>
        <v>115</v>
      </c>
      <c r="CQ15" s="64">
        <f t="shared" si="102"/>
        <v>111</v>
      </c>
      <c r="CR15" s="64">
        <f t="shared" si="102"/>
        <v>71</v>
      </c>
      <c r="CS15" s="64">
        <f t="shared" si="102"/>
        <v>121</v>
      </c>
    </row>
    <row r="16" spans="1:97" s="33" customFormat="1" x14ac:dyDescent="0.35"/>
    <row r="17" spans="1:97" x14ac:dyDescent="0.35">
      <c r="A17" s="74" t="s">
        <v>140</v>
      </c>
      <c r="B17" s="64">
        <f t="shared" ref="B17" si="103">IF(AND(B18=1,C18=0)=TRUE,1,IF(AND(B18=0,C18=0,C17=0)=TRUE,0,C17+1))</f>
        <v>96</v>
      </c>
      <c r="C17" s="64">
        <f t="shared" ref="C17" si="104">IF(AND(C18=1,D18=0)=TRUE,1,IF(AND(C18=0,D18=0,D17=0)=TRUE,0,D17+1))</f>
        <v>95</v>
      </c>
      <c r="D17" s="64">
        <f t="shared" ref="D17" si="105">IF(AND(D18=1,E18=0)=TRUE,1,IF(AND(D18=0,E18=0,E17=0)=TRUE,0,E17+1))</f>
        <v>94</v>
      </c>
      <c r="E17" s="64">
        <f t="shared" ref="E17" si="106">IF(AND(E18=1,F18=0)=TRUE,1,IF(AND(E18=0,F18=0,F17=0)=TRUE,0,F17+1))</f>
        <v>93</v>
      </c>
      <c r="F17" s="64">
        <f t="shared" ref="F17" si="107">IF(AND(F18=1,G18=0)=TRUE,1,IF(AND(F18=0,G18=0,G17=0)=TRUE,0,G17+1))</f>
        <v>92</v>
      </c>
      <c r="G17" s="64">
        <f t="shared" ref="G17" si="108">IF(AND(G18=1,H18=0)=TRUE,1,IF(AND(G18=0,H18=0,H17=0)=TRUE,0,H17+1))</f>
        <v>91</v>
      </c>
      <c r="H17" s="64">
        <f t="shared" ref="H17" si="109">IF(AND(H18=1,I18=0)=TRUE,1,IF(AND(H18=0,I18=0,I17=0)=TRUE,0,I17+1))</f>
        <v>90</v>
      </c>
      <c r="I17" s="64">
        <f t="shared" ref="I17" si="110">IF(AND(I18=1,J18=0)=TRUE,1,IF(AND(I18=0,J18=0,J17=0)=TRUE,0,J17+1))</f>
        <v>89</v>
      </c>
      <c r="J17" s="64">
        <f t="shared" ref="J17" si="111">IF(AND(J18=1,K18=0)=TRUE,1,IF(AND(J18=0,K18=0,K17=0)=TRUE,0,K17+1))</f>
        <v>88</v>
      </c>
      <c r="K17" s="64">
        <f t="shared" ref="K17" si="112">IF(AND(K18=1,L18=0)=TRUE,1,IF(AND(K18=0,L18=0,L17=0)=TRUE,0,L17+1))</f>
        <v>87</v>
      </c>
      <c r="L17" s="64">
        <f t="shared" ref="L17" si="113">IF(AND(L18=1,M18=0)=TRUE,1,IF(AND(L18=0,M18=0,M17=0)=TRUE,0,M17+1))</f>
        <v>86</v>
      </c>
      <c r="M17" s="64">
        <f t="shared" ref="M17" si="114">IF(AND(M18=1,N18=0)=TRUE,1,IF(AND(M18=0,N18=0,N17=0)=TRUE,0,N17+1))</f>
        <v>85</v>
      </c>
      <c r="N17" s="64">
        <f t="shared" ref="N17" si="115">IF(AND(N18=1,O18=0)=TRUE,1,IF(AND(N18=0,O18=0,O17=0)=TRUE,0,O17+1))</f>
        <v>84</v>
      </c>
      <c r="O17" s="64">
        <f t="shared" ref="O17" si="116">IF(AND(O18=1,P18=0)=TRUE,1,IF(AND(O18=0,P18=0,P17=0)=TRUE,0,P17+1))</f>
        <v>83</v>
      </c>
      <c r="P17" s="64">
        <f t="shared" ref="P17" si="117">IF(AND(P18=1,Q18=0)=TRUE,1,IF(AND(P18=0,Q18=0,Q17=0)=TRUE,0,Q17+1))</f>
        <v>82</v>
      </c>
      <c r="Q17" s="64">
        <f t="shared" ref="Q17" si="118">IF(AND(Q18=1,R18=0)=TRUE,1,IF(AND(Q18=0,R18=0,R17=0)=TRUE,0,R17+1))</f>
        <v>81</v>
      </c>
      <c r="R17" s="64">
        <f t="shared" ref="R17" si="119">IF(AND(R18=1,S18=0)=TRUE,1,IF(AND(R18=0,S18=0,S17=0)=TRUE,0,S17+1))</f>
        <v>80</v>
      </c>
      <c r="S17" s="64">
        <f t="shared" ref="S17" si="120">IF(AND(S18=1,T18=0)=TRUE,1,IF(AND(S18=0,T18=0,T17=0)=TRUE,0,T17+1))</f>
        <v>79</v>
      </c>
      <c r="T17" s="64">
        <f t="shared" ref="T17" si="121">IF(AND(T18=1,U18=0)=TRUE,1,IF(AND(T18=0,U18=0,U17=0)=TRUE,0,U17+1))</f>
        <v>78</v>
      </c>
      <c r="U17" s="64">
        <f t="shared" ref="U17" si="122">IF(AND(U18=1,V18=0)=TRUE,1,IF(AND(U18=0,V18=0,V17=0)=TRUE,0,V17+1))</f>
        <v>77</v>
      </c>
      <c r="V17" s="64">
        <f t="shared" ref="V17" si="123">IF(AND(V18=1,W18=0)=TRUE,1,IF(AND(V18=0,W18=0,W17=0)=TRUE,0,W17+1))</f>
        <v>76</v>
      </c>
      <c r="W17" s="64">
        <f t="shared" ref="W17" si="124">IF(AND(W18=1,X18=0)=TRUE,1,IF(AND(W18=0,X18=0,X17=0)=TRUE,0,X17+1))</f>
        <v>75</v>
      </c>
      <c r="X17" s="64">
        <f t="shared" ref="X17" si="125">IF(AND(X18=1,Y18=0)=TRUE,1,IF(AND(X18=0,Y18=0,Y17=0)=TRUE,0,Y17+1))</f>
        <v>74</v>
      </c>
      <c r="Y17" s="64">
        <f t="shared" ref="Y17" si="126">IF(AND(Y18=1,Z18=0)=TRUE,1,IF(AND(Y18=0,Z18=0,Z17=0)=TRUE,0,Z17+1))</f>
        <v>73</v>
      </c>
      <c r="Z17" s="64">
        <f t="shared" ref="Z17" si="127">IF(AND(Z18=1,AA18=0)=TRUE,1,IF(AND(Z18=0,AA18=0,AA17=0)=TRUE,0,AA17+1))</f>
        <v>72</v>
      </c>
      <c r="AA17" s="64">
        <f t="shared" ref="AA17" si="128">IF(AND(AA18=1,AB18=0)=TRUE,1,IF(AND(AA18=0,AB18=0,AB17=0)=TRUE,0,AB17+1))</f>
        <v>71</v>
      </c>
      <c r="AB17" s="64">
        <f t="shared" ref="AB17" si="129">IF(AND(AB18=1,AC18=0)=TRUE,1,IF(AND(AB18=0,AC18=0,AC17=0)=TRUE,0,AC17+1))</f>
        <v>70</v>
      </c>
      <c r="AC17" s="64">
        <f t="shared" ref="AC17" si="130">IF(AND(AC18=1,AD18=0)=TRUE,1,IF(AND(AC18=0,AD18=0,AD17=0)=TRUE,0,AD17+1))</f>
        <v>69</v>
      </c>
      <c r="AD17" s="64">
        <f t="shared" ref="AD17" si="131">IF(AND(AD18=1,AE18=0)=TRUE,1,IF(AND(AD18=0,AE18=0,AE17=0)=TRUE,0,AE17+1))</f>
        <v>68</v>
      </c>
      <c r="AE17" s="64">
        <f t="shared" ref="AE17" si="132">IF(AND(AE18=1,AF18=0)=TRUE,1,IF(AND(AE18=0,AF18=0,AF17=0)=TRUE,0,AF17+1))</f>
        <v>67</v>
      </c>
      <c r="AF17" s="64">
        <f t="shared" ref="AF17" si="133">IF(AND(AF18=1,AG18=0)=TRUE,1,IF(AND(AF18=0,AG18=0,AG17=0)=TRUE,0,AG17+1))</f>
        <v>66</v>
      </c>
      <c r="AG17" s="64">
        <f t="shared" ref="AG17" si="134">IF(AND(AG18=1,AH18=0)=TRUE,1,IF(AND(AG18=0,AH18=0,AH17=0)=TRUE,0,AH17+1))</f>
        <v>65</v>
      </c>
      <c r="AH17" s="64">
        <f t="shared" ref="AH17" si="135">IF(AND(AH18=1,AI18=0)=TRUE,1,IF(AND(AH18=0,AI18=0,AI17=0)=TRUE,0,AI17+1))</f>
        <v>64</v>
      </c>
      <c r="AI17" s="64">
        <f t="shared" ref="AI17" si="136">IF(AND(AI18=1,AJ18=0)=TRUE,1,IF(AND(AI18=0,AJ18=0,AJ17=0)=TRUE,0,AJ17+1))</f>
        <v>63</v>
      </c>
      <c r="AJ17" s="64">
        <f t="shared" ref="AJ17" si="137">IF(AND(AJ18=1,AK18=0)=TRUE,1,IF(AND(AJ18=0,AK18=0,AK17=0)=TRUE,0,AK17+1))</f>
        <v>62</v>
      </c>
      <c r="AK17" s="64">
        <f t="shared" ref="AK17" si="138">IF(AND(AK18=1,AL18=0)=TRUE,1,IF(AND(AK18=0,AL18=0,AL17=0)=TRUE,0,AL17+1))</f>
        <v>61</v>
      </c>
      <c r="AL17" s="64">
        <f t="shared" ref="AL17" si="139">IF(AND(AL18=1,AM18=0)=TRUE,1,IF(AND(AL18=0,AM18=0,AM17=0)=TRUE,0,AM17+1))</f>
        <v>60</v>
      </c>
      <c r="AM17" s="64">
        <f t="shared" ref="AM17" si="140">IF(AND(AM18=1,AN18=0)=TRUE,1,IF(AND(AM18=0,AN18=0,AN17=0)=TRUE,0,AN17+1))</f>
        <v>59</v>
      </c>
      <c r="AN17" s="64">
        <f t="shared" ref="AN17" si="141">IF(AND(AN18=1,AO18=0)=TRUE,1,IF(AND(AN18=0,AO18=0,AO17=0)=TRUE,0,AO17+1))</f>
        <v>58</v>
      </c>
      <c r="AO17" s="64">
        <f t="shared" ref="AO17" si="142">IF(AND(AO18=1,AP18=0)=TRUE,1,IF(AND(AO18=0,AP18=0,AP17=0)=TRUE,0,AP17+1))</f>
        <v>57</v>
      </c>
      <c r="AP17" s="64">
        <f t="shared" ref="AP17" si="143">IF(AND(AP18=1,AQ18=0)=TRUE,1,IF(AND(AP18=0,AQ18=0,AQ17=0)=TRUE,0,AQ17+1))</f>
        <v>56</v>
      </c>
      <c r="AQ17" s="64">
        <f t="shared" ref="AQ17" si="144">IF(AND(AQ18=1,AR18=0)=TRUE,1,IF(AND(AQ18=0,AR18=0,AR17=0)=TRUE,0,AR17+1))</f>
        <v>55</v>
      </c>
      <c r="AR17" s="64">
        <f t="shared" ref="AR17" si="145">IF(AND(AR18=1,AS18=0)=TRUE,1,IF(AND(AR18=0,AS18=0,AS17=0)=TRUE,0,AS17+1))</f>
        <v>54</v>
      </c>
      <c r="AS17" s="64">
        <f t="shared" ref="AS17" si="146">IF(AND(AS18=1,AT18=0)=TRUE,1,IF(AND(AS18=0,AT18=0,AT17=0)=TRUE,0,AT17+1))</f>
        <v>53</v>
      </c>
      <c r="AT17" s="64">
        <f t="shared" ref="AT17" si="147">IF(AND(AT18=1,AU18=0)=TRUE,1,IF(AND(AT18=0,AU18=0,AU17=0)=TRUE,0,AU17+1))</f>
        <v>52</v>
      </c>
      <c r="AU17" s="64">
        <f t="shared" ref="AU17" si="148">IF(AND(AU18=1,AV18=0)=TRUE,1,IF(AND(AU18=0,AV18=0,AV17=0)=TRUE,0,AV17+1))</f>
        <v>51</v>
      </c>
      <c r="AV17" s="64">
        <f t="shared" ref="AV17" si="149">IF(AND(AV18=1,AW18=0)=TRUE,1,IF(AND(AV18=0,AW18=0,AW17=0)=TRUE,0,AW17+1))</f>
        <v>50</v>
      </c>
      <c r="AW17" s="64">
        <f t="shared" ref="AW17" si="150">IF(AND(AW18=1,AX18=0)=TRUE,1,IF(AND(AW18=0,AX18=0,AX17=0)=TRUE,0,AX17+1))</f>
        <v>49</v>
      </c>
      <c r="AX17" s="64">
        <f t="shared" ref="AX17" si="151">IF(AND(AX18=1,AY18=0)=TRUE,1,IF(AND(AX18=0,AY18=0,AY17=0)=TRUE,0,AY17+1))</f>
        <v>48</v>
      </c>
      <c r="AY17" s="64">
        <f t="shared" ref="AY17" si="152">IF(AND(AY18=1,AZ18=0)=TRUE,1,IF(AND(AY18=0,AZ18=0,AZ17=0)=TRUE,0,AZ17+1))</f>
        <v>47</v>
      </c>
      <c r="AZ17" s="64">
        <f t="shared" ref="AZ17" si="153">IF(AND(AZ18=1,BA18=0)=TRUE,1,IF(AND(AZ18=0,BA18=0,BA17=0)=TRUE,0,BA17+1))</f>
        <v>46</v>
      </c>
      <c r="BA17" s="64">
        <f t="shared" ref="BA17" si="154">IF(AND(BA18=1,BB18=0)=TRUE,1,IF(AND(BA18=0,BB18=0,BB17=0)=TRUE,0,BB17+1))</f>
        <v>45</v>
      </c>
      <c r="BB17" s="64">
        <f t="shared" ref="BB17" si="155">IF(AND(BB18=1,BC18=0)=TRUE,1,IF(AND(BB18=0,BC18=0,BC17=0)=TRUE,0,BC17+1))</f>
        <v>44</v>
      </c>
      <c r="BC17" s="64">
        <f t="shared" ref="BC17" si="156">IF(AND(BC18=1,BD18=0)=TRUE,1,IF(AND(BC18=0,BD18=0,BD17=0)=TRUE,0,BD17+1))</f>
        <v>43</v>
      </c>
      <c r="BD17" s="64">
        <f t="shared" ref="BD17" si="157">IF(AND(BD18=1,BE18=0)=TRUE,1,IF(AND(BD18=0,BE18=0,BE17=0)=TRUE,0,BE17+1))</f>
        <v>42</v>
      </c>
      <c r="BE17" s="64">
        <f t="shared" ref="BE17" si="158">IF(AND(BE18=1,BF18=0)=TRUE,1,IF(AND(BE18=0,BF18=0,BF17=0)=TRUE,0,BF17+1))</f>
        <v>41</v>
      </c>
      <c r="BF17" s="64">
        <f t="shared" ref="BF17" si="159">IF(AND(BF18=1,BG18=0)=TRUE,1,IF(AND(BF18=0,BG18=0,BG17=0)=TRUE,0,BG17+1))</f>
        <v>40</v>
      </c>
      <c r="BG17" s="64">
        <f t="shared" ref="BG17" si="160">IF(AND(BG18=1,BH18=0)=TRUE,1,IF(AND(BG18=0,BH18=0,BH17=0)=TRUE,0,BH17+1))</f>
        <v>39</v>
      </c>
      <c r="BH17" s="64">
        <f t="shared" ref="BH17" si="161">IF(AND(BH18=1,BI18=0)=TRUE,1,IF(AND(BH18=0,BI18=0,BI17=0)=TRUE,0,BI17+1))</f>
        <v>38</v>
      </c>
      <c r="BI17" s="64">
        <f t="shared" ref="BI17" si="162">IF(AND(BI18=1,BJ18=0)=TRUE,1,IF(AND(BI18=0,BJ18=0,BJ17=0)=TRUE,0,BJ17+1))</f>
        <v>37</v>
      </c>
      <c r="BJ17" s="64">
        <f t="shared" ref="BJ17" si="163">IF(AND(BJ18=1,BK18=0)=TRUE,1,IF(AND(BJ18=0,BK18=0,BK17=0)=TRUE,0,BK17+1))</f>
        <v>36</v>
      </c>
      <c r="BK17" s="64">
        <f t="shared" ref="BK17" si="164">IF(AND(BK18=1,BL18=0)=TRUE,1,IF(AND(BK18=0,BL18=0,BL17=0)=TRUE,0,BL17+1))</f>
        <v>35</v>
      </c>
      <c r="BL17" s="64">
        <f t="shared" ref="BL17" si="165">IF(AND(BL18=1,BM18=0)=TRUE,1,IF(AND(BL18=0,BM18=0,BM17=0)=TRUE,0,BM17+1))</f>
        <v>34</v>
      </c>
      <c r="BM17" s="64">
        <f t="shared" ref="BM17" si="166">IF(AND(BM18=1,BN18=0)=TRUE,1,IF(AND(BM18=0,BN18=0,BN17=0)=TRUE,0,BN17+1))</f>
        <v>33</v>
      </c>
      <c r="BN17" s="64">
        <f t="shared" ref="BN17" si="167">IF(AND(BN18=1,BO18=0)=TRUE,1,IF(AND(BN18=0,BO18=0,BO17=0)=TRUE,0,BO17+1))</f>
        <v>32</v>
      </c>
      <c r="BO17" s="64">
        <f t="shared" ref="BO17" si="168">IF(AND(BO18=1,BP18=0)=TRUE,1,IF(AND(BO18=0,BP18=0,BP17=0)=TRUE,0,BP17+1))</f>
        <v>31</v>
      </c>
      <c r="BP17" s="64">
        <f t="shared" ref="BP17" si="169">IF(AND(BP18=1,BQ18=0)=TRUE,1,IF(AND(BP18=0,BQ18=0,BQ17=0)=TRUE,0,BQ17+1))</f>
        <v>30</v>
      </c>
      <c r="BQ17" s="64">
        <f t="shared" ref="BQ17" si="170">IF(AND(BQ18=1,BR18=0)=TRUE,1,IF(AND(BQ18=0,BR18=0,BR17=0)=TRUE,0,BR17+1))</f>
        <v>29</v>
      </c>
      <c r="BR17" s="64">
        <f t="shared" ref="BR17" si="171">IF(AND(BR18=1,BS18=0)=TRUE,1,IF(AND(BR18=0,BS18=0,BS17=0)=TRUE,0,BS17+1))</f>
        <v>28</v>
      </c>
      <c r="BS17" s="64">
        <f t="shared" ref="BS17" si="172">IF(AND(BS18=1,BT18=0)=TRUE,1,IF(AND(BS18=0,BT18=0,BT17=0)=TRUE,0,BT17+1))</f>
        <v>27</v>
      </c>
      <c r="BT17" s="64">
        <f t="shared" ref="BT17" si="173">IF(AND(BT18=1,BU18=0)=TRUE,1,IF(AND(BT18=0,BU18=0,BU17=0)=TRUE,0,BU17+1))</f>
        <v>26</v>
      </c>
      <c r="BU17" s="64">
        <f t="shared" ref="BU17" si="174">IF(AND(BU18=1,BV18=0)=TRUE,1,IF(AND(BU18=0,BV18=0,BV17=0)=TRUE,0,BV17+1))</f>
        <v>25</v>
      </c>
      <c r="BV17" s="64">
        <f t="shared" ref="BV17" si="175">IF(AND(BV18=1,BW18=0)=TRUE,1,IF(AND(BV18=0,BW18=0,BW17=0)=TRUE,0,BW17+1))</f>
        <v>24</v>
      </c>
      <c r="BW17" s="64">
        <f t="shared" ref="BW17" si="176">IF(AND(BW18=1,BX18=0)=TRUE,1,IF(AND(BW18=0,BX18=0,BX17=0)=TRUE,0,BX17+1))</f>
        <v>23</v>
      </c>
      <c r="BX17" s="64">
        <f t="shared" ref="BX17" si="177">IF(AND(BX18=1,BY18=0)=TRUE,1,IF(AND(BX18=0,BY18=0,BY17=0)=TRUE,0,BY17+1))</f>
        <v>22</v>
      </c>
      <c r="BY17" s="64">
        <f t="shared" ref="BY17" si="178">IF(AND(BY18=1,BZ18=0)=TRUE,1,IF(AND(BY18=0,BZ18=0,BZ17=0)=TRUE,0,BZ17+1))</f>
        <v>21</v>
      </c>
      <c r="BZ17" s="64">
        <f t="shared" ref="BZ17" si="179">IF(AND(BZ18=1,CA18=0)=TRUE,1,IF(AND(BZ18=0,CA18=0,CA17=0)=TRUE,0,CA17+1))</f>
        <v>20</v>
      </c>
      <c r="CA17" s="64">
        <f t="shared" ref="CA17" si="180">IF(AND(CA18=1,CB18=0)=TRUE,1,IF(AND(CA18=0,CB18=0,CB17=0)=TRUE,0,CB17+1))</f>
        <v>19</v>
      </c>
      <c r="CB17" s="64">
        <f t="shared" ref="CB17" si="181">IF(AND(CB18=1,CC18=0)=TRUE,1,IF(AND(CB18=0,CC18=0,CC17=0)=TRUE,0,CC17+1))</f>
        <v>18</v>
      </c>
      <c r="CC17" s="64">
        <f t="shared" ref="CC17" si="182">IF(AND(CC18=1,CD18=0)=TRUE,1,IF(AND(CC18=0,CD18=0,CD17=0)=TRUE,0,CD17+1))</f>
        <v>17</v>
      </c>
      <c r="CD17" s="64">
        <f t="shared" ref="CD17" si="183">IF(AND(CD18=1,CE18=0)=TRUE,1,IF(AND(CD18=0,CE18=0,CE17=0)=TRUE,0,CE17+1))</f>
        <v>16</v>
      </c>
      <c r="CE17" s="64">
        <f t="shared" ref="CE17" si="184">IF(AND(CE18=1,CF18=0)=TRUE,1,IF(AND(CE18=0,CF18=0,CF17=0)=TRUE,0,CF17+1))</f>
        <v>15</v>
      </c>
      <c r="CF17" s="64">
        <f t="shared" ref="CF17" si="185">IF(AND(CF18=1,CG18=0)=TRUE,1,IF(AND(CF18=0,CG18=0,CG17=0)=TRUE,0,CG17+1))</f>
        <v>14</v>
      </c>
      <c r="CG17" s="64">
        <f t="shared" ref="CG17" si="186">IF(AND(CG18=1,CH18=0)=TRUE,1,IF(AND(CG18=0,CH18=0,CH17=0)=TRUE,0,CH17+1))</f>
        <v>13</v>
      </c>
      <c r="CH17" s="64">
        <f t="shared" ref="CH17" si="187">IF(AND(CH18=1,CI18=0)=TRUE,1,IF(AND(CH18=0,CI18=0,CI17=0)=TRUE,0,CI17+1))</f>
        <v>12</v>
      </c>
      <c r="CI17" s="64">
        <f t="shared" ref="CI17" si="188">IF(AND(CI18=1,CJ18=0)=TRUE,1,IF(AND(CI18=0,CJ18=0,CJ17=0)=TRUE,0,CJ17+1))</f>
        <v>11</v>
      </c>
      <c r="CJ17" s="64">
        <f t="shared" ref="CJ17" si="189">IF(AND(CJ18=1,CK18=0)=TRUE,1,IF(AND(CJ18=0,CK18=0,CK17=0)=TRUE,0,CK17+1))</f>
        <v>10</v>
      </c>
      <c r="CK17" s="64">
        <f t="shared" ref="CK17" si="190">IF(AND(CK18=1,CL18=0)=TRUE,1,IF(AND(CK18=0,CL18=0,CL17=0)=TRUE,0,CL17+1))</f>
        <v>9</v>
      </c>
      <c r="CL17" s="64">
        <f t="shared" ref="CL17" si="191">IF(AND(CL18=1,CM18=0)=TRUE,1,IF(AND(CL18=0,CM18=0,CM17=0)=TRUE,0,CM17+1))</f>
        <v>8</v>
      </c>
      <c r="CM17" s="64">
        <f t="shared" ref="CM17" si="192">IF(AND(CM18=1,CN18=0)=TRUE,1,IF(AND(CM18=0,CN18=0,CN17=0)=TRUE,0,CN17+1))</f>
        <v>7</v>
      </c>
      <c r="CN17" s="64">
        <f t="shared" ref="CN17" si="193">IF(AND(CN18=1,CO18=0)=TRUE,1,IF(AND(CN18=0,CO18=0,CO17=0)=TRUE,0,CO17+1))</f>
        <v>6</v>
      </c>
      <c r="CO17" s="64">
        <f t="shared" ref="CO17" si="194">IF(AND(CO18=1,CP18=0)=TRUE,1,IF(AND(CO18=0,CP18=0,CP17=0)=TRUE,0,CP17+1))</f>
        <v>5</v>
      </c>
      <c r="CP17" s="64">
        <f t="shared" ref="CP17" si="195">IF(AND(CP18=1,CQ18=0)=TRUE,1,IF(AND(CP18=0,CQ18=0,CQ17=0)=TRUE,0,CQ17+1))</f>
        <v>4</v>
      </c>
      <c r="CQ17" s="64">
        <f t="shared" ref="CQ17" si="196">IF(AND(CQ18=1,CR18=0)=TRUE,1,IF(AND(CQ18=0,CR18=0,CR17=0)=TRUE,0,CR17+1))</f>
        <v>3</v>
      </c>
      <c r="CR17" s="64">
        <f t="shared" ref="CR17:CS17" si="197">IF(AND(CR18=1,CS18=0)=TRUE,1,IF(AND(CR18=0,CS18=0,CS17=0)=TRUE,0,CS17+1))</f>
        <v>2</v>
      </c>
      <c r="CS17" s="64">
        <f t="shared" si="197"/>
        <v>1</v>
      </c>
    </row>
    <row r="18" spans="1:97" s="64" customFormat="1" x14ac:dyDescent="0.35">
      <c r="A18" s="74"/>
      <c r="B18" s="64">
        <f t="shared" ref="B18:M18" si="198">IF(SUM(B22:B27)&gt;1,1,0)</f>
        <v>1</v>
      </c>
      <c r="C18" s="64">
        <f t="shared" si="198"/>
        <v>1</v>
      </c>
      <c r="D18" s="64">
        <f t="shared" si="198"/>
        <v>1</v>
      </c>
      <c r="E18" s="64">
        <f t="shared" si="198"/>
        <v>1</v>
      </c>
      <c r="F18" s="64">
        <f t="shared" si="198"/>
        <v>1</v>
      </c>
      <c r="G18" s="64">
        <f t="shared" si="198"/>
        <v>1</v>
      </c>
      <c r="H18" s="64">
        <f t="shared" si="198"/>
        <v>1</v>
      </c>
      <c r="I18" s="64">
        <f t="shared" si="198"/>
        <v>1</v>
      </c>
      <c r="J18" s="64">
        <f t="shared" si="198"/>
        <v>1</v>
      </c>
      <c r="K18" s="64">
        <f t="shared" si="198"/>
        <v>1</v>
      </c>
      <c r="L18" s="64">
        <f t="shared" si="198"/>
        <v>1</v>
      </c>
      <c r="M18" s="64">
        <f t="shared" si="198"/>
        <v>1</v>
      </c>
      <c r="N18" s="64">
        <f>IF(SUM(N22:N27)&gt;1,1,0)</f>
        <v>1</v>
      </c>
      <c r="O18" s="64">
        <f t="shared" ref="O18:Z18" si="199">IF(SUM(O22:O27)&gt;1,1,0)</f>
        <v>1</v>
      </c>
      <c r="P18" s="64">
        <f t="shared" si="199"/>
        <v>1</v>
      </c>
      <c r="Q18" s="64">
        <f t="shared" si="199"/>
        <v>1</v>
      </c>
      <c r="R18" s="64">
        <f t="shared" si="199"/>
        <v>1</v>
      </c>
      <c r="S18" s="64">
        <f t="shared" si="199"/>
        <v>1</v>
      </c>
      <c r="T18" s="64">
        <f t="shared" si="199"/>
        <v>1</v>
      </c>
      <c r="U18" s="64">
        <f t="shared" si="199"/>
        <v>1</v>
      </c>
      <c r="V18" s="64">
        <f t="shared" si="199"/>
        <v>1</v>
      </c>
      <c r="W18" s="64">
        <f t="shared" si="199"/>
        <v>1</v>
      </c>
      <c r="X18" s="64">
        <f t="shared" si="199"/>
        <v>1</v>
      </c>
      <c r="Y18" s="64">
        <f t="shared" si="199"/>
        <v>1</v>
      </c>
      <c r="Z18" s="64">
        <f t="shared" si="199"/>
        <v>1</v>
      </c>
      <c r="AA18" s="64">
        <f t="shared" ref="AA18:AW18" si="200">IF(SUM(AA22:AA27)&gt;1,1,0)</f>
        <v>1</v>
      </c>
      <c r="AB18" s="64">
        <f t="shared" si="200"/>
        <v>1</v>
      </c>
      <c r="AC18" s="64">
        <f t="shared" si="200"/>
        <v>1</v>
      </c>
      <c r="AD18" s="64">
        <f t="shared" si="200"/>
        <v>1</v>
      </c>
      <c r="AE18" s="64">
        <f t="shared" si="200"/>
        <v>1</v>
      </c>
      <c r="AF18" s="64">
        <f t="shared" si="200"/>
        <v>1</v>
      </c>
      <c r="AG18" s="64">
        <f t="shared" si="200"/>
        <v>1</v>
      </c>
      <c r="AH18" s="64">
        <f t="shared" si="200"/>
        <v>1</v>
      </c>
      <c r="AI18" s="64">
        <f t="shared" si="200"/>
        <v>1</v>
      </c>
      <c r="AJ18" s="64">
        <f t="shared" si="200"/>
        <v>1</v>
      </c>
      <c r="AK18" s="64">
        <f t="shared" si="200"/>
        <v>1</v>
      </c>
      <c r="AL18" s="64">
        <f t="shared" si="200"/>
        <v>1</v>
      </c>
      <c r="AM18" s="64">
        <f t="shared" si="200"/>
        <v>1</v>
      </c>
      <c r="AN18" s="64">
        <f t="shared" si="200"/>
        <v>1</v>
      </c>
      <c r="AO18" s="64">
        <f t="shared" si="200"/>
        <v>1</v>
      </c>
      <c r="AP18" s="64">
        <f t="shared" si="200"/>
        <v>1</v>
      </c>
      <c r="AQ18" s="64">
        <f t="shared" si="200"/>
        <v>1</v>
      </c>
      <c r="AR18" s="64">
        <f t="shared" si="200"/>
        <v>1</v>
      </c>
      <c r="AS18" s="64">
        <f t="shared" si="200"/>
        <v>1</v>
      </c>
      <c r="AT18" s="64">
        <f t="shared" si="200"/>
        <v>1</v>
      </c>
      <c r="AU18" s="64">
        <f t="shared" si="200"/>
        <v>1</v>
      </c>
      <c r="AV18" s="64">
        <f t="shared" si="200"/>
        <v>1</v>
      </c>
      <c r="AW18" s="64">
        <f t="shared" si="200"/>
        <v>1</v>
      </c>
      <c r="AX18" s="64">
        <f t="shared" ref="AX18:BI18" si="201">IF(SUM(AX22:AX27)&gt;1,1,0)</f>
        <v>1</v>
      </c>
      <c r="AY18" s="64">
        <f t="shared" si="201"/>
        <v>1</v>
      </c>
      <c r="AZ18" s="64">
        <f t="shared" si="201"/>
        <v>1</v>
      </c>
      <c r="BA18" s="64">
        <f t="shared" si="201"/>
        <v>1</v>
      </c>
      <c r="BB18" s="64">
        <f t="shared" si="201"/>
        <v>1</v>
      </c>
      <c r="BC18" s="64">
        <f t="shared" si="201"/>
        <v>1</v>
      </c>
      <c r="BD18" s="64">
        <f t="shared" si="201"/>
        <v>1</v>
      </c>
      <c r="BE18" s="64">
        <f t="shared" si="201"/>
        <v>1</v>
      </c>
      <c r="BF18" s="64">
        <f t="shared" si="201"/>
        <v>1</v>
      </c>
      <c r="BG18" s="64">
        <f t="shared" si="201"/>
        <v>1</v>
      </c>
      <c r="BH18" s="64">
        <f t="shared" si="201"/>
        <v>1</v>
      </c>
      <c r="BI18" s="64">
        <f t="shared" si="201"/>
        <v>1</v>
      </c>
      <c r="BJ18" s="64">
        <f t="shared" ref="BJ18:BW18" si="202">IF(SUM(BJ22:BJ27)&gt;1,1,0)</f>
        <v>1</v>
      </c>
      <c r="BK18" s="64">
        <f t="shared" si="202"/>
        <v>1</v>
      </c>
      <c r="BL18" s="64">
        <f t="shared" si="202"/>
        <v>1</v>
      </c>
      <c r="BM18" s="64">
        <f t="shared" si="202"/>
        <v>1</v>
      </c>
      <c r="BN18" s="64">
        <f t="shared" si="202"/>
        <v>1</v>
      </c>
      <c r="BO18" s="64">
        <f t="shared" si="202"/>
        <v>1</v>
      </c>
      <c r="BP18" s="64">
        <f t="shared" si="202"/>
        <v>1</v>
      </c>
      <c r="BQ18" s="64">
        <f t="shared" si="202"/>
        <v>1</v>
      </c>
      <c r="BR18" s="64">
        <f t="shared" si="202"/>
        <v>1</v>
      </c>
      <c r="BS18" s="64">
        <f t="shared" si="202"/>
        <v>1</v>
      </c>
      <c r="BT18" s="64">
        <f t="shared" si="202"/>
        <v>1</v>
      </c>
      <c r="BU18" s="64">
        <f t="shared" si="202"/>
        <v>1</v>
      </c>
      <c r="BV18" s="64">
        <f t="shared" si="202"/>
        <v>1</v>
      </c>
      <c r="BW18" s="64">
        <f t="shared" si="202"/>
        <v>1</v>
      </c>
      <c r="BX18" s="64">
        <f t="shared" ref="BX18:CD18" si="203">IF(SUM(BX22:BX27)&gt;1,1,0)</f>
        <v>1</v>
      </c>
      <c r="BY18" s="64">
        <f t="shared" si="203"/>
        <v>1</v>
      </c>
      <c r="BZ18" s="64">
        <f t="shared" si="203"/>
        <v>1</v>
      </c>
      <c r="CA18" s="64">
        <f t="shared" si="203"/>
        <v>1</v>
      </c>
      <c r="CB18" s="64">
        <f t="shared" si="203"/>
        <v>1</v>
      </c>
      <c r="CC18" s="64">
        <f t="shared" si="203"/>
        <v>1</v>
      </c>
      <c r="CD18" s="64">
        <f t="shared" si="203"/>
        <v>1</v>
      </c>
      <c r="CE18" s="64">
        <f t="shared" ref="CE18:CG18" si="204">IF(SUM(CE22:CE27)&gt;1,1,0)</f>
        <v>1</v>
      </c>
      <c r="CF18" s="64">
        <f t="shared" si="204"/>
        <v>1</v>
      </c>
      <c r="CG18" s="64">
        <f t="shared" si="204"/>
        <v>1</v>
      </c>
      <c r="CH18" s="64">
        <f t="shared" ref="CH18:CS18" si="205">IF(SUM(CH22:CH27)&gt;1,1,0)</f>
        <v>1</v>
      </c>
      <c r="CI18" s="64">
        <f t="shared" si="205"/>
        <v>1</v>
      </c>
      <c r="CJ18" s="64">
        <f t="shared" si="205"/>
        <v>1</v>
      </c>
      <c r="CK18" s="64">
        <f t="shared" si="205"/>
        <v>1</v>
      </c>
      <c r="CL18" s="64">
        <f t="shared" si="205"/>
        <v>1</v>
      </c>
      <c r="CM18" s="64">
        <f t="shared" si="205"/>
        <v>1</v>
      </c>
      <c r="CN18" s="64">
        <f t="shared" si="205"/>
        <v>1</v>
      </c>
      <c r="CO18" s="64">
        <f t="shared" si="205"/>
        <v>1</v>
      </c>
      <c r="CP18" s="64">
        <f t="shared" si="205"/>
        <v>1</v>
      </c>
      <c r="CQ18" s="64">
        <f t="shared" si="205"/>
        <v>1</v>
      </c>
      <c r="CR18" s="64">
        <f t="shared" si="205"/>
        <v>1</v>
      </c>
      <c r="CS18" s="64">
        <f t="shared" si="205"/>
        <v>1</v>
      </c>
    </row>
    <row r="19" spans="1:97" s="64" customFormat="1" x14ac:dyDescent="0.35">
      <c r="A19" s="74"/>
      <c r="B19" s="64" t="s">
        <v>136</v>
      </c>
      <c r="C19" s="64" t="s">
        <v>136</v>
      </c>
      <c r="D19" s="64" t="s">
        <v>136</v>
      </c>
      <c r="E19" s="64" t="s">
        <v>136</v>
      </c>
      <c r="F19" s="64" t="s">
        <v>136</v>
      </c>
      <c r="G19" s="64" t="s">
        <v>136</v>
      </c>
      <c r="H19" s="64" t="s">
        <v>136</v>
      </c>
      <c r="I19" s="64" t="s">
        <v>136</v>
      </c>
      <c r="J19" s="64" t="s">
        <v>136</v>
      </c>
      <c r="K19" s="64" t="s">
        <v>136</v>
      </c>
      <c r="L19" s="64" t="s">
        <v>136</v>
      </c>
      <c r="M19" s="64" t="s">
        <v>136</v>
      </c>
      <c r="N19" s="64" t="s">
        <v>135</v>
      </c>
      <c r="O19" s="64" t="s">
        <v>135</v>
      </c>
      <c r="P19" s="64" t="s">
        <v>135</v>
      </c>
      <c r="Q19" s="64" t="s">
        <v>135</v>
      </c>
      <c r="R19" s="64" t="s">
        <v>135</v>
      </c>
      <c r="S19" s="64" t="s">
        <v>135</v>
      </c>
      <c r="T19" s="64" t="s">
        <v>135</v>
      </c>
      <c r="U19" s="64" t="s">
        <v>135</v>
      </c>
      <c r="V19" s="64" t="s">
        <v>135</v>
      </c>
      <c r="W19" s="64" t="s">
        <v>135</v>
      </c>
      <c r="X19" s="64" t="s">
        <v>135</v>
      </c>
      <c r="Y19" s="64" t="s">
        <v>135</v>
      </c>
      <c r="Z19" s="64" t="s">
        <v>207</v>
      </c>
      <c r="AA19" s="64" t="s">
        <v>207</v>
      </c>
      <c r="AB19" s="64" t="s">
        <v>207</v>
      </c>
      <c r="AC19" s="64" t="s">
        <v>207</v>
      </c>
      <c r="AD19" s="64" t="s">
        <v>207</v>
      </c>
      <c r="AE19" s="64" t="s">
        <v>207</v>
      </c>
      <c r="AF19" s="64" t="s">
        <v>207</v>
      </c>
      <c r="AG19" s="64" t="s">
        <v>207</v>
      </c>
      <c r="AH19" s="64" t="s">
        <v>207</v>
      </c>
      <c r="AI19" s="64" t="s">
        <v>207</v>
      </c>
      <c r="AJ19" s="64" t="s">
        <v>207</v>
      </c>
      <c r="AK19" s="64" t="s">
        <v>207</v>
      </c>
      <c r="AL19" s="64" t="s">
        <v>251</v>
      </c>
      <c r="AM19" s="64" t="s">
        <v>251</v>
      </c>
      <c r="AN19" s="64" t="s">
        <v>251</v>
      </c>
      <c r="AO19" s="64" t="s">
        <v>251</v>
      </c>
      <c r="AP19" s="64" t="s">
        <v>251</v>
      </c>
      <c r="AQ19" s="64" t="s">
        <v>251</v>
      </c>
      <c r="AR19" s="64" t="s">
        <v>251</v>
      </c>
      <c r="AS19" s="64" t="s">
        <v>251</v>
      </c>
      <c r="AT19" s="64" t="s">
        <v>251</v>
      </c>
      <c r="AU19" s="64" t="s">
        <v>251</v>
      </c>
      <c r="AV19" s="64" t="s">
        <v>251</v>
      </c>
      <c r="AW19" s="64" t="s">
        <v>251</v>
      </c>
      <c r="AX19" s="64" t="s">
        <v>259</v>
      </c>
      <c r="AY19" s="64" t="s">
        <v>259</v>
      </c>
      <c r="AZ19" s="64" t="s">
        <v>259</v>
      </c>
      <c r="BA19" s="64" t="s">
        <v>259</v>
      </c>
      <c r="BB19" s="64" t="s">
        <v>259</v>
      </c>
      <c r="BC19" s="64" t="s">
        <v>259</v>
      </c>
      <c r="BD19" s="64" t="s">
        <v>259</v>
      </c>
      <c r="BE19" s="64" t="s">
        <v>259</v>
      </c>
      <c r="BF19" s="64" t="s">
        <v>259</v>
      </c>
      <c r="BG19" s="64" t="s">
        <v>259</v>
      </c>
      <c r="BH19" s="64" t="s">
        <v>259</v>
      </c>
      <c r="BI19" s="64" t="s">
        <v>259</v>
      </c>
      <c r="BJ19" s="64" t="s">
        <v>406</v>
      </c>
      <c r="BK19" s="64" t="s">
        <v>407</v>
      </c>
      <c r="BL19" s="64" t="s">
        <v>408</v>
      </c>
      <c r="BM19" s="64" t="s">
        <v>409</v>
      </c>
      <c r="BN19" s="64" t="s">
        <v>410</v>
      </c>
      <c r="BO19" s="64" t="s">
        <v>411</v>
      </c>
      <c r="BP19" s="64" t="s">
        <v>412</v>
      </c>
      <c r="BQ19" s="64" t="s">
        <v>413</v>
      </c>
      <c r="BR19" s="64" t="s">
        <v>414</v>
      </c>
      <c r="BS19" s="64" t="s">
        <v>415</v>
      </c>
      <c r="BT19" s="64" t="s">
        <v>416</v>
      </c>
      <c r="BU19" s="64" t="s">
        <v>417</v>
      </c>
      <c r="BV19" s="64" t="s">
        <v>418</v>
      </c>
      <c r="BW19" s="64" t="s">
        <v>419</v>
      </c>
      <c r="BX19" s="64" t="s">
        <v>472</v>
      </c>
      <c r="BY19" s="64" t="s">
        <v>473</v>
      </c>
      <c r="BZ19" s="64" t="s">
        <v>474</v>
      </c>
      <c r="CA19" s="64" t="s">
        <v>475</v>
      </c>
      <c r="CB19" s="64" t="s">
        <v>476</v>
      </c>
      <c r="CC19" s="64" t="s">
        <v>477</v>
      </c>
      <c r="CD19" s="64" t="s">
        <v>484</v>
      </c>
      <c r="CE19" s="64" t="s">
        <v>485</v>
      </c>
      <c r="CF19" s="64" t="s">
        <v>486</v>
      </c>
      <c r="CG19" s="64" t="s">
        <v>487</v>
      </c>
      <c r="CH19" s="64" t="s">
        <v>506</v>
      </c>
      <c r="CI19" s="64" t="s">
        <v>507</v>
      </c>
      <c r="CJ19" s="64" t="s">
        <v>508</v>
      </c>
      <c r="CK19" s="64" t="s">
        <v>509</v>
      </c>
      <c r="CL19" s="64" t="s">
        <v>510</v>
      </c>
      <c r="CM19" s="64" t="s">
        <v>511</v>
      </c>
      <c r="CN19" s="64" t="s">
        <v>512</v>
      </c>
      <c r="CO19" s="64" t="s">
        <v>513</v>
      </c>
      <c r="CP19" s="64" t="s">
        <v>514</v>
      </c>
      <c r="CQ19" s="64" t="s">
        <v>515</v>
      </c>
      <c r="CR19" s="64" t="s">
        <v>516</v>
      </c>
      <c r="CS19" s="64" t="s">
        <v>517</v>
      </c>
    </row>
    <row r="20" spans="1:97" x14ac:dyDescent="0.35">
      <c r="A20" s="75"/>
      <c r="B20" s="64" t="s">
        <v>19</v>
      </c>
      <c r="C20" s="64" t="s">
        <v>20</v>
      </c>
      <c r="D20" s="64" t="s">
        <v>21</v>
      </c>
      <c r="E20" s="64" t="s">
        <v>22</v>
      </c>
      <c r="F20" s="64" t="s">
        <v>23</v>
      </c>
      <c r="G20" s="64" t="s">
        <v>24</v>
      </c>
      <c r="H20" s="64" t="s">
        <v>25</v>
      </c>
      <c r="I20" s="64" t="s">
        <v>26</v>
      </c>
      <c r="J20" s="64" t="s">
        <v>27</v>
      </c>
      <c r="K20" s="64" t="s">
        <v>28</v>
      </c>
      <c r="L20" s="64" t="s">
        <v>29</v>
      </c>
      <c r="M20" s="64" t="s">
        <v>30</v>
      </c>
      <c r="N20" s="64" t="s">
        <v>19</v>
      </c>
      <c r="O20" s="64" t="s">
        <v>20</v>
      </c>
      <c r="P20" s="64" t="s">
        <v>21</v>
      </c>
      <c r="Q20" s="64" t="s">
        <v>22</v>
      </c>
      <c r="R20" s="64" t="s">
        <v>23</v>
      </c>
      <c r="S20" s="64" t="s">
        <v>24</v>
      </c>
      <c r="T20" s="64" t="s">
        <v>25</v>
      </c>
      <c r="U20" s="64" t="s">
        <v>26</v>
      </c>
      <c r="V20" s="64" t="s">
        <v>27</v>
      </c>
      <c r="W20" s="64" t="s">
        <v>28</v>
      </c>
      <c r="X20" s="64" t="s">
        <v>29</v>
      </c>
      <c r="Y20" s="64" t="s">
        <v>30</v>
      </c>
      <c r="Z20" s="64" t="s">
        <v>19</v>
      </c>
      <c r="AA20" s="64" t="s">
        <v>20</v>
      </c>
      <c r="AB20" s="64" t="s">
        <v>21</v>
      </c>
      <c r="AC20" s="64" t="s">
        <v>22</v>
      </c>
      <c r="AD20" s="64" t="s">
        <v>23</v>
      </c>
      <c r="AE20" s="64" t="s">
        <v>24</v>
      </c>
      <c r="AF20" s="64" t="s">
        <v>25</v>
      </c>
      <c r="AG20" s="64" t="s">
        <v>26</v>
      </c>
      <c r="AH20" s="64" t="s">
        <v>27</v>
      </c>
      <c r="AI20" s="64" t="s">
        <v>28</v>
      </c>
      <c r="AJ20" s="64" t="s">
        <v>29</v>
      </c>
      <c r="AK20" s="64" t="s">
        <v>30</v>
      </c>
      <c r="AL20" s="64" t="s">
        <v>19</v>
      </c>
      <c r="AM20" s="64" t="s">
        <v>20</v>
      </c>
      <c r="AN20" s="64" t="s">
        <v>21</v>
      </c>
      <c r="AO20" s="64" t="s">
        <v>22</v>
      </c>
      <c r="AP20" s="64" t="s">
        <v>23</v>
      </c>
      <c r="AQ20" s="64" t="s">
        <v>24</v>
      </c>
      <c r="AR20" s="64" t="s">
        <v>25</v>
      </c>
      <c r="AS20" s="64" t="s">
        <v>26</v>
      </c>
      <c r="AT20" s="64" t="s">
        <v>27</v>
      </c>
      <c r="AU20" s="64" t="s">
        <v>28</v>
      </c>
      <c r="AV20" s="64" t="s">
        <v>29</v>
      </c>
      <c r="AW20" s="64" t="s">
        <v>30</v>
      </c>
      <c r="AX20" s="64" t="s">
        <v>19</v>
      </c>
      <c r="AY20" s="64" t="s">
        <v>20</v>
      </c>
      <c r="AZ20" s="64" t="s">
        <v>21</v>
      </c>
      <c r="BA20" s="64" t="s">
        <v>22</v>
      </c>
      <c r="BB20" s="64" t="s">
        <v>23</v>
      </c>
      <c r="BC20" s="64" t="s">
        <v>24</v>
      </c>
      <c r="BD20" s="64" t="s">
        <v>25</v>
      </c>
      <c r="BE20" s="64" t="s">
        <v>26</v>
      </c>
      <c r="BF20" s="64" t="s">
        <v>27</v>
      </c>
      <c r="BG20" s="64" t="s">
        <v>28</v>
      </c>
      <c r="BH20" s="64" t="s">
        <v>29</v>
      </c>
      <c r="BI20" s="64" t="s">
        <v>30</v>
      </c>
      <c r="BJ20" s="64" t="s">
        <v>19</v>
      </c>
      <c r="BK20" s="64" t="s">
        <v>20</v>
      </c>
      <c r="BL20" s="64" t="s">
        <v>21</v>
      </c>
      <c r="BM20" s="64" t="s">
        <v>22</v>
      </c>
      <c r="BN20" s="64" t="s">
        <v>23</v>
      </c>
      <c r="BO20" s="64" t="s">
        <v>24</v>
      </c>
      <c r="BP20" s="64" t="s">
        <v>25</v>
      </c>
      <c r="BQ20" s="64" t="s">
        <v>26</v>
      </c>
      <c r="BR20" s="64" t="s">
        <v>27</v>
      </c>
      <c r="BS20" s="64" t="s">
        <v>28</v>
      </c>
      <c r="BT20" s="64" t="s">
        <v>29</v>
      </c>
      <c r="BU20" s="64" t="s">
        <v>30</v>
      </c>
      <c r="BV20" s="64" t="s">
        <v>19</v>
      </c>
      <c r="BW20" s="64" t="s">
        <v>20</v>
      </c>
      <c r="BX20" s="64" t="s">
        <v>478</v>
      </c>
      <c r="BY20" s="64" t="s">
        <v>479</v>
      </c>
      <c r="BZ20" s="64" t="s">
        <v>480</v>
      </c>
      <c r="CA20" s="64" t="s">
        <v>481</v>
      </c>
      <c r="CB20" s="64" t="s">
        <v>482</v>
      </c>
      <c r="CC20" s="64" t="s">
        <v>483</v>
      </c>
      <c r="CD20" s="64" t="s">
        <v>488</v>
      </c>
      <c r="CE20" s="64" t="s">
        <v>489</v>
      </c>
      <c r="CF20" s="64" t="s">
        <v>490</v>
      </c>
      <c r="CG20" s="64" t="s">
        <v>491</v>
      </c>
      <c r="CH20" s="64" t="s">
        <v>132</v>
      </c>
      <c r="CI20" s="64" t="s">
        <v>20</v>
      </c>
      <c r="CJ20" s="64" t="s">
        <v>478</v>
      </c>
      <c r="CK20" s="64" t="s">
        <v>479</v>
      </c>
      <c r="CL20" s="64" t="s">
        <v>480</v>
      </c>
      <c r="CM20" s="64" t="s">
        <v>481</v>
      </c>
      <c r="CN20" s="64" t="s">
        <v>482</v>
      </c>
      <c r="CO20" s="64" t="s">
        <v>483</v>
      </c>
      <c r="CP20" s="64" t="s">
        <v>488</v>
      </c>
      <c r="CQ20" s="64" t="s">
        <v>489</v>
      </c>
      <c r="CR20" s="64" t="s">
        <v>490</v>
      </c>
      <c r="CS20" s="64" t="s">
        <v>491</v>
      </c>
    </row>
    <row r="21" spans="1:97" x14ac:dyDescent="0.35">
      <c r="A21" s="76"/>
      <c r="B21" s="77">
        <v>42826</v>
      </c>
      <c r="C21" s="77">
        <v>42856</v>
      </c>
      <c r="D21" s="77">
        <v>42887</v>
      </c>
      <c r="E21" s="77">
        <v>42917</v>
      </c>
      <c r="F21" s="77">
        <v>42948</v>
      </c>
      <c r="G21" s="77">
        <v>42979</v>
      </c>
      <c r="H21" s="77">
        <v>43009</v>
      </c>
      <c r="I21" s="77">
        <v>43040</v>
      </c>
      <c r="J21" s="77">
        <v>43070</v>
      </c>
      <c r="K21" s="77">
        <v>43101</v>
      </c>
      <c r="L21" s="77">
        <v>43132</v>
      </c>
      <c r="M21" s="77">
        <v>43160</v>
      </c>
      <c r="N21" s="77">
        <v>43191</v>
      </c>
      <c r="O21" s="77">
        <v>43221</v>
      </c>
      <c r="P21" s="77">
        <v>43252</v>
      </c>
      <c r="Q21" s="77">
        <v>43282</v>
      </c>
      <c r="R21" s="77">
        <v>43313</v>
      </c>
      <c r="S21" s="77">
        <v>43344</v>
      </c>
      <c r="T21" s="77">
        <v>43374</v>
      </c>
      <c r="U21" s="77">
        <v>43405</v>
      </c>
      <c r="V21" s="77">
        <v>43435</v>
      </c>
      <c r="W21" s="77">
        <v>43466</v>
      </c>
      <c r="X21" s="77">
        <v>43497</v>
      </c>
      <c r="Y21" s="77">
        <v>43525</v>
      </c>
      <c r="Z21" s="77">
        <v>43556</v>
      </c>
      <c r="AA21" s="77">
        <v>43586</v>
      </c>
      <c r="AB21" s="77">
        <v>43617</v>
      </c>
      <c r="AC21" s="77">
        <v>43647</v>
      </c>
      <c r="AD21" s="77">
        <v>43678</v>
      </c>
      <c r="AE21" s="77">
        <v>43709</v>
      </c>
      <c r="AF21" s="77">
        <v>43739</v>
      </c>
      <c r="AG21" s="77">
        <v>43770</v>
      </c>
      <c r="AH21" s="77">
        <v>43800</v>
      </c>
      <c r="AI21" s="77">
        <v>43831</v>
      </c>
      <c r="AJ21" s="77">
        <v>43862</v>
      </c>
      <c r="AK21" s="77">
        <v>43891</v>
      </c>
      <c r="AL21" s="77">
        <v>43922</v>
      </c>
      <c r="AM21" s="77">
        <v>43952</v>
      </c>
      <c r="AN21" s="77">
        <v>43983</v>
      </c>
      <c r="AO21" s="77">
        <v>44013</v>
      </c>
      <c r="AP21" s="77">
        <v>44044</v>
      </c>
      <c r="AQ21" s="77">
        <v>44075</v>
      </c>
      <c r="AR21" s="77">
        <v>44105</v>
      </c>
      <c r="AS21" s="77">
        <v>44136</v>
      </c>
      <c r="AT21" s="77">
        <v>44166</v>
      </c>
      <c r="AU21" s="77">
        <v>44197</v>
      </c>
      <c r="AV21" s="77">
        <v>44228</v>
      </c>
      <c r="AW21" s="77">
        <v>44256</v>
      </c>
      <c r="AX21" s="77">
        <v>44287</v>
      </c>
      <c r="AY21" s="77">
        <v>44317</v>
      </c>
      <c r="AZ21" s="77">
        <v>44348</v>
      </c>
      <c r="BA21" s="77">
        <v>44378</v>
      </c>
      <c r="BB21" s="77">
        <v>44409</v>
      </c>
      <c r="BC21" s="77">
        <v>44440</v>
      </c>
      <c r="BD21" s="77">
        <v>44470</v>
      </c>
      <c r="BE21" s="77">
        <v>44501</v>
      </c>
      <c r="BF21" s="77">
        <v>44531</v>
      </c>
      <c r="BG21" s="77">
        <v>44562</v>
      </c>
      <c r="BH21" s="77">
        <v>44593</v>
      </c>
      <c r="BI21" s="77">
        <v>44621</v>
      </c>
      <c r="BJ21" s="77">
        <v>44652</v>
      </c>
      <c r="BK21" s="77">
        <v>44682</v>
      </c>
      <c r="BL21" s="77">
        <v>44713</v>
      </c>
      <c r="BM21" s="77">
        <v>44743</v>
      </c>
      <c r="BN21" s="77">
        <v>44774</v>
      </c>
      <c r="BO21" s="77">
        <v>44805</v>
      </c>
      <c r="BP21" s="77">
        <v>44835</v>
      </c>
      <c r="BQ21" s="77">
        <v>44866</v>
      </c>
      <c r="BR21" s="77">
        <v>44896</v>
      </c>
      <c r="BS21" s="77">
        <v>44927</v>
      </c>
      <c r="BT21" s="77">
        <v>44958</v>
      </c>
      <c r="BU21" s="77">
        <v>44986</v>
      </c>
      <c r="BV21" s="77">
        <v>45017</v>
      </c>
      <c r="BW21" s="77">
        <v>45047</v>
      </c>
      <c r="BX21" s="77">
        <v>45078</v>
      </c>
      <c r="BY21" s="77">
        <v>45108</v>
      </c>
      <c r="BZ21" s="77">
        <v>45139</v>
      </c>
      <c r="CA21" s="77">
        <v>45170</v>
      </c>
      <c r="CB21" s="77">
        <v>45200</v>
      </c>
      <c r="CC21" s="77">
        <v>45231</v>
      </c>
      <c r="CD21" s="77">
        <v>45261</v>
      </c>
      <c r="CE21" s="77">
        <v>45292</v>
      </c>
      <c r="CF21" s="77">
        <v>45323</v>
      </c>
      <c r="CG21" s="77">
        <v>45352</v>
      </c>
      <c r="CH21" s="77">
        <v>45383</v>
      </c>
      <c r="CI21" s="77">
        <v>45413</v>
      </c>
      <c r="CJ21" s="77">
        <v>45444</v>
      </c>
      <c r="CK21" s="77">
        <v>45474</v>
      </c>
      <c r="CL21" s="77">
        <v>45505</v>
      </c>
      <c r="CM21" s="77">
        <v>45536</v>
      </c>
      <c r="CN21" s="77">
        <v>45566</v>
      </c>
      <c r="CO21" s="77">
        <v>45597</v>
      </c>
      <c r="CP21" s="77">
        <v>45627</v>
      </c>
      <c r="CQ21" s="77">
        <v>45658</v>
      </c>
      <c r="CR21" s="77">
        <v>45689</v>
      </c>
      <c r="CS21" s="77">
        <v>45717</v>
      </c>
    </row>
    <row r="22" spans="1:97" x14ac:dyDescent="0.35">
      <c r="A22" s="78" t="s">
        <v>39</v>
      </c>
      <c r="B22" s="79">
        <f>[2]Districts_Boroughs!AL6</f>
        <v>41</v>
      </c>
      <c r="C22" s="79">
        <f>[2]Districts_Boroughs!AM6</f>
        <v>37</v>
      </c>
      <c r="D22" s="79">
        <f>[2]Districts_Boroughs!AN6</f>
        <v>36</v>
      </c>
      <c r="E22" s="79">
        <f>[2]Districts_Boroughs!AO6</f>
        <v>50</v>
      </c>
      <c r="F22" s="79">
        <f>[2]Districts_Boroughs!AP6</f>
        <v>25</v>
      </c>
      <c r="G22" s="79">
        <f>[2]Districts_Boroughs!AQ6</f>
        <v>45</v>
      </c>
      <c r="H22" s="79">
        <f>[2]Districts_Boroughs!AR6</f>
        <v>61</v>
      </c>
      <c r="I22" s="79">
        <f>[2]Districts_Boroughs!AS6</f>
        <v>48</v>
      </c>
      <c r="J22" s="79">
        <f>[2]Districts_Boroughs!AT6</f>
        <v>34</v>
      </c>
      <c r="K22" s="79">
        <f>[2]Districts_Boroughs!AU6</f>
        <v>41</v>
      </c>
      <c r="L22" s="79">
        <f>[2]Districts_Boroughs!AV6</f>
        <v>21</v>
      </c>
      <c r="M22" s="79">
        <f>[2]Districts_Boroughs!AW6</f>
        <v>46</v>
      </c>
      <c r="N22" s="79">
        <f>[2]Districts_Boroughs!AX6</f>
        <v>30</v>
      </c>
      <c r="O22" s="79">
        <f>[2]Districts_Boroughs!AY6</f>
        <v>39</v>
      </c>
      <c r="P22" s="79">
        <f>[2]Districts_Boroughs!AZ6</f>
        <v>65</v>
      </c>
      <c r="Q22" s="79">
        <f>[2]Districts_Boroughs!BA6</f>
        <v>58</v>
      </c>
      <c r="R22" s="79">
        <f>[2]Districts_Boroughs!BB6</f>
        <v>39</v>
      </c>
      <c r="S22" s="79">
        <f>[2]Districts_Boroughs!BC6</f>
        <v>38</v>
      </c>
      <c r="T22" s="79">
        <f>[2]Districts_Boroughs!BD6</f>
        <v>52</v>
      </c>
      <c r="U22" s="79">
        <f>[2]Districts_Boroughs!BE6</f>
        <v>44</v>
      </c>
      <c r="V22" s="79">
        <f>[2]Districts_Boroughs!BF6</f>
        <v>42</v>
      </c>
      <c r="W22" s="79">
        <f>[2]Districts_Boroughs!BG6</f>
        <v>37</v>
      </c>
      <c r="X22" s="79">
        <f>[2]Districts_Boroughs!BH6</f>
        <v>36</v>
      </c>
      <c r="Y22" s="79">
        <f>[2]Districts_Boroughs!BI6</f>
        <v>33</v>
      </c>
      <c r="Z22" s="79">
        <f>[2]Districts_Boroughs!BJ6</f>
        <v>45</v>
      </c>
      <c r="AA22" s="79">
        <f>[2]Districts_Boroughs!BK6</f>
        <v>38</v>
      </c>
      <c r="AB22" s="79">
        <f>[2]Districts_Boroughs!BL6</f>
        <v>64</v>
      </c>
      <c r="AC22" s="79">
        <f>[2]Districts_Boroughs!BM6</f>
        <v>46</v>
      </c>
      <c r="AD22" s="79">
        <f>[2]Districts_Boroughs!BN6</f>
        <v>42</v>
      </c>
      <c r="AE22" s="79">
        <f>[2]Districts_Boroughs!BO6</f>
        <v>45</v>
      </c>
      <c r="AF22" s="79">
        <f>[2]Districts_Boroughs!BP6</f>
        <v>40</v>
      </c>
      <c r="AG22" s="79">
        <f>[2]Districts_Boroughs!BQ6</f>
        <v>39</v>
      </c>
      <c r="AH22" s="79">
        <f>[2]Districts_Boroughs!BR6</f>
        <v>53</v>
      </c>
      <c r="AI22" s="79">
        <f>[2]Districts_Boroughs!BS6</f>
        <v>46</v>
      </c>
      <c r="AJ22" s="79">
        <f>[2]Districts_Boroughs!BT6</f>
        <v>40</v>
      </c>
      <c r="AK22" s="79">
        <f>[2]Districts_Boroughs!BU6</f>
        <v>43</v>
      </c>
      <c r="AL22" s="79">
        <f>[2]Districts_Boroughs!BV6</f>
        <v>29</v>
      </c>
      <c r="AM22" s="79">
        <f>[2]Districts_Boroughs!BW6</f>
        <v>35</v>
      </c>
      <c r="AN22" s="79">
        <f>[2]Districts_Boroughs!BX6</f>
        <v>55</v>
      </c>
      <c r="AO22" s="79">
        <f>[2]Districts_Boroughs!BY6</f>
        <v>41</v>
      </c>
      <c r="AP22" s="79">
        <f>[2]Districts_Boroughs!BZ6</f>
        <v>63</v>
      </c>
      <c r="AQ22" s="79">
        <f>[2]Districts_Boroughs!CA6</f>
        <v>55</v>
      </c>
      <c r="AR22" s="79">
        <f>[2]Districts_Boroughs!CB6</f>
        <v>43</v>
      </c>
      <c r="AS22" s="79">
        <f>[2]Districts_Boroughs!CC6</f>
        <v>43</v>
      </c>
      <c r="AT22" s="79">
        <f>[2]Districts_Boroughs!CD6</f>
        <v>28</v>
      </c>
      <c r="AU22" s="79">
        <f>[2]Districts_Boroughs!CE6</f>
        <v>28</v>
      </c>
      <c r="AV22" s="79">
        <f>[2]Districts_Boroughs!CF6</f>
        <v>31</v>
      </c>
      <c r="AW22" s="79">
        <f>[2]Districts_Boroughs!CG6</f>
        <v>28</v>
      </c>
      <c r="AX22" s="79">
        <f>[2]Districts_Boroughs!CH6</f>
        <v>53</v>
      </c>
      <c r="AY22" s="79">
        <f>[2]Districts_Boroughs!CI6</f>
        <v>43</v>
      </c>
      <c r="AZ22" s="79">
        <f>[2]Districts_Boroughs!CJ6</f>
        <v>50</v>
      </c>
      <c r="BA22" s="79">
        <f>[2]Districts_Boroughs!CK6</f>
        <v>53</v>
      </c>
      <c r="BB22" s="79">
        <f>[2]Districts_Boroughs!CL6</f>
        <v>43</v>
      </c>
      <c r="BC22" s="79">
        <f>[2]Districts_Boroughs!CM6</f>
        <v>56</v>
      </c>
      <c r="BD22" s="79">
        <f>[2]Districts_Boroughs!CN6</f>
        <v>39</v>
      </c>
      <c r="BE22" s="79">
        <f>[2]Districts_Boroughs!CO6</f>
        <v>43</v>
      </c>
      <c r="BF22" s="79">
        <f>[2]Districts_Boroughs!CP6</f>
        <v>37</v>
      </c>
      <c r="BG22" s="79">
        <f>[2]Districts_Boroughs!CQ6</f>
        <v>34</v>
      </c>
      <c r="BH22" s="79">
        <f>[2]Districts_Boroughs!CR6</f>
        <v>29</v>
      </c>
      <c r="BI22" s="79">
        <f>[2]Districts_Boroughs!CS6</f>
        <v>45</v>
      </c>
      <c r="BJ22" s="79">
        <f>[2]Districts_Boroughs!CT6</f>
        <v>50</v>
      </c>
      <c r="BK22" s="79">
        <f>[2]Districts_Boroughs!CU6</f>
        <v>49</v>
      </c>
      <c r="BL22" s="79">
        <f>[2]Districts_Boroughs!CV6</f>
        <v>41</v>
      </c>
      <c r="BM22" s="79">
        <f>[2]Districts_Boroughs!CW6</f>
        <v>39</v>
      </c>
      <c r="BN22" s="79">
        <f>[2]Districts_Boroughs!CX6</f>
        <v>44</v>
      </c>
      <c r="BO22" s="79">
        <f>[2]Districts_Boroughs!CY6</f>
        <v>42</v>
      </c>
      <c r="BP22" s="79">
        <f>[2]Districts_Boroughs!CZ6</f>
        <v>48</v>
      </c>
      <c r="BQ22" s="79">
        <f>[2]Districts_Boroughs!DA6</f>
        <v>48</v>
      </c>
      <c r="BR22" s="79">
        <f>[2]Districts_Boroughs!DB6</f>
        <v>46</v>
      </c>
      <c r="BS22" s="79">
        <f>[2]Districts_Boroughs!DC6</f>
        <v>39</v>
      </c>
      <c r="BT22" s="79">
        <f>[2]Districts_Boroughs!DD6</f>
        <v>38</v>
      </c>
      <c r="BU22" s="79">
        <f>[2]Districts_Boroughs!DE6</f>
        <v>47</v>
      </c>
      <c r="BV22" s="79">
        <f>[2]Districts_Boroughs!DF6</f>
        <v>38</v>
      </c>
      <c r="BW22" s="79">
        <f>[2]Districts_Boroughs!DG6</f>
        <v>44</v>
      </c>
      <c r="BX22" s="79">
        <f>[2]Districts_Boroughs!DH6</f>
        <v>55</v>
      </c>
      <c r="BY22" s="79">
        <f>[2]Districts_Boroughs!DI6</f>
        <v>54</v>
      </c>
      <c r="BZ22" s="79">
        <f>[2]Districts_Boroughs!DJ6</f>
        <v>42</v>
      </c>
      <c r="CA22" s="79">
        <f>[2]Districts_Boroughs!DK6</f>
        <v>49</v>
      </c>
      <c r="CB22" s="79">
        <f>[2]Districts_Boroughs!DL6</f>
        <v>46</v>
      </c>
      <c r="CC22" s="79">
        <f>[2]Districts_Boroughs!DM6</f>
        <v>34</v>
      </c>
      <c r="CD22" s="79">
        <f>[2]Districts_Boroughs!DN6</f>
        <v>58</v>
      </c>
      <c r="CE22" s="79">
        <f>[2]Districts_Boroughs!DO6</f>
        <v>42</v>
      </c>
      <c r="CF22" s="79">
        <f>[2]Districts_Boroughs!DP6</f>
        <v>36</v>
      </c>
      <c r="CG22" s="79">
        <f>[2]Districts_Boroughs!DQ6</f>
        <v>49</v>
      </c>
      <c r="CH22" s="79">
        <f>[2]Districts_Boroughs!DR6</f>
        <v>41</v>
      </c>
      <c r="CI22" s="79">
        <f>[2]Districts_Boroughs!DS6</f>
        <v>29</v>
      </c>
      <c r="CJ22" s="79">
        <f>[2]Districts_Boroughs!DT6</f>
        <v>48</v>
      </c>
      <c r="CK22" s="79">
        <f>[2]Districts_Boroughs!DU6</f>
        <v>51</v>
      </c>
      <c r="CL22" s="79">
        <f>[2]Districts_Boroughs!DV6</f>
        <v>50</v>
      </c>
      <c r="CM22" s="79">
        <f>[2]Districts_Boroughs!DW6</f>
        <v>38</v>
      </c>
      <c r="CN22" s="79">
        <f>[2]Districts_Boroughs!DX6</f>
        <v>41</v>
      </c>
      <c r="CO22" s="79">
        <f>[2]Districts_Boroughs!DY6</f>
        <v>40</v>
      </c>
      <c r="CP22" s="79">
        <f>[2]Districts_Boroughs!DZ6</f>
        <v>44</v>
      </c>
      <c r="CQ22" s="79">
        <f>[2]Districts_Boroughs!EA6</f>
        <v>39</v>
      </c>
      <c r="CR22" s="79">
        <f>[2]Districts_Boroughs!EB6</f>
        <v>41</v>
      </c>
      <c r="CS22" s="79">
        <f>[2]Districts_Boroughs!EC6</f>
        <v>52</v>
      </c>
    </row>
    <row r="23" spans="1:97" x14ac:dyDescent="0.35">
      <c r="A23" s="78" t="s">
        <v>40</v>
      </c>
      <c r="B23" s="79">
        <f>[2]Districts_Boroughs!AL7</f>
        <v>51</v>
      </c>
      <c r="C23" s="79">
        <f>[2]Districts_Boroughs!AM7</f>
        <v>52</v>
      </c>
      <c r="D23" s="79">
        <f>[2]Districts_Boroughs!AN7</f>
        <v>66</v>
      </c>
      <c r="E23" s="79">
        <f>[2]Districts_Boroughs!AO7</f>
        <v>72</v>
      </c>
      <c r="F23" s="79">
        <f>[2]Districts_Boroughs!AP7</f>
        <v>75</v>
      </c>
      <c r="G23" s="79">
        <f>[2]Districts_Boroughs!AQ7</f>
        <v>61</v>
      </c>
      <c r="H23" s="79">
        <f>[2]Districts_Boroughs!AR7</f>
        <v>61</v>
      </c>
      <c r="I23" s="79">
        <f>[2]Districts_Boroughs!AS7</f>
        <v>67</v>
      </c>
      <c r="J23" s="79">
        <f>[2]Districts_Boroughs!AT7</f>
        <v>51</v>
      </c>
      <c r="K23" s="79">
        <f>[2]Districts_Boroughs!AU7</f>
        <v>61</v>
      </c>
      <c r="L23" s="79">
        <f>[2]Districts_Boroughs!AV7</f>
        <v>65</v>
      </c>
      <c r="M23" s="79">
        <f>[2]Districts_Boroughs!AW7</f>
        <v>74</v>
      </c>
      <c r="N23" s="79">
        <f>[2]Districts_Boroughs!AX7</f>
        <v>64</v>
      </c>
      <c r="O23" s="79">
        <f>[2]Districts_Boroughs!AY7</f>
        <v>68</v>
      </c>
      <c r="P23" s="79">
        <f>[2]Districts_Boroughs!AZ7</f>
        <v>78</v>
      </c>
      <c r="Q23" s="79">
        <f>[2]Districts_Boroughs!BA7</f>
        <v>91</v>
      </c>
      <c r="R23" s="79">
        <f>[2]Districts_Boroughs!BB7</f>
        <v>71</v>
      </c>
      <c r="S23" s="79">
        <f>[2]Districts_Boroughs!BC7</f>
        <v>65</v>
      </c>
      <c r="T23" s="79">
        <f>[2]Districts_Boroughs!BD7</f>
        <v>80</v>
      </c>
      <c r="U23" s="79">
        <f>[2]Districts_Boroughs!BE7</f>
        <v>66</v>
      </c>
      <c r="V23" s="79">
        <f>[2]Districts_Boroughs!BF7</f>
        <v>98</v>
      </c>
      <c r="W23" s="79">
        <f>[2]Districts_Boroughs!BG7</f>
        <v>61</v>
      </c>
      <c r="X23" s="79">
        <f>[2]Districts_Boroughs!BH7</f>
        <v>58</v>
      </c>
      <c r="Y23" s="79">
        <f>[2]Districts_Boroughs!BI7</f>
        <v>79</v>
      </c>
      <c r="Z23" s="79">
        <f>[2]Districts_Boroughs!BJ7</f>
        <v>73</v>
      </c>
      <c r="AA23" s="79">
        <f>[2]Districts_Boroughs!BK7</f>
        <v>82</v>
      </c>
      <c r="AB23" s="79">
        <f>[2]Districts_Boroughs!BL7</f>
        <v>72</v>
      </c>
      <c r="AC23" s="79">
        <f>[2]Districts_Boroughs!BM7</f>
        <v>83</v>
      </c>
      <c r="AD23" s="79">
        <f>[2]Districts_Boroughs!BN7</f>
        <v>80</v>
      </c>
      <c r="AE23" s="79">
        <f>[2]Districts_Boroughs!BO7</f>
        <v>79</v>
      </c>
      <c r="AF23" s="79">
        <f>[2]Districts_Boroughs!BP7</f>
        <v>95</v>
      </c>
      <c r="AG23" s="79">
        <f>[2]Districts_Boroughs!BQ7</f>
        <v>83</v>
      </c>
      <c r="AH23" s="79">
        <f>[2]Districts_Boroughs!BR7</f>
        <v>91</v>
      </c>
      <c r="AI23" s="79">
        <f>[2]Districts_Boroughs!BS7</f>
        <v>69</v>
      </c>
      <c r="AJ23" s="79">
        <f>[2]Districts_Boroughs!BT7</f>
        <v>71</v>
      </c>
      <c r="AK23" s="79">
        <f>[2]Districts_Boroughs!BU7</f>
        <v>92</v>
      </c>
      <c r="AL23" s="79">
        <f>[2]Districts_Boroughs!BV7</f>
        <v>83</v>
      </c>
      <c r="AM23" s="79">
        <f>[2]Districts_Boroughs!BW7</f>
        <v>105</v>
      </c>
      <c r="AN23" s="79">
        <f>[2]Districts_Boroughs!BX7</f>
        <v>85</v>
      </c>
      <c r="AO23" s="79">
        <f>[2]Districts_Boroughs!BY7</f>
        <v>91</v>
      </c>
      <c r="AP23" s="79">
        <f>[2]Districts_Boroughs!BZ7</f>
        <v>120</v>
      </c>
      <c r="AQ23" s="79">
        <f>[2]Districts_Boroughs!CA7</f>
        <v>85</v>
      </c>
      <c r="AR23" s="79">
        <f>[2]Districts_Boroughs!CB7</f>
        <v>101</v>
      </c>
      <c r="AS23" s="79">
        <f>[2]Districts_Boroughs!CC7</f>
        <v>94</v>
      </c>
      <c r="AT23" s="79">
        <f>[2]Districts_Boroughs!CD7</f>
        <v>75</v>
      </c>
      <c r="AU23" s="79">
        <f>[2]Districts_Boroughs!CE7</f>
        <v>73</v>
      </c>
      <c r="AV23" s="79">
        <f>[2]Districts_Boroughs!CF7</f>
        <v>85</v>
      </c>
      <c r="AW23" s="79">
        <f>[2]Districts_Boroughs!CG7</f>
        <v>100</v>
      </c>
      <c r="AX23" s="79">
        <f>[2]Districts_Boroughs!CH7</f>
        <v>92</v>
      </c>
      <c r="AY23" s="79">
        <f>[2]Districts_Boroughs!CI7</f>
        <v>128</v>
      </c>
      <c r="AZ23" s="79">
        <f>[2]Districts_Boroughs!CJ7</f>
        <v>113</v>
      </c>
      <c r="BA23" s="79">
        <f>[2]Districts_Boroughs!CK7</f>
        <v>108</v>
      </c>
      <c r="BB23" s="79">
        <f>[2]Districts_Boroughs!CL7</f>
        <v>92</v>
      </c>
      <c r="BC23" s="79">
        <f>[2]Districts_Boroughs!CM7</f>
        <v>92</v>
      </c>
      <c r="BD23" s="79">
        <f>[2]Districts_Boroughs!CN7</f>
        <v>90</v>
      </c>
      <c r="BE23" s="79">
        <f>[2]Districts_Boroughs!CO7</f>
        <v>96</v>
      </c>
      <c r="BF23" s="79">
        <f>[2]Districts_Boroughs!CP7</f>
        <v>97</v>
      </c>
      <c r="BG23" s="79">
        <f>[2]Districts_Boroughs!CQ7</f>
        <v>98</v>
      </c>
      <c r="BH23" s="79">
        <f>[2]Districts_Boroughs!CR7</f>
        <v>80</v>
      </c>
      <c r="BI23" s="79">
        <f>[2]Districts_Boroughs!CS7</f>
        <v>114</v>
      </c>
      <c r="BJ23" s="79">
        <f>[2]Districts_Boroughs!CT7</f>
        <v>83</v>
      </c>
      <c r="BK23" s="79">
        <f>[2]Districts_Boroughs!CU7</f>
        <v>102</v>
      </c>
      <c r="BL23" s="79">
        <f>[2]Districts_Boroughs!CV7</f>
        <v>89</v>
      </c>
      <c r="BM23" s="79">
        <f>[2]Districts_Boroughs!CW7</f>
        <v>100</v>
      </c>
      <c r="BN23" s="79">
        <f>[2]Districts_Boroughs!CX7</f>
        <v>105</v>
      </c>
      <c r="BO23" s="79">
        <f>[2]Districts_Boroughs!CY7</f>
        <v>87</v>
      </c>
      <c r="BP23" s="79">
        <f>[2]Districts_Boroughs!CZ7</f>
        <v>78</v>
      </c>
      <c r="BQ23" s="79">
        <f>[2]Districts_Boroughs!DA7</f>
        <v>115</v>
      </c>
      <c r="BR23" s="79">
        <f>[2]Districts_Boroughs!DB7</f>
        <v>81</v>
      </c>
      <c r="BS23" s="79">
        <f>[2]Districts_Boroughs!DC7</f>
        <v>70</v>
      </c>
      <c r="BT23" s="79">
        <f>[2]Districts_Boroughs!DD7</f>
        <v>83</v>
      </c>
      <c r="BU23" s="79">
        <f>[2]Districts_Boroughs!DE7</f>
        <v>108</v>
      </c>
      <c r="BV23" s="79">
        <f>[2]Districts_Boroughs!DF7</f>
        <v>86</v>
      </c>
      <c r="BW23" s="79">
        <f>[2]Districts_Boroughs!DG7</f>
        <v>85</v>
      </c>
      <c r="BX23" s="79">
        <f>[2]Districts_Boroughs!DH7</f>
        <v>87</v>
      </c>
      <c r="BY23" s="79">
        <f>[2]Districts_Boroughs!DI7</f>
        <v>83</v>
      </c>
      <c r="BZ23" s="79">
        <f>[2]Districts_Boroughs!DJ7</f>
        <v>78</v>
      </c>
      <c r="CA23" s="79">
        <f>[2]Districts_Boroughs!DK7</f>
        <v>69</v>
      </c>
      <c r="CB23" s="79">
        <f>[2]Districts_Boroughs!DL7</f>
        <v>89</v>
      </c>
      <c r="CC23" s="79">
        <f>[2]Districts_Boroughs!DM7</f>
        <v>100</v>
      </c>
      <c r="CD23" s="79">
        <f>[2]Districts_Boroughs!DN7</f>
        <v>75</v>
      </c>
      <c r="CE23" s="79">
        <f>[2]Districts_Boroughs!DO7</f>
        <v>81</v>
      </c>
      <c r="CF23" s="79">
        <f>[2]Districts_Boroughs!DP7</f>
        <v>86</v>
      </c>
      <c r="CG23" s="79">
        <f>[2]Districts_Boroughs!DQ7</f>
        <v>88</v>
      </c>
      <c r="CH23" s="79">
        <f>[2]Districts_Boroughs!DR7</f>
        <v>82</v>
      </c>
      <c r="CI23" s="79">
        <f>[2]Districts_Boroughs!DS7</f>
        <v>78</v>
      </c>
      <c r="CJ23" s="79">
        <f>[2]Districts_Boroughs!DT7</f>
        <v>82</v>
      </c>
      <c r="CK23" s="79">
        <f>[2]Districts_Boroughs!DU7</f>
        <v>94</v>
      </c>
      <c r="CL23" s="79">
        <f>[2]Districts_Boroughs!DV7</f>
        <v>70</v>
      </c>
      <c r="CM23" s="79">
        <f>[2]Districts_Boroughs!DW7</f>
        <v>74</v>
      </c>
      <c r="CN23" s="79">
        <f>[2]Districts_Boroughs!DX7</f>
        <v>65</v>
      </c>
      <c r="CO23" s="79">
        <f>[2]Districts_Boroughs!DY7</f>
        <v>68</v>
      </c>
      <c r="CP23" s="79">
        <f>[2]Districts_Boroughs!DZ7</f>
        <v>80</v>
      </c>
      <c r="CQ23" s="79">
        <f>[2]Districts_Boroughs!EA7</f>
        <v>69</v>
      </c>
      <c r="CR23" s="79">
        <f>[2]Districts_Boroughs!EB7</f>
        <v>79</v>
      </c>
      <c r="CS23" s="79">
        <f>[2]Districts_Boroughs!EC7</f>
        <v>100</v>
      </c>
    </row>
    <row r="24" spans="1:97" x14ac:dyDescent="0.35">
      <c r="A24" s="78" t="s">
        <v>37</v>
      </c>
      <c r="B24" s="79">
        <f>[2]Districts_Boroughs!AL11</f>
        <v>1</v>
      </c>
      <c r="C24" s="79">
        <f>[2]Districts_Boroughs!AM11</f>
        <v>1</v>
      </c>
      <c r="D24" s="79">
        <f>[2]Districts_Boroughs!AN11</f>
        <v>1</v>
      </c>
      <c r="E24" s="79">
        <f>[2]Districts_Boroughs!AO11</f>
        <v>4</v>
      </c>
      <c r="F24" s="79">
        <f>[2]Districts_Boroughs!AP11</f>
        <v>3</v>
      </c>
      <c r="G24" s="79">
        <f>[2]Districts_Boroughs!AQ11</f>
        <v>6</v>
      </c>
      <c r="H24" s="79">
        <f>[2]Districts_Boroughs!AR11</f>
        <v>1</v>
      </c>
      <c r="I24" s="79">
        <f>[2]Districts_Boroughs!AS11</f>
        <v>1</v>
      </c>
      <c r="J24" s="79">
        <f>[2]Districts_Boroughs!AT11</f>
        <v>2</v>
      </c>
      <c r="K24" s="79">
        <f>[2]Districts_Boroughs!AU11</f>
        <v>4</v>
      </c>
      <c r="L24" s="79">
        <f>[2]Districts_Boroughs!AV11</f>
        <v>2</v>
      </c>
      <c r="M24" s="79">
        <f>[2]Districts_Boroughs!AW11</f>
        <v>3</v>
      </c>
      <c r="N24" s="79">
        <f>[2]Districts_Boroughs!AX11</f>
        <v>6</v>
      </c>
      <c r="O24" s="79" t="str">
        <f>[2]Districts_Boroughs!AY11</f>
        <v>0</v>
      </c>
      <c r="P24" s="79">
        <f>[2]Districts_Boroughs!AZ11</f>
        <v>4</v>
      </c>
      <c r="Q24" s="79">
        <f>[2]Districts_Boroughs!BA11</f>
        <v>4</v>
      </c>
      <c r="R24" s="79">
        <f>[2]Districts_Boroughs!BB11</f>
        <v>1</v>
      </c>
      <c r="S24" s="79">
        <f>[2]Districts_Boroughs!BC11</f>
        <v>4</v>
      </c>
      <c r="T24" s="79">
        <f>[2]Districts_Boroughs!BD11</f>
        <v>8</v>
      </c>
      <c r="U24" s="79">
        <f>[2]Districts_Boroughs!BE11</f>
        <v>8</v>
      </c>
      <c r="V24" s="79">
        <f>[2]Districts_Boroughs!BF11</f>
        <v>5</v>
      </c>
      <c r="W24" s="79">
        <f>[2]Districts_Boroughs!BG11</f>
        <v>5</v>
      </c>
      <c r="X24" s="79">
        <f>[2]Districts_Boroughs!BH11</f>
        <v>4</v>
      </c>
      <c r="Y24" s="79">
        <f>[2]Districts_Boroughs!BI11</f>
        <v>2</v>
      </c>
      <c r="Z24" s="79">
        <f>[2]Districts_Boroughs!BJ11</f>
        <v>3</v>
      </c>
      <c r="AA24" s="79">
        <f>[2]Districts_Boroughs!BK11</f>
        <v>1</v>
      </c>
      <c r="AB24" s="79">
        <f>[2]Districts_Boroughs!BL11</f>
        <v>2</v>
      </c>
      <c r="AC24" s="79">
        <f>[2]Districts_Boroughs!BM11</f>
        <v>4</v>
      </c>
      <c r="AD24" s="79">
        <f>[2]Districts_Boroughs!BN11</f>
        <v>4</v>
      </c>
      <c r="AE24" s="79">
        <f>[2]Districts_Boroughs!BO11</f>
        <v>3</v>
      </c>
      <c r="AF24" s="79">
        <f>[2]Districts_Boroughs!BP11</f>
        <v>3</v>
      </c>
      <c r="AG24" s="79">
        <f>[2]Districts_Boroughs!BQ11</f>
        <v>2</v>
      </c>
      <c r="AH24" s="79">
        <f>[2]Districts_Boroughs!BR11</f>
        <v>1</v>
      </c>
      <c r="AI24" s="79">
        <f>[2]Districts_Boroughs!BS11</f>
        <v>1</v>
      </c>
      <c r="AJ24" s="79">
        <f>[2]Districts_Boroughs!BT11</f>
        <v>5</v>
      </c>
      <c r="AK24" s="79">
        <f>[2]Districts_Boroughs!BU11</f>
        <v>2</v>
      </c>
      <c r="AL24" s="79" t="str">
        <f>[2]Districts_Boroughs!BV11</f>
        <v>0</v>
      </c>
      <c r="AM24" s="79">
        <f>[2]Districts_Boroughs!BW11</f>
        <v>3</v>
      </c>
      <c r="AN24" s="79">
        <f>[2]Districts_Boroughs!BX11</f>
        <v>5</v>
      </c>
      <c r="AO24" s="79">
        <f>[2]Districts_Boroughs!BY11</f>
        <v>1</v>
      </c>
      <c r="AP24" s="79">
        <f>[2]Districts_Boroughs!BZ11</f>
        <v>1</v>
      </c>
      <c r="AQ24" s="79">
        <f>[2]Districts_Boroughs!CA11</f>
        <v>3</v>
      </c>
      <c r="AR24" s="79">
        <f>[2]Districts_Boroughs!CB11</f>
        <v>3</v>
      </c>
      <c r="AS24" s="79">
        <f>[2]Districts_Boroughs!CC11</f>
        <v>2</v>
      </c>
      <c r="AT24" s="79">
        <f>[2]Districts_Boroughs!CD11</f>
        <v>1</v>
      </c>
      <c r="AU24" s="79">
        <f>[2]Districts_Boroughs!CE11</f>
        <v>1</v>
      </c>
      <c r="AV24" s="79">
        <f>[2]Districts_Boroughs!CF11</f>
        <v>2</v>
      </c>
      <c r="AW24" s="79">
        <f>[2]Districts_Boroughs!CG11</f>
        <v>5</v>
      </c>
      <c r="AX24" s="79">
        <f>[2]Districts_Boroughs!CH11</f>
        <v>2</v>
      </c>
      <c r="AY24" s="79">
        <f>[2]Districts_Boroughs!CI11</f>
        <v>3</v>
      </c>
      <c r="AZ24" s="79">
        <f>[2]Districts_Boroughs!CJ11</f>
        <v>2</v>
      </c>
      <c r="BA24" s="79">
        <f>[2]Districts_Boroughs!CK11</f>
        <v>2</v>
      </c>
      <c r="BB24" s="79">
        <f>[2]Districts_Boroughs!CL11</f>
        <v>2</v>
      </c>
      <c r="BC24" s="79" t="str">
        <f>[2]Districts_Boroughs!CM11</f>
        <v>0</v>
      </c>
      <c r="BD24" s="79" t="str">
        <f>[2]Districts_Boroughs!CN11</f>
        <v>0</v>
      </c>
      <c r="BE24" s="79" t="str">
        <f>[2]Districts_Boroughs!CO11</f>
        <v>0</v>
      </c>
      <c r="BF24" s="79">
        <f>[2]Districts_Boroughs!CP11</f>
        <v>2</v>
      </c>
      <c r="BG24" s="79">
        <f>[2]Districts_Boroughs!CQ11</f>
        <v>2</v>
      </c>
      <c r="BH24" s="79">
        <f>[2]Districts_Boroughs!CR11</f>
        <v>2</v>
      </c>
      <c r="BI24" s="79">
        <f>[2]Districts_Boroughs!CS11</f>
        <v>5</v>
      </c>
      <c r="BJ24" s="79">
        <f>[2]Districts_Boroughs!CT11</f>
        <v>0</v>
      </c>
      <c r="BK24" s="79">
        <f>[2]Districts_Boroughs!CU11</f>
        <v>4</v>
      </c>
      <c r="BL24" s="79">
        <f>[2]Districts_Boroughs!CV11</f>
        <v>3</v>
      </c>
      <c r="BM24" s="79">
        <f>[2]Districts_Boroughs!CW11</f>
        <v>2</v>
      </c>
      <c r="BN24" s="79">
        <f>[2]Districts_Boroughs!CX11</f>
        <v>4</v>
      </c>
      <c r="BO24" s="79">
        <f>[2]Districts_Boroughs!CY11</f>
        <v>3</v>
      </c>
      <c r="BP24" s="79">
        <f>[2]Districts_Boroughs!CZ11</f>
        <v>2</v>
      </c>
      <c r="BQ24" s="79">
        <f>[2]Districts_Boroughs!DA11</f>
        <v>0</v>
      </c>
      <c r="BR24" s="79">
        <f>[2]Districts_Boroughs!DB11</f>
        <v>5</v>
      </c>
      <c r="BS24" s="79">
        <f>[2]Districts_Boroughs!DC11</f>
        <v>4</v>
      </c>
      <c r="BT24" s="79">
        <f>[2]Districts_Boroughs!DD11</f>
        <v>1</v>
      </c>
      <c r="BU24" s="79">
        <f>[2]Districts_Boroughs!DE11</f>
        <v>3</v>
      </c>
      <c r="BV24" s="79">
        <f>[2]Districts_Boroughs!DF11</f>
        <v>5</v>
      </c>
      <c r="BW24" s="79">
        <f>[2]Districts_Boroughs!DG11</f>
        <v>1</v>
      </c>
      <c r="BX24" s="79">
        <f>[2]Districts_Boroughs!DH11</f>
        <v>2</v>
      </c>
      <c r="BY24" s="79">
        <f>[2]Districts_Boroughs!DI11</f>
        <v>3</v>
      </c>
      <c r="BZ24" s="79">
        <f>[2]Districts_Boroughs!DJ11</f>
        <v>3</v>
      </c>
      <c r="CA24" s="79">
        <f>[2]Districts_Boroughs!DK11</f>
        <v>2</v>
      </c>
      <c r="CB24" s="79">
        <f>[2]Districts_Boroughs!DL11</f>
        <v>1</v>
      </c>
      <c r="CC24" s="79">
        <f>[2]Districts_Boroughs!DM11</f>
        <v>3</v>
      </c>
      <c r="CD24" s="79">
        <f>[2]Districts_Boroughs!DN11</f>
        <v>5</v>
      </c>
      <c r="CE24" s="79">
        <f>[2]Districts_Boroughs!DO11</f>
        <v>3</v>
      </c>
      <c r="CF24" s="79">
        <f>[2]Districts_Boroughs!DP11</f>
        <v>1</v>
      </c>
      <c r="CG24" s="79">
        <f>[2]Districts_Boroughs!DQ11</f>
        <v>8</v>
      </c>
      <c r="CH24" s="79">
        <f>[2]Districts_Boroughs!DR11</f>
        <v>4</v>
      </c>
      <c r="CI24" s="79">
        <f>[2]Districts_Boroughs!DS11</f>
        <v>1</v>
      </c>
      <c r="CJ24" s="79">
        <f>[2]Districts_Boroughs!DT11</f>
        <v>4</v>
      </c>
      <c r="CK24" s="79">
        <f>[2]Districts_Boroughs!DU11</f>
        <v>1</v>
      </c>
      <c r="CL24" s="79">
        <f>[2]Districts_Boroughs!DV11</f>
        <v>3</v>
      </c>
      <c r="CM24" s="79">
        <f>[2]Districts_Boroughs!DW11</f>
        <v>4</v>
      </c>
      <c r="CN24" s="79">
        <f>[2]Districts_Boroughs!DX11</f>
        <v>4</v>
      </c>
      <c r="CO24" s="79">
        <f>[2]Districts_Boroughs!DY11</f>
        <v>6</v>
      </c>
      <c r="CP24" s="79">
        <f>[2]Districts_Boroughs!DZ11</f>
        <v>0</v>
      </c>
      <c r="CQ24" s="79">
        <f>[2]Districts_Boroughs!EA11</f>
        <v>3</v>
      </c>
      <c r="CR24" s="79">
        <f>[2]Districts_Boroughs!EB11</f>
        <v>2</v>
      </c>
      <c r="CS24" s="79">
        <f>[2]Districts_Boroughs!EC11</f>
        <v>1</v>
      </c>
    </row>
    <row r="25" spans="1:97" x14ac:dyDescent="0.35">
      <c r="A25" s="78" t="s">
        <v>35</v>
      </c>
      <c r="B25" s="79">
        <f>[2]Districts_Boroughs!AL9</f>
        <v>8</v>
      </c>
      <c r="C25" s="79">
        <f>[2]Districts_Boroughs!AM9</f>
        <v>9</v>
      </c>
      <c r="D25" s="79">
        <f>[2]Districts_Boroughs!AN9</f>
        <v>13</v>
      </c>
      <c r="E25" s="79">
        <f>[2]Districts_Boroughs!AO9</f>
        <v>14</v>
      </c>
      <c r="F25" s="79">
        <f>[2]Districts_Boroughs!AP9</f>
        <v>7</v>
      </c>
      <c r="G25" s="79">
        <f>[2]Districts_Boroughs!AQ9</f>
        <v>7</v>
      </c>
      <c r="H25" s="79">
        <f>[2]Districts_Boroughs!AR9</f>
        <v>13</v>
      </c>
      <c r="I25" s="79">
        <f>[2]Districts_Boroughs!AS9</f>
        <v>7</v>
      </c>
      <c r="J25" s="79">
        <f>[2]Districts_Boroughs!AT9</f>
        <v>7</v>
      </c>
      <c r="K25" s="79">
        <f>[2]Districts_Boroughs!AU9</f>
        <v>7</v>
      </c>
      <c r="L25" s="79">
        <f>[2]Districts_Boroughs!AV9</f>
        <v>14</v>
      </c>
      <c r="M25" s="79">
        <f>[2]Districts_Boroughs!AW9</f>
        <v>5</v>
      </c>
      <c r="N25" s="79">
        <f>[2]Districts_Boroughs!AX9</f>
        <v>9</v>
      </c>
      <c r="O25" s="79">
        <f>[2]Districts_Boroughs!AY9</f>
        <v>6</v>
      </c>
      <c r="P25" s="79">
        <f>[2]Districts_Boroughs!AZ9</f>
        <v>11</v>
      </c>
      <c r="Q25" s="79">
        <f>[2]Districts_Boroughs!BA9</f>
        <v>16</v>
      </c>
      <c r="R25" s="79">
        <f>[2]Districts_Boroughs!BB9</f>
        <v>3</v>
      </c>
      <c r="S25" s="79">
        <f>[2]Districts_Boroughs!BC9</f>
        <v>10</v>
      </c>
      <c r="T25" s="79">
        <f>[2]Districts_Boroughs!BD9</f>
        <v>12</v>
      </c>
      <c r="U25" s="79">
        <f>[2]Districts_Boroughs!BE9</f>
        <v>11</v>
      </c>
      <c r="V25" s="79">
        <f>[2]Districts_Boroughs!BF9</f>
        <v>8</v>
      </c>
      <c r="W25" s="79">
        <f>[2]Districts_Boroughs!BG9</f>
        <v>12</v>
      </c>
      <c r="X25" s="79">
        <f>[2]Districts_Boroughs!BH9</f>
        <v>9</v>
      </c>
      <c r="Y25" s="79">
        <f>[2]Districts_Boroughs!BI9</f>
        <v>11</v>
      </c>
      <c r="Z25" s="79">
        <f>[2]Districts_Boroughs!BJ9</f>
        <v>5</v>
      </c>
      <c r="AA25" s="79">
        <f>[2]Districts_Boroughs!BK9</f>
        <v>5</v>
      </c>
      <c r="AB25" s="79">
        <f>[2]Districts_Boroughs!BL9</f>
        <v>3</v>
      </c>
      <c r="AC25" s="79">
        <f>[2]Districts_Boroughs!BM9</f>
        <v>12</v>
      </c>
      <c r="AD25" s="79">
        <f>[2]Districts_Boroughs!BN9</f>
        <v>6</v>
      </c>
      <c r="AE25" s="79">
        <f>[2]Districts_Boroughs!BO9</f>
        <v>6</v>
      </c>
      <c r="AF25" s="79">
        <f>[2]Districts_Boroughs!BP9</f>
        <v>6</v>
      </c>
      <c r="AG25" s="79">
        <f>[2]Districts_Boroughs!BQ9</f>
        <v>3</v>
      </c>
      <c r="AH25" s="79">
        <f>[2]Districts_Boroughs!BR9</f>
        <v>5</v>
      </c>
      <c r="AI25" s="79">
        <f>[2]Districts_Boroughs!BS9</f>
        <v>9</v>
      </c>
      <c r="AJ25" s="79">
        <f>[2]Districts_Boroughs!BT9</f>
        <v>4</v>
      </c>
      <c r="AK25" s="79">
        <f>[2]Districts_Boroughs!BU9</f>
        <v>13</v>
      </c>
      <c r="AL25" s="79">
        <f>[2]Districts_Boroughs!BV9</f>
        <v>2</v>
      </c>
      <c r="AM25" s="79">
        <f>[2]Districts_Boroughs!BW9</f>
        <v>8</v>
      </c>
      <c r="AN25" s="79">
        <f>[2]Districts_Boroughs!BX9</f>
        <v>14</v>
      </c>
      <c r="AO25" s="79">
        <f>[2]Districts_Boroughs!BY9</f>
        <v>6</v>
      </c>
      <c r="AP25" s="79">
        <f>[2]Districts_Boroughs!BZ9</f>
        <v>7</v>
      </c>
      <c r="AQ25" s="79">
        <f>[2]Districts_Boroughs!CA9</f>
        <v>9</v>
      </c>
      <c r="AR25" s="79">
        <f>[2]Districts_Boroughs!CB9</f>
        <v>8</v>
      </c>
      <c r="AS25" s="79">
        <f>[2]Districts_Boroughs!CC9</f>
        <v>3</v>
      </c>
      <c r="AT25" s="79">
        <f>[2]Districts_Boroughs!CD9</f>
        <v>6</v>
      </c>
      <c r="AU25" s="79">
        <f>[2]Districts_Boroughs!CE9</f>
        <v>4</v>
      </c>
      <c r="AV25" s="79">
        <f>[2]Districts_Boroughs!CF9</f>
        <v>6</v>
      </c>
      <c r="AW25" s="79">
        <f>[2]Districts_Boroughs!CG9</f>
        <v>8</v>
      </c>
      <c r="AX25" s="79">
        <f>[2]Districts_Boroughs!CH9</f>
        <v>4</v>
      </c>
      <c r="AY25" s="79">
        <f>[2]Districts_Boroughs!CI9</f>
        <v>9</v>
      </c>
      <c r="AZ25" s="79">
        <f>[2]Districts_Boroughs!CJ9</f>
        <v>14</v>
      </c>
      <c r="BA25" s="79">
        <f>[2]Districts_Boroughs!CK9</f>
        <v>7</v>
      </c>
      <c r="BB25" s="79">
        <f>[2]Districts_Boroughs!CL9</f>
        <v>4</v>
      </c>
      <c r="BC25" s="79">
        <f>[2]Districts_Boroughs!CM9</f>
        <v>11</v>
      </c>
      <c r="BD25" s="79">
        <f>[2]Districts_Boroughs!CN9</f>
        <v>8</v>
      </c>
      <c r="BE25" s="79">
        <f>[2]Districts_Boroughs!CO9</f>
        <v>13</v>
      </c>
      <c r="BF25" s="79">
        <f>[2]Districts_Boroughs!CP9</f>
        <v>13</v>
      </c>
      <c r="BG25" s="79">
        <f>[2]Districts_Boroughs!CQ9</f>
        <v>8</v>
      </c>
      <c r="BH25" s="79">
        <f>[2]Districts_Boroughs!CR9</f>
        <v>4</v>
      </c>
      <c r="BI25" s="79">
        <f>[2]Districts_Boroughs!CS9</f>
        <v>8</v>
      </c>
      <c r="BJ25" s="79">
        <f>[2]Districts_Boroughs!CT9</f>
        <v>5</v>
      </c>
      <c r="BK25" s="79">
        <f>[2]Districts_Boroughs!CU9</f>
        <v>3</v>
      </c>
      <c r="BL25" s="79">
        <f>[2]Districts_Boroughs!CV9</f>
        <v>9</v>
      </c>
      <c r="BM25" s="79">
        <f>[2]Districts_Boroughs!CW9</f>
        <v>12</v>
      </c>
      <c r="BN25" s="79">
        <f>[2]Districts_Boroughs!CX9</f>
        <v>8</v>
      </c>
      <c r="BO25" s="79">
        <f>[2]Districts_Boroughs!CY9</f>
        <v>9</v>
      </c>
      <c r="BP25" s="79">
        <f>[2]Districts_Boroughs!CZ9</f>
        <v>8</v>
      </c>
      <c r="BQ25" s="79">
        <f>[2]Districts_Boroughs!DA9</f>
        <v>12</v>
      </c>
      <c r="BR25" s="79">
        <f>[2]Districts_Boroughs!DB9</f>
        <v>7</v>
      </c>
      <c r="BS25" s="79">
        <f>[2]Districts_Boroughs!DC9</f>
        <v>7</v>
      </c>
      <c r="BT25" s="79">
        <f>[2]Districts_Boroughs!DD9</f>
        <v>9</v>
      </c>
      <c r="BU25" s="79">
        <f>[2]Districts_Boroughs!DE9</f>
        <v>15</v>
      </c>
      <c r="BV25" s="79">
        <f>[2]Districts_Boroughs!DF9</f>
        <v>7</v>
      </c>
      <c r="BW25" s="79">
        <f>[2]Districts_Boroughs!DG9</f>
        <v>5</v>
      </c>
      <c r="BX25" s="79">
        <f>[2]Districts_Boroughs!DH9</f>
        <v>5</v>
      </c>
      <c r="BY25" s="79">
        <f>[2]Districts_Boroughs!DI9</f>
        <v>7</v>
      </c>
      <c r="BZ25" s="79">
        <f>[2]Districts_Boroughs!DJ9</f>
        <v>7</v>
      </c>
      <c r="CA25" s="79">
        <f>[2]Districts_Boroughs!DK9</f>
        <v>8</v>
      </c>
      <c r="CB25" s="79">
        <f>[2]Districts_Boroughs!DL9</f>
        <v>18</v>
      </c>
      <c r="CC25" s="79">
        <f>[2]Districts_Boroughs!DM9</f>
        <v>12</v>
      </c>
      <c r="CD25" s="79">
        <f>[2]Districts_Boroughs!DN9</f>
        <v>9</v>
      </c>
      <c r="CE25" s="79">
        <f>[2]Districts_Boroughs!DO9</f>
        <v>15</v>
      </c>
      <c r="CF25" s="79">
        <f>[2]Districts_Boroughs!DP9</f>
        <v>10</v>
      </c>
      <c r="CG25" s="79">
        <f>[2]Districts_Boroughs!DQ9</f>
        <v>3</v>
      </c>
      <c r="CH25" s="79">
        <f>[2]Districts_Boroughs!DR9</f>
        <v>12</v>
      </c>
      <c r="CI25" s="79">
        <f>[2]Districts_Boroughs!DS9</f>
        <v>13</v>
      </c>
      <c r="CJ25" s="79">
        <f>[2]Districts_Boroughs!DT9</f>
        <v>7</v>
      </c>
      <c r="CK25" s="79">
        <f>[2]Districts_Boroughs!DU9</f>
        <v>5</v>
      </c>
      <c r="CL25" s="79">
        <f>[2]Districts_Boroughs!DV9</f>
        <v>14</v>
      </c>
      <c r="CM25" s="79">
        <f>[2]Districts_Boroughs!DW9</f>
        <v>11</v>
      </c>
      <c r="CN25" s="79">
        <f>[2]Districts_Boroughs!DX9</f>
        <v>16</v>
      </c>
      <c r="CO25" s="79">
        <f>[2]Districts_Boroughs!DY9</f>
        <v>4</v>
      </c>
      <c r="CP25" s="79">
        <f>[2]Districts_Boroughs!DZ9</f>
        <v>9</v>
      </c>
      <c r="CQ25" s="79">
        <f>[2]Districts_Boroughs!EA9</f>
        <v>8</v>
      </c>
      <c r="CR25" s="79">
        <f>[2]Districts_Boroughs!EB9</f>
        <v>9</v>
      </c>
      <c r="CS25" s="79">
        <f>[2]Districts_Boroughs!EC9</f>
        <v>14</v>
      </c>
    </row>
    <row r="26" spans="1:97" x14ac:dyDescent="0.35">
      <c r="A26" s="82" t="s">
        <v>143</v>
      </c>
      <c r="B26" s="755">
        <f>[2]Districts_Boroughs!AL12</f>
        <v>36</v>
      </c>
      <c r="C26" s="755">
        <f>[2]Districts_Boroughs!AM12</f>
        <v>30</v>
      </c>
      <c r="D26" s="755">
        <f>[2]Districts_Boroughs!AN12</f>
        <v>25</v>
      </c>
      <c r="E26" s="755">
        <f>[2]Districts_Boroughs!AO12</f>
        <v>30</v>
      </c>
      <c r="F26" s="755">
        <f>[2]Districts_Boroughs!AP12</f>
        <v>24</v>
      </c>
      <c r="G26" s="755">
        <f>[2]Districts_Boroughs!AQ12</f>
        <v>26</v>
      </c>
      <c r="H26" s="755">
        <f>[2]Districts_Boroughs!AR12</f>
        <v>49</v>
      </c>
      <c r="I26" s="755">
        <f>[2]Districts_Boroughs!AS12</f>
        <v>38</v>
      </c>
      <c r="J26" s="755">
        <f>[2]Districts_Boroughs!AT12</f>
        <v>33</v>
      </c>
      <c r="K26" s="755">
        <f>[2]Districts_Boroughs!AU12</f>
        <v>50</v>
      </c>
      <c r="L26" s="755">
        <f>[2]Districts_Boroughs!AV12</f>
        <v>40</v>
      </c>
      <c r="M26" s="755">
        <f>[2]Districts_Boroughs!AW12</f>
        <v>44</v>
      </c>
      <c r="N26" s="755">
        <f>[2]Districts_Boroughs!AX12</f>
        <v>36</v>
      </c>
      <c r="O26" s="755">
        <f>[2]Districts_Boroughs!AY12</f>
        <v>22</v>
      </c>
      <c r="P26" s="755">
        <f>[2]Districts_Boroughs!AZ12</f>
        <v>34</v>
      </c>
      <c r="Q26" s="755">
        <f>[2]Districts_Boroughs!BA12</f>
        <v>25</v>
      </c>
      <c r="R26" s="755">
        <f>[2]Districts_Boroughs!BB12</f>
        <v>23</v>
      </c>
      <c r="S26" s="755">
        <f>[2]Districts_Boroughs!BC12</f>
        <v>42</v>
      </c>
      <c r="T26" s="755">
        <f>[2]Districts_Boroughs!BD12</f>
        <v>38</v>
      </c>
      <c r="U26" s="755">
        <f>[2]Districts_Boroughs!BE12</f>
        <v>51</v>
      </c>
      <c r="V26" s="755">
        <f>[2]Districts_Boroughs!BF12</f>
        <v>52</v>
      </c>
      <c r="W26" s="755">
        <f>[2]Districts_Boroughs!BG12</f>
        <v>38</v>
      </c>
      <c r="X26" s="755">
        <f>[2]Districts_Boroughs!BH12</f>
        <v>46</v>
      </c>
      <c r="Y26" s="755">
        <f>[2]Districts_Boroughs!BI12</f>
        <v>35</v>
      </c>
      <c r="Z26" s="755">
        <f>[2]Districts_Boroughs!BJ12</f>
        <v>35</v>
      </c>
      <c r="AA26" s="755">
        <f>[2]Districts_Boroughs!BK12</f>
        <v>38</v>
      </c>
      <c r="AB26" s="755">
        <f>[2]Districts_Boroughs!BL12</f>
        <v>30</v>
      </c>
      <c r="AC26" s="755">
        <f>[2]Districts_Boroughs!BM12</f>
        <v>38</v>
      </c>
      <c r="AD26" s="755">
        <f>[2]Districts_Boroughs!BN12</f>
        <v>32</v>
      </c>
      <c r="AE26" s="755">
        <f>[2]Districts_Boroughs!BO12</f>
        <v>26</v>
      </c>
      <c r="AF26" s="755">
        <f>[2]Districts_Boroughs!BP12</f>
        <v>41</v>
      </c>
      <c r="AG26" s="755">
        <f>[2]Districts_Boroughs!BQ12</f>
        <v>25</v>
      </c>
      <c r="AH26" s="755">
        <f>[2]Districts_Boroughs!BR12</f>
        <v>38</v>
      </c>
      <c r="AI26" s="755">
        <f>[2]Districts_Boroughs!BS12</f>
        <v>22</v>
      </c>
      <c r="AJ26" s="755">
        <f>[2]Districts_Boroughs!BT12</f>
        <v>19</v>
      </c>
      <c r="AK26" s="755">
        <f>[2]Districts_Boroughs!BU12</f>
        <v>15</v>
      </c>
      <c r="AL26" s="755">
        <f>[2]Districts_Boroughs!BV12</f>
        <v>12</v>
      </c>
      <c r="AM26" s="755">
        <f>[2]Districts_Boroughs!BW12</f>
        <v>23</v>
      </c>
      <c r="AN26" s="755">
        <f>[2]Districts_Boroughs!BX12</f>
        <v>20</v>
      </c>
      <c r="AO26" s="755">
        <f>[2]Districts_Boroughs!BY12</f>
        <v>17</v>
      </c>
      <c r="AP26" s="755">
        <f>[2]Districts_Boroughs!BZ12</f>
        <v>29</v>
      </c>
      <c r="AQ26" s="755">
        <f>[2]Districts_Boroughs!CA12</f>
        <v>28</v>
      </c>
      <c r="AR26" s="755">
        <f>[2]Districts_Boroughs!CB12</f>
        <v>21</v>
      </c>
      <c r="AS26" s="755">
        <f>[2]Districts_Boroughs!CC12</f>
        <v>17</v>
      </c>
      <c r="AT26" s="755">
        <f>[2]Districts_Boroughs!CD12</f>
        <v>20</v>
      </c>
      <c r="AU26" s="755">
        <f>[2]Districts_Boroughs!CE12</f>
        <v>22</v>
      </c>
      <c r="AV26" s="755">
        <f>[2]Districts_Boroughs!CF12</f>
        <v>17</v>
      </c>
      <c r="AW26" s="755">
        <f>[2]Districts_Boroughs!CG12</f>
        <v>16</v>
      </c>
      <c r="AX26" s="755">
        <f>[2]Districts_Boroughs!CH12</f>
        <v>10</v>
      </c>
      <c r="AY26" s="755">
        <f>[2]Districts_Boroughs!CI12</f>
        <v>14</v>
      </c>
      <c r="AZ26" s="755">
        <f>[2]Districts_Boroughs!CJ12</f>
        <v>15</v>
      </c>
      <c r="BA26" s="755">
        <f>[2]Districts_Boroughs!CK12</f>
        <v>15</v>
      </c>
      <c r="BB26" s="755">
        <f>[2]Districts_Boroughs!CL12</f>
        <v>13</v>
      </c>
      <c r="BC26" s="755">
        <f>[2]Districts_Boroughs!CM12</f>
        <v>17</v>
      </c>
      <c r="BD26" s="755">
        <f>[2]Districts_Boroughs!CN12</f>
        <v>16</v>
      </c>
      <c r="BE26" s="755">
        <f>[2]Districts_Boroughs!CO12</f>
        <v>14</v>
      </c>
      <c r="BF26" s="755">
        <f>[2]Districts_Boroughs!CP12</f>
        <v>18</v>
      </c>
      <c r="BG26" s="755">
        <f>[2]Districts_Boroughs!CQ12</f>
        <v>11</v>
      </c>
      <c r="BH26" s="755">
        <f>[2]Districts_Boroughs!CR12</f>
        <v>13</v>
      </c>
      <c r="BI26" s="755">
        <f>[2]Districts_Boroughs!CS12</f>
        <v>12</v>
      </c>
      <c r="BJ26" s="755">
        <f>[2]Districts_Boroughs!CT12</f>
        <v>20</v>
      </c>
      <c r="BK26" s="755">
        <f>[2]Districts_Boroughs!CU12</f>
        <v>13</v>
      </c>
      <c r="BL26" s="755">
        <f>[2]Districts_Boroughs!CV12</f>
        <v>17</v>
      </c>
      <c r="BM26" s="755">
        <f>[2]Districts_Boroughs!CW12</f>
        <v>13</v>
      </c>
      <c r="BN26" s="755">
        <f>[2]Districts_Boroughs!CX12</f>
        <v>18</v>
      </c>
      <c r="BO26" s="755">
        <f>[2]Districts_Boroughs!CY12</f>
        <v>8</v>
      </c>
      <c r="BP26" s="755">
        <f>[2]Districts_Boroughs!CZ12</f>
        <v>21</v>
      </c>
      <c r="BQ26" s="755">
        <f>[2]Districts_Boroughs!DA12</f>
        <v>6</v>
      </c>
      <c r="BR26" s="755">
        <f>[2]Districts_Boroughs!DB12</f>
        <v>21</v>
      </c>
      <c r="BS26" s="755">
        <f>[2]Districts_Boroughs!DC12</f>
        <v>20</v>
      </c>
      <c r="BT26" s="755">
        <f>[2]Districts_Boroughs!DD12</f>
        <v>9</v>
      </c>
      <c r="BU26" s="755">
        <f>[2]Districts_Boroughs!DE12</f>
        <v>11</v>
      </c>
      <c r="BV26" s="755">
        <f>[2]Districts_Boroughs!DF12</f>
        <v>13</v>
      </c>
      <c r="BW26" s="755">
        <f>[2]Districts_Boroughs!DG12</f>
        <v>18</v>
      </c>
      <c r="BX26" s="755">
        <f>[2]Districts_Boroughs!DH12</f>
        <v>11</v>
      </c>
      <c r="BY26" s="755">
        <f>[2]Districts_Boroughs!DI12</f>
        <v>25</v>
      </c>
      <c r="BZ26" s="755">
        <f>[2]Districts_Boroughs!DJ12</f>
        <v>25</v>
      </c>
      <c r="CA26" s="755">
        <f>[2]Districts_Boroughs!DK12</f>
        <v>17</v>
      </c>
      <c r="CB26" s="755">
        <f>[2]Districts_Boroughs!DL12</f>
        <v>8</v>
      </c>
      <c r="CC26" s="755">
        <f>[2]Districts_Boroughs!DM12</f>
        <v>17</v>
      </c>
      <c r="CD26" s="755">
        <f>[2]Districts_Boroughs!DN12</f>
        <v>18</v>
      </c>
      <c r="CE26" s="755">
        <f>[2]Districts_Boroughs!DO12</f>
        <v>12</v>
      </c>
      <c r="CF26" s="755">
        <f>[2]Districts_Boroughs!DP12</f>
        <v>12</v>
      </c>
      <c r="CG26" s="755">
        <f>[2]Districts_Boroughs!DQ12</f>
        <v>19</v>
      </c>
      <c r="CH26" s="755">
        <f>[2]Districts_Boroughs!DR12</f>
        <v>24</v>
      </c>
      <c r="CI26" s="755">
        <f>[2]Districts_Boroughs!DS12</f>
        <v>6</v>
      </c>
      <c r="CJ26" s="755">
        <f>[2]Districts_Boroughs!DT12</f>
        <v>11</v>
      </c>
      <c r="CK26" s="755">
        <f>[2]Districts_Boroughs!DU12</f>
        <v>15</v>
      </c>
      <c r="CL26" s="755">
        <f>[2]Districts_Boroughs!DV12</f>
        <v>26</v>
      </c>
      <c r="CM26" s="755">
        <f>[2]Districts_Boroughs!DW12</f>
        <v>25</v>
      </c>
      <c r="CN26" s="755">
        <f>[2]Districts_Boroughs!DX12</f>
        <v>16</v>
      </c>
      <c r="CO26" s="755">
        <f>[2]Districts_Boroughs!DY12</f>
        <v>11</v>
      </c>
      <c r="CP26" s="755">
        <f>[2]Districts_Boroughs!DZ12</f>
        <v>21</v>
      </c>
      <c r="CQ26" s="755">
        <f>[2]Districts_Boroughs!EA12</f>
        <v>15</v>
      </c>
      <c r="CR26" s="755">
        <f>[2]Districts_Boroughs!EB12</f>
        <v>15</v>
      </c>
      <c r="CS26" s="755">
        <f>[2]Districts_Boroughs!EC12</f>
        <v>7</v>
      </c>
    </row>
    <row r="27" spans="1:97" x14ac:dyDescent="0.35">
      <c r="A27" s="93" t="s">
        <v>68</v>
      </c>
      <c r="B27" s="85">
        <f>[2]ASB!AL14</f>
        <v>30</v>
      </c>
      <c r="C27" s="85">
        <f>[2]ASB!AM14</f>
        <v>37</v>
      </c>
      <c r="D27" s="85">
        <f>[2]ASB!AN14</f>
        <v>30</v>
      </c>
      <c r="E27" s="85">
        <f>[2]ASB!AO14</f>
        <v>35</v>
      </c>
      <c r="F27" s="85">
        <f>[2]ASB!AP14</f>
        <v>28</v>
      </c>
      <c r="G27" s="85">
        <f>[2]ASB!AQ14</f>
        <v>21</v>
      </c>
      <c r="H27" s="85">
        <f>[2]ASB!AR14</f>
        <v>24</v>
      </c>
      <c r="I27" s="85">
        <f>[2]ASB!AS14</f>
        <v>21</v>
      </c>
      <c r="J27" s="85">
        <f>[2]ASB!AT14</f>
        <v>17</v>
      </c>
      <c r="K27" s="85">
        <f>[2]ASB!AU14</f>
        <v>16</v>
      </c>
      <c r="L27" s="85">
        <f>[2]ASB!AV14</f>
        <v>15</v>
      </c>
      <c r="M27" s="85">
        <f>[2]ASB!AW14</f>
        <v>23</v>
      </c>
      <c r="N27" s="85">
        <f>[2]ASB!AX14</f>
        <v>20</v>
      </c>
      <c r="O27" s="85">
        <f>[2]ASB!AY14</f>
        <v>32</v>
      </c>
      <c r="P27" s="85">
        <f>[2]ASB!AZ14</f>
        <v>21</v>
      </c>
      <c r="Q27" s="85">
        <f>[2]ASB!BA14</f>
        <v>38</v>
      </c>
      <c r="R27" s="85">
        <f>[2]ASB!BB14</f>
        <v>23</v>
      </c>
      <c r="S27" s="85">
        <f>[2]ASB!BC14</f>
        <v>32</v>
      </c>
      <c r="T27" s="85">
        <f>[2]ASB!BD14</f>
        <v>20</v>
      </c>
      <c r="U27" s="85">
        <f>[2]ASB!BE14</f>
        <v>15</v>
      </c>
      <c r="V27" s="85">
        <f>[2]ASB!BF14</f>
        <v>14</v>
      </c>
      <c r="W27" s="85">
        <f>[2]ASB!BG14</f>
        <v>19</v>
      </c>
      <c r="X27" s="85">
        <f>[2]ASB!BH14</f>
        <v>18</v>
      </c>
      <c r="Y27" s="85">
        <f>[2]ASB!BI14</f>
        <v>12</v>
      </c>
      <c r="Z27" s="85">
        <f>[2]ASB!BJ14</f>
        <v>10</v>
      </c>
      <c r="AA27" s="85">
        <f>[2]ASB!BK14</f>
        <v>8</v>
      </c>
      <c r="AB27" s="85">
        <f>[2]ASB!BL14</f>
        <v>12</v>
      </c>
      <c r="AC27" s="85">
        <f>[2]ASB!BM14</f>
        <v>18</v>
      </c>
      <c r="AD27" s="85">
        <f>[2]ASB!BN14</f>
        <v>23</v>
      </c>
      <c r="AE27" s="85">
        <f>[2]ASB!BO14</f>
        <v>22</v>
      </c>
      <c r="AF27" s="85">
        <f>[2]ASB!BP14</f>
        <v>20</v>
      </c>
      <c r="AG27" s="85">
        <f>[2]ASB!BQ14</f>
        <v>11</v>
      </c>
      <c r="AH27" s="85">
        <f>[2]ASB!BR14</f>
        <v>12</v>
      </c>
      <c r="AI27" s="85">
        <f>[2]ASB!BS14</f>
        <v>17</v>
      </c>
      <c r="AJ27" s="85">
        <f>[2]ASB!BT14</f>
        <v>19</v>
      </c>
      <c r="AK27" s="85">
        <f>[2]ASB!BU14</f>
        <v>21</v>
      </c>
      <c r="AL27" s="85">
        <f>[2]ASB!BV14</f>
        <v>63</v>
      </c>
      <c r="AM27" s="85">
        <f>[2]ASB!BW14</f>
        <v>31</v>
      </c>
      <c r="AN27" s="85">
        <f>[2]ASB!BX14</f>
        <v>32</v>
      </c>
      <c r="AO27" s="85">
        <f>[2]ASB!BY14</f>
        <v>32</v>
      </c>
      <c r="AP27" s="85">
        <f>[2]ASB!BZ14</f>
        <v>30</v>
      </c>
      <c r="AQ27" s="85">
        <f>[2]ASB!CA14</f>
        <v>21</v>
      </c>
      <c r="AR27" s="85">
        <f>[2]ASB!CB14</f>
        <v>14</v>
      </c>
      <c r="AS27" s="85">
        <f>[2]ASB!CC14</f>
        <v>14</v>
      </c>
      <c r="AT27" s="85">
        <f>[2]ASB!CD14</f>
        <v>14</v>
      </c>
      <c r="AU27" s="85">
        <f>[2]ASB!CE14</f>
        <v>18</v>
      </c>
      <c r="AV27" s="85">
        <f>[2]ASB!CF14</f>
        <v>13</v>
      </c>
      <c r="AW27" s="85">
        <f>[2]ASB!CG14</f>
        <v>16</v>
      </c>
      <c r="AX27" s="85">
        <f>[2]ASB!CH14</f>
        <v>25</v>
      </c>
      <c r="AY27" s="85">
        <f>[2]ASB!CI14</f>
        <v>19</v>
      </c>
      <c r="AZ27" s="85">
        <f>[2]ASB!CJ14</f>
        <v>29</v>
      </c>
      <c r="BA27" s="85">
        <f>[2]ASB!CK14</f>
        <v>23</v>
      </c>
      <c r="BB27" s="85">
        <f>[2]ASB!CL14</f>
        <v>17</v>
      </c>
      <c r="BC27" s="85">
        <f>[2]ASB!CM14</f>
        <v>19</v>
      </c>
      <c r="BD27" s="85">
        <f>[2]ASB!CN14</f>
        <v>24</v>
      </c>
      <c r="BE27" s="85">
        <f>[2]ASB!CO14</f>
        <v>19</v>
      </c>
      <c r="BF27" s="85">
        <f>[2]ASB!CP14</f>
        <v>19</v>
      </c>
      <c r="BG27" s="85">
        <f>[2]ASB!CQ14</f>
        <v>20</v>
      </c>
      <c r="BH27" s="85">
        <f>[2]ASB!CR14</f>
        <v>11</v>
      </c>
      <c r="BI27" s="85">
        <f>[2]ASB!CS14</f>
        <v>25</v>
      </c>
      <c r="BJ27" s="85">
        <f>[2]ASB!CT14</f>
        <v>15</v>
      </c>
      <c r="BK27" s="85">
        <f>[2]ASB!CU14</f>
        <v>14</v>
      </c>
      <c r="BL27" s="85">
        <f>[2]ASB!CV14</f>
        <v>25</v>
      </c>
      <c r="BM27" s="85">
        <f>[2]ASB!CW14</f>
        <v>21</v>
      </c>
      <c r="BN27" s="85">
        <f>[2]ASB!CX14</f>
        <v>24</v>
      </c>
      <c r="BO27" s="85">
        <f>[2]ASB!CY14</f>
        <v>17</v>
      </c>
      <c r="BP27" s="85">
        <f>[2]ASB!CZ14</f>
        <v>12</v>
      </c>
      <c r="BQ27" s="85">
        <f>[2]ASB!DA14</f>
        <v>12</v>
      </c>
      <c r="BR27" s="85">
        <f>[2]ASB!DB14</f>
        <v>15</v>
      </c>
      <c r="BS27" s="85">
        <f>[2]ASB!DC14</f>
        <v>11</v>
      </c>
      <c r="BT27" s="85">
        <f>[2]ASB!DD14</f>
        <v>14</v>
      </c>
      <c r="BU27" s="85">
        <f>[2]ASB!DE14</f>
        <v>13</v>
      </c>
      <c r="BV27" s="85">
        <f>[2]ASB!DF14</f>
        <v>12</v>
      </c>
      <c r="BW27" s="85">
        <f>[2]ASB!DG14</f>
        <v>9</v>
      </c>
      <c r="BX27" s="85">
        <f>[2]ASB!DH14</f>
        <v>13</v>
      </c>
      <c r="BY27" s="85">
        <f>[2]ASB!DI14</f>
        <v>18</v>
      </c>
      <c r="BZ27" s="85">
        <f>[2]ASB!DJ14</f>
        <v>12</v>
      </c>
      <c r="CA27" s="85">
        <f>[2]ASB!DK14</f>
        <v>27</v>
      </c>
      <c r="CB27" s="85">
        <f>[2]ASB!DL14</f>
        <v>20</v>
      </c>
      <c r="CC27" s="85">
        <f>[2]ASB!DM14</f>
        <v>12</v>
      </c>
      <c r="CD27" s="85">
        <f>[2]ASB!DN14</f>
        <v>8</v>
      </c>
      <c r="CE27" s="85">
        <f>[2]ASB!DO14</f>
        <v>19</v>
      </c>
      <c r="CF27" s="85">
        <f>[2]ASB!DP14</f>
        <v>30</v>
      </c>
      <c r="CG27" s="85">
        <f>[2]ASB!DQ14</f>
        <v>31</v>
      </c>
      <c r="CH27" s="85">
        <f>[2]ASB!DR14</f>
        <v>31</v>
      </c>
      <c r="CI27" s="85">
        <f>[2]ASB!DS14</f>
        <v>23</v>
      </c>
      <c r="CJ27" s="85">
        <f>[2]ASB!DT14</f>
        <v>35</v>
      </c>
      <c r="CK27" s="85">
        <f>[2]ASB!DU14</f>
        <v>29</v>
      </c>
      <c r="CL27" s="85">
        <f>[2]ASB!DV14</f>
        <v>22</v>
      </c>
      <c r="CM27" s="85">
        <f>[2]ASB!DW14</f>
        <v>14</v>
      </c>
      <c r="CN27" s="85">
        <f>[2]ASB!DX14</f>
        <v>36</v>
      </c>
      <c r="CO27" s="85">
        <f>[2]ASB!DY14</f>
        <v>26</v>
      </c>
      <c r="CP27" s="85">
        <f>[2]ASB!DZ14</f>
        <v>17</v>
      </c>
      <c r="CQ27" s="85">
        <f>[2]ASB!EA14</f>
        <v>15</v>
      </c>
      <c r="CR27" s="85">
        <f>[2]ASB!EB14</f>
        <v>17</v>
      </c>
      <c r="CS27" s="85">
        <f>[2]ASB!EC14</f>
        <v>28</v>
      </c>
    </row>
    <row r="28" spans="1:97" s="64" customFormat="1" x14ac:dyDescent="0.35">
      <c r="A28" s="70" t="s">
        <v>48</v>
      </c>
      <c r="B28" s="85">
        <f>[2]Districts_Boroughs!AL32</f>
        <v>32</v>
      </c>
      <c r="C28" s="85">
        <f>[2]Districts_Boroughs!AM32</f>
        <v>13</v>
      </c>
      <c r="D28" s="85">
        <f>[2]Districts_Boroughs!AN32</f>
        <v>16</v>
      </c>
      <c r="E28" s="85">
        <f>[2]Districts_Boroughs!AO32</f>
        <v>36</v>
      </c>
      <c r="F28" s="85">
        <f>[2]Districts_Boroughs!AP32</f>
        <v>53</v>
      </c>
      <c r="G28" s="85">
        <f>[2]Districts_Boroughs!AQ32</f>
        <v>26</v>
      </c>
      <c r="H28" s="85">
        <f>[2]Districts_Boroughs!AR32</f>
        <v>55</v>
      </c>
      <c r="I28" s="85">
        <f>[2]Districts_Boroughs!AS32</f>
        <v>44</v>
      </c>
      <c r="J28" s="85">
        <f>[2]Districts_Boroughs!AT32</f>
        <v>19</v>
      </c>
      <c r="K28" s="85">
        <f>[2]Districts_Boroughs!AU32</f>
        <v>37</v>
      </c>
      <c r="L28" s="85">
        <f>[2]Districts_Boroughs!AV32</f>
        <v>28</v>
      </c>
      <c r="M28" s="85">
        <f>[2]Districts_Boroughs!AW32</f>
        <v>34</v>
      </c>
      <c r="N28" s="85">
        <f>[2]Districts_Boroughs!AX32</f>
        <v>24</v>
      </c>
      <c r="O28" s="85">
        <f>[2]Districts_Boroughs!AY32</f>
        <v>43</v>
      </c>
      <c r="P28" s="85">
        <f>[2]Districts_Boroughs!AZ32</f>
        <v>33</v>
      </c>
      <c r="Q28" s="85">
        <f>[2]Districts_Boroughs!BA32</f>
        <v>23</v>
      </c>
      <c r="R28" s="85">
        <f>[2]Districts_Boroughs!BB32</f>
        <v>46</v>
      </c>
      <c r="S28" s="85">
        <f>[2]Districts_Boroughs!BC32</f>
        <v>34</v>
      </c>
      <c r="T28" s="85">
        <f>[2]Districts_Boroughs!BD32</f>
        <v>42</v>
      </c>
      <c r="U28" s="85">
        <f>[2]Districts_Boroughs!BE32</f>
        <v>35</v>
      </c>
      <c r="V28" s="85">
        <f>[2]Districts_Boroughs!BF32</f>
        <v>30</v>
      </c>
      <c r="W28" s="85">
        <f>[2]Districts_Boroughs!BG32</f>
        <v>27</v>
      </c>
      <c r="X28" s="85">
        <f>[2]Districts_Boroughs!BH32</f>
        <v>36</v>
      </c>
      <c r="Y28" s="85">
        <f>[2]Districts_Boroughs!BI32</f>
        <v>36</v>
      </c>
      <c r="Z28" s="85">
        <f>[2]Districts_Boroughs!BJ32</f>
        <v>26</v>
      </c>
      <c r="AA28" s="85">
        <f>[2]Districts_Boroughs!BK32</f>
        <v>33</v>
      </c>
      <c r="AB28" s="85">
        <f>[2]Districts_Boroughs!BL32</f>
        <v>22</v>
      </c>
      <c r="AC28" s="85">
        <f>[2]Districts_Boroughs!BM32</f>
        <v>27</v>
      </c>
      <c r="AD28" s="85">
        <f>[2]Districts_Boroughs!BN32</f>
        <v>26</v>
      </c>
      <c r="AE28" s="85">
        <f>[2]Districts_Boroughs!BO32</f>
        <v>24</v>
      </c>
      <c r="AF28" s="85">
        <f>[2]Districts_Boroughs!BP32</f>
        <v>37</v>
      </c>
      <c r="AG28" s="85">
        <f>[2]Districts_Boroughs!BQ32</f>
        <v>29</v>
      </c>
      <c r="AH28" s="85">
        <f>[2]Districts_Boroughs!BR32</f>
        <v>59</v>
      </c>
      <c r="AI28" s="85">
        <f>[2]Districts_Boroughs!BS32</f>
        <v>53</v>
      </c>
      <c r="AJ28" s="85">
        <f>[2]Districts_Boroughs!BT32</f>
        <v>36</v>
      </c>
      <c r="AK28" s="85">
        <f>[2]Districts_Boroughs!BU32</f>
        <v>29</v>
      </c>
      <c r="AL28" s="85">
        <f>[2]Districts_Boroughs!BV32</f>
        <v>19</v>
      </c>
      <c r="AM28" s="85">
        <f>[2]Districts_Boroughs!BW32</f>
        <v>21</v>
      </c>
      <c r="AN28" s="85">
        <f>[2]Districts_Boroughs!BX32</f>
        <v>19</v>
      </c>
      <c r="AO28" s="85">
        <f>[2]Districts_Boroughs!BY32</f>
        <v>17</v>
      </c>
      <c r="AP28" s="85">
        <f>[2]Districts_Boroughs!BZ32</f>
        <v>18</v>
      </c>
      <c r="AQ28" s="85">
        <f>[2]Districts_Boroughs!CA32</f>
        <v>17</v>
      </c>
      <c r="AR28" s="85">
        <f>[2]Districts_Boroughs!CB32</f>
        <v>33</v>
      </c>
      <c r="AS28" s="85">
        <f>[2]Districts_Boroughs!CC32</f>
        <v>32</v>
      </c>
      <c r="AT28" s="85">
        <f>[2]Districts_Boroughs!CD32</f>
        <v>19</v>
      </c>
      <c r="AU28" s="85">
        <f>[2]Districts_Boroughs!CE32</f>
        <v>20</v>
      </c>
      <c r="AV28" s="85">
        <f>[2]Districts_Boroughs!CF32</f>
        <v>9</v>
      </c>
      <c r="AW28" s="85">
        <f>[2]Districts_Boroughs!CG32</f>
        <v>22</v>
      </c>
      <c r="AX28" s="85">
        <f>[2]Districts_Boroughs!CH32</f>
        <v>19</v>
      </c>
      <c r="AY28" s="85">
        <f>[2]Districts_Boroughs!CI32</f>
        <v>14</v>
      </c>
      <c r="AZ28" s="85">
        <f>[2]Districts_Boroughs!CJ32</f>
        <v>12</v>
      </c>
      <c r="BA28" s="85">
        <f>[2]Districts_Boroughs!CK32</f>
        <v>17</v>
      </c>
      <c r="BB28" s="85">
        <f>[2]Districts_Boroughs!CL32</f>
        <v>12</v>
      </c>
      <c r="BC28" s="85">
        <f>[2]Districts_Boroughs!CM32</f>
        <v>14</v>
      </c>
      <c r="BD28" s="85">
        <f>[2]Districts_Boroughs!CN32</f>
        <v>17</v>
      </c>
      <c r="BE28" s="85">
        <f>[2]Districts_Boroughs!CO32</f>
        <v>31</v>
      </c>
      <c r="BF28" s="85">
        <f>[2]Districts_Boroughs!CP32</f>
        <v>19</v>
      </c>
      <c r="BG28" s="85">
        <f>[2]Districts_Boroughs!CQ32</f>
        <v>9</v>
      </c>
      <c r="BH28" s="85">
        <f>[2]Districts_Boroughs!CR32</f>
        <v>19</v>
      </c>
      <c r="BI28" s="85">
        <f>[2]Districts_Boroughs!CS32</f>
        <v>16</v>
      </c>
      <c r="BJ28" s="85">
        <f>[2]Districts_Boroughs!CT32</f>
        <v>24</v>
      </c>
      <c r="BK28" s="85">
        <f>[2]Districts_Boroughs!CU32</f>
        <v>30</v>
      </c>
      <c r="BL28" s="85">
        <f>[2]Districts_Boroughs!CV32</f>
        <v>23</v>
      </c>
      <c r="BM28" s="85">
        <f>[2]Districts_Boroughs!CW32</f>
        <v>27</v>
      </c>
      <c r="BN28" s="85">
        <f>[2]Districts_Boroughs!CX32</f>
        <v>27</v>
      </c>
      <c r="BO28" s="85">
        <f>[2]Districts_Boroughs!CY32</f>
        <v>29</v>
      </c>
      <c r="BP28" s="85">
        <f>[2]Districts_Boroughs!CZ32</f>
        <v>33</v>
      </c>
      <c r="BQ28" s="85">
        <f>[2]Districts_Boroughs!DA32</f>
        <v>29</v>
      </c>
      <c r="BR28" s="85">
        <f>[2]Districts_Boroughs!DB32</f>
        <v>21</v>
      </c>
      <c r="BS28" s="85">
        <f>[2]Districts_Boroughs!DC32</f>
        <v>29</v>
      </c>
      <c r="BT28" s="85">
        <f>[2]Districts_Boroughs!DD32</f>
        <v>23</v>
      </c>
      <c r="BU28" s="85">
        <f>[2]Districts_Boroughs!DE32</f>
        <v>19</v>
      </c>
      <c r="BV28" s="85">
        <f>[2]Districts_Boroughs!DF32</f>
        <v>21</v>
      </c>
      <c r="BW28" s="85">
        <f>[2]Districts_Boroughs!DG32</f>
        <v>15</v>
      </c>
      <c r="BX28" s="85">
        <f>[2]Districts_Boroughs!DH32</f>
        <v>24</v>
      </c>
      <c r="BY28" s="85">
        <f>[2]Districts_Boroughs!DI32</f>
        <v>36</v>
      </c>
      <c r="BZ28" s="85">
        <f>[2]Districts_Boroughs!DJ32</f>
        <v>22</v>
      </c>
      <c r="CA28" s="85">
        <f>[2]Districts_Boroughs!DK32</f>
        <v>27</v>
      </c>
      <c r="CB28" s="85">
        <f>[2]Districts_Boroughs!DL32</f>
        <v>17</v>
      </c>
      <c r="CC28" s="85">
        <f>[2]Districts_Boroughs!DM32</f>
        <v>29</v>
      </c>
      <c r="CD28" s="85">
        <f>[2]Districts_Boroughs!DN32</f>
        <v>29</v>
      </c>
      <c r="CE28" s="85">
        <f>[2]Districts_Boroughs!DO32</f>
        <v>25</v>
      </c>
      <c r="CF28" s="85">
        <f>[2]Districts_Boroughs!DP32</f>
        <v>27</v>
      </c>
      <c r="CG28" s="85">
        <f>[2]Districts_Boroughs!DQ32</f>
        <v>38</v>
      </c>
      <c r="CH28" s="85">
        <f>[2]Districts_Boroughs!DR32</f>
        <v>30</v>
      </c>
      <c r="CI28" s="85">
        <f>[2]Districts_Boroughs!DS32</f>
        <v>23</v>
      </c>
      <c r="CJ28" s="85">
        <f>[2]Districts_Boroughs!DT32</f>
        <v>21</v>
      </c>
      <c r="CK28" s="85">
        <f>[2]Districts_Boroughs!DU32</f>
        <v>19</v>
      </c>
      <c r="CL28" s="85">
        <f>[2]Districts_Boroughs!DV32</f>
        <v>18</v>
      </c>
      <c r="CM28" s="85">
        <f>[2]Districts_Boroughs!DW32</f>
        <v>20</v>
      </c>
      <c r="CN28" s="85">
        <f>[2]Districts_Boroughs!DX32</f>
        <v>25</v>
      </c>
      <c r="CO28" s="85">
        <f>[2]Districts_Boroughs!DY32</f>
        <v>23</v>
      </c>
      <c r="CP28" s="85">
        <f>[2]Districts_Boroughs!DZ32</f>
        <v>28</v>
      </c>
      <c r="CQ28" s="85">
        <f>[2]Districts_Boroughs!EA32</f>
        <v>27</v>
      </c>
      <c r="CR28" s="85">
        <f>[2]Districts_Boroughs!EB32</f>
        <v>25</v>
      </c>
      <c r="CS28" s="85">
        <f>[2]Districts_Boroughs!EC32</f>
        <v>21</v>
      </c>
    </row>
    <row r="29" spans="1:97" s="64" customFormat="1" x14ac:dyDescent="0.35">
      <c r="A29" s="70" t="s">
        <v>138</v>
      </c>
      <c r="B29" s="85">
        <f>[2]Districts_Boroughs!AL30+[2]Districts_Boroughs!AL33</f>
        <v>19</v>
      </c>
      <c r="C29" s="85">
        <f>[2]Districts_Boroughs!AM30+[2]Districts_Boroughs!AM33</f>
        <v>16</v>
      </c>
      <c r="D29" s="85">
        <f>[2]Districts_Boroughs!AN30+[2]Districts_Boroughs!AN33</f>
        <v>12</v>
      </c>
      <c r="E29" s="85">
        <f>[2]Districts_Boroughs!AO30+[2]Districts_Boroughs!AO33</f>
        <v>14</v>
      </c>
      <c r="F29" s="85">
        <f>[2]Districts_Boroughs!AP30+[2]Districts_Boroughs!AP33</f>
        <v>20</v>
      </c>
      <c r="G29" s="85">
        <f>[2]Districts_Boroughs!AQ30+[2]Districts_Boroughs!AQ33</f>
        <v>18</v>
      </c>
      <c r="H29" s="85">
        <f>[2]Districts_Boroughs!AR30+[2]Districts_Boroughs!AR33</f>
        <v>20</v>
      </c>
      <c r="I29" s="85">
        <f>[2]Districts_Boroughs!AS30+[2]Districts_Boroughs!AS33</f>
        <v>10</v>
      </c>
      <c r="J29" s="85">
        <f>[2]Districts_Boroughs!AT30+[2]Districts_Boroughs!AT33</f>
        <v>21</v>
      </c>
      <c r="K29" s="85">
        <f>[2]Districts_Boroughs!AU30+[2]Districts_Boroughs!AU33</f>
        <v>26</v>
      </c>
      <c r="L29" s="85">
        <f>[2]Districts_Boroughs!AV30+[2]Districts_Boroughs!AV33</f>
        <v>16</v>
      </c>
      <c r="M29" s="85">
        <f>[2]Districts_Boroughs!AW30+[2]Districts_Boroughs!AW33</f>
        <v>16</v>
      </c>
      <c r="N29" s="85">
        <f>[2]Districts_Boroughs!AX30+[2]Districts_Boroughs!AX33</f>
        <v>7</v>
      </c>
      <c r="O29" s="85">
        <f>[2]Districts_Boroughs!AY30+[2]Districts_Boroughs!AY33</f>
        <v>15</v>
      </c>
      <c r="P29" s="85">
        <f>[2]Districts_Boroughs!AZ30+[2]Districts_Boroughs!AZ33</f>
        <v>14</v>
      </c>
      <c r="Q29" s="85">
        <f>[2]Districts_Boroughs!BA30+[2]Districts_Boroughs!BA33</f>
        <v>20</v>
      </c>
      <c r="R29" s="85">
        <f>[2]Districts_Boroughs!BB30+[2]Districts_Boroughs!BB33</f>
        <v>22</v>
      </c>
      <c r="S29" s="85">
        <f>[2]Districts_Boroughs!BC30+[2]Districts_Boroughs!BC33</f>
        <v>25</v>
      </c>
      <c r="T29" s="85">
        <f>[2]Districts_Boroughs!BD30+[2]Districts_Boroughs!BD33</f>
        <v>21</v>
      </c>
      <c r="U29" s="85">
        <f>[2]Districts_Boroughs!BE30+[2]Districts_Boroughs!BE33</f>
        <v>17</v>
      </c>
      <c r="V29" s="85">
        <f>[2]Districts_Boroughs!BF30+[2]Districts_Boroughs!BF33</f>
        <v>10</v>
      </c>
      <c r="W29" s="85">
        <f>[2]Districts_Boroughs!BG30+[2]Districts_Boroughs!BG33</f>
        <v>17</v>
      </c>
      <c r="X29" s="85">
        <f>[2]Districts_Boroughs!BH30+[2]Districts_Boroughs!BH33</f>
        <v>7</v>
      </c>
      <c r="Y29" s="85">
        <f>[2]Districts_Boroughs!BI30+[2]Districts_Boroughs!BI33</f>
        <v>17</v>
      </c>
      <c r="Z29" s="85">
        <f>[2]Districts_Boroughs!BJ30+[2]Districts_Boroughs!BJ33</f>
        <v>10</v>
      </c>
      <c r="AA29" s="85">
        <f>[2]Districts_Boroughs!BK30+[2]Districts_Boroughs!BK33</f>
        <v>16</v>
      </c>
      <c r="AB29" s="85">
        <f>[2]Districts_Boroughs!BL30+[2]Districts_Boroughs!BL33</f>
        <v>13</v>
      </c>
      <c r="AC29" s="85">
        <f>[2]Districts_Boroughs!BM30+[2]Districts_Boroughs!BM33</f>
        <v>15</v>
      </c>
      <c r="AD29" s="85">
        <f>[2]Districts_Boroughs!BN30+[2]Districts_Boroughs!BN33</f>
        <v>16</v>
      </c>
      <c r="AE29" s="85">
        <f>[2]Districts_Boroughs!BO30+[2]Districts_Boroughs!BO33</f>
        <v>11</v>
      </c>
      <c r="AF29" s="85">
        <f>[2]Districts_Boroughs!BP30+[2]Districts_Boroughs!BP33</f>
        <v>12</v>
      </c>
      <c r="AG29" s="85">
        <f>[2]Districts_Boroughs!BQ30+[2]Districts_Boroughs!BQ33</f>
        <v>22</v>
      </c>
      <c r="AH29" s="85">
        <f>[2]Districts_Boroughs!BR30+[2]Districts_Boroughs!BR33</f>
        <v>19</v>
      </c>
      <c r="AI29" s="85">
        <f>[2]Districts_Boroughs!BS30+[2]Districts_Boroughs!BS33</f>
        <v>23</v>
      </c>
      <c r="AJ29" s="85">
        <f>[2]Districts_Boroughs!BT30+[2]Districts_Boroughs!BT33</f>
        <v>17</v>
      </c>
      <c r="AK29" s="85">
        <f>[2]Districts_Boroughs!BU30+[2]Districts_Boroughs!BU33</f>
        <v>7</v>
      </c>
      <c r="AL29" s="85">
        <f>[2]Districts_Boroughs!BV30+[2]Districts_Boroughs!BV33</f>
        <v>15</v>
      </c>
      <c r="AM29" s="85">
        <f>[2]Districts_Boroughs!BW30+[2]Districts_Boroughs!BW33</f>
        <v>9</v>
      </c>
      <c r="AN29" s="85">
        <f>[2]Districts_Boroughs!BX30+[2]Districts_Boroughs!BX33</f>
        <v>7</v>
      </c>
      <c r="AO29" s="85">
        <f>[2]Districts_Boroughs!BY30+[2]Districts_Boroughs!BY33</f>
        <v>13</v>
      </c>
      <c r="AP29" s="85">
        <f>[2]Districts_Boroughs!BZ30+[2]Districts_Boroughs!BZ33</f>
        <v>8</v>
      </c>
      <c r="AQ29" s="85">
        <f>[2]Districts_Boroughs!CA30+[2]Districts_Boroughs!CA33</f>
        <v>13</v>
      </c>
      <c r="AR29" s="85">
        <f>[2]Districts_Boroughs!CB30+[2]Districts_Boroughs!CB33</f>
        <v>14</v>
      </c>
      <c r="AS29" s="85">
        <f>[2]Districts_Boroughs!CC30+[2]Districts_Boroughs!CC33</f>
        <v>24</v>
      </c>
      <c r="AT29" s="85">
        <f>[2]Districts_Boroughs!CD30+[2]Districts_Boroughs!CD33</f>
        <v>16</v>
      </c>
      <c r="AU29" s="85">
        <f>[2]Districts_Boroughs!CE30+[2]Districts_Boroughs!CE33</f>
        <v>23</v>
      </c>
      <c r="AV29" s="85">
        <f>[2]Districts_Boroughs!CF30+[2]Districts_Boroughs!CF33</f>
        <v>7</v>
      </c>
      <c r="AW29" s="85">
        <f>[2]Districts_Boroughs!CG30+[2]Districts_Boroughs!CG33</f>
        <v>11</v>
      </c>
      <c r="AX29" s="85">
        <f>[2]Districts_Boroughs!CH30+[2]Districts_Boroughs!CH33</f>
        <v>11</v>
      </c>
      <c r="AY29" s="85">
        <f>[2]Districts_Boroughs!CI30+[2]Districts_Boroughs!CI33</f>
        <v>9</v>
      </c>
      <c r="AZ29" s="85">
        <f>[2]Districts_Boroughs!CJ30+[2]Districts_Boroughs!CJ33</f>
        <v>9</v>
      </c>
      <c r="BA29" s="85">
        <f>[2]Districts_Boroughs!CK30+[2]Districts_Boroughs!CK33</f>
        <v>6</v>
      </c>
      <c r="BB29" s="85">
        <f>[2]Districts_Boroughs!CL30+[2]Districts_Boroughs!CL33</f>
        <v>4</v>
      </c>
      <c r="BC29" s="85">
        <f>[2]Districts_Boroughs!CM30+[2]Districts_Boroughs!CM33</f>
        <v>9</v>
      </c>
      <c r="BD29" s="85">
        <f>[2]Districts_Boroughs!CN30+[2]Districts_Boroughs!CN33</f>
        <v>10</v>
      </c>
      <c r="BE29" s="85">
        <f>[2]Districts_Boroughs!CO30+[2]Districts_Boroughs!CO33</f>
        <v>11</v>
      </c>
      <c r="BF29" s="85">
        <f>[2]Districts_Boroughs!CP30+[2]Districts_Boroughs!CP33</f>
        <v>19</v>
      </c>
      <c r="BG29" s="85">
        <f>[2]Districts_Boroughs!CQ30+[2]Districts_Boroughs!CQ33</f>
        <v>10</v>
      </c>
      <c r="BH29" s="85">
        <f>[2]Districts_Boroughs!CR30+[2]Districts_Boroughs!CR33</f>
        <v>25</v>
      </c>
      <c r="BI29" s="85">
        <f>[2]Districts_Boroughs!CS30+[2]Districts_Boroughs!CS33</f>
        <v>25</v>
      </c>
      <c r="BJ29" s="85">
        <f>[2]Districts_Boroughs!CT30+[2]Districts_Boroughs!CT33</f>
        <v>17</v>
      </c>
      <c r="BK29" s="85">
        <f>[2]Districts_Boroughs!CU30+[2]Districts_Boroughs!CU33</f>
        <v>20</v>
      </c>
      <c r="BL29" s="85">
        <f>[2]Districts_Boroughs!CV30+[2]Districts_Boroughs!CV33</f>
        <v>23</v>
      </c>
      <c r="BM29" s="85">
        <f>[2]Districts_Boroughs!CW30+[2]Districts_Boroughs!CW33</f>
        <v>27</v>
      </c>
      <c r="BN29" s="85">
        <f>[2]Districts_Boroughs!CX30+[2]Districts_Boroughs!CX33</f>
        <v>17</v>
      </c>
      <c r="BO29" s="85">
        <f>[2]Districts_Boroughs!CY30+[2]Districts_Boroughs!CY33</f>
        <v>23</v>
      </c>
      <c r="BP29" s="85">
        <f>[2]Districts_Boroughs!CZ30+[2]Districts_Boroughs!CZ33</f>
        <v>30</v>
      </c>
      <c r="BQ29" s="85">
        <f>[2]Districts_Boroughs!DA30+[2]Districts_Boroughs!DA33</f>
        <v>30</v>
      </c>
      <c r="BR29" s="85">
        <f>[2]Districts_Boroughs!DB30+[2]Districts_Boroughs!DB33</f>
        <v>25</v>
      </c>
      <c r="BS29" s="85">
        <f>[2]Districts_Boroughs!DC30+[2]Districts_Boroughs!DC33</f>
        <v>18</v>
      </c>
      <c r="BT29" s="85">
        <f>[2]Districts_Boroughs!DD30+[2]Districts_Boroughs!DD33</f>
        <v>12</v>
      </c>
      <c r="BU29" s="85">
        <f>[2]Districts_Boroughs!DE30+[2]Districts_Boroughs!DE33</f>
        <v>20</v>
      </c>
      <c r="BV29" s="85">
        <f>[2]Districts_Boroughs!DF30+[2]Districts_Boroughs!DF33</f>
        <v>11</v>
      </c>
      <c r="BW29" s="85">
        <f>[2]Districts_Boroughs!DG30+[2]Districts_Boroughs!DG33</f>
        <v>20</v>
      </c>
      <c r="BX29" s="85">
        <f>[2]Districts_Boroughs!DH30+[2]Districts_Boroughs!DH33</f>
        <v>14</v>
      </c>
      <c r="BY29" s="85">
        <f>[2]Districts_Boroughs!DI30+[2]Districts_Boroughs!DI33</f>
        <v>15</v>
      </c>
      <c r="BZ29" s="85">
        <f>[2]Districts_Boroughs!DJ30+[2]Districts_Boroughs!DJ33</f>
        <v>16</v>
      </c>
      <c r="CA29" s="85">
        <f>[2]Districts_Boroughs!DK30+[2]Districts_Boroughs!DK33</f>
        <v>16</v>
      </c>
      <c r="CB29" s="85">
        <f>[2]Districts_Boroughs!DL30+[2]Districts_Boroughs!DL33</f>
        <v>17</v>
      </c>
      <c r="CC29" s="85">
        <f>[2]Districts_Boroughs!DM30+[2]Districts_Boroughs!DM33</f>
        <v>20</v>
      </c>
      <c r="CD29" s="85">
        <f>[2]Districts_Boroughs!DN30+[2]Districts_Boroughs!DN33</f>
        <v>11</v>
      </c>
      <c r="CE29" s="85">
        <f>[2]Districts_Boroughs!DO30+[2]Districts_Boroughs!DO33</f>
        <v>17</v>
      </c>
      <c r="CF29" s="85">
        <f>[2]Districts_Boroughs!DP30+[2]Districts_Boroughs!DP33</f>
        <v>16</v>
      </c>
      <c r="CG29" s="85">
        <f>[2]Districts_Boroughs!DQ30+[2]Districts_Boroughs!DQ33</f>
        <v>28</v>
      </c>
      <c r="CH29" s="85">
        <f>[2]Districts_Boroughs!DR30+[2]Districts_Boroughs!DR33</f>
        <v>40</v>
      </c>
      <c r="CI29" s="85">
        <f>[2]Districts_Boroughs!DS30+[2]Districts_Boroughs!DS33</f>
        <v>12</v>
      </c>
      <c r="CJ29" s="85">
        <f>[2]Districts_Boroughs!DT30+[2]Districts_Boroughs!DT33</f>
        <v>16</v>
      </c>
      <c r="CK29" s="85">
        <f>[2]Districts_Boroughs!DU30+[2]Districts_Boroughs!DU33</f>
        <v>16</v>
      </c>
      <c r="CL29" s="85">
        <f>[2]Districts_Boroughs!DV30+[2]Districts_Boroughs!DV33</f>
        <v>21</v>
      </c>
      <c r="CM29" s="85">
        <f>[2]Districts_Boroughs!DW30+[2]Districts_Boroughs!DW33</f>
        <v>32</v>
      </c>
      <c r="CN29" s="85">
        <f>[2]Districts_Boroughs!DX30+[2]Districts_Boroughs!DX33</f>
        <v>29</v>
      </c>
      <c r="CO29" s="85">
        <f>[2]Districts_Boroughs!DY30+[2]Districts_Boroughs!DY33</f>
        <v>13</v>
      </c>
      <c r="CP29" s="85">
        <f>[2]Districts_Boroughs!DZ30+[2]Districts_Boroughs!DZ33</f>
        <v>30</v>
      </c>
      <c r="CQ29" s="85">
        <f>[2]Districts_Boroughs!EA30+[2]Districts_Boroughs!EA33</f>
        <v>15</v>
      </c>
      <c r="CR29" s="85">
        <f>[2]Districts_Boroughs!EB30+[2]Districts_Boroughs!EB33</f>
        <v>15</v>
      </c>
      <c r="CS29" s="85">
        <f>[2]Districts_Boroughs!EC30+[2]Districts_Boroughs!EC33</f>
        <v>30</v>
      </c>
    </row>
    <row r="30" spans="1:97" s="33" customFormat="1" x14ac:dyDescent="0.35">
      <c r="A30" s="83"/>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97" s="64" customFormat="1" x14ac:dyDescent="0.35">
      <c r="A31" s="74" t="s">
        <v>144</v>
      </c>
      <c r="B31" s="64">
        <f t="shared" ref="B31" si="206">IF(AND(B32=1,C32=0)=TRUE,1,IF(AND(B32=0,C32=0,C31=0)=TRUE,0,C31+1))</f>
        <v>96</v>
      </c>
      <c r="C31" s="64">
        <f t="shared" ref="C31" si="207">IF(AND(C32=1,D32=0)=TRUE,1,IF(AND(C32=0,D32=0,D31=0)=TRUE,0,D31+1))</f>
        <v>95</v>
      </c>
      <c r="D31" s="64">
        <f t="shared" ref="D31" si="208">IF(AND(D32=1,E32=0)=TRUE,1,IF(AND(D32=0,E32=0,E31=0)=TRUE,0,E31+1))</f>
        <v>94</v>
      </c>
      <c r="E31" s="64">
        <f t="shared" ref="E31" si="209">IF(AND(E32=1,F32=0)=TRUE,1,IF(AND(E32=0,F32=0,F31=0)=TRUE,0,F31+1))</f>
        <v>93</v>
      </c>
      <c r="F31" s="64">
        <f t="shared" ref="F31" si="210">IF(AND(F32=1,G32=0)=TRUE,1,IF(AND(F32=0,G32=0,G31=0)=TRUE,0,G31+1))</f>
        <v>92</v>
      </c>
      <c r="G31" s="64">
        <f t="shared" ref="G31" si="211">IF(AND(G32=1,H32=0)=TRUE,1,IF(AND(G32=0,H32=0,H31=0)=TRUE,0,H31+1))</f>
        <v>91</v>
      </c>
      <c r="H31" s="64">
        <f t="shared" ref="H31" si="212">IF(AND(H32=1,I32=0)=TRUE,1,IF(AND(H32=0,I32=0,I31=0)=TRUE,0,I31+1))</f>
        <v>90</v>
      </c>
      <c r="I31" s="64">
        <f t="shared" ref="I31" si="213">IF(AND(I32=1,J32=0)=TRUE,1,IF(AND(I32=0,J32=0,J31=0)=TRUE,0,J31+1))</f>
        <v>89</v>
      </c>
      <c r="J31" s="64">
        <f t="shared" ref="J31" si="214">IF(AND(J32=1,K32=0)=TRUE,1,IF(AND(J32=0,K32=0,K31=0)=TRUE,0,K31+1))</f>
        <v>88</v>
      </c>
      <c r="K31" s="64">
        <f t="shared" ref="K31" si="215">IF(AND(K32=1,L32=0)=TRUE,1,IF(AND(K32=0,L32=0,L31=0)=TRUE,0,L31+1))</f>
        <v>87</v>
      </c>
      <c r="L31" s="64">
        <f t="shared" ref="L31" si="216">IF(AND(L32=1,M32=0)=TRUE,1,IF(AND(L32=0,M32=0,M31=0)=TRUE,0,M31+1))</f>
        <v>86</v>
      </c>
      <c r="M31" s="64">
        <f t="shared" ref="M31" si="217">IF(AND(M32=1,N32=0)=TRUE,1,IF(AND(M32=0,N32=0,N31=0)=TRUE,0,N31+1))</f>
        <v>85</v>
      </c>
      <c r="N31" s="64">
        <f t="shared" ref="N31" si="218">IF(AND(N32=1,O32=0)=TRUE,1,IF(AND(N32=0,O32=0,O31=0)=TRUE,0,O31+1))</f>
        <v>84</v>
      </c>
      <c r="O31" s="64">
        <f t="shared" ref="O31" si="219">IF(AND(O32=1,P32=0)=TRUE,1,IF(AND(O32=0,P32=0,P31=0)=TRUE,0,P31+1))</f>
        <v>83</v>
      </c>
      <c r="P31" s="64">
        <f t="shared" ref="P31" si="220">IF(AND(P32=1,Q32=0)=TRUE,1,IF(AND(P32=0,Q32=0,Q31=0)=TRUE,0,Q31+1))</f>
        <v>82</v>
      </c>
      <c r="Q31" s="64">
        <f t="shared" ref="Q31" si="221">IF(AND(Q32=1,R32=0)=TRUE,1,IF(AND(Q32=0,R32=0,R31=0)=TRUE,0,R31+1))</f>
        <v>81</v>
      </c>
      <c r="R31" s="64">
        <f t="shared" ref="R31" si="222">IF(AND(R32=1,S32=0)=TRUE,1,IF(AND(R32=0,S32=0,S31=0)=TRUE,0,S31+1))</f>
        <v>80</v>
      </c>
      <c r="S31" s="64">
        <f t="shared" ref="S31" si="223">IF(AND(S32=1,T32=0)=TRUE,1,IF(AND(S32=0,T32=0,T31=0)=TRUE,0,T31+1))</f>
        <v>79</v>
      </c>
      <c r="T31" s="64">
        <f t="shared" ref="T31" si="224">IF(AND(T32=1,U32=0)=TRUE,1,IF(AND(T32=0,U32=0,U31=0)=TRUE,0,U31+1))</f>
        <v>78</v>
      </c>
      <c r="U31" s="64">
        <f t="shared" ref="U31" si="225">IF(AND(U32=1,V32=0)=TRUE,1,IF(AND(U32=0,V32=0,V31=0)=TRUE,0,V31+1))</f>
        <v>77</v>
      </c>
      <c r="V31" s="64">
        <f t="shared" ref="V31" si="226">IF(AND(V32=1,W32=0)=TRUE,1,IF(AND(V32=0,W32=0,W31=0)=TRUE,0,W31+1))</f>
        <v>76</v>
      </c>
      <c r="W31" s="64">
        <f t="shared" ref="W31" si="227">IF(AND(W32=1,X32=0)=TRUE,1,IF(AND(W32=0,X32=0,X31=0)=TRUE,0,X31+1))</f>
        <v>75</v>
      </c>
      <c r="X31" s="64">
        <f t="shared" ref="X31" si="228">IF(AND(X32=1,Y32=0)=TRUE,1,IF(AND(X32=0,Y32=0,Y31=0)=TRUE,0,Y31+1))</f>
        <v>74</v>
      </c>
      <c r="Y31" s="64">
        <f t="shared" ref="Y31" si="229">IF(AND(Y32=1,Z32=0)=TRUE,1,IF(AND(Y32=0,Z32=0,Z31=0)=TRUE,0,Z31+1))</f>
        <v>73</v>
      </c>
      <c r="Z31" s="64">
        <f t="shared" ref="Z31" si="230">IF(AND(Z32=1,AA32=0)=TRUE,1,IF(AND(Z32=0,AA32=0,AA31=0)=TRUE,0,AA31+1))</f>
        <v>72</v>
      </c>
      <c r="AA31" s="64">
        <f t="shared" ref="AA31" si="231">IF(AND(AA32=1,AB32=0)=TRUE,1,IF(AND(AA32=0,AB32=0,AB31=0)=TRUE,0,AB31+1))</f>
        <v>71</v>
      </c>
      <c r="AB31" s="64">
        <f t="shared" ref="AB31" si="232">IF(AND(AB32=1,AC32=0)=TRUE,1,IF(AND(AB32=0,AC32=0,AC31=0)=TRUE,0,AC31+1))</f>
        <v>70</v>
      </c>
      <c r="AC31" s="64">
        <f t="shared" ref="AC31" si="233">IF(AND(AC32=1,AD32=0)=TRUE,1,IF(AND(AC32=0,AD32=0,AD31=0)=TRUE,0,AD31+1))</f>
        <v>69</v>
      </c>
      <c r="AD31" s="64">
        <f t="shared" ref="AD31" si="234">IF(AND(AD32=1,AE32=0)=TRUE,1,IF(AND(AD32=0,AE32=0,AE31=0)=TRUE,0,AE31+1))</f>
        <v>68</v>
      </c>
      <c r="AE31" s="64">
        <f t="shared" ref="AE31" si="235">IF(AND(AE32=1,AF32=0)=TRUE,1,IF(AND(AE32=0,AF32=0,AF31=0)=TRUE,0,AF31+1))</f>
        <v>67</v>
      </c>
      <c r="AF31" s="64">
        <f t="shared" ref="AF31" si="236">IF(AND(AF32=1,AG32=0)=TRUE,1,IF(AND(AF32=0,AG32=0,AG31=0)=TRUE,0,AG31+1))</f>
        <v>66</v>
      </c>
      <c r="AG31" s="64">
        <f t="shared" ref="AG31" si="237">IF(AND(AG32=1,AH32=0)=TRUE,1,IF(AND(AG32=0,AH32=0,AH31=0)=TRUE,0,AH31+1))</f>
        <v>65</v>
      </c>
      <c r="AH31" s="64">
        <f t="shared" ref="AH31" si="238">IF(AND(AH32=1,AI32=0)=TRUE,1,IF(AND(AH32=0,AI32=0,AI31=0)=TRUE,0,AI31+1))</f>
        <v>64</v>
      </c>
      <c r="AI31" s="64">
        <f t="shared" ref="AI31" si="239">IF(AND(AI32=1,AJ32=0)=TRUE,1,IF(AND(AI32=0,AJ32=0,AJ31=0)=TRUE,0,AJ31+1))</f>
        <v>63</v>
      </c>
      <c r="AJ31" s="64">
        <f t="shared" ref="AJ31" si="240">IF(AND(AJ32=1,AK32=0)=TRUE,1,IF(AND(AJ32=0,AK32=0,AK31=0)=TRUE,0,AK31+1))</f>
        <v>62</v>
      </c>
      <c r="AK31" s="64">
        <f t="shared" ref="AK31" si="241">IF(AND(AK32=1,AL32=0)=TRUE,1,IF(AND(AK32=0,AL32=0,AL31=0)=TRUE,0,AL31+1))</f>
        <v>61</v>
      </c>
      <c r="AL31" s="64">
        <f t="shared" ref="AL31" si="242">IF(AND(AL32=1,AM32=0)=TRUE,1,IF(AND(AL32=0,AM32=0,AM31=0)=TRUE,0,AM31+1))</f>
        <v>60</v>
      </c>
      <c r="AM31" s="64">
        <f t="shared" ref="AM31" si="243">IF(AND(AM32=1,AN32=0)=TRUE,1,IF(AND(AM32=0,AN32=0,AN31=0)=TRUE,0,AN31+1))</f>
        <v>59</v>
      </c>
      <c r="AN31" s="64">
        <f t="shared" ref="AN31" si="244">IF(AND(AN32=1,AO32=0)=TRUE,1,IF(AND(AN32=0,AO32=0,AO31=0)=TRUE,0,AO31+1))</f>
        <v>58</v>
      </c>
      <c r="AO31" s="64">
        <f t="shared" ref="AO31" si="245">IF(AND(AO32=1,AP32=0)=TRUE,1,IF(AND(AO32=0,AP32=0,AP31=0)=TRUE,0,AP31+1))</f>
        <v>57</v>
      </c>
      <c r="AP31" s="64">
        <f t="shared" ref="AP31" si="246">IF(AND(AP32=1,AQ32=0)=TRUE,1,IF(AND(AP32=0,AQ32=0,AQ31=0)=TRUE,0,AQ31+1))</f>
        <v>56</v>
      </c>
      <c r="AQ31" s="64">
        <f t="shared" ref="AQ31" si="247">IF(AND(AQ32=1,AR32=0)=TRUE,1,IF(AND(AQ32=0,AR32=0,AR31=0)=TRUE,0,AR31+1))</f>
        <v>55</v>
      </c>
      <c r="AR31" s="64">
        <f t="shared" ref="AR31" si="248">IF(AND(AR32=1,AS32=0)=TRUE,1,IF(AND(AR32=0,AS32=0,AS31=0)=TRUE,0,AS31+1))</f>
        <v>54</v>
      </c>
      <c r="AS31" s="64">
        <f t="shared" ref="AS31" si="249">IF(AND(AS32=1,AT32=0)=TRUE,1,IF(AND(AS32=0,AT32=0,AT31=0)=TRUE,0,AT31+1))</f>
        <v>53</v>
      </c>
      <c r="AT31" s="64">
        <f t="shared" ref="AT31" si="250">IF(AND(AT32=1,AU32=0)=TRUE,1,IF(AND(AT32=0,AU32=0,AU31=0)=TRUE,0,AU31+1))</f>
        <v>52</v>
      </c>
      <c r="AU31" s="64">
        <f t="shared" ref="AU31" si="251">IF(AND(AU32=1,AV32=0)=TRUE,1,IF(AND(AU32=0,AV32=0,AV31=0)=TRUE,0,AV31+1))</f>
        <v>51</v>
      </c>
      <c r="AV31" s="64">
        <f t="shared" ref="AV31" si="252">IF(AND(AV32=1,AW32=0)=TRUE,1,IF(AND(AV32=0,AW32=0,AW31=0)=TRUE,0,AW31+1))</f>
        <v>50</v>
      </c>
      <c r="AW31" s="64">
        <f t="shared" ref="AW31" si="253">IF(AND(AW32=1,AX32=0)=TRUE,1,IF(AND(AW32=0,AX32=0,AX31=0)=TRUE,0,AX31+1))</f>
        <v>49</v>
      </c>
      <c r="AX31" s="64">
        <f t="shared" ref="AX31" si="254">IF(AND(AX32=1,AY32=0)=TRUE,1,IF(AND(AX32=0,AY32=0,AY31=0)=TRUE,0,AY31+1))</f>
        <v>48</v>
      </c>
      <c r="AY31" s="64">
        <f t="shared" ref="AY31" si="255">IF(AND(AY32=1,AZ32=0)=TRUE,1,IF(AND(AY32=0,AZ32=0,AZ31=0)=TRUE,0,AZ31+1))</f>
        <v>47</v>
      </c>
      <c r="AZ31" s="64">
        <f t="shared" ref="AZ31" si="256">IF(AND(AZ32=1,BA32=0)=TRUE,1,IF(AND(AZ32=0,BA32=0,BA31=0)=TRUE,0,BA31+1))</f>
        <v>46</v>
      </c>
      <c r="BA31" s="64">
        <f t="shared" ref="BA31" si="257">IF(AND(BA32=1,BB32=0)=TRUE,1,IF(AND(BA32=0,BB32=0,BB31=0)=TRUE,0,BB31+1))</f>
        <v>45</v>
      </c>
      <c r="BB31" s="64">
        <f t="shared" ref="BB31" si="258">IF(AND(BB32=1,BC32=0)=TRUE,1,IF(AND(BB32=0,BC32=0,BC31=0)=TRUE,0,BC31+1))</f>
        <v>44</v>
      </c>
      <c r="BC31" s="64">
        <f t="shared" ref="BC31" si="259">IF(AND(BC32=1,BD32=0)=TRUE,1,IF(AND(BC32=0,BD32=0,BD31=0)=TRUE,0,BD31+1))</f>
        <v>43</v>
      </c>
      <c r="BD31" s="64">
        <f t="shared" ref="BD31" si="260">IF(AND(BD32=1,BE32=0)=TRUE,1,IF(AND(BD32=0,BE32=0,BE31=0)=TRUE,0,BE31+1))</f>
        <v>42</v>
      </c>
      <c r="BE31" s="64">
        <f t="shared" ref="BE31" si="261">IF(AND(BE32=1,BF32=0)=TRUE,1,IF(AND(BE32=0,BF32=0,BF31=0)=TRUE,0,BF31+1))</f>
        <v>41</v>
      </c>
      <c r="BF31" s="64">
        <f t="shared" ref="BF31" si="262">IF(AND(BF32=1,BG32=0)=TRUE,1,IF(AND(BF32=0,BG32=0,BG31=0)=TRUE,0,BG31+1))</f>
        <v>40</v>
      </c>
      <c r="BG31" s="64">
        <f t="shared" ref="BG31" si="263">IF(AND(BG32=1,BH32=0)=TRUE,1,IF(AND(BG32=0,BH32=0,BH31=0)=TRUE,0,BH31+1))</f>
        <v>39</v>
      </c>
      <c r="BH31" s="64">
        <f t="shared" ref="BH31" si="264">IF(AND(BH32=1,BI32=0)=TRUE,1,IF(AND(BH32=0,BI32=0,BI31=0)=TRUE,0,BI31+1))</f>
        <v>38</v>
      </c>
      <c r="BI31" s="64">
        <f t="shared" ref="BI31" si="265">IF(AND(BI32=1,BJ32=0)=TRUE,1,IF(AND(BI32=0,BJ32=0,BJ31=0)=TRUE,0,BJ31+1))</f>
        <v>37</v>
      </c>
      <c r="BJ31" s="64">
        <f t="shared" ref="BJ31" si="266">IF(AND(BJ32=1,BK32=0)=TRUE,1,IF(AND(BJ32=0,BK32=0,BK31=0)=TRUE,0,BK31+1))</f>
        <v>36</v>
      </c>
      <c r="BK31" s="64">
        <f t="shared" ref="BK31" si="267">IF(AND(BK32=1,BL32=0)=TRUE,1,IF(AND(BK32=0,BL32=0,BL31=0)=TRUE,0,BL31+1))</f>
        <v>35</v>
      </c>
      <c r="BL31" s="64">
        <f t="shared" ref="BL31" si="268">IF(AND(BL32=1,BM32=0)=TRUE,1,IF(AND(BL32=0,BM32=0,BM31=0)=TRUE,0,BM31+1))</f>
        <v>34</v>
      </c>
      <c r="BM31" s="64">
        <f t="shared" ref="BM31" si="269">IF(AND(BM32=1,BN32=0)=TRUE,1,IF(AND(BM32=0,BN32=0,BN31=0)=TRUE,0,BN31+1))</f>
        <v>33</v>
      </c>
      <c r="BN31" s="64">
        <f t="shared" ref="BN31" si="270">IF(AND(BN32=1,BO32=0)=TRUE,1,IF(AND(BN32=0,BO32=0,BO31=0)=TRUE,0,BO31+1))</f>
        <v>32</v>
      </c>
      <c r="BO31" s="64">
        <f t="shared" ref="BO31" si="271">IF(AND(BO32=1,BP32=0)=TRUE,1,IF(AND(BO32=0,BP32=0,BP31=0)=TRUE,0,BP31+1))</f>
        <v>31</v>
      </c>
      <c r="BP31" s="64">
        <f t="shared" ref="BP31" si="272">IF(AND(BP32=1,BQ32=0)=TRUE,1,IF(AND(BP32=0,BQ32=0,BQ31=0)=TRUE,0,BQ31+1))</f>
        <v>30</v>
      </c>
      <c r="BQ31" s="64">
        <f t="shared" ref="BQ31" si="273">IF(AND(BQ32=1,BR32=0)=TRUE,1,IF(AND(BQ32=0,BR32=0,BR31=0)=TRUE,0,BR31+1))</f>
        <v>29</v>
      </c>
      <c r="BR31" s="64">
        <f t="shared" ref="BR31" si="274">IF(AND(BR32=1,BS32=0)=TRUE,1,IF(AND(BR32=0,BS32=0,BS31=0)=TRUE,0,BS31+1))</f>
        <v>28</v>
      </c>
      <c r="BS31" s="64">
        <f t="shared" ref="BS31" si="275">IF(AND(BS32=1,BT32=0)=TRUE,1,IF(AND(BS32=0,BT32=0,BT31=0)=TRUE,0,BT31+1))</f>
        <v>27</v>
      </c>
      <c r="BT31" s="64">
        <f t="shared" ref="BT31" si="276">IF(AND(BT32=1,BU32=0)=TRUE,1,IF(AND(BT32=0,BU32=0,BU31=0)=TRUE,0,BU31+1))</f>
        <v>26</v>
      </c>
      <c r="BU31" s="64">
        <f t="shared" ref="BU31" si="277">IF(AND(BU32=1,BV32=0)=TRUE,1,IF(AND(BU32=0,BV32=0,BV31=0)=TRUE,0,BV31+1))</f>
        <v>25</v>
      </c>
      <c r="BV31" s="64">
        <f t="shared" ref="BV31" si="278">IF(AND(BV32=1,BW32=0)=TRUE,1,IF(AND(BV32=0,BW32=0,BW31=0)=TRUE,0,BW31+1))</f>
        <v>24</v>
      </c>
      <c r="BW31" s="64">
        <f t="shared" ref="BW31" si="279">IF(AND(BW32=1,BX32=0)=TRUE,1,IF(AND(BW32=0,BX32=0,BX31=0)=TRUE,0,BX31+1))</f>
        <v>23</v>
      </c>
      <c r="BX31" s="64">
        <f t="shared" ref="BX31" si="280">IF(AND(BX32=1,BY32=0)=TRUE,1,IF(AND(BX32=0,BY32=0,BY31=0)=TRUE,0,BY31+1))</f>
        <v>22</v>
      </c>
      <c r="BY31" s="64">
        <f t="shared" ref="BY31" si="281">IF(AND(BY32=1,BZ32=0)=TRUE,1,IF(AND(BY32=0,BZ32=0,BZ31=0)=TRUE,0,BZ31+1))</f>
        <v>21</v>
      </c>
      <c r="BZ31" s="64">
        <f t="shared" ref="BZ31" si="282">IF(AND(BZ32=1,CA32=0)=TRUE,1,IF(AND(BZ32=0,CA32=0,CA31=0)=TRUE,0,CA31+1))</f>
        <v>20</v>
      </c>
      <c r="CA31" s="64">
        <f t="shared" ref="CA31" si="283">IF(AND(CA32=1,CB32=0)=TRUE,1,IF(AND(CA32=0,CB32=0,CB31=0)=TRUE,0,CB31+1))</f>
        <v>19</v>
      </c>
      <c r="CB31" s="64">
        <f t="shared" ref="CB31" si="284">IF(AND(CB32=1,CC32=0)=TRUE,1,IF(AND(CB32=0,CC32=0,CC31=0)=TRUE,0,CC31+1))</f>
        <v>18</v>
      </c>
      <c r="CC31" s="64">
        <f t="shared" ref="CC31" si="285">IF(AND(CC32=1,CD32=0)=TRUE,1,IF(AND(CC32=0,CD32=0,CD31=0)=TRUE,0,CD31+1))</f>
        <v>17</v>
      </c>
      <c r="CD31" s="64">
        <f t="shared" ref="CD31" si="286">IF(AND(CD32=1,CE32=0)=TRUE,1,IF(AND(CD32=0,CE32=0,CE31=0)=TRUE,0,CE31+1))</f>
        <v>16</v>
      </c>
      <c r="CE31" s="64">
        <f t="shared" ref="CE31" si="287">IF(AND(CE32=1,CF32=0)=TRUE,1,IF(AND(CE32=0,CF32=0,CF31=0)=TRUE,0,CF31+1))</f>
        <v>15</v>
      </c>
      <c r="CF31" s="64">
        <f t="shared" ref="CF31" si="288">IF(AND(CF32=1,CG32=0)=TRUE,1,IF(AND(CF32=0,CG32=0,CG31=0)=TRUE,0,CG31+1))</f>
        <v>14</v>
      </c>
      <c r="CG31" s="64">
        <f t="shared" ref="CG31" si="289">IF(AND(CG32=1,CH32=0)=TRUE,1,IF(AND(CG32=0,CH32=0,CH31=0)=TRUE,0,CH31+1))</f>
        <v>13</v>
      </c>
      <c r="CH31" s="64">
        <f t="shared" ref="CH31" si="290">IF(AND(CH32=1,CI32=0)=TRUE,1,IF(AND(CH32=0,CI32=0,CI31=0)=TRUE,0,CI31+1))</f>
        <v>12</v>
      </c>
      <c r="CI31" s="64">
        <f t="shared" ref="CI31" si="291">IF(AND(CI32=1,CJ32=0)=TRUE,1,IF(AND(CI32=0,CJ32=0,CJ31=0)=TRUE,0,CJ31+1))</f>
        <v>11</v>
      </c>
      <c r="CJ31" s="64">
        <f t="shared" ref="CJ31" si="292">IF(AND(CJ32=1,CK32=0)=TRUE,1,IF(AND(CJ32=0,CK32=0,CK31=0)=TRUE,0,CK31+1))</f>
        <v>10</v>
      </c>
      <c r="CK31" s="64">
        <f t="shared" ref="CK31" si="293">IF(AND(CK32=1,CL32=0)=TRUE,1,IF(AND(CK32=0,CL32=0,CL31=0)=TRUE,0,CL31+1))</f>
        <v>9</v>
      </c>
      <c r="CL31" s="64">
        <f t="shared" ref="CL31" si="294">IF(AND(CL32=1,CM32=0)=TRUE,1,IF(AND(CL32=0,CM32=0,CM31=0)=TRUE,0,CM31+1))</f>
        <v>8</v>
      </c>
      <c r="CM31" s="64">
        <f t="shared" ref="CM31" si="295">IF(AND(CM32=1,CN32=0)=TRUE,1,IF(AND(CM32=0,CN32=0,CN31=0)=TRUE,0,CN31+1))</f>
        <v>7</v>
      </c>
      <c r="CN31" s="64">
        <f t="shared" ref="CN31" si="296">IF(AND(CN32=1,CO32=0)=TRUE,1,IF(AND(CN32=0,CO32=0,CO31=0)=TRUE,0,CO31+1))</f>
        <v>6</v>
      </c>
      <c r="CO31" s="64">
        <f t="shared" ref="CO31" si="297">IF(AND(CO32=1,CP32=0)=TRUE,1,IF(AND(CO32=0,CP32=0,CP31=0)=TRUE,0,CP31+1))</f>
        <v>5</v>
      </c>
      <c r="CP31" s="64">
        <f t="shared" ref="CP31" si="298">IF(AND(CP32=1,CQ32=0)=TRUE,1,IF(AND(CP32=0,CQ32=0,CQ31=0)=TRUE,0,CQ31+1))</f>
        <v>4</v>
      </c>
      <c r="CQ31" s="64">
        <f t="shared" ref="CQ31" si="299">IF(AND(CQ32=1,CR32=0)=TRUE,1,IF(AND(CQ32=0,CR32=0,CR31=0)=TRUE,0,CR31+1))</f>
        <v>3</v>
      </c>
      <c r="CR31" s="64">
        <f t="shared" ref="CR31:CS31" si="300">IF(AND(CR32=1,CS32=0)=TRUE,1,IF(AND(CR32=0,CS32=0,CS31=0)=TRUE,0,CS31+1))</f>
        <v>2</v>
      </c>
      <c r="CS31" s="64">
        <f t="shared" si="300"/>
        <v>1</v>
      </c>
    </row>
    <row r="32" spans="1:97" s="64" customFormat="1" x14ac:dyDescent="0.35">
      <c r="A32" s="74"/>
      <c r="B32" s="64">
        <f>IF(SUM(B36:B43)&gt;1,1,0)</f>
        <v>1</v>
      </c>
      <c r="C32" s="64">
        <f t="shared" ref="C32:Z32" si="301">IF(SUM(C36:C43)&gt;1,1,0)</f>
        <v>1</v>
      </c>
      <c r="D32" s="64">
        <f t="shared" si="301"/>
        <v>1</v>
      </c>
      <c r="E32" s="64">
        <f t="shared" si="301"/>
        <v>1</v>
      </c>
      <c r="F32" s="64">
        <f t="shared" si="301"/>
        <v>1</v>
      </c>
      <c r="G32" s="64">
        <f t="shared" si="301"/>
        <v>1</v>
      </c>
      <c r="H32" s="64">
        <f t="shared" si="301"/>
        <v>1</v>
      </c>
      <c r="I32" s="64">
        <f t="shared" si="301"/>
        <v>1</v>
      </c>
      <c r="J32" s="64">
        <f t="shared" si="301"/>
        <v>1</v>
      </c>
      <c r="K32" s="64">
        <f t="shared" si="301"/>
        <v>1</v>
      </c>
      <c r="L32" s="64">
        <f t="shared" si="301"/>
        <v>1</v>
      </c>
      <c r="M32" s="64">
        <f t="shared" si="301"/>
        <v>1</v>
      </c>
      <c r="N32" s="64">
        <f t="shared" si="301"/>
        <v>1</v>
      </c>
      <c r="O32" s="64">
        <f t="shared" si="301"/>
        <v>1</v>
      </c>
      <c r="P32" s="64">
        <f t="shared" si="301"/>
        <v>1</v>
      </c>
      <c r="Q32" s="64">
        <f t="shared" si="301"/>
        <v>1</v>
      </c>
      <c r="R32" s="64">
        <f t="shared" si="301"/>
        <v>1</v>
      </c>
      <c r="S32" s="64">
        <f t="shared" si="301"/>
        <v>1</v>
      </c>
      <c r="T32" s="64">
        <f t="shared" si="301"/>
        <v>1</v>
      </c>
      <c r="U32" s="64">
        <f t="shared" si="301"/>
        <v>1</v>
      </c>
      <c r="V32" s="64">
        <f t="shared" si="301"/>
        <v>1</v>
      </c>
      <c r="W32" s="64">
        <f t="shared" si="301"/>
        <v>1</v>
      </c>
      <c r="X32" s="64">
        <f t="shared" si="301"/>
        <v>1</v>
      </c>
      <c r="Y32" s="64">
        <f t="shared" si="301"/>
        <v>1</v>
      </c>
      <c r="Z32" s="64">
        <f t="shared" si="301"/>
        <v>1</v>
      </c>
      <c r="AA32" s="64">
        <f t="shared" ref="AA32:AW32" si="302">IF(SUM(AA36:AA43)&gt;1,1,0)</f>
        <v>1</v>
      </c>
      <c r="AB32" s="64">
        <f t="shared" si="302"/>
        <v>1</v>
      </c>
      <c r="AC32" s="64">
        <f t="shared" si="302"/>
        <v>1</v>
      </c>
      <c r="AD32" s="64">
        <f t="shared" si="302"/>
        <v>1</v>
      </c>
      <c r="AE32" s="64">
        <f t="shared" si="302"/>
        <v>1</v>
      </c>
      <c r="AF32" s="64">
        <f t="shared" si="302"/>
        <v>1</v>
      </c>
      <c r="AG32" s="64">
        <f t="shared" si="302"/>
        <v>1</v>
      </c>
      <c r="AH32" s="64">
        <f t="shared" si="302"/>
        <v>1</v>
      </c>
      <c r="AI32" s="64">
        <f t="shared" si="302"/>
        <v>1</v>
      </c>
      <c r="AJ32" s="64">
        <f t="shared" si="302"/>
        <v>1</v>
      </c>
      <c r="AK32" s="64">
        <f t="shared" si="302"/>
        <v>1</v>
      </c>
      <c r="AL32" s="64">
        <f t="shared" si="302"/>
        <v>1</v>
      </c>
      <c r="AM32" s="64">
        <f t="shared" si="302"/>
        <v>1</v>
      </c>
      <c r="AN32" s="64">
        <f t="shared" si="302"/>
        <v>1</v>
      </c>
      <c r="AO32" s="64">
        <f t="shared" si="302"/>
        <v>1</v>
      </c>
      <c r="AP32" s="64">
        <f t="shared" si="302"/>
        <v>1</v>
      </c>
      <c r="AQ32" s="64">
        <f t="shared" si="302"/>
        <v>1</v>
      </c>
      <c r="AR32" s="64">
        <f t="shared" si="302"/>
        <v>1</v>
      </c>
      <c r="AS32" s="64">
        <f t="shared" si="302"/>
        <v>1</v>
      </c>
      <c r="AT32" s="64">
        <f t="shared" si="302"/>
        <v>1</v>
      </c>
      <c r="AU32" s="64">
        <f t="shared" si="302"/>
        <v>1</v>
      </c>
      <c r="AV32" s="64">
        <f t="shared" si="302"/>
        <v>1</v>
      </c>
      <c r="AW32" s="64">
        <f t="shared" si="302"/>
        <v>1</v>
      </c>
      <c r="AX32" s="64">
        <f t="shared" ref="AX32:BI32" si="303">IF(SUM(AX36:AX43)&gt;1,1,0)</f>
        <v>1</v>
      </c>
      <c r="AY32" s="64">
        <f t="shared" si="303"/>
        <v>1</v>
      </c>
      <c r="AZ32" s="64">
        <f t="shared" si="303"/>
        <v>1</v>
      </c>
      <c r="BA32" s="64">
        <f t="shared" si="303"/>
        <v>1</v>
      </c>
      <c r="BB32" s="64">
        <f t="shared" si="303"/>
        <v>1</v>
      </c>
      <c r="BC32" s="64">
        <f t="shared" si="303"/>
        <v>1</v>
      </c>
      <c r="BD32" s="64">
        <f t="shared" si="303"/>
        <v>1</v>
      </c>
      <c r="BE32" s="64">
        <f t="shared" si="303"/>
        <v>1</v>
      </c>
      <c r="BF32" s="64">
        <f t="shared" si="303"/>
        <v>1</v>
      </c>
      <c r="BG32" s="64">
        <f t="shared" si="303"/>
        <v>1</v>
      </c>
      <c r="BH32" s="64">
        <f t="shared" si="303"/>
        <v>1</v>
      </c>
      <c r="BI32" s="64">
        <f t="shared" si="303"/>
        <v>1</v>
      </c>
      <c r="BJ32" s="64">
        <f t="shared" ref="BJ32:BW32" si="304">IF(SUM(BJ36:BJ43)&gt;1,1,0)</f>
        <v>1</v>
      </c>
      <c r="BK32" s="64">
        <f t="shared" si="304"/>
        <v>1</v>
      </c>
      <c r="BL32" s="64">
        <f t="shared" si="304"/>
        <v>1</v>
      </c>
      <c r="BM32" s="64">
        <f t="shared" si="304"/>
        <v>1</v>
      </c>
      <c r="BN32" s="64">
        <f t="shared" si="304"/>
        <v>1</v>
      </c>
      <c r="BO32" s="64">
        <f t="shared" si="304"/>
        <v>1</v>
      </c>
      <c r="BP32" s="64">
        <f t="shared" si="304"/>
        <v>1</v>
      </c>
      <c r="BQ32" s="64">
        <f t="shared" si="304"/>
        <v>1</v>
      </c>
      <c r="BR32" s="64">
        <f t="shared" si="304"/>
        <v>1</v>
      </c>
      <c r="BS32" s="64">
        <f t="shared" si="304"/>
        <v>1</v>
      </c>
      <c r="BT32" s="64">
        <f t="shared" si="304"/>
        <v>1</v>
      </c>
      <c r="BU32" s="64">
        <f t="shared" si="304"/>
        <v>1</v>
      </c>
      <c r="BV32" s="64">
        <f t="shared" si="304"/>
        <v>1</v>
      </c>
      <c r="BW32" s="64">
        <f t="shared" si="304"/>
        <v>1</v>
      </c>
      <c r="BX32" s="64">
        <f t="shared" ref="BX32:CG32" si="305">IF(SUM(BX36:BX43)&gt;1,1,0)</f>
        <v>1</v>
      </c>
      <c r="BY32" s="64">
        <f t="shared" si="305"/>
        <v>1</v>
      </c>
      <c r="BZ32" s="64">
        <f t="shared" si="305"/>
        <v>1</v>
      </c>
      <c r="CA32" s="64">
        <f t="shared" si="305"/>
        <v>1</v>
      </c>
      <c r="CB32" s="64">
        <f t="shared" si="305"/>
        <v>1</v>
      </c>
      <c r="CC32" s="64">
        <f t="shared" si="305"/>
        <v>1</v>
      </c>
      <c r="CD32" s="64">
        <f t="shared" si="305"/>
        <v>1</v>
      </c>
      <c r="CE32" s="64">
        <f t="shared" si="305"/>
        <v>1</v>
      </c>
      <c r="CF32" s="64">
        <f t="shared" si="305"/>
        <v>1</v>
      </c>
      <c r="CG32" s="64">
        <f t="shared" si="305"/>
        <v>1</v>
      </c>
      <c r="CH32" s="64">
        <f t="shared" ref="CH32:CS32" si="306">IF(SUM(CH36:CH43)&gt;1,1,0)</f>
        <v>1</v>
      </c>
      <c r="CI32" s="64">
        <f t="shared" si="306"/>
        <v>1</v>
      </c>
      <c r="CJ32" s="64">
        <f t="shared" si="306"/>
        <v>1</v>
      </c>
      <c r="CK32" s="64">
        <f t="shared" si="306"/>
        <v>1</v>
      </c>
      <c r="CL32" s="64">
        <f t="shared" si="306"/>
        <v>1</v>
      </c>
      <c r="CM32" s="64">
        <f t="shared" si="306"/>
        <v>1</v>
      </c>
      <c r="CN32" s="64">
        <f t="shared" si="306"/>
        <v>1</v>
      </c>
      <c r="CO32" s="64">
        <f t="shared" si="306"/>
        <v>1</v>
      </c>
      <c r="CP32" s="64">
        <f t="shared" si="306"/>
        <v>1</v>
      </c>
      <c r="CQ32" s="64">
        <f t="shared" si="306"/>
        <v>1</v>
      </c>
      <c r="CR32" s="64">
        <f t="shared" si="306"/>
        <v>1</v>
      </c>
      <c r="CS32" s="64">
        <f t="shared" si="306"/>
        <v>1</v>
      </c>
    </row>
    <row r="33" spans="1:97" s="64" customFormat="1" x14ac:dyDescent="0.35">
      <c r="A33" s="74"/>
      <c r="B33" s="64" t="s">
        <v>136</v>
      </c>
      <c r="C33" s="64" t="s">
        <v>136</v>
      </c>
      <c r="D33" s="64" t="s">
        <v>136</v>
      </c>
      <c r="E33" s="64" t="s">
        <v>136</v>
      </c>
      <c r="F33" s="64" t="s">
        <v>136</v>
      </c>
      <c r="G33" s="64" t="s">
        <v>136</v>
      </c>
      <c r="H33" s="64" t="s">
        <v>136</v>
      </c>
      <c r="I33" s="64" t="s">
        <v>136</v>
      </c>
      <c r="J33" s="64" t="s">
        <v>136</v>
      </c>
      <c r="K33" s="64" t="s">
        <v>136</v>
      </c>
      <c r="L33" s="64" t="s">
        <v>136</v>
      </c>
      <c r="M33" s="64" t="s">
        <v>136</v>
      </c>
      <c r="N33" s="64" t="s">
        <v>135</v>
      </c>
      <c r="O33" s="64" t="s">
        <v>135</v>
      </c>
      <c r="P33" s="64" t="s">
        <v>135</v>
      </c>
      <c r="Q33" s="64" t="s">
        <v>135</v>
      </c>
      <c r="R33" s="64" t="s">
        <v>135</v>
      </c>
      <c r="S33" s="64" t="s">
        <v>135</v>
      </c>
      <c r="T33" s="64" t="s">
        <v>135</v>
      </c>
      <c r="U33" s="64" t="s">
        <v>135</v>
      </c>
      <c r="V33" s="64" t="s">
        <v>135</v>
      </c>
      <c r="W33" s="64" t="s">
        <v>135</v>
      </c>
      <c r="X33" s="64" t="s">
        <v>135</v>
      </c>
      <c r="Y33" s="64" t="s">
        <v>135</v>
      </c>
      <c r="Z33" s="64" t="s">
        <v>207</v>
      </c>
      <c r="AA33" s="64" t="s">
        <v>207</v>
      </c>
      <c r="AB33" s="64" t="s">
        <v>207</v>
      </c>
      <c r="AC33" s="64" t="s">
        <v>207</v>
      </c>
      <c r="AD33" s="64" t="s">
        <v>207</v>
      </c>
      <c r="AE33" s="64" t="s">
        <v>207</v>
      </c>
      <c r="AF33" s="64" t="s">
        <v>207</v>
      </c>
      <c r="AG33" s="64" t="s">
        <v>207</v>
      </c>
      <c r="AH33" s="64" t="s">
        <v>207</v>
      </c>
      <c r="AI33" s="64" t="s">
        <v>207</v>
      </c>
      <c r="AJ33" s="64" t="s">
        <v>207</v>
      </c>
      <c r="AK33" s="64" t="s">
        <v>207</v>
      </c>
      <c r="AL33" s="64" t="s">
        <v>251</v>
      </c>
      <c r="AM33" s="64" t="s">
        <v>251</v>
      </c>
      <c r="AN33" s="64" t="s">
        <v>251</v>
      </c>
      <c r="AO33" s="64" t="s">
        <v>251</v>
      </c>
      <c r="AP33" s="64" t="s">
        <v>251</v>
      </c>
      <c r="AQ33" s="64" t="s">
        <v>251</v>
      </c>
      <c r="AR33" s="64" t="s">
        <v>251</v>
      </c>
      <c r="AS33" s="64" t="s">
        <v>251</v>
      </c>
      <c r="AT33" s="64" t="s">
        <v>251</v>
      </c>
      <c r="AU33" s="64" t="s">
        <v>251</v>
      </c>
      <c r="AV33" s="64" t="s">
        <v>251</v>
      </c>
      <c r="AW33" s="64" t="s">
        <v>251</v>
      </c>
      <c r="AX33" s="64" t="s">
        <v>259</v>
      </c>
      <c r="AY33" s="64" t="s">
        <v>259</v>
      </c>
      <c r="AZ33" s="64" t="s">
        <v>259</v>
      </c>
      <c r="BA33" s="64" t="s">
        <v>259</v>
      </c>
      <c r="BB33" s="64" t="s">
        <v>259</v>
      </c>
      <c r="BC33" s="64" t="s">
        <v>259</v>
      </c>
      <c r="BD33" s="64" t="s">
        <v>259</v>
      </c>
      <c r="BE33" s="64" t="s">
        <v>259</v>
      </c>
      <c r="BF33" s="64" t="s">
        <v>259</v>
      </c>
      <c r="BG33" s="64" t="s">
        <v>259</v>
      </c>
      <c r="BH33" s="64" t="s">
        <v>259</v>
      </c>
      <c r="BI33" s="64" t="s">
        <v>259</v>
      </c>
      <c r="BJ33" s="64" t="s">
        <v>406</v>
      </c>
      <c r="BK33" s="64" t="s">
        <v>407</v>
      </c>
      <c r="BL33" s="64" t="s">
        <v>408</v>
      </c>
      <c r="BM33" s="64" t="s">
        <v>409</v>
      </c>
      <c r="BN33" s="64" t="s">
        <v>410</v>
      </c>
      <c r="BO33" s="64" t="s">
        <v>411</v>
      </c>
      <c r="BP33" s="64" t="s">
        <v>412</v>
      </c>
      <c r="BQ33" s="64" t="s">
        <v>413</v>
      </c>
      <c r="BR33" s="64" t="s">
        <v>414</v>
      </c>
      <c r="BS33" s="64" t="s">
        <v>415</v>
      </c>
      <c r="BT33" s="64" t="s">
        <v>416</v>
      </c>
      <c r="BU33" s="64" t="s">
        <v>417</v>
      </c>
      <c r="BV33" s="64" t="s">
        <v>418</v>
      </c>
      <c r="BW33" s="64" t="s">
        <v>419</v>
      </c>
      <c r="BX33" s="64" t="s">
        <v>472</v>
      </c>
      <c r="BY33" s="64" t="s">
        <v>473</v>
      </c>
      <c r="BZ33" s="64" t="s">
        <v>474</v>
      </c>
      <c r="CA33" s="64" t="s">
        <v>475</v>
      </c>
      <c r="CB33" s="64" t="s">
        <v>476</v>
      </c>
      <c r="CC33" s="64" t="s">
        <v>477</v>
      </c>
      <c r="CD33" s="64" t="s">
        <v>484</v>
      </c>
      <c r="CE33" s="64" t="s">
        <v>485</v>
      </c>
      <c r="CF33" s="64" t="s">
        <v>486</v>
      </c>
      <c r="CG33" s="64" t="s">
        <v>487</v>
      </c>
      <c r="CH33" s="64" t="s">
        <v>506</v>
      </c>
      <c r="CI33" s="64" t="s">
        <v>507</v>
      </c>
      <c r="CJ33" s="64" t="s">
        <v>508</v>
      </c>
      <c r="CK33" s="64" t="s">
        <v>509</v>
      </c>
      <c r="CL33" s="64" t="s">
        <v>510</v>
      </c>
      <c r="CM33" s="64" t="s">
        <v>511</v>
      </c>
      <c r="CN33" s="64" t="s">
        <v>512</v>
      </c>
      <c r="CO33" s="64" t="s">
        <v>513</v>
      </c>
      <c r="CP33" s="64" t="s">
        <v>514</v>
      </c>
      <c r="CQ33" s="64" t="s">
        <v>515</v>
      </c>
      <c r="CR33" s="64" t="s">
        <v>516</v>
      </c>
      <c r="CS33" s="64" t="s">
        <v>517</v>
      </c>
    </row>
    <row r="34" spans="1:97" s="64" customFormat="1" x14ac:dyDescent="0.35">
      <c r="A34" s="74"/>
      <c r="B34" s="64" t="s">
        <v>19</v>
      </c>
      <c r="C34" s="64" t="s">
        <v>20</v>
      </c>
      <c r="D34" s="64" t="s">
        <v>21</v>
      </c>
      <c r="E34" s="64" t="s">
        <v>22</v>
      </c>
      <c r="F34" s="64" t="s">
        <v>23</v>
      </c>
      <c r="G34" s="64" t="s">
        <v>24</v>
      </c>
      <c r="H34" s="64" t="s">
        <v>25</v>
      </c>
      <c r="I34" s="64" t="s">
        <v>26</v>
      </c>
      <c r="J34" s="64" t="s">
        <v>27</v>
      </c>
      <c r="K34" s="64" t="s">
        <v>28</v>
      </c>
      <c r="L34" s="64" t="s">
        <v>29</v>
      </c>
      <c r="M34" s="64" t="s">
        <v>30</v>
      </c>
      <c r="N34" s="64" t="s">
        <v>19</v>
      </c>
      <c r="O34" s="64" t="s">
        <v>20</v>
      </c>
      <c r="P34" s="64" t="s">
        <v>21</v>
      </c>
      <c r="Q34" s="64" t="s">
        <v>22</v>
      </c>
      <c r="R34" s="64" t="s">
        <v>23</v>
      </c>
      <c r="S34" s="64" t="s">
        <v>24</v>
      </c>
      <c r="T34" s="64" t="s">
        <v>25</v>
      </c>
      <c r="U34" s="64" t="s">
        <v>26</v>
      </c>
      <c r="V34" s="64" t="s">
        <v>27</v>
      </c>
      <c r="W34" s="64" t="s">
        <v>28</v>
      </c>
      <c r="X34" s="64" t="s">
        <v>29</v>
      </c>
      <c r="Y34" s="64" t="s">
        <v>30</v>
      </c>
      <c r="Z34" s="64" t="s">
        <v>19</v>
      </c>
      <c r="AA34" s="64" t="s">
        <v>20</v>
      </c>
      <c r="AB34" s="64" t="s">
        <v>21</v>
      </c>
      <c r="AC34" s="64" t="s">
        <v>22</v>
      </c>
      <c r="AD34" s="64" t="s">
        <v>23</v>
      </c>
      <c r="AE34" s="64" t="s">
        <v>24</v>
      </c>
      <c r="AF34" s="64" t="s">
        <v>25</v>
      </c>
      <c r="AG34" s="64" t="s">
        <v>26</v>
      </c>
      <c r="AH34" s="64" t="s">
        <v>27</v>
      </c>
      <c r="AI34" s="64" t="s">
        <v>28</v>
      </c>
      <c r="AJ34" s="64" t="s">
        <v>29</v>
      </c>
      <c r="AK34" s="64" t="s">
        <v>30</v>
      </c>
      <c r="AL34" s="64" t="s">
        <v>19</v>
      </c>
      <c r="AM34" s="64" t="s">
        <v>20</v>
      </c>
      <c r="AN34" s="64" t="s">
        <v>21</v>
      </c>
      <c r="AO34" s="64" t="s">
        <v>22</v>
      </c>
      <c r="AP34" s="64" t="s">
        <v>23</v>
      </c>
      <c r="AQ34" s="64" t="s">
        <v>24</v>
      </c>
      <c r="AR34" s="64" t="s">
        <v>25</v>
      </c>
      <c r="AS34" s="64" t="s">
        <v>26</v>
      </c>
      <c r="AT34" s="64" t="s">
        <v>27</v>
      </c>
      <c r="AU34" s="64" t="s">
        <v>28</v>
      </c>
      <c r="AV34" s="64" t="s">
        <v>29</v>
      </c>
      <c r="AW34" s="64" t="s">
        <v>30</v>
      </c>
      <c r="AX34" s="64" t="s">
        <v>19</v>
      </c>
      <c r="AY34" s="64" t="s">
        <v>20</v>
      </c>
      <c r="AZ34" s="64" t="s">
        <v>21</v>
      </c>
      <c r="BA34" s="64" t="s">
        <v>22</v>
      </c>
      <c r="BB34" s="64" t="s">
        <v>23</v>
      </c>
      <c r="BC34" s="64" t="s">
        <v>24</v>
      </c>
      <c r="BD34" s="64" t="s">
        <v>25</v>
      </c>
      <c r="BE34" s="64" t="s">
        <v>26</v>
      </c>
      <c r="BF34" s="64" t="s">
        <v>27</v>
      </c>
      <c r="BG34" s="64" t="s">
        <v>28</v>
      </c>
      <c r="BH34" s="64" t="s">
        <v>29</v>
      </c>
      <c r="BI34" s="64" t="s">
        <v>30</v>
      </c>
      <c r="BJ34" s="64" t="s">
        <v>19</v>
      </c>
      <c r="BK34" s="64" t="s">
        <v>20</v>
      </c>
      <c r="BL34" s="64" t="s">
        <v>21</v>
      </c>
      <c r="BM34" s="64" t="s">
        <v>22</v>
      </c>
      <c r="BN34" s="64" t="s">
        <v>23</v>
      </c>
      <c r="BO34" s="64" t="s">
        <v>24</v>
      </c>
      <c r="BP34" s="64" t="s">
        <v>25</v>
      </c>
      <c r="BQ34" s="64" t="s">
        <v>26</v>
      </c>
      <c r="BR34" s="64" t="s">
        <v>27</v>
      </c>
      <c r="BS34" s="64" t="s">
        <v>28</v>
      </c>
      <c r="BT34" s="64" t="s">
        <v>29</v>
      </c>
      <c r="BU34" s="64" t="s">
        <v>30</v>
      </c>
      <c r="BV34" s="64" t="s">
        <v>19</v>
      </c>
      <c r="BW34" s="64" t="s">
        <v>20</v>
      </c>
      <c r="BX34" s="64" t="s">
        <v>478</v>
      </c>
      <c r="BY34" s="64" t="s">
        <v>479</v>
      </c>
      <c r="BZ34" s="64" t="s">
        <v>480</v>
      </c>
      <c r="CA34" s="64" t="s">
        <v>481</v>
      </c>
      <c r="CB34" s="64" t="s">
        <v>482</v>
      </c>
      <c r="CC34" s="64" t="s">
        <v>483</v>
      </c>
      <c r="CD34" s="64" t="s">
        <v>488</v>
      </c>
      <c r="CE34" s="64" t="s">
        <v>489</v>
      </c>
      <c r="CF34" s="64" t="s">
        <v>490</v>
      </c>
      <c r="CG34" s="64" t="s">
        <v>491</v>
      </c>
      <c r="CH34" s="64" t="s">
        <v>132</v>
      </c>
      <c r="CI34" s="64" t="s">
        <v>20</v>
      </c>
      <c r="CJ34" s="64" t="s">
        <v>478</v>
      </c>
      <c r="CK34" s="64" t="s">
        <v>479</v>
      </c>
      <c r="CL34" s="64" t="s">
        <v>480</v>
      </c>
      <c r="CM34" s="64" t="s">
        <v>481</v>
      </c>
      <c r="CN34" s="64" t="s">
        <v>482</v>
      </c>
      <c r="CO34" s="64" t="s">
        <v>483</v>
      </c>
      <c r="CP34" s="64" t="s">
        <v>488</v>
      </c>
      <c r="CQ34" s="64" t="s">
        <v>489</v>
      </c>
      <c r="CR34" s="64" t="s">
        <v>490</v>
      </c>
      <c r="CS34" s="64" t="s">
        <v>491</v>
      </c>
    </row>
    <row r="35" spans="1:97" x14ac:dyDescent="0.35">
      <c r="A35" s="76"/>
      <c r="B35" s="77">
        <v>42826</v>
      </c>
      <c r="C35" s="77">
        <v>42856</v>
      </c>
      <c r="D35" s="77">
        <v>42887</v>
      </c>
      <c r="E35" s="77">
        <v>42917</v>
      </c>
      <c r="F35" s="77">
        <v>42948</v>
      </c>
      <c r="G35" s="77">
        <v>42979</v>
      </c>
      <c r="H35" s="77">
        <v>43009</v>
      </c>
      <c r="I35" s="77">
        <v>43040</v>
      </c>
      <c r="J35" s="77">
        <v>43070</v>
      </c>
      <c r="K35" s="77">
        <v>43101</v>
      </c>
      <c r="L35" s="77">
        <v>43132</v>
      </c>
      <c r="M35" s="77">
        <v>43160</v>
      </c>
      <c r="N35" s="77">
        <v>43191</v>
      </c>
      <c r="O35" s="77">
        <v>43221</v>
      </c>
      <c r="P35" s="77">
        <v>43252</v>
      </c>
      <c r="Q35" s="77">
        <v>43282</v>
      </c>
      <c r="R35" s="77">
        <v>43313</v>
      </c>
      <c r="S35" s="77">
        <v>43344</v>
      </c>
      <c r="T35" s="77">
        <v>43374</v>
      </c>
      <c r="U35" s="77">
        <v>43405</v>
      </c>
      <c r="V35" s="77">
        <v>43435</v>
      </c>
      <c r="W35" s="77">
        <v>43466</v>
      </c>
      <c r="X35" s="77">
        <v>43497</v>
      </c>
      <c r="Y35" s="77">
        <v>43525</v>
      </c>
      <c r="Z35" s="77">
        <v>43556</v>
      </c>
      <c r="AA35" s="77">
        <v>43586</v>
      </c>
      <c r="AB35" s="77">
        <v>43617</v>
      </c>
      <c r="AC35" s="77">
        <v>43647</v>
      </c>
      <c r="AD35" s="77">
        <v>43678</v>
      </c>
      <c r="AE35" s="77">
        <v>43709</v>
      </c>
      <c r="AF35" s="77">
        <v>43739</v>
      </c>
      <c r="AG35" s="77">
        <v>43770</v>
      </c>
      <c r="AH35" s="77">
        <v>43800</v>
      </c>
      <c r="AI35" s="77">
        <v>43831</v>
      </c>
      <c r="AJ35" s="77">
        <v>43862</v>
      </c>
      <c r="AK35" s="77">
        <v>43891</v>
      </c>
      <c r="AL35" s="77">
        <v>43922</v>
      </c>
      <c r="AM35" s="77">
        <v>43952</v>
      </c>
      <c r="AN35" s="77">
        <v>43983</v>
      </c>
      <c r="AO35" s="77">
        <v>44013</v>
      </c>
      <c r="AP35" s="77">
        <v>44044</v>
      </c>
      <c r="AQ35" s="77">
        <v>44075</v>
      </c>
      <c r="AR35" s="77">
        <v>44105</v>
      </c>
      <c r="AS35" s="77">
        <v>44136</v>
      </c>
      <c r="AT35" s="77">
        <v>44166</v>
      </c>
      <c r="AU35" s="77">
        <v>44197</v>
      </c>
      <c r="AV35" s="77">
        <v>44228</v>
      </c>
      <c r="AW35" s="77">
        <v>44256</v>
      </c>
      <c r="AX35" s="77">
        <v>44287</v>
      </c>
      <c r="AY35" s="77">
        <v>44317</v>
      </c>
      <c r="AZ35" s="77">
        <v>44348</v>
      </c>
      <c r="BA35" s="77">
        <v>44378</v>
      </c>
      <c r="BB35" s="77">
        <v>44409</v>
      </c>
      <c r="BC35" s="77">
        <v>44440</v>
      </c>
      <c r="BD35" s="77">
        <v>44470</v>
      </c>
      <c r="BE35" s="77">
        <v>44501</v>
      </c>
      <c r="BF35" s="77">
        <v>44531</v>
      </c>
      <c r="BG35" s="77">
        <v>44562</v>
      </c>
      <c r="BH35" s="77">
        <v>44593</v>
      </c>
      <c r="BI35" s="77">
        <v>44621</v>
      </c>
      <c r="BJ35" s="77">
        <v>44652</v>
      </c>
      <c r="BK35" s="77">
        <v>44682</v>
      </c>
      <c r="BL35" s="77">
        <v>44713</v>
      </c>
      <c r="BM35" s="77">
        <v>44743</v>
      </c>
      <c r="BN35" s="77">
        <v>44774</v>
      </c>
      <c r="BO35" s="77">
        <v>44805</v>
      </c>
      <c r="BP35" s="77">
        <v>44835</v>
      </c>
      <c r="BQ35" s="77">
        <v>44866</v>
      </c>
      <c r="BR35" s="77">
        <v>44896</v>
      </c>
      <c r="BS35" s="77">
        <v>44927</v>
      </c>
      <c r="BT35" s="77">
        <v>44958</v>
      </c>
      <c r="BU35" s="77">
        <v>44986</v>
      </c>
      <c r="BV35" s="77">
        <v>45017</v>
      </c>
      <c r="BW35" s="77">
        <v>45047</v>
      </c>
      <c r="BX35" s="77">
        <v>45078</v>
      </c>
      <c r="BY35" s="77">
        <v>45108</v>
      </c>
      <c r="BZ35" s="77">
        <v>45139</v>
      </c>
      <c r="CA35" s="77">
        <v>45170</v>
      </c>
      <c r="CB35" s="77">
        <v>45200</v>
      </c>
      <c r="CC35" s="77">
        <v>45231</v>
      </c>
      <c r="CD35" s="77">
        <v>45261</v>
      </c>
      <c r="CE35" s="77">
        <v>45292</v>
      </c>
      <c r="CF35" s="77">
        <v>45323</v>
      </c>
      <c r="CG35" s="77">
        <v>45352</v>
      </c>
      <c r="CH35" s="77">
        <v>45383</v>
      </c>
      <c r="CI35" s="77">
        <v>45413</v>
      </c>
      <c r="CJ35" s="77">
        <v>45444</v>
      </c>
      <c r="CK35" s="77">
        <v>45474</v>
      </c>
      <c r="CL35" s="77">
        <v>45505</v>
      </c>
      <c r="CM35" s="77">
        <v>45536</v>
      </c>
      <c r="CN35" s="77">
        <v>45566</v>
      </c>
      <c r="CO35" s="77">
        <v>45597</v>
      </c>
      <c r="CP35" s="77">
        <v>45627</v>
      </c>
      <c r="CQ35" s="77">
        <v>45658</v>
      </c>
      <c r="CR35" s="77">
        <v>45689</v>
      </c>
      <c r="CS35" s="77">
        <v>45717</v>
      </c>
    </row>
    <row r="36" spans="1:97" x14ac:dyDescent="0.35">
      <c r="A36" s="78" t="s">
        <v>39</v>
      </c>
      <c r="B36" s="79">
        <f>[2]Districts_Boroughs!AL55</f>
        <v>124</v>
      </c>
      <c r="C36" s="79">
        <f>[2]Districts_Boroughs!AM55</f>
        <v>126</v>
      </c>
      <c r="D36" s="79">
        <f>[2]Districts_Boroughs!AN55</f>
        <v>134</v>
      </c>
      <c r="E36" s="79">
        <f>[2]Districts_Boroughs!AO55</f>
        <v>147</v>
      </c>
      <c r="F36" s="79">
        <f>[2]Districts_Boroughs!AP55</f>
        <v>100</v>
      </c>
      <c r="G36" s="79">
        <f>[2]Districts_Boroughs!AQ55</f>
        <v>116</v>
      </c>
      <c r="H36" s="79">
        <f>[2]Districts_Boroughs!AR55</f>
        <v>107</v>
      </c>
      <c r="I36" s="79">
        <f>[2]Districts_Boroughs!AS55</f>
        <v>123</v>
      </c>
      <c r="J36" s="79">
        <f>[2]Districts_Boroughs!AT55</f>
        <v>112</v>
      </c>
      <c r="K36" s="79">
        <f>[2]Districts_Boroughs!AU55</f>
        <v>88</v>
      </c>
      <c r="L36" s="79">
        <f>[2]Districts_Boroughs!AV55</f>
        <v>95</v>
      </c>
      <c r="M36" s="79">
        <f>[2]Districts_Boroughs!AW55</f>
        <v>112</v>
      </c>
      <c r="N36" s="79">
        <f>[2]Districts_Boroughs!AX55</f>
        <v>97</v>
      </c>
      <c r="O36" s="79">
        <f>[2]Districts_Boroughs!AY55</f>
        <v>113</v>
      </c>
      <c r="P36" s="79">
        <f>[2]Districts_Boroughs!AZ55</f>
        <v>133</v>
      </c>
      <c r="Q36" s="79">
        <f>[2]Districts_Boroughs!BA55</f>
        <v>131</v>
      </c>
      <c r="R36" s="79">
        <f>[2]Districts_Boroughs!BB55</f>
        <v>120</v>
      </c>
      <c r="S36" s="79">
        <f>[2]Districts_Boroughs!BC55</f>
        <v>136</v>
      </c>
      <c r="T36" s="79">
        <f>[2]Districts_Boroughs!BD55</f>
        <v>138</v>
      </c>
      <c r="U36" s="79">
        <f>[2]Districts_Boroughs!BE55</f>
        <v>114</v>
      </c>
      <c r="V36" s="79">
        <f>[2]Districts_Boroughs!BF55</f>
        <v>157</v>
      </c>
      <c r="W36" s="79">
        <f>[2]Districts_Boroughs!BG55</f>
        <v>116</v>
      </c>
      <c r="X36" s="79">
        <f>[2]Districts_Boroughs!BH55</f>
        <v>102</v>
      </c>
      <c r="Y36" s="79">
        <f>[2]Districts_Boroughs!BI55</f>
        <v>145</v>
      </c>
      <c r="Z36" s="79">
        <f>[2]Districts_Boroughs!BJ55</f>
        <v>132</v>
      </c>
      <c r="AA36" s="79">
        <f>[2]Districts_Boroughs!BK55</f>
        <v>103</v>
      </c>
      <c r="AB36" s="79">
        <f>[2]Districts_Boroughs!BL55</f>
        <v>127</v>
      </c>
      <c r="AC36" s="79">
        <f>[2]Districts_Boroughs!BM55</f>
        <v>119</v>
      </c>
      <c r="AD36" s="79">
        <f>[2]Districts_Boroughs!BN55</f>
        <v>103</v>
      </c>
      <c r="AE36" s="79">
        <f>[2]Districts_Boroughs!BO55</f>
        <v>127</v>
      </c>
      <c r="AF36" s="79">
        <f>[2]Districts_Boroughs!BP55</f>
        <v>117</v>
      </c>
      <c r="AG36" s="79">
        <f>[2]Districts_Boroughs!BQ55</f>
        <v>127</v>
      </c>
      <c r="AH36" s="79">
        <f>[2]Districts_Boroughs!BR55</f>
        <v>134</v>
      </c>
      <c r="AI36" s="79">
        <f>[2]Districts_Boroughs!BS55</f>
        <v>141</v>
      </c>
      <c r="AJ36" s="79">
        <f>[2]Districts_Boroughs!BT55</f>
        <v>139</v>
      </c>
      <c r="AK36" s="79">
        <f>[2]Districts_Boroughs!BU55</f>
        <v>99</v>
      </c>
      <c r="AL36" s="79">
        <f>[2]Districts_Boroughs!BV55</f>
        <v>80</v>
      </c>
      <c r="AM36" s="79">
        <f>[2]Districts_Boroughs!BW55</f>
        <v>104</v>
      </c>
      <c r="AN36" s="79">
        <f>[2]Districts_Boroughs!BX55</f>
        <v>89</v>
      </c>
      <c r="AO36" s="79">
        <f>[2]Districts_Boroughs!BY55</f>
        <v>132</v>
      </c>
      <c r="AP36" s="79">
        <f>[2]Districts_Boroughs!BZ55</f>
        <v>115</v>
      </c>
      <c r="AQ36" s="79">
        <f>[2]Districts_Boroughs!CA55</f>
        <v>117</v>
      </c>
      <c r="AR36" s="79">
        <f>[2]Districts_Boroughs!CB55</f>
        <v>106</v>
      </c>
      <c r="AS36" s="79">
        <f>[2]Districts_Boroughs!CC55</f>
        <v>74</v>
      </c>
      <c r="AT36" s="79">
        <f>[2]Districts_Boroughs!CD55</f>
        <v>96</v>
      </c>
      <c r="AU36" s="79">
        <f>[2]Districts_Boroughs!CE55</f>
        <v>87</v>
      </c>
      <c r="AV36" s="79">
        <f>[2]Districts_Boroughs!CF55</f>
        <v>64</v>
      </c>
      <c r="AW36" s="79">
        <f>[2]Districts_Boroughs!CG55</f>
        <v>118</v>
      </c>
      <c r="AX36" s="79">
        <f>[2]Districts_Boroughs!CH55</f>
        <v>104</v>
      </c>
      <c r="AY36" s="79">
        <f>[2]Districts_Boroughs!CI55</f>
        <v>102</v>
      </c>
      <c r="AZ36" s="79">
        <f>[2]Districts_Boroughs!CJ55</f>
        <v>110</v>
      </c>
      <c r="BA36" s="79">
        <f>[2]Districts_Boroughs!CK55</f>
        <v>112</v>
      </c>
      <c r="BB36" s="79">
        <f>[2]Districts_Boroughs!CL55</f>
        <v>123</v>
      </c>
      <c r="BC36" s="79">
        <f>[2]Districts_Boroughs!CM55</f>
        <v>109</v>
      </c>
      <c r="BD36" s="79">
        <f>[2]Districts_Boroughs!CN55</f>
        <v>127</v>
      </c>
      <c r="BE36" s="79">
        <f>[2]Districts_Boroughs!CO55</f>
        <v>101</v>
      </c>
      <c r="BF36" s="79">
        <f>[2]Districts_Boroughs!CP55</f>
        <v>106</v>
      </c>
      <c r="BG36" s="79">
        <f>[2]Districts_Boroughs!CQ55</f>
        <v>93</v>
      </c>
      <c r="BH36" s="79">
        <f>[2]Districts_Boroughs!CR55</f>
        <v>101</v>
      </c>
      <c r="BI36" s="79">
        <f>[2]Districts_Boroughs!CS55</f>
        <v>138</v>
      </c>
      <c r="BJ36" s="79">
        <f>[2]Districts_Boroughs!CT55</f>
        <v>132</v>
      </c>
      <c r="BK36" s="79">
        <f>[2]Districts_Boroughs!CU55</f>
        <v>133</v>
      </c>
      <c r="BL36" s="79">
        <f>[2]Districts_Boroughs!CV55</f>
        <v>151</v>
      </c>
      <c r="BM36" s="79">
        <f>[2]Districts_Boroughs!CW55</f>
        <v>147</v>
      </c>
      <c r="BN36" s="79">
        <f>[2]Districts_Boroughs!CX55</f>
        <v>135</v>
      </c>
      <c r="BO36" s="79">
        <f>[2]Districts_Boroughs!CY55</f>
        <v>120</v>
      </c>
      <c r="BP36" s="79">
        <f>[2]Districts_Boroughs!CZ55</f>
        <v>131</v>
      </c>
      <c r="BQ36" s="79">
        <f>[2]Districts_Boroughs!DA55</f>
        <v>111</v>
      </c>
      <c r="BR36" s="79">
        <f>[2]Districts_Boroughs!DB55</f>
        <v>95</v>
      </c>
      <c r="BS36" s="79">
        <f>[2]Districts_Boroughs!DC55</f>
        <v>116</v>
      </c>
      <c r="BT36" s="79">
        <f>[2]Districts_Boroughs!DD55</f>
        <v>82</v>
      </c>
      <c r="BU36" s="79">
        <f>[2]Districts_Boroughs!DE55</f>
        <v>119</v>
      </c>
      <c r="BV36" s="79">
        <f>[2]Districts_Boroughs!DF55</f>
        <v>112</v>
      </c>
      <c r="BW36" s="79">
        <f>[2]Districts_Boroughs!DG55</f>
        <v>126</v>
      </c>
      <c r="BX36" s="79">
        <f>[2]Districts_Boroughs!DH55</f>
        <v>163</v>
      </c>
      <c r="BY36" s="79">
        <f>[2]Districts_Boroughs!DI55</f>
        <v>129</v>
      </c>
      <c r="BZ36" s="79">
        <f>[2]Districts_Boroughs!DJ55</f>
        <v>149</v>
      </c>
      <c r="CA36" s="79">
        <f>[2]Districts_Boroughs!DK55</f>
        <v>132</v>
      </c>
      <c r="CB36" s="79">
        <f>[2]Districts_Boroughs!DL55</f>
        <v>131</v>
      </c>
      <c r="CC36" s="79">
        <f>[2]Districts_Boroughs!DM55</f>
        <v>130</v>
      </c>
      <c r="CD36" s="79">
        <f>[2]Districts_Boroughs!DN55</f>
        <v>135</v>
      </c>
      <c r="CE36" s="79">
        <f>[2]Districts_Boroughs!DO55</f>
        <v>126</v>
      </c>
      <c r="CF36" s="79">
        <f>[2]Districts_Boroughs!DP55</f>
        <v>113</v>
      </c>
      <c r="CG36" s="79">
        <f>[2]Districts_Boroughs!DQ55</f>
        <v>123</v>
      </c>
      <c r="CH36" s="79">
        <f>[2]Districts_Boroughs!DR55</f>
        <v>141</v>
      </c>
      <c r="CI36" s="79">
        <f>[2]Districts_Boroughs!DS55</f>
        <v>157</v>
      </c>
      <c r="CJ36" s="79">
        <f>[2]Districts_Boroughs!DT55</f>
        <v>146</v>
      </c>
      <c r="CK36" s="79">
        <f>[2]Districts_Boroughs!DU55</f>
        <v>140</v>
      </c>
      <c r="CL36" s="79">
        <f>[2]Districts_Boroughs!DV55</f>
        <v>135</v>
      </c>
      <c r="CM36" s="79">
        <f>[2]Districts_Boroughs!DW55</f>
        <v>116</v>
      </c>
      <c r="CN36" s="79">
        <f>[2]Districts_Boroughs!DX55</f>
        <v>120</v>
      </c>
      <c r="CO36" s="79">
        <f>[2]Districts_Boroughs!DY55</f>
        <v>95</v>
      </c>
      <c r="CP36" s="79">
        <f>[2]Districts_Boroughs!DZ55</f>
        <v>135</v>
      </c>
      <c r="CQ36" s="79">
        <f>[2]Districts_Boroughs!EA55</f>
        <v>96</v>
      </c>
      <c r="CR36" s="79">
        <f>[2]Districts_Boroughs!EB55</f>
        <v>109</v>
      </c>
      <c r="CS36" s="79">
        <f>[2]Districts_Boroughs!EC55</f>
        <v>116</v>
      </c>
    </row>
    <row r="37" spans="1:97" x14ac:dyDescent="0.35">
      <c r="A37" s="78" t="s">
        <v>40</v>
      </c>
      <c r="B37" s="79">
        <f>[2]Districts_Boroughs!AL56</f>
        <v>187</v>
      </c>
      <c r="C37" s="79">
        <f>[2]Districts_Boroughs!AM56</f>
        <v>185</v>
      </c>
      <c r="D37" s="79">
        <f>[2]Districts_Boroughs!AN56</f>
        <v>215</v>
      </c>
      <c r="E37" s="79">
        <f>[2]Districts_Boroughs!AO56</f>
        <v>224</v>
      </c>
      <c r="F37" s="79">
        <f>[2]Districts_Boroughs!AP56</f>
        <v>186</v>
      </c>
      <c r="G37" s="79">
        <f>[2]Districts_Boroughs!AQ56</f>
        <v>153</v>
      </c>
      <c r="H37" s="79">
        <f>[2]Districts_Boroughs!AR56</f>
        <v>176</v>
      </c>
      <c r="I37" s="79">
        <f>[2]Districts_Boroughs!AS56</f>
        <v>196</v>
      </c>
      <c r="J37" s="79">
        <f>[2]Districts_Boroughs!AT56</f>
        <v>176</v>
      </c>
      <c r="K37" s="79">
        <f>[2]Districts_Boroughs!AU56</f>
        <v>185</v>
      </c>
      <c r="L37" s="79">
        <f>[2]Districts_Boroughs!AV56</f>
        <v>172</v>
      </c>
      <c r="M37" s="79">
        <f>[2]Districts_Boroughs!AW56</f>
        <v>180</v>
      </c>
      <c r="N37" s="79">
        <f>[2]Districts_Boroughs!AX56</f>
        <v>195</v>
      </c>
      <c r="O37" s="79">
        <f>[2]Districts_Boroughs!AY56</f>
        <v>224</v>
      </c>
      <c r="P37" s="79">
        <f>[2]Districts_Boroughs!AZ56</f>
        <v>247</v>
      </c>
      <c r="Q37" s="79">
        <f>[2]Districts_Boroughs!BA56</f>
        <v>220</v>
      </c>
      <c r="R37" s="79">
        <f>[2]Districts_Boroughs!BB56</f>
        <v>202</v>
      </c>
      <c r="S37" s="79">
        <f>[2]Districts_Boroughs!BC56</f>
        <v>215</v>
      </c>
      <c r="T37" s="79">
        <f>[2]Districts_Boroughs!BD56</f>
        <v>235</v>
      </c>
      <c r="U37" s="79">
        <f>[2]Districts_Boroughs!BE56</f>
        <v>224</v>
      </c>
      <c r="V37" s="79">
        <f>[2]Districts_Boroughs!BF56</f>
        <v>258</v>
      </c>
      <c r="W37" s="79">
        <f>[2]Districts_Boroughs!BG56</f>
        <v>256</v>
      </c>
      <c r="X37" s="79">
        <f>[2]Districts_Boroughs!BH56</f>
        <v>204</v>
      </c>
      <c r="Y37" s="79">
        <f>[2]Districts_Boroughs!BI56</f>
        <v>217</v>
      </c>
      <c r="Z37" s="79">
        <f>[2]Districts_Boroughs!BJ56</f>
        <v>206</v>
      </c>
      <c r="AA37" s="79">
        <f>[2]Districts_Boroughs!BK56</f>
        <v>236</v>
      </c>
      <c r="AB37" s="79">
        <f>[2]Districts_Boroughs!BL56</f>
        <v>184</v>
      </c>
      <c r="AC37" s="79">
        <f>[2]Districts_Boroughs!BM56</f>
        <v>222</v>
      </c>
      <c r="AD37" s="79">
        <f>[2]Districts_Boroughs!BN56</f>
        <v>239</v>
      </c>
      <c r="AE37" s="79">
        <f>[2]Districts_Boroughs!BO56</f>
        <v>267</v>
      </c>
      <c r="AF37" s="79">
        <f>[2]Districts_Boroughs!BP56</f>
        <v>280</v>
      </c>
      <c r="AG37" s="79">
        <f>[2]Districts_Boroughs!BQ56</f>
        <v>289</v>
      </c>
      <c r="AH37" s="79">
        <f>[2]Districts_Boroughs!BR56</f>
        <v>292</v>
      </c>
      <c r="AI37" s="79">
        <f>[2]Districts_Boroughs!BS56</f>
        <v>272</v>
      </c>
      <c r="AJ37" s="79">
        <f>[2]Districts_Boroughs!BT56</f>
        <v>278</v>
      </c>
      <c r="AK37" s="79">
        <f>[2]Districts_Boroughs!BU56</f>
        <v>245</v>
      </c>
      <c r="AL37" s="79">
        <f>[2]Districts_Boroughs!BV56</f>
        <v>212</v>
      </c>
      <c r="AM37" s="79">
        <f>[2]Districts_Boroughs!BW56</f>
        <v>233</v>
      </c>
      <c r="AN37" s="79">
        <f>[2]Districts_Boroughs!BX56</f>
        <v>272</v>
      </c>
      <c r="AO37" s="79">
        <f>[2]Districts_Boroughs!BY56</f>
        <v>317</v>
      </c>
      <c r="AP37" s="79">
        <f>[2]Districts_Boroughs!BZ56</f>
        <v>330</v>
      </c>
      <c r="AQ37" s="79">
        <f>[2]Districts_Boroughs!CA56</f>
        <v>270</v>
      </c>
      <c r="AR37" s="79">
        <f>[2]Districts_Boroughs!CB56</f>
        <v>298</v>
      </c>
      <c r="AS37" s="79">
        <f>[2]Districts_Boroughs!CC56</f>
        <v>253</v>
      </c>
      <c r="AT37" s="79">
        <f>[2]Districts_Boroughs!CD56</f>
        <v>241</v>
      </c>
      <c r="AU37" s="79">
        <f>[2]Districts_Boroughs!CE56</f>
        <v>234</v>
      </c>
      <c r="AV37" s="79">
        <f>[2]Districts_Boroughs!CF56</f>
        <v>221</v>
      </c>
      <c r="AW37" s="79">
        <f>[2]Districts_Boroughs!CG56</f>
        <v>272</v>
      </c>
      <c r="AX37" s="79">
        <f>[2]Districts_Boroughs!CH56</f>
        <v>268</v>
      </c>
      <c r="AY37" s="79">
        <f>[2]Districts_Boroughs!CI56</f>
        <v>308</v>
      </c>
      <c r="AZ37" s="79">
        <f>[2]Districts_Boroughs!CJ56</f>
        <v>285</v>
      </c>
      <c r="BA37" s="79">
        <f>[2]Districts_Boroughs!CK56</f>
        <v>309</v>
      </c>
      <c r="BB37" s="79">
        <f>[2]Districts_Boroughs!CL56</f>
        <v>241</v>
      </c>
      <c r="BC37" s="79">
        <f>[2]Districts_Boroughs!CM56</f>
        <v>315</v>
      </c>
      <c r="BD37" s="79">
        <f>[2]Districts_Boroughs!CN56</f>
        <v>284</v>
      </c>
      <c r="BE37" s="79">
        <f>[2]Districts_Boroughs!CO56</f>
        <v>323</v>
      </c>
      <c r="BF37" s="79">
        <f>[2]Districts_Boroughs!CP56</f>
        <v>277</v>
      </c>
      <c r="BG37" s="79">
        <f>[2]Districts_Boroughs!CQ56</f>
        <v>254</v>
      </c>
      <c r="BH37" s="79">
        <f>[2]Districts_Boroughs!CR56</f>
        <v>287</v>
      </c>
      <c r="BI37" s="79">
        <f>[2]Districts_Boroughs!CS56</f>
        <v>323</v>
      </c>
      <c r="BJ37" s="79">
        <f>[2]Districts_Boroughs!CT56</f>
        <v>241</v>
      </c>
      <c r="BK37" s="79">
        <f>[2]Districts_Boroughs!CU56</f>
        <v>276</v>
      </c>
      <c r="BL37" s="79">
        <f>[2]Districts_Boroughs!CV56</f>
        <v>309</v>
      </c>
      <c r="BM37" s="79">
        <f>[2]Districts_Boroughs!CW56</f>
        <v>319</v>
      </c>
      <c r="BN37" s="79">
        <f>[2]Districts_Boroughs!CX56</f>
        <v>262</v>
      </c>
      <c r="BO37" s="79">
        <f>[2]Districts_Boroughs!CY56</f>
        <v>262</v>
      </c>
      <c r="BP37" s="79">
        <f>[2]Districts_Boroughs!CZ56</f>
        <v>245</v>
      </c>
      <c r="BQ37" s="79">
        <f>[2]Districts_Boroughs!DA56</f>
        <v>253</v>
      </c>
      <c r="BR37" s="79">
        <f>[2]Districts_Boroughs!DB56</f>
        <v>244</v>
      </c>
      <c r="BS37" s="79">
        <f>[2]Districts_Boroughs!DC56</f>
        <v>230</v>
      </c>
      <c r="BT37" s="79">
        <f>[2]Districts_Boroughs!DD56</f>
        <v>277</v>
      </c>
      <c r="BU37" s="79">
        <f>[2]Districts_Boroughs!DE56</f>
        <v>312</v>
      </c>
      <c r="BV37" s="79">
        <f>[2]Districts_Boroughs!DF56</f>
        <v>292</v>
      </c>
      <c r="BW37" s="79">
        <f>[2]Districts_Boroughs!DG56</f>
        <v>250</v>
      </c>
      <c r="BX37" s="79">
        <f>[2]Districts_Boroughs!DH56</f>
        <v>245</v>
      </c>
      <c r="BY37" s="79">
        <f>[2]Districts_Boroughs!DI56</f>
        <v>272</v>
      </c>
      <c r="BZ37" s="79">
        <f>[2]Districts_Boroughs!DJ56</f>
        <v>234</v>
      </c>
      <c r="CA37" s="79">
        <f>[2]Districts_Boroughs!DK56</f>
        <v>265</v>
      </c>
      <c r="CB37" s="79">
        <f>[2]Districts_Boroughs!DL56</f>
        <v>294</v>
      </c>
      <c r="CC37" s="79">
        <f>[2]Districts_Boroughs!DM56</f>
        <v>242</v>
      </c>
      <c r="CD37" s="79">
        <f>[2]Districts_Boroughs!DN56</f>
        <v>245</v>
      </c>
      <c r="CE37" s="79">
        <f>[2]Districts_Boroughs!DO56</f>
        <v>245</v>
      </c>
      <c r="CF37" s="79">
        <f>[2]Districts_Boroughs!DP56</f>
        <v>262</v>
      </c>
      <c r="CG37" s="79">
        <f>[2]Districts_Boroughs!DQ56</f>
        <v>211</v>
      </c>
      <c r="CH37" s="79">
        <f>[2]Districts_Boroughs!DR56</f>
        <v>232</v>
      </c>
      <c r="CI37" s="79">
        <f>[2]Districts_Boroughs!DS56</f>
        <v>282</v>
      </c>
      <c r="CJ37" s="79">
        <f>[2]Districts_Boroughs!DT56</f>
        <v>257</v>
      </c>
      <c r="CK37" s="79">
        <f>[2]Districts_Boroughs!DU56</f>
        <v>276</v>
      </c>
      <c r="CL37" s="79">
        <f>[2]Districts_Boroughs!DV56</f>
        <v>214</v>
      </c>
      <c r="CM37" s="79">
        <f>[2]Districts_Boroughs!DW56</f>
        <v>250</v>
      </c>
      <c r="CN37" s="79">
        <f>[2]Districts_Boroughs!DX56</f>
        <v>226</v>
      </c>
      <c r="CO37" s="79">
        <f>[2]Districts_Boroughs!DY56</f>
        <v>224</v>
      </c>
      <c r="CP37" s="79">
        <f>[2]Districts_Boroughs!DZ56</f>
        <v>261</v>
      </c>
      <c r="CQ37" s="79">
        <f>[2]Districts_Boroughs!EA56</f>
        <v>262</v>
      </c>
      <c r="CR37" s="79">
        <f>[2]Districts_Boroughs!EB56</f>
        <v>216</v>
      </c>
      <c r="CS37" s="79">
        <f>[2]Districts_Boroughs!EC56</f>
        <v>212</v>
      </c>
    </row>
    <row r="38" spans="1:97" x14ac:dyDescent="0.35">
      <c r="A38" s="78" t="s">
        <v>5</v>
      </c>
      <c r="B38" s="79">
        <f>[2]Districts_Boroughs!AL57</f>
        <v>12</v>
      </c>
      <c r="C38" s="79">
        <f>[2]Districts_Boroughs!AM57</f>
        <v>21</v>
      </c>
      <c r="D38" s="79">
        <f>[2]Districts_Boroughs!AN57</f>
        <v>11</v>
      </c>
      <c r="E38" s="79">
        <f>[2]Districts_Boroughs!AO57</f>
        <v>2</v>
      </c>
      <c r="F38" s="79">
        <f>[2]Districts_Boroughs!AP57</f>
        <v>9</v>
      </c>
      <c r="G38" s="79">
        <f>[2]Districts_Boroughs!AQ57</f>
        <v>14</v>
      </c>
      <c r="H38" s="79">
        <f>[2]Districts_Boroughs!AR57</f>
        <v>6</v>
      </c>
      <c r="I38" s="79">
        <f>[2]Districts_Boroughs!AS57</f>
        <v>14</v>
      </c>
      <c r="J38" s="79">
        <f>[2]Districts_Boroughs!AT57</f>
        <v>3</v>
      </c>
      <c r="K38" s="79">
        <f>[2]Districts_Boroughs!AU57</f>
        <v>10</v>
      </c>
      <c r="L38" s="79">
        <f>[2]Districts_Boroughs!AV57</f>
        <v>11</v>
      </c>
      <c r="M38" s="79">
        <f>[2]Districts_Boroughs!AW57</f>
        <v>14</v>
      </c>
      <c r="N38" s="79">
        <f>[2]Districts_Boroughs!AX57</f>
        <v>8</v>
      </c>
      <c r="O38" s="79">
        <f>[2]Districts_Boroughs!AY57</f>
        <v>15</v>
      </c>
      <c r="P38" s="79">
        <f>[2]Districts_Boroughs!AZ57</f>
        <v>10</v>
      </c>
      <c r="Q38" s="79">
        <f>[2]Districts_Boroughs!BA57</f>
        <v>10</v>
      </c>
      <c r="R38" s="79">
        <f>[2]Districts_Boroughs!BB57</f>
        <v>10</v>
      </c>
      <c r="S38" s="79">
        <f>[2]Districts_Boroughs!BC57</f>
        <v>11</v>
      </c>
      <c r="T38" s="79">
        <f>[2]Districts_Boroughs!BD57</f>
        <v>5</v>
      </c>
      <c r="U38" s="79">
        <f>[2]Districts_Boroughs!BE57</f>
        <v>8</v>
      </c>
      <c r="V38" s="79">
        <f>[2]Districts_Boroughs!BF57</f>
        <v>8</v>
      </c>
      <c r="W38" s="79">
        <f>[2]Districts_Boroughs!BG57</f>
        <v>10</v>
      </c>
      <c r="X38" s="79">
        <f>[2]Districts_Boroughs!BH57</f>
        <v>6</v>
      </c>
      <c r="Y38" s="79">
        <f>[2]Districts_Boroughs!BI57</f>
        <v>10</v>
      </c>
      <c r="Z38" s="79">
        <f>[2]Districts_Boroughs!BJ57</f>
        <v>7</v>
      </c>
      <c r="AA38" s="79">
        <f>[2]Districts_Boroughs!BK57</f>
        <v>7</v>
      </c>
      <c r="AB38" s="79">
        <f>[2]Districts_Boroughs!BL57</f>
        <v>7</v>
      </c>
      <c r="AC38" s="79">
        <f>[2]Districts_Boroughs!BM57</f>
        <v>14</v>
      </c>
      <c r="AD38" s="79">
        <f>[2]Districts_Boroughs!BN57</f>
        <v>11</v>
      </c>
      <c r="AE38" s="79">
        <f>[2]Districts_Boroughs!BO57</f>
        <v>10</v>
      </c>
      <c r="AF38" s="79">
        <f>[2]Districts_Boroughs!BP57</f>
        <v>12</v>
      </c>
      <c r="AG38" s="79">
        <f>[2]Districts_Boroughs!BQ57</f>
        <v>17</v>
      </c>
      <c r="AH38" s="79">
        <f>[2]Districts_Boroughs!BR57</f>
        <v>14</v>
      </c>
      <c r="AI38" s="79">
        <f>[2]Districts_Boroughs!BS57</f>
        <v>15</v>
      </c>
      <c r="AJ38" s="79">
        <f>[2]Districts_Boroughs!BT57</f>
        <v>16</v>
      </c>
      <c r="AK38" s="79">
        <f>[2]Districts_Boroughs!BU57</f>
        <v>18</v>
      </c>
      <c r="AL38" s="79">
        <f>[2]Districts_Boroughs!BV57</f>
        <v>4</v>
      </c>
      <c r="AM38" s="79">
        <f>[2]Districts_Boroughs!BW57</f>
        <v>10</v>
      </c>
      <c r="AN38" s="79">
        <f>[2]Districts_Boroughs!BX57</f>
        <v>9</v>
      </c>
      <c r="AO38" s="79">
        <f>[2]Districts_Boroughs!BY57</f>
        <v>13</v>
      </c>
      <c r="AP38" s="79">
        <f>[2]Districts_Boroughs!BZ57</f>
        <v>19</v>
      </c>
      <c r="AQ38" s="79">
        <f>[2]Districts_Boroughs!CA57</f>
        <v>18</v>
      </c>
      <c r="AR38" s="79">
        <f>[2]Districts_Boroughs!CB57</f>
        <v>12</v>
      </c>
      <c r="AS38" s="79">
        <f>[2]Districts_Boroughs!CC57</f>
        <v>7</v>
      </c>
      <c r="AT38" s="79">
        <f>[2]Districts_Boroughs!CD57</f>
        <v>12</v>
      </c>
      <c r="AU38" s="79">
        <f>[2]Districts_Boroughs!CE57</f>
        <v>12</v>
      </c>
      <c r="AV38" s="79">
        <f>[2]Districts_Boroughs!CF57</f>
        <v>7</v>
      </c>
      <c r="AW38" s="79">
        <f>[2]Districts_Boroughs!CG57</f>
        <v>9</v>
      </c>
      <c r="AX38" s="79">
        <f>[2]Districts_Boroughs!CH57</f>
        <v>8</v>
      </c>
      <c r="AY38" s="79">
        <f>[2]Districts_Boroughs!CI57</f>
        <v>15</v>
      </c>
      <c r="AZ38" s="79">
        <f>[2]Districts_Boroughs!CJ57</f>
        <v>19</v>
      </c>
      <c r="BA38" s="79">
        <f>[2]Districts_Boroughs!CK57</f>
        <v>50</v>
      </c>
      <c r="BB38" s="79">
        <f>[2]Districts_Boroughs!CL57</f>
        <v>10</v>
      </c>
      <c r="BC38" s="79">
        <f>[2]Districts_Boroughs!CM57</f>
        <v>24</v>
      </c>
      <c r="BD38" s="79">
        <f>[2]Districts_Boroughs!CN57</f>
        <v>15</v>
      </c>
      <c r="BE38" s="79">
        <f>[2]Districts_Boroughs!CO57</f>
        <v>16</v>
      </c>
      <c r="BF38" s="79">
        <f>[2]Districts_Boroughs!CP57</f>
        <v>11</v>
      </c>
      <c r="BG38" s="79">
        <f>[2]Districts_Boroughs!CQ57</f>
        <v>4</v>
      </c>
      <c r="BH38" s="79">
        <f>[2]Districts_Boroughs!CR57</f>
        <v>24</v>
      </c>
      <c r="BI38" s="79">
        <f>[2]Districts_Boroughs!CS57</f>
        <v>19</v>
      </c>
      <c r="BJ38" s="79">
        <f>[2]Districts_Boroughs!CT57</f>
        <v>13</v>
      </c>
      <c r="BK38" s="79">
        <f>[2]Districts_Boroughs!CU57</f>
        <v>9</v>
      </c>
      <c r="BL38" s="79">
        <f>[2]Districts_Boroughs!CV57</f>
        <v>6</v>
      </c>
      <c r="BM38" s="79">
        <f>[2]Districts_Boroughs!CW57</f>
        <v>13</v>
      </c>
      <c r="BN38" s="79">
        <f>[2]Districts_Boroughs!CX57</f>
        <v>11</v>
      </c>
      <c r="BO38" s="79">
        <f>[2]Districts_Boroughs!CY57</f>
        <v>12</v>
      </c>
      <c r="BP38" s="79">
        <f>[2]Districts_Boroughs!CZ57</f>
        <v>12</v>
      </c>
      <c r="BQ38" s="79">
        <f>[2]Districts_Boroughs!DA57</f>
        <v>8</v>
      </c>
      <c r="BR38" s="79">
        <f>[2]Districts_Boroughs!DB57</f>
        <v>13</v>
      </c>
      <c r="BS38" s="79">
        <f>[2]Districts_Boroughs!DC57</f>
        <v>22</v>
      </c>
      <c r="BT38" s="79">
        <f>[2]Districts_Boroughs!DD57</f>
        <v>10</v>
      </c>
      <c r="BU38" s="79">
        <f>[2]Districts_Boroughs!DE57</f>
        <v>9</v>
      </c>
      <c r="BV38" s="79">
        <f>[2]Districts_Boroughs!DF57</f>
        <v>10</v>
      </c>
      <c r="BW38" s="79">
        <f>[2]Districts_Boroughs!DG57</f>
        <v>20</v>
      </c>
      <c r="BX38" s="79">
        <f>[2]Districts_Boroughs!DH57</f>
        <v>12</v>
      </c>
      <c r="BY38" s="79">
        <f>[2]Districts_Boroughs!DI57</f>
        <v>7</v>
      </c>
      <c r="BZ38" s="79">
        <f>[2]Districts_Boroughs!DJ57</f>
        <v>5</v>
      </c>
      <c r="CA38" s="79">
        <f>[2]Districts_Boroughs!DK57</f>
        <v>14</v>
      </c>
      <c r="CB38" s="79">
        <f>[2]Districts_Boroughs!DL57</f>
        <v>12</v>
      </c>
      <c r="CC38" s="79">
        <f>[2]Districts_Boroughs!DM57</f>
        <v>10</v>
      </c>
      <c r="CD38" s="79">
        <f>[2]Districts_Boroughs!DN57</f>
        <v>10</v>
      </c>
      <c r="CE38" s="79">
        <f>[2]Districts_Boroughs!DO57</f>
        <v>14</v>
      </c>
      <c r="CF38" s="79">
        <f>[2]Districts_Boroughs!DP57</f>
        <v>7</v>
      </c>
      <c r="CG38" s="79">
        <f>[2]Districts_Boroughs!DQ57</f>
        <v>11</v>
      </c>
      <c r="CH38" s="79">
        <f>[2]Districts_Boroughs!DR57</f>
        <v>13</v>
      </c>
      <c r="CI38" s="79">
        <f>[2]Districts_Boroughs!DS57</f>
        <v>11</v>
      </c>
      <c r="CJ38" s="79">
        <f>[2]Districts_Boroughs!DT57</f>
        <v>7</v>
      </c>
      <c r="CK38" s="79">
        <f>[2]Districts_Boroughs!DU57</f>
        <v>11</v>
      </c>
      <c r="CL38" s="79">
        <f>[2]Districts_Boroughs!DV57</f>
        <v>16</v>
      </c>
      <c r="CM38" s="79">
        <f>[2]Districts_Boroughs!DW57</f>
        <v>9</v>
      </c>
      <c r="CN38" s="79">
        <f>[2]Districts_Boroughs!DX57</f>
        <v>9</v>
      </c>
      <c r="CO38" s="79">
        <f>[2]Districts_Boroughs!DY57</f>
        <v>13</v>
      </c>
      <c r="CP38" s="79">
        <f>[2]Districts_Boroughs!DZ57</f>
        <v>11</v>
      </c>
      <c r="CQ38" s="79">
        <f>[2]Districts_Boroughs!EA57</f>
        <v>23</v>
      </c>
      <c r="CR38" s="79">
        <f>[2]Districts_Boroughs!EB57</f>
        <v>14</v>
      </c>
      <c r="CS38" s="79">
        <f>[2]Districts_Boroughs!EC57</f>
        <v>23</v>
      </c>
    </row>
    <row r="39" spans="1:97" x14ac:dyDescent="0.35">
      <c r="A39" s="78" t="s">
        <v>35</v>
      </c>
      <c r="B39" s="79">
        <f>[2]Districts_Boroughs!AL58</f>
        <v>20</v>
      </c>
      <c r="C39" s="79">
        <f>[2]Districts_Boroughs!AM58</f>
        <v>29</v>
      </c>
      <c r="D39" s="79">
        <f>[2]Districts_Boroughs!AN58</f>
        <v>23</v>
      </c>
      <c r="E39" s="79">
        <f>[2]Districts_Boroughs!AO58</f>
        <v>19</v>
      </c>
      <c r="F39" s="79">
        <f>[2]Districts_Boroughs!AP58</f>
        <v>14</v>
      </c>
      <c r="G39" s="79">
        <f>[2]Districts_Boroughs!AQ58</f>
        <v>28</v>
      </c>
      <c r="H39" s="79">
        <f>[2]Districts_Boroughs!AR58</f>
        <v>22</v>
      </c>
      <c r="I39" s="79">
        <f>[2]Districts_Boroughs!AS58</f>
        <v>18</v>
      </c>
      <c r="J39" s="79">
        <f>[2]Districts_Boroughs!AT58</f>
        <v>19</v>
      </c>
      <c r="K39" s="79">
        <f>[2]Districts_Boroughs!AU58</f>
        <v>15</v>
      </c>
      <c r="L39" s="79">
        <f>[2]Districts_Boroughs!AV58</f>
        <v>25</v>
      </c>
      <c r="M39" s="79">
        <f>[2]Districts_Boroughs!AW58</f>
        <v>19</v>
      </c>
      <c r="N39" s="79">
        <f>[2]Districts_Boroughs!AX58</f>
        <v>15</v>
      </c>
      <c r="O39" s="79">
        <f>[2]Districts_Boroughs!AY58</f>
        <v>26</v>
      </c>
      <c r="P39" s="79">
        <f>[2]Districts_Boroughs!AZ58</f>
        <v>25</v>
      </c>
      <c r="Q39" s="79">
        <f>[2]Districts_Boroughs!BA58</f>
        <v>13</v>
      </c>
      <c r="R39" s="79">
        <f>[2]Districts_Boroughs!BB58</f>
        <v>11</v>
      </c>
      <c r="S39" s="79">
        <f>[2]Districts_Boroughs!BC58</f>
        <v>16</v>
      </c>
      <c r="T39" s="79">
        <f>[2]Districts_Boroughs!BD58</f>
        <v>24</v>
      </c>
      <c r="U39" s="79">
        <f>[2]Districts_Boroughs!BE58</f>
        <v>9</v>
      </c>
      <c r="V39" s="79">
        <f>[2]Districts_Boroughs!BF58</f>
        <v>26</v>
      </c>
      <c r="W39" s="79">
        <f>[2]Districts_Boroughs!BG58</f>
        <v>23</v>
      </c>
      <c r="X39" s="79">
        <f>[2]Districts_Boroughs!BH58</f>
        <v>22</v>
      </c>
      <c r="Y39" s="79">
        <f>[2]Districts_Boroughs!BI58</f>
        <v>19</v>
      </c>
      <c r="Z39" s="79">
        <f>[2]Districts_Boroughs!BJ58</f>
        <v>24</v>
      </c>
      <c r="AA39" s="79">
        <f>[2]Districts_Boroughs!BK58</f>
        <v>19</v>
      </c>
      <c r="AB39" s="79">
        <f>[2]Districts_Boroughs!BL58</f>
        <v>28</v>
      </c>
      <c r="AC39" s="79">
        <f>[2]Districts_Boroughs!BM58</f>
        <v>17</v>
      </c>
      <c r="AD39" s="79">
        <f>[2]Districts_Boroughs!BN58</f>
        <v>22</v>
      </c>
      <c r="AE39" s="79">
        <f>[2]Districts_Boroughs!BO58</f>
        <v>33</v>
      </c>
      <c r="AF39" s="79">
        <f>[2]Districts_Boroughs!BP58</f>
        <v>17</v>
      </c>
      <c r="AG39" s="79">
        <f>[2]Districts_Boroughs!BQ58</f>
        <v>25</v>
      </c>
      <c r="AH39" s="79">
        <f>[2]Districts_Boroughs!BR58</f>
        <v>33</v>
      </c>
      <c r="AI39" s="79">
        <f>[2]Districts_Boroughs!BS58</f>
        <v>33</v>
      </c>
      <c r="AJ39" s="79">
        <f>[2]Districts_Boroughs!BT58</f>
        <v>26</v>
      </c>
      <c r="AK39" s="79">
        <f>[2]Districts_Boroughs!BU58</f>
        <v>22</v>
      </c>
      <c r="AL39" s="79">
        <f>[2]Districts_Boroughs!BV58</f>
        <v>14</v>
      </c>
      <c r="AM39" s="79">
        <f>[2]Districts_Boroughs!BW58</f>
        <v>14</v>
      </c>
      <c r="AN39" s="79">
        <f>[2]Districts_Boroughs!BX58</f>
        <v>23</v>
      </c>
      <c r="AO39" s="79">
        <f>[2]Districts_Boroughs!BY58</f>
        <v>27</v>
      </c>
      <c r="AP39" s="79">
        <f>[2]Districts_Boroughs!BZ58</f>
        <v>27</v>
      </c>
      <c r="AQ39" s="79">
        <f>[2]Districts_Boroughs!CA58</f>
        <v>29</v>
      </c>
      <c r="AR39" s="79">
        <f>[2]Districts_Boroughs!CB58</f>
        <v>25</v>
      </c>
      <c r="AS39" s="79">
        <f>[2]Districts_Boroughs!CC58</f>
        <v>22</v>
      </c>
      <c r="AT39" s="79">
        <f>[2]Districts_Boroughs!CD58</f>
        <v>18</v>
      </c>
      <c r="AU39" s="79">
        <f>[2]Districts_Boroughs!CE58</f>
        <v>9</v>
      </c>
      <c r="AV39" s="79">
        <f>[2]Districts_Boroughs!CF58</f>
        <v>30</v>
      </c>
      <c r="AW39" s="79">
        <f>[2]Districts_Boroughs!CG58</f>
        <v>25</v>
      </c>
      <c r="AX39" s="79">
        <f>[2]Districts_Boroughs!CH58</f>
        <v>17</v>
      </c>
      <c r="AY39" s="79">
        <f>[2]Districts_Boroughs!CI58</f>
        <v>40</v>
      </c>
      <c r="AZ39" s="79">
        <f>[2]Districts_Boroughs!CJ58</f>
        <v>28</v>
      </c>
      <c r="BA39" s="79">
        <f>[2]Districts_Boroughs!CK58</f>
        <v>31</v>
      </c>
      <c r="BB39" s="79">
        <f>[2]Districts_Boroughs!CL58</f>
        <v>13</v>
      </c>
      <c r="BC39" s="79">
        <f>[2]Districts_Boroughs!CM58</f>
        <v>29</v>
      </c>
      <c r="BD39" s="79">
        <f>[2]Districts_Boroughs!CN58</f>
        <v>29</v>
      </c>
      <c r="BE39" s="79">
        <f>[2]Districts_Boroughs!CO58</f>
        <v>24</v>
      </c>
      <c r="BF39" s="79">
        <f>[2]Districts_Boroughs!CP58</f>
        <v>25</v>
      </c>
      <c r="BG39" s="79">
        <f>[2]Districts_Boroughs!CQ58</f>
        <v>19</v>
      </c>
      <c r="BH39" s="79">
        <f>[2]Districts_Boroughs!CR58</f>
        <v>25</v>
      </c>
      <c r="BI39" s="79">
        <f>[2]Districts_Boroughs!CS58</f>
        <v>28</v>
      </c>
      <c r="BJ39" s="79">
        <f>[2]Districts_Boroughs!CT58</f>
        <v>37</v>
      </c>
      <c r="BK39" s="79">
        <f>[2]Districts_Boroughs!CU58</f>
        <v>25</v>
      </c>
      <c r="BL39" s="79">
        <f>[2]Districts_Boroughs!CV58</f>
        <v>26</v>
      </c>
      <c r="BM39" s="79">
        <f>[2]Districts_Boroughs!CW58</f>
        <v>35</v>
      </c>
      <c r="BN39" s="79">
        <f>[2]Districts_Boroughs!CX58</f>
        <v>22</v>
      </c>
      <c r="BO39" s="79">
        <f>[2]Districts_Boroughs!CY58</f>
        <v>23</v>
      </c>
      <c r="BP39" s="79">
        <f>[2]Districts_Boroughs!CZ58</f>
        <v>27</v>
      </c>
      <c r="BQ39" s="79">
        <f>[2]Districts_Boroughs!DA58</f>
        <v>32</v>
      </c>
      <c r="BR39" s="79">
        <f>[2]Districts_Boroughs!DB58</f>
        <v>18</v>
      </c>
      <c r="BS39" s="79">
        <f>[2]Districts_Boroughs!DC58</f>
        <v>27</v>
      </c>
      <c r="BT39" s="79">
        <f>[2]Districts_Boroughs!DD58</f>
        <v>15</v>
      </c>
      <c r="BU39" s="79">
        <f>[2]Districts_Boroughs!DE58</f>
        <v>20</v>
      </c>
      <c r="BV39" s="79">
        <f>[2]Districts_Boroughs!DF58</f>
        <v>24</v>
      </c>
      <c r="BW39" s="79">
        <f>[2]Districts_Boroughs!DG58</f>
        <v>30</v>
      </c>
      <c r="BX39" s="79">
        <f>[2]Districts_Boroughs!DH58</f>
        <v>28</v>
      </c>
      <c r="BY39" s="79">
        <f>[2]Districts_Boroughs!DI58</f>
        <v>29</v>
      </c>
      <c r="BZ39" s="79">
        <f>[2]Districts_Boroughs!DJ58</f>
        <v>23</v>
      </c>
      <c r="CA39" s="79">
        <f>[2]Districts_Boroughs!DK58</f>
        <v>28</v>
      </c>
      <c r="CB39" s="79">
        <f>[2]Districts_Boroughs!DL58</f>
        <v>40</v>
      </c>
      <c r="CC39" s="79">
        <f>[2]Districts_Boroughs!DM58</f>
        <v>17</v>
      </c>
      <c r="CD39" s="79">
        <f>[2]Districts_Boroughs!DN58</f>
        <v>19</v>
      </c>
      <c r="CE39" s="79">
        <f>[2]Districts_Boroughs!DO58</f>
        <v>28</v>
      </c>
      <c r="CF39" s="79">
        <f>[2]Districts_Boroughs!DP58</f>
        <v>23</v>
      </c>
      <c r="CG39" s="79">
        <f>[2]Districts_Boroughs!DQ58</f>
        <v>28</v>
      </c>
      <c r="CH39" s="79">
        <f>[2]Districts_Boroughs!DR58</f>
        <v>37</v>
      </c>
      <c r="CI39" s="79">
        <f>[2]Districts_Boroughs!DS58</f>
        <v>35</v>
      </c>
      <c r="CJ39" s="79">
        <f>[2]Districts_Boroughs!DT58</f>
        <v>45</v>
      </c>
      <c r="CK39" s="79">
        <f>[2]Districts_Boroughs!DU58</f>
        <v>29</v>
      </c>
      <c r="CL39" s="79">
        <f>[2]Districts_Boroughs!DV58</f>
        <v>23</v>
      </c>
      <c r="CM39" s="79">
        <f>[2]Districts_Boroughs!DW58</f>
        <v>25</v>
      </c>
      <c r="CN39" s="79">
        <f>[2]Districts_Boroughs!DX58</f>
        <v>39</v>
      </c>
      <c r="CO39" s="79">
        <f>[2]Districts_Boroughs!DY58</f>
        <v>26</v>
      </c>
      <c r="CP39" s="79">
        <f>[2]Districts_Boroughs!DZ58</f>
        <v>35</v>
      </c>
      <c r="CQ39" s="79">
        <f>[2]Districts_Boroughs!EA58</f>
        <v>26</v>
      </c>
      <c r="CR39" s="79">
        <f>[2]Districts_Boroughs!EB58</f>
        <v>38</v>
      </c>
      <c r="CS39" s="79">
        <f>[2]Districts_Boroughs!EC58</f>
        <v>38</v>
      </c>
    </row>
    <row r="40" spans="1:97" x14ac:dyDescent="0.35">
      <c r="A40" s="82" t="s">
        <v>143</v>
      </c>
      <c r="B40" s="755">
        <f>[2]Districts_Boroughs!AL61</f>
        <v>54</v>
      </c>
      <c r="C40" s="755">
        <f>[2]Districts_Boroughs!AM61</f>
        <v>47</v>
      </c>
      <c r="D40" s="755">
        <f>[2]Districts_Boroughs!AN61</f>
        <v>57</v>
      </c>
      <c r="E40" s="755">
        <f>[2]Districts_Boroughs!AO61</f>
        <v>47</v>
      </c>
      <c r="F40" s="755">
        <f>[2]Districts_Boroughs!AP61</f>
        <v>73</v>
      </c>
      <c r="G40" s="755">
        <f>[2]Districts_Boroughs!AQ61</f>
        <v>48</v>
      </c>
      <c r="H40" s="755">
        <f>[2]Districts_Boroughs!AR61</f>
        <v>84</v>
      </c>
      <c r="I40" s="755">
        <f>[2]Districts_Boroughs!AS61</f>
        <v>70</v>
      </c>
      <c r="J40" s="755">
        <f>[2]Districts_Boroughs!AT61</f>
        <v>38</v>
      </c>
      <c r="K40" s="755">
        <f>[2]Districts_Boroughs!AU61</f>
        <v>55</v>
      </c>
      <c r="L40" s="755">
        <f>[2]Districts_Boroughs!AV61</f>
        <v>54</v>
      </c>
      <c r="M40" s="755">
        <f>[2]Districts_Boroughs!AW61</f>
        <v>70</v>
      </c>
      <c r="N40" s="755">
        <f>[2]Districts_Boroughs!AX61</f>
        <v>58</v>
      </c>
      <c r="O40" s="755">
        <f>[2]Districts_Boroughs!AY61</f>
        <v>55</v>
      </c>
      <c r="P40" s="755">
        <f>[2]Districts_Boroughs!AZ61</f>
        <v>29</v>
      </c>
      <c r="Q40" s="755">
        <f>[2]Districts_Boroughs!BA61</f>
        <v>55</v>
      </c>
      <c r="R40" s="755">
        <f>[2]Districts_Boroughs!BB61</f>
        <v>69</v>
      </c>
      <c r="S40" s="755">
        <f>[2]Districts_Boroughs!BC61</f>
        <v>48</v>
      </c>
      <c r="T40" s="755">
        <f>[2]Districts_Boroughs!BD61</f>
        <v>58</v>
      </c>
      <c r="U40" s="755">
        <f>[2]Districts_Boroughs!BE61</f>
        <v>66</v>
      </c>
      <c r="V40" s="755">
        <f>[2]Districts_Boroughs!BF61</f>
        <v>73</v>
      </c>
      <c r="W40" s="755">
        <f>[2]Districts_Boroughs!BG61</f>
        <v>64</v>
      </c>
      <c r="X40" s="755">
        <f>[2]Districts_Boroughs!BH61</f>
        <v>36</v>
      </c>
      <c r="Y40" s="755">
        <f>[2]Districts_Boroughs!BI61</f>
        <v>50</v>
      </c>
      <c r="Z40" s="755">
        <f>[2]Districts_Boroughs!BJ61</f>
        <v>87</v>
      </c>
      <c r="AA40" s="755">
        <f>[2]Districts_Boroughs!BK61</f>
        <v>57</v>
      </c>
      <c r="AB40" s="755">
        <f>[2]Districts_Boroughs!BL61</f>
        <v>31</v>
      </c>
      <c r="AC40" s="755">
        <f>[2]Districts_Boroughs!BM61</f>
        <v>27</v>
      </c>
      <c r="AD40" s="755">
        <f>[2]Districts_Boroughs!BN61</f>
        <v>47</v>
      </c>
      <c r="AE40" s="755">
        <f>[2]Districts_Boroughs!BO61</f>
        <v>50</v>
      </c>
      <c r="AF40" s="755">
        <f>[2]Districts_Boroughs!BP61</f>
        <v>69</v>
      </c>
      <c r="AG40" s="755">
        <f>[2]Districts_Boroughs!BQ61</f>
        <v>54</v>
      </c>
      <c r="AH40" s="755">
        <f>[2]Districts_Boroughs!BR61</f>
        <v>55</v>
      </c>
      <c r="AI40" s="755">
        <f>[2]Districts_Boroughs!BS61</f>
        <v>41</v>
      </c>
      <c r="AJ40" s="755">
        <f>[2]Districts_Boroughs!BT61</f>
        <v>34</v>
      </c>
      <c r="AK40" s="755">
        <f>[2]Districts_Boroughs!BU61</f>
        <v>42</v>
      </c>
      <c r="AL40" s="755">
        <f>[2]Districts_Boroughs!BV61</f>
        <v>32</v>
      </c>
      <c r="AM40" s="755">
        <f>[2]Districts_Boroughs!BW61</f>
        <v>35</v>
      </c>
      <c r="AN40" s="755">
        <f>[2]Districts_Boroughs!BX61</f>
        <v>19</v>
      </c>
      <c r="AO40" s="755">
        <f>[2]Districts_Boroughs!BY61</f>
        <v>35</v>
      </c>
      <c r="AP40" s="755">
        <f>[2]Districts_Boroughs!BZ61</f>
        <v>34</v>
      </c>
      <c r="AQ40" s="755">
        <f>[2]Districts_Boroughs!CA61</f>
        <v>32</v>
      </c>
      <c r="AR40" s="755">
        <f>[2]Districts_Boroughs!CB61</f>
        <v>22</v>
      </c>
      <c r="AS40" s="755">
        <f>[2]Districts_Boroughs!CC61</f>
        <v>30</v>
      </c>
      <c r="AT40" s="755">
        <f>[2]Districts_Boroughs!CD61</f>
        <v>37</v>
      </c>
      <c r="AU40" s="755">
        <f>[2]Districts_Boroughs!CE61</f>
        <v>24</v>
      </c>
      <c r="AV40" s="755">
        <f>[2]Districts_Boroughs!CF61</f>
        <v>26</v>
      </c>
      <c r="AW40" s="755">
        <f>[2]Districts_Boroughs!CG61</f>
        <v>15</v>
      </c>
      <c r="AX40" s="755">
        <f>[2]Districts_Boroughs!CH61</f>
        <v>18</v>
      </c>
      <c r="AY40" s="755">
        <f>[2]Districts_Boroughs!CI61</f>
        <v>21</v>
      </c>
      <c r="AZ40" s="755">
        <f>[2]Districts_Boroughs!CJ61</f>
        <v>27</v>
      </c>
      <c r="BA40" s="755">
        <f>[2]Districts_Boroughs!CK61</f>
        <v>36</v>
      </c>
      <c r="BB40" s="755">
        <f>[2]Districts_Boroughs!CL61</f>
        <v>17</v>
      </c>
      <c r="BC40" s="755">
        <f>[2]Districts_Boroughs!CM61</f>
        <v>37</v>
      </c>
      <c r="BD40" s="755">
        <f>[2]Districts_Boroughs!CN61</f>
        <v>25</v>
      </c>
      <c r="BE40" s="755">
        <f>[2]Districts_Boroughs!CO61</f>
        <v>24</v>
      </c>
      <c r="BF40" s="755">
        <f>[2]Districts_Boroughs!CP61</f>
        <v>19</v>
      </c>
      <c r="BG40" s="755">
        <f>[2]Districts_Boroughs!CQ61</f>
        <v>15</v>
      </c>
      <c r="BH40" s="755">
        <f>[2]Districts_Boroughs!CR61</f>
        <v>32</v>
      </c>
      <c r="BI40" s="755">
        <f>[2]Districts_Boroughs!CS61</f>
        <v>34</v>
      </c>
      <c r="BJ40" s="755">
        <f>[2]Districts_Boroughs!CT61</f>
        <v>31</v>
      </c>
      <c r="BK40" s="755">
        <f>[2]Districts_Boroughs!CU61</f>
        <v>27</v>
      </c>
      <c r="BL40" s="755">
        <f>[2]Districts_Boroughs!CV61</f>
        <v>31</v>
      </c>
      <c r="BM40" s="755">
        <f>[2]Districts_Boroughs!CW61</f>
        <v>26</v>
      </c>
      <c r="BN40" s="755">
        <f>[2]Districts_Boroughs!CX61</f>
        <v>33</v>
      </c>
      <c r="BO40" s="755">
        <f>[2]Districts_Boroughs!CY61</f>
        <v>26</v>
      </c>
      <c r="BP40" s="755">
        <f>[2]Districts_Boroughs!CZ61</f>
        <v>35</v>
      </c>
      <c r="BQ40" s="755">
        <f>[2]Districts_Boroughs!DA61</f>
        <v>27</v>
      </c>
      <c r="BR40" s="755">
        <f>[2]Districts_Boroughs!DB61</f>
        <v>30</v>
      </c>
      <c r="BS40" s="755">
        <f>[2]Districts_Boroughs!DC61</f>
        <v>37</v>
      </c>
      <c r="BT40" s="755">
        <f>[2]Districts_Boroughs!DD61</f>
        <v>36</v>
      </c>
      <c r="BU40" s="755">
        <f>[2]Districts_Boroughs!DE61</f>
        <v>46</v>
      </c>
      <c r="BV40" s="755">
        <f>[2]Districts_Boroughs!DF61</f>
        <v>40</v>
      </c>
      <c r="BW40" s="755">
        <f>[2]Districts_Boroughs!DG61</f>
        <v>37</v>
      </c>
      <c r="BX40" s="755">
        <f>[2]Districts_Boroughs!DH61</f>
        <v>32</v>
      </c>
      <c r="BY40" s="755">
        <f>[2]Districts_Boroughs!DI61</f>
        <v>42</v>
      </c>
      <c r="BZ40" s="755">
        <f>[2]Districts_Boroughs!DJ61</f>
        <v>21</v>
      </c>
      <c r="CA40" s="755">
        <f>[2]Districts_Boroughs!DK61</f>
        <v>27</v>
      </c>
      <c r="CB40" s="755">
        <f>[2]Districts_Boroughs!DL61</f>
        <v>44</v>
      </c>
      <c r="CC40" s="755">
        <f>[2]Districts_Boroughs!DM61</f>
        <v>36</v>
      </c>
      <c r="CD40" s="755">
        <f>[2]Districts_Boroughs!DN61</f>
        <v>19</v>
      </c>
      <c r="CE40" s="755">
        <f>[2]Districts_Boroughs!DO61</f>
        <v>31</v>
      </c>
      <c r="CF40" s="755">
        <f>[2]Districts_Boroughs!DP61</f>
        <v>31</v>
      </c>
      <c r="CG40" s="755">
        <f>[2]Districts_Boroughs!DQ61</f>
        <v>35</v>
      </c>
      <c r="CH40" s="755">
        <f>[2]Districts_Boroughs!DR61</f>
        <v>29</v>
      </c>
      <c r="CI40" s="755">
        <f>[2]Districts_Boroughs!DS61</f>
        <v>24</v>
      </c>
      <c r="CJ40" s="755">
        <f>[2]Districts_Boroughs!DT61</f>
        <v>35</v>
      </c>
      <c r="CK40" s="755">
        <f>[2]Districts_Boroughs!DU61</f>
        <v>38</v>
      </c>
      <c r="CL40" s="755">
        <f>[2]Districts_Boroughs!DV61</f>
        <v>38</v>
      </c>
      <c r="CM40" s="755">
        <f>[2]Districts_Boroughs!DW61</f>
        <v>27</v>
      </c>
      <c r="CN40" s="755">
        <f>[2]Districts_Boroughs!DX61</f>
        <v>47</v>
      </c>
      <c r="CO40" s="755">
        <f>[2]Districts_Boroughs!DY61</f>
        <v>30</v>
      </c>
      <c r="CP40" s="755">
        <f>[2]Districts_Boroughs!DZ61</f>
        <v>38</v>
      </c>
      <c r="CQ40" s="755">
        <f>[2]Districts_Boroughs!EA61</f>
        <v>30</v>
      </c>
      <c r="CR40" s="755">
        <f>[2]Districts_Boroughs!EB61</f>
        <v>25</v>
      </c>
      <c r="CS40" s="755">
        <f>[2]Districts_Boroughs!EC61</f>
        <v>29</v>
      </c>
    </row>
    <row r="41" spans="1:97" s="64" customFormat="1" x14ac:dyDescent="0.35">
      <c r="A41" s="86" t="s">
        <v>208</v>
      </c>
      <c r="B41" s="87">
        <f>[2]Districts_Boroughs!AL79+[2]Districts_Boroughs!AL82</f>
        <v>6</v>
      </c>
      <c r="C41" s="87">
        <f>[2]Districts_Boroughs!AM79+[2]Districts_Boroughs!AM82</f>
        <v>29</v>
      </c>
      <c r="D41" s="87">
        <f>[2]Districts_Boroughs!AN79+[2]Districts_Boroughs!AN82</f>
        <v>22</v>
      </c>
      <c r="E41" s="87">
        <f>[2]Districts_Boroughs!AO79+[2]Districts_Boroughs!AO82</f>
        <v>23</v>
      </c>
      <c r="F41" s="87">
        <f>[2]Districts_Boroughs!AP79+[2]Districts_Boroughs!AP82</f>
        <v>12</v>
      </c>
      <c r="G41" s="87">
        <f>[2]Districts_Boroughs!AQ79+[2]Districts_Boroughs!AQ82</f>
        <v>25</v>
      </c>
      <c r="H41" s="87">
        <f>[2]Districts_Boroughs!AR79+[2]Districts_Boroughs!AR82</f>
        <v>36</v>
      </c>
      <c r="I41" s="87">
        <f>[2]Districts_Boroughs!AS79+[2]Districts_Boroughs!AS82</f>
        <v>30</v>
      </c>
      <c r="J41" s="87">
        <f>[2]Districts_Boroughs!AT79+[2]Districts_Boroughs!AT82</f>
        <v>16</v>
      </c>
      <c r="K41" s="87">
        <f>[2]Districts_Boroughs!AU79+[2]Districts_Boroughs!AU82</f>
        <v>21</v>
      </c>
      <c r="L41" s="87">
        <f>[2]Districts_Boroughs!AV79+[2]Districts_Boroughs!AV82</f>
        <v>18</v>
      </c>
      <c r="M41" s="87">
        <f>[2]Districts_Boroughs!AW79+[2]Districts_Boroughs!AW82</f>
        <v>23</v>
      </c>
      <c r="N41" s="87">
        <f>[2]Districts_Boroughs!AX79+[2]Districts_Boroughs!AX82</f>
        <v>29</v>
      </c>
      <c r="O41" s="87">
        <f>[2]Districts_Boroughs!AY79+[2]Districts_Boroughs!AY82</f>
        <v>27</v>
      </c>
      <c r="P41" s="87">
        <f>[2]Districts_Boroughs!AZ79+[2]Districts_Boroughs!AZ82</f>
        <v>24</v>
      </c>
      <c r="Q41" s="87">
        <f>[2]Districts_Boroughs!BA79+[2]Districts_Boroughs!BA82</f>
        <v>26</v>
      </c>
      <c r="R41" s="87">
        <f>[2]Districts_Boroughs!BB79+[2]Districts_Boroughs!BB82</f>
        <v>29</v>
      </c>
      <c r="S41" s="87">
        <f>[2]Districts_Boroughs!BC79+[2]Districts_Boroughs!BC82</f>
        <v>29</v>
      </c>
      <c r="T41" s="87">
        <f>[2]Districts_Boroughs!BD79+[2]Districts_Boroughs!BD82</f>
        <v>24</v>
      </c>
      <c r="U41" s="87">
        <f>[2]Districts_Boroughs!BE79+[2]Districts_Boroughs!BE82</f>
        <v>20</v>
      </c>
      <c r="V41" s="87">
        <f>[2]Districts_Boroughs!BF79+[2]Districts_Boroughs!BF82</f>
        <v>27</v>
      </c>
      <c r="W41" s="87">
        <f>[2]Districts_Boroughs!BG79+[2]Districts_Boroughs!BG82</f>
        <v>20</v>
      </c>
      <c r="X41" s="87">
        <f>[2]Districts_Boroughs!BH79+[2]Districts_Boroughs!BH82</f>
        <v>22</v>
      </c>
      <c r="Y41" s="87">
        <f>[2]Districts_Boroughs!BI79+[2]Districts_Boroughs!BI82</f>
        <v>19</v>
      </c>
      <c r="Z41" s="87">
        <f>[2]Districts_Boroughs!BJ79+[2]Districts_Boroughs!BJ82</f>
        <v>22</v>
      </c>
      <c r="AA41" s="87">
        <f>[2]Districts_Boroughs!BK79+[2]Districts_Boroughs!BK82</f>
        <v>20</v>
      </c>
      <c r="AB41" s="87">
        <f>[2]Districts_Boroughs!BL79+[2]Districts_Boroughs!BL82</f>
        <v>32</v>
      </c>
      <c r="AC41" s="87">
        <f>[2]Districts_Boroughs!BM79+[2]Districts_Boroughs!BM82</f>
        <v>23</v>
      </c>
      <c r="AD41" s="87">
        <f>[2]Districts_Boroughs!BN79+[2]Districts_Boroughs!BN82</f>
        <v>23</v>
      </c>
      <c r="AE41" s="87">
        <f>[2]Districts_Boroughs!BO79+[2]Districts_Boroughs!BO82</f>
        <v>29</v>
      </c>
      <c r="AF41" s="87">
        <f>[2]Districts_Boroughs!BP79+[2]Districts_Boroughs!BP82</f>
        <v>40</v>
      </c>
      <c r="AG41" s="87">
        <f>[2]Districts_Boroughs!BQ79+[2]Districts_Boroughs!BQ82</f>
        <v>29</v>
      </c>
      <c r="AH41" s="87">
        <f>[2]Districts_Boroughs!BR79+[2]Districts_Boroughs!BR82</f>
        <v>33</v>
      </c>
      <c r="AI41" s="87">
        <f>[2]Districts_Boroughs!BS79+[2]Districts_Boroughs!BS82</f>
        <v>25</v>
      </c>
      <c r="AJ41" s="87">
        <f>[2]Districts_Boroughs!BT79+[2]Districts_Boroughs!BT82</f>
        <v>31</v>
      </c>
      <c r="AK41" s="87">
        <f>[2]Districts_Boroughs!BU79+[2]Districts_Boroughs!BU82</f>
        <v>23</v>
      </c>
      <c r="AL41" s="87">
        <f>[2]Districts_Boroughs!BV79+[2]Districts_Boroughs!BV82</f>
        <v>19</v>
      </c>
      <c r="AM41" s="87">
        <f>[2]Districts_Boroughs!BW79+[2]Districts_Boroughs!BW82</f>
        <v>23</v>
      </c>
      <c r="AN41" s="87">
        <f>[2]Districts_Boroughs!BX79+[2]Districts_Boroughs!BX82</f>
        <v>27</v>
      </c>
      <c r="AO41" s="87">
        <f>[2]Districts_Boroughs!BY79+[2]Districts_Boroughs!BY82</f>
        <v>15</v>
      </c>
      <c r="AP41" s="87">
        <f>[2]Districts_Boroughs!BZ79+[2]Districts_Boroughs!BZ82</f>
        <v>21</v>
      </c>
      <c r="AQ41" s="87">
        <f>[2]Districts_Boroughs!CA79+[2]Districts_Boroughs!CA82</f>
        <v>28</v>
      </c>
      <c r="AR41" s="87">
        <f>[2]Districts_Boroughs!CB79+[2]Districts_Boroughs!CB82</f>
        <v>29</v>
      </c>
      <c r="AS41" s="87">
        <f>[2]Districts_Boroughs!CC79+[2]Districts_Boroughs!CC82</f>
        <v>20</v>
      </c>
      <c r="AT41" s="87">
        <f>[2]Districts_Boroughs!CD79+[2]Districts_Boroughs!CD82</f>
        <v>26</v>
      </c>
      <c r="AU41" s="87">
        <f>[2]Districts_Boroughs!CE79+[2]Districts_Boroughs!CE82</f>
        <v>17</v>
      </c>
      <c r="AV41" s="87">
        <f>[2]Districts_Boroughs!CF79+[2]Districts_Boroughs!CF82</f>
        <v>11</v>
      </c>
      <c r="AW41" s="87">
        <f>[2]Districts_Boroughs!CG79+[2]Districts_Boroughs!CG82</f>
        <v>16</v>
      </c>
      <c r="AX41" s="87">
        <f>[2]Districts_Boroughs!CH79+[2]Districts_Boroughs!CH82</f>
        <v>11</v>
      </c>
      <c r="AY41" s="87">
        <f>[2]Districts_Boroughs!CI79+[2]Districts_Boroughs!CI82</f>
        <v>17</v>
      </c>
      <c r="AZ41" s="87">
        <f>[2]Districts_Boroughs!CJ79+[2]Districts_Boroughs!CJ82</f>
        <v>18</v>
      </c>
      <c r="BA41" s="87">
        <f>[2]Districts_Boroughs!CK79+[2]Districts_Boroughs!CK82</f>
        <v>18</v>
      </c>
      <c r="BB41" s="87">
        <f>[2]Districts_Boroughs!CL79+[2]Districts_Boroughs!CL82</f>
        <v>18</v>
      </c>
      <c r="BC41" s="87">
        <f>[2]Districts_Boroughs!CM79+[2]Districts_Boroughs!CM82</f>
        <v>12</v>
      </c>
      <c r="BD41" s="87">
        <f>[2]Districts_Boroughs!CN79+[2]Districts_Boroughs!CN82</f>
        <v>21</v>
      </c>
      <c r="BE41" s="87">
        <f>[2]Districts_Boroughs!CO79+[2]Districts_Boroughs!CO82</f>
        <v>21</v>
      </c>
      <c r="BF41" s="87">
        <f>[2]Districts_Boroughs!CP79+[2]Districts_Boroughs!CP82</f>
        <v>24</v>
      </c>
      <c r="BG41" s="87">
        <f>[2]Districts_Boroughs!CQ79+[2]Districts_Boroughs!CQ82</f>
        <v>22</v>
      </c>
      <c r="BH41" s="87">
        <f>[2]Districts_Boroughs!CR79+[2]Districts_Boroughs!CR82</f>
        <v>24</v>
      </c>
      <c r="BI41" s="87">
        <f>[2]Districts_Boroughs!CS79+[2]Districts_Boroughs!CS82</f>
        <v>37</v>
      </c>
      <c r="BJ41" s="87">
        <f>[2]Districts_Boroughs!CT79+[2]Districts_Boroughs!CT82</f>
        <v>34</v>
      </c>
      <c r="BK41" s="87">
        <f>[2]Districts_Boroughs!CU79+[2]Districts_Boroughs!CU82</f>
        <v>44</v>
      </c>
      <c r="BL41" s="87">
        <f>[2]Districts_Boroughs!CV79+[2]Districts_Boroughs!CV82</f>
        <v>37</v>
      </c>
      <c r="BM41" s="87">
        <f>[2]Districts_Boroughs!CW79+[2]Districts_Boroughs!CW82</f>
        <v>33</v>
      </c>
      <c r="BN41" s="87">
        <f>[2]Districts_Boroughs!CX79+[2]Districts_Boroughs!CX82</f>
        <v>25</v>
      </c>
      <c r="BO41" s="87">
        <f>[2]Districts_Boroughs!CY79+[2]Districts_Boroughs!CY82</f>
        <v>35</v>
      </c>
      <c r="BP41" s="87">
        <f>[2]Districts_Boroughs!CZ79+[2]Districts_Boroughs!CZ82</f>
        <v>36</v>
      </c>
      <c r="BQ41" s="87">
        <f>[2]Districts_Boroughs!DA79+[2]Districts_Boroughs!DA82</f>
        <v>28</v>
      </c>
      <c r="BR41" s="87">
        <f>[2]Districts_Boroughs!DB79+[2]Districts_Boroughs!DB82</f>
        <v>34</v>
      </c>
      <c r="BS41" s="87">
        <f>[2]Districts_Boroughs!DC79+[2]Districts_Boroughs!DC82</f>
        <v>48</v>
      </c>
      <c r="BT41" s="87">
        <f>[2]Districts_Boroughs!DD79+[2]Districts_Boroughs!DD82</f>
        <v>46</v>
      </c>
      <c r="BU41" s="87">
        <f>[2]Districts_Boroughs!DE79+[2]Districts_Boroughs!DE82</f>
        <v>23</v>
      </c>
      <c r="BV41" s="87">
        <f>[2]Districts_Boroughs!DF79+[2]Districts_Boroughs!DF82</f>
        <v>39</v>
      </c>
      <c r="BW41" s="87">
        <f>[2]Districts_Boroughs!DG79+[2]Districts_Boroughs!DG82</f>
        <v>30</v>
      </c>
      <c r="BX41" s="87">
        <f>[2]Districts_Boroughs!DH79+[2]Districts_Boroughs!DH82</f>
        <v>35</v>
      </c>
      <c r="BY41" s="87">
        <f>[2]Districts_Boroughs!DI79+[2]Districts_Boroughs!DI82</f>
        <v>39</v>
      </c>
      <c r="BZ41" s="87">
        <f>[2]Districts_Boroughs!DJ79+[2]Districts_Boroughs!DJ82</f>
        <v>36</v>
      </c>
      <c r="CA41" s="87">
        <f>[2]Districts_Boroughs!DK79+[2]Districts_Boroughs!DK82</f>
        <v>34</v>
      </c>
      <c r="CB41" s="87">
        <f>[2]Districts_Boroughs!DL79+[2]Districts_Boroughs!DL82</f>
        <v>22</v>
      </c>
      <c r="CC41" s="87">
        <f>[2]Districts_Boroughs!DM79+[2]Districts_Boroughs!DM82</f>
        <v>21</v>
      </c>
      <c r="CD41" s="87">
        <f>[2]Districts_Boroughs!DN79+[2]Districts_Boroughs!DN82</f>
        <v>29</v>
      </c>
      <c r="CE41" s="87">
        <f>[2]Districts_Boroughs!DO79+[2]Districts_Boroughs!DO82</f>
        <v>27</v>
      </c>
      <c r="CF41" s="87">
        <f>[2]Districts_Boroughs!DP79+[2]Districts_Boroughs!DP82</f>
        <v>31</v>
      </c>
      <c r="CG41" s="87">
        <f>[2]Districts_Boroughs!DQ79+[2]Districts_Boroughs!DQ82</f>
        <v>27</v>
      </c>
      <c r="CH41" s="87">
        <f>[2]Districts_Boroughs!DR79+[2]Districts_Boroughs!DR82</f>
        <v>33</v>
      </c>
      <c r="CI41" s="87">
        <f>[2]Districts_Boroughs!DS79+[2]Districts_Boroughs!DS82</f>
        <v>31</v>
      </c>
      <c r="CJ41" s="87">
        <f>[2]Districts_Boroughs!DT79+[2]Districts_Boroughs!DT82</f>
        <v>31</v>
      </c>
      <c r="CK41" s="87">
        <f>[2]Districts_Boroughs!DU79+[2]Districts_Boroughs!DU82</f>
        <v>16</v>
      </c>
      <c r="CL41" s="87">
        <f>[2]Districts_Boroughs!DV79+[2]Districts_Boroughs!DV82</f>
        <v>26</v>
      </c>
      <c r="CM41" s="87">
        <f>[2]Districts_Boroughs!DW79+[2]Districts_Boroughs!DW82</f>
        <v>20</v>
      </c>
      <c r="CN41" s="87">
        <f>[2]Districts_Boroughs!DX79+[2]Districts_Boroughs!DX82</f>
        <v>37</v>
      </c>
      <c r="CO41" s="87">
        <f>[2]Districts_Boroughs!DY79+[2]Districts_Boroughs!DY82</f>
        <v>21</v>
      </c>
      <c r="CP41" s="87">
        <f>[2]Districts_Boroughs!DZ79+[2]Districts_Boroughs!DZ82</f>
        <v>33</v>
      </c>
      <c r="CQ41" s="87">
        <f>[2]Districts_Boroughs!EA79+[2]Districts_Boroughs!EA82</f>
        <v>31</v>
      </c>
      <c r="CR41" s="87">
        <f>[2]Districts_Boroughs!EB79+[2]Districts_Boroughs!EB82</f>
        <v>19</v>
      </c>
      <c r="CS41" s="87">
        <f>[2]Districts_Boroughs!EC79+[2]Districts_Boroughs!EC82</f>
        <v>32</v>
      </c>
    </row>
    <row r="42" spans="1:97" s="64" customFormat="1" x14ac:dyDescent="0.35">
      <c r="A42" s="199" t="s">
        <v>37</v>
      </c>
      <c r="B42" s="89">
        <f>[2]Districts_Boroughs!AL60</f>
        <v>9</v>
      </c>
      <c r="C42" s="89">
        <f>[2]Districts_Boroughs!AM60</f>
        <v>6</v>
      </c>
      <c r="D42" s="89">
        <f>[2]Districts_Boroughs!AN60</f>
        <v>5</v>
      </c>
      <c r="E42" s="89">
        <f>[2]Districts_Boroughs!AO60</f>
        <v>13</v>
      </c>
      <c r="F42" s="89">
        <f>[2]Districts_Boroughs!AP60</f>
        <v>9</v>
      </c>
      <c r="G42" s="89">
        <f>[2]Districts_Boroughs!AQ60</f>
        <v>10</v>
      </c>
      <c r="H42" s="89">
        <f>[2]Districts_Boroughs!AR60</f>
        <v>14</v>
      </c>
      <c r="I42" s="89">
        <f>[2]Districts_Boroughs!AS60</f>
        <v>10</v>
      </c>
      <c r="J42" s="89">
        <f>[2]Districts_Boroughs!AT60</f>
        <v>9</v>
      </c>
      <c r="K42" s="89">
        <f>[2]Districts_Boroughs!AU60</f>
        <v>17</v>
      </c>
      <c r="L42" s="89">
        <f>[2]Districts_Boroughs!AV60</f>
        <v>11</v>
      </c>
      <c r="M42" s="89">
        <f>[2]Districts_Boroughs!AW60</f>
        <v>8</v>
      </c>
      <c r="N42" s="89">
        <f>[2]Districts_Boroughs!AX60</f>
        <v>3</v>
      </c>
      <c r="O42" s="89">
        <f>[2]Districts_Boroughs!AY60</f>
        <v>6</v>
      </c>
      <c r="P42" s="89">
        <f>[2]Districts_Boroughs!AZ60</f>
        <v>12</v>
      </c>
      <c r="Q42" s="89">
        <f>[2]Districts_Boroughs!BA60</f>
        <v>9</v>
      </c>
      <c r="R42" s="89">
        <f>[2]Districts_Boroughs!BB60</f>
        <v>18</v>
      </c>
      <c r="S42" s="89">
        <f>[2]Districts_Boroughs!BC60</f>
        <v>15</v>
      </c>
      <c r="T42" s="89">
        <f>[2]Districts_Boroughs!BD60</f>
        <v>13</v>
      </c>
      <c r="U42" s="89">
        <f>[2]Districts_Boroughs!BE60</f>
        <v>21</v>
      </c>
      <c r="V42" s="89">
        <f>[2]Districts_Boroughs!BF60</f>
        <v>11</v>
      </c>
      <c r="W42" s="89">
        <f>[2]Districts_Boroughs!BG60</f>
        <v>14</v>
      </c>
      <c r="X42" s="89">
        <f>[2]Districts_Boroughs!BH60</f>
        <v>5</v>
      </c>
      <c r="Y42" s="89">
        <f>[2]Districts_Boroughs!BI60</f>
        <v>19</v>
      </c>
      <c r="Z42" s="89">
        <f>[2]Districts_Boroughs!BJ60</f>
        <v>16</v>
      </c>
      <c r="AA42" s="89">
        <f>[2]Districts_Boroughs!BK60</f>
        <v>13</v>
      </c>
      <c r="AB42" s="89">
        <f>[2]Districts_Boroughs!BL60</f>
        <v>8</v>
      </c>
      <c r="AC42" s="89">
        <f>[2]Districts_Boroughs!BM60</f>
        <v>10</v>
      </c>
      <c r="AD42" s="89">
        <f>[2]Districts_Boroughs!BN60</f>
        <v>8</v>
      </c>
      <c r="AE42" s="89">
        <f>[2]Districts_Boroughs!BO60</f>
        <v>15</v>
      </c>
      <c r="AF42" s="89">
        <f>[2]Districts_Boroughs!BP60</f>
        <v>4</v>
      </c>
      <c r="AG42" s="89">
        <f>[2]Districts_Boroughs!BQ60</f>
        <v>11</v>
      </c>
      <c r="AH42" s="89">
        <f>[2]Districts_Boroughs!BR60</f>
        <v>17</v>
      </c>
      <c r="AI42" s="89">
        <f>[2]Districts_Boroughs!BS60</f>
        <v>6</v>
      </c>
      <c r="AJ42" s="89">
        <f>[2]Districts_Boroughs!BT60</f>
        <v>3</v>
      </c>
      <c r="AK42" s="89">
        <f>[2]Districts_Boroughs!BU60</f>
        <v>9</v>
      </c>
      <c r="AL42" s="89">
        <f>[2]Districts_Boroughs!BV60</f>
        <v>4</v>
      </c>
      <c r="AM42" s="89">
        <f>[2]Districts_Boroughs!BW60</f>
        <v>6</v>
      </c>
      <c r="AN42" s="89">
        <f>[2]Districts_Boroughs!BX60</f>
        <v>5</v>
      </c>
      <c r="AO42" s="89">
        <f>[2]Districts_Boroughs!BY60</f>
        <v>12</v>
      </c>
      <c r="AP42" s="89">
        <f>[2]Districts_Boroughs!BZ60</f>
        <v>9</v>
      </c>
      <c r="AQ42" s="89">
        <f>[2]Districts_Boroughs!CA60</f>
        <v>6</v>
      </c>
      <c r="AR42" s="89">
        <f>[2]Districts_Boroughs!CB60</f>
        <v>8</v>
      </c>
      <c r="AS42" s="89">
        <f>[2]Districts_Boroughs!CC60</f>
        <v>4</v>
      </c>
      <c r="AT42" s="89">
        <f>[2]Districts_Boroughs!CD60</f>
        <v>7</v>
      </c>
      <c r="AU42" s="89">
        <f>[2]Districts_Boroughs!CE60</f>
        <v>5</v>
      </c>
      <c r="AV42" s="89">
        <f>[2]Districts_Boroughs!CF60</f>
        <v>2</v>
      </c>
      <c r="AW42" s="89">
        <f>[2]Districts_Boroughs!CG60</f>
        <v>5</v>
      </c>
      <c r="AX42" s="89">
        <f>[2]Districts_Boroughs!CH60</f>
        <v>5</v>
      </c>
      <c r="AY42" s="89">
        <f>[2]Districts_Boroughs!CI60</f>
        <v>9</v>
      </c>
      <c r="AZ42" s="89">
        <f>[2]Districts_Boroughs!CJ60</f>
        <v>11</v>
      </c>
      <c r="BA42" s="89">
        <f>[2]Districts_Boroughs!CK60</f>
        <v>6</v>
      </c>
      <c r="BB42" s="89">
        <f>[2]Districts_Boroughs!CL60</f>
        <v>6</v>
      </c>
      <c r="BC42" s="89">
        <f>[2]Districts_Boroughs!CM60</f>
        <v>7</v>
      </c>
      <c r="BD42" s="89">
        <f>[2]Districts_Boroughs!CN60</f>
        <v>6</v>
      </c>
      <c r="BE42" s="89">
        <f>[2]Districts_Boroughs!CO60</f>
        <v>11</v>
      </c>
      <c r="BF42" s="89">
        <f>[2]Districts_Boroughs!CP60</f>
        <v>13</v>
      </c>
      <c r="BG42" s="89">
        <f>[2]Districts_Boroughs!CQ60</f>
        <v>10</v>
      </c>
      <c r="BH42" s="89">
        <f>[2]Districts_Boroughs!CR60</f>
        <v>18</v>
      </c>
      <c r="BI42" s="89">
        <f>[2]Districts_Boroughs!CS60</f>
        <v>10</v>
      </c>
      <c r="BJ42" s="89">
        <f>[2]Districts_Boroughs!CT60</f>
        <v>6</v>
      </c>
      <c r="BK42" s="89">
        <f>[2]Districts_Boroughs!CU60</f>
        <v>8</v>
      </c>
      <c r="BL42" s="89">
        <f>[2]Districts_Boroughs!CV60</f>
        <v>18</v>
      </c>
      <c r="BM42" s="89">
        <f>[2]Districts_Boroughs!CW60</f>
        <v>12</v>
      </c>
      <c r="BN42" s="89">
        <f>[2]Districts_Boroughs!CX60</f>
        <v>11</v>
      </c>
      <c r="BO42" s="89">
        <f>[2]Districts_Boroughs!CY60</f>
        <v>10</v>
      </c>
      <c r="BP42" s="89">
        <f>[2]Districts_Boroughs!CZ60</f>
        <v>7</v>
      </c>
      <c r="BQ42" s="89">
        <f>[2]Districts_Boroughs!DA60</f>
        <v>8</v>
      </c>
      <c r="BR42" s="89">
        <f>[2]Districts_Boroughs!DB60</f>
        <v>11</v>
      </c>
      <c r="BS42" s="89">
        <f>[2]Districts_Boroughs!DC60</f>
        <v>5</v>
      </c>
      <c r="BT42" s="89">
        <f>[2]Districts_Boroughs!DD60</f>
        <v>17</v>
      </c>
      <c r="BU42" s="89">
        <f>[2]Districts_Boroughs!DE60</f>
        <v>8</v>
      </c>
      <c r="BV42" s="89">
        <f>[2]Districts_Boroughs!DF60</f>
        <v>6</v>
      </c>
      <c r="BW42" s="89">
        <f>[2]Districts_Boroughs!DG60</f>
        <v>10</v>
      </c>
      <c r="BX42" s="89">
        <f>[2]Districts_Boroughs!DH60</f>
        <v>11</v>
      </c>
      <c r="BY42" s="89">
        <f>[2]Districts_Boroughs!DI60</f>
        <v>19</v>
      </c>
      <c r="BZ42" s="89">
        <f>[2]Districts_Boroughs!DJ60</f>
        <v>17</v>
      </c>
      <c r="CA42" s="89">
        <f>[2]Districts_Boroughs!DK60</f>
        <v>13</v>
      </c>
      <c r="CB42" s="89">
        <f>[2]Districts_Boroughs!DL60</f>
        <v>6</v>
      </c>
      <c r="CC42" s="89">
        <f>[2]Districts_Boroughs!DM60</f>
        <v>9</v>
      </c>
      <c r="CD42" s="89">
        <f>[2]Districts_Boroughs!DN60</f>
        <v>12</v>
      </c>
      <c r="CE42" s="89">
        <f>[2]Districts_Boroughs!DO60</f>
        <v>12</v>
      </c>
      <c r="CF42" s="89">
        <f>[2]Districts_Boroughs!DP60</f>
        <v>11</v>
      </c>
      <c r="CG42" s="89">
        <f>[2]Districts_Boroughs!DQ60</f>
        <v>15</v>
      </c>
      <c r="CH42" s="89">
        <f>[2]Districts_Boroughs!DR60</f>
        <v>14</v>
      </c>
      <c r="CI42" s="89">
        <f>[2]Districts_Boroughs!DS60</f>
        <v>11</v>
      </c>
      <c r="CJ42" s="89">
        <f>[2]Districts_Boroughs!DT60</f>
        <v>19</v>
      </c>
      <c r="CK42" s="89">
        <f>[2]Districts_Boroughs!DU60</f>
        <v>9</v>
      </c>
      <c r="CL42" s="89">
        <f>[2]Districts_Boroughs!DV60</f>
        <v>9</v>
      </c>
      <c r="CM42" s="89">
        <f>[2]Districts_Boroughs!DW60</f>
        <v>14</v>
      </c>
      <c r="CN42" s="89">
        <f>[2]Districts_Boroughs!DX60</f>
        <v>5</v>
      </c>
      <c r="CO42" s="89">
        <f>[2]Districts_Boroughs!DY60</f>
        <v>10</v>
      </c>
      <c r="CP42" s="89">
        <f>[2]Districts_Boroughs!DZ60</f>
        <v>8</v>
      </c>
      <c r="CQ42" s="89">
        <f>[2]Districts_Boroughs!EA60</f>
        <v>1</v>
      </c>
      <c r="CR42" s="89">
        <f>[2]Districts_Boroughs!EB60</f>
        <v>8</v>
      </c>
      <c r="CS42" s="89">
        <f>[2]Districts_Boroughs!EC60</f>
        <v>11</v>
      </c>
    </row>
    <row r="43" spans="1:97" s="64" customFormat="1" x14ac:dyDescent="0.35">
      <c r="A43" s="93" t="s">
        <v>68</v>
      </c>
      <c r="B43" s="87">
        <f>[2]ASB!AL22</f>
        <v>78</v>
      </c>
      <c r="C43" s="87">
        <f>[2]ASB!AM22</f>
        <v>94</v>
      </c>
      <c r="D43" s="87">
        <f>[2]ASB!AN22</f>
        <v>83</v>
      </c>
      <c r="E43" s="87">
        <f>[2]ASB!AO22</f>
        <v>72</v>
      </c>
      <c r="F43" s="87">
        <f>[2]ASB!AP22</f>
        <v>78</v>
      </c>
      <c r="G43" s="87">
        <f>[2]ASB!AQ22</f>
        <v>68</v>
      </c>
      <c r="H43" s="87">
        <f>[2]ASB!AR22</f>
        <v>58</v>
      </c>
      <c r="I43" s="87">
        <f>[2]ASB!AS22</f>
        <v>50</v>
      </c>
      <c r="J43" s="87">
        <f>[2]ASB!AT22</f>
        <v>43</v>
      </c>
      <c r="K43" s="87">
        <f>[2]ASB!AU22</f>
        <v>41</v>
      </c>
      <c r="L43" s="87">
        <f>[2]ASB!AV22</f>
        <v>41</v>
      </c>
      <c r="M43" s="87">
        <f>[2]ASB!AW22</f>
        <v>62</v>
      </c>
      <c r="N43" s="87">
        <f>[2]ASB!AX22</f>
        <v>57</v>
      </c>
      <c r="O43" s="87">
        <f>[2]ASB!AY22</f>
        <v>68</v>
      </c>
      <c r="P43" s="87">
        <f>[2]ASB!AZ22</f>
        <v>74</v>
      </c>
      <c r="Q43" s="87">
        <f>[2]ASB!BA22</f>
        <v>82</v>
      </c>
      <c r="R43" s="87">
        <f>[2]ASB!BB22</f>
        <v>76</v>
      </c>
      <c r="S43" s="87">
        <f>[2]ASB!BC22</f>
        <v>69</v>
      </c>
      <c r="T43" s="87">
        <f>[2]ASB!BD22</f>
        <v>45</v>
      </c>
      <c r="U43" s="87">
        <f>[2]ASB!BE22</f>
        <v>50</v>
      </c>
      <c r="V43" s="87">
        <f>[2]ASB!BF22</f>
        <v>35</v>
      </c>
      <c r="W43" s="87">
        <f>[2]ASB!BG22</f>
        <v>45</v>
      </c>
      <c r="X43" s="87">
        <f>[2]ASB!BH22</f>
        <v>42</v>
      </c>
      <c r="Y43" s="87">
        <f>[2]ASB!BI22</f>
        <v>57</v>
      </c>
      <c r="Z43" s="87">
        <f>[2]ASB!BJ22</f>
        <v>49</v>
      </c>
      <c r="AA43" s="87">
        <f>[2]ASB!BK22</f>
        <v>55</v>
      </c>
      <c r="AB43" s="87">
        <f>[2]ASB!BL22</f>
        <v>51</v>
      </c>
      <c r="AC43" s="87">
        <f>[2]ASB!BM22</f>
        <v>70</v>
      </c>
      <c r="AD43" s="87">
        <f>[2]ASB!BN22</f>
        <v>53</v>
      </c>
      <c r="AE43" s="87">
        <f>[2]ASB!BO22</f>
        <v>60</v>
      </c>
      <c r="AF43" s="87">
        <f>[2]ASB!BP22</f>
        <v>40</v>
      </c>
      <c r="AG43" s="87">
        <f>[2]ASB!BQ22</f>
        <v>34</v>
      </c>
      <c r="AH43" s="87">
        <f>[2]ASB!BR22</f>
        <v>24</v>
      </c>
      <c r="AI43" s="87">
        <f>[2]ASB!BS22</f>
        <v>44</v>
      </c>
      <c r="AJ43" s="87">
        <f>[2]ASB!BT22</f>
        <v>36</v>
      </c>
      <c r="AK43" s="87">
        <f>[2]ASB!BU22</f>
        <v>46</v>
      </c>
      <c r="AL43" s="87">
        <f>[2]ASB!BV22</f>
        <v>127</v>
      </c>
      <c r="AM43" s="87">
        <f>[2]ASB!BW22</f>
        <v>69</v>
      </c>
      <c r="AN43" s="87">
        <f>[2]ASB!BX22</f>
        <v>58</v>
      </c>
      <c r="AO43" s="87">
        <f>[2]ASB!BY22</f>
        <v>63</v>
      </c>
      <c r="AP43" s="87">
        <f>[2]ASB!BZ22</f>
        <v>67</v>
      </c>
      <c r="AQ43" s="87">
        <f>[2]ASB!CA22</f>
        <v>64</v>
      </c>
      <c r="AR43" s="87">
        <f>[2]ASB!CB22</f>
        <v>46</v>
      </c>
      <c r="AS43" s="87">
        <f>[2]ASB!CC22</f>
        <v>36</v>
      </c>
      <c r="AT43" s="87">
        <f>[2]ASB!CD22</f>
        <v>30</v>
      </c>
      <c r="AU43" s="87">
        <f>[2]ASB!CE22</f>
        <v>42</v>
      </c>
      <c r="AV43" s="87">
        <f>[2]ASB!CF22</f>
        <v>48</v>
      </c>
      <c r="AW43" s="87">
        <f>[2]ASB!CG22</f>
        <v>52</v>
      </c>
      <c r="AX43" s="87">
        <f>[2]ASB!CH22</f>
        <v>45</v>
      </c>
      <c r="AY43" s="87">
        <f>[2]ASB!CI22</f>
        <v>52</v>
      </c>
      <c r="AZ43" s="87">
        <f>[2]ASB!CJ22</f>
        <v>69</v>
      </c>
      <c r="BA43" s="87">
        <f>[2]ASB!CK22</f>
        <v>57</v>
      </c>
      <c r="BB43" s="87">
        <f>[2]ASB!CL22</f>
        <v>54</v>
      </c>
      <c r="BC43" s="87">
        <f>[2]ASB!CM22</f>
        <v>47</v>
      </c>
      <c r="BD43" s="87">
        <f>[2]ASB!CN22</f>
        <v>47</v>
      </c>
      <c r="BE43" s="87">
        <f>[2]ASB!CO22</f>
        <v>41</v>
      </c>
      <c r="BF43" s="87">
        <f>[2]ASB!CP22</f>
        <v>42</v>
      </c>
      <c r="BG43" s="87">
        <f>[2]ASB!CQ22</f>
        <v>43</v>
      </c>
      <c r="BH43" s="87">
        <f>[2]ASB!CR22</f>
        <v>47</v>
      </c>
      <c r="BI43" s="87">
        <f>[2]ASB!CS22</f>
        <v>62</v>
      </c>
      <c r="BJ43" s="87">
        <f>[2]ASB!CT22</f>
        <v>37</v>
      </c>
      <c r="BK43" s="87">
        <f>[2]ASB!CU22</f>
        <v>54</v>
      </c>
      <c r="BL43" s="87">
        <f>[2]ASB!CV22</f>
        <v>48</v>
      </c>
      <c r="BM43" s="87">
        <f>[2]ASB!CW22</f>
        <v>34</v>
      </c>
      <c r="BN43" s="87">
        <f>[2]ASB!CX22</f>
        <v>52</v>
      </c>
      <c r="BO43" s="87">
        <f>[2]ASB!CY22</f>
        <v>42</v>
      </c>
      <c r="BP43" s="87">
        <f>[2]ASB!CZ22</f>
        <v>35</v>
      </c>
      <c r="BQ43" s="87">
        <f>[2]ASB!DA22</f>
        <v>28</v>
      </c>
      <c r="BR43" s="87">
        <f>[2]ASB!DB22</f>
        <v>24</v>
      </c>
      <c r="BS43" s="87">
        <f>[2]ASB!DC22</f>
        <v>26</v>
      </c>
      <c r="BT43" s="87">
        <f>[2]ASB!DD22</f>
        <v>34</v>
      </c>
      <c r="BU43" s="87">
        <f>[2]ASB!DE22</f>
        <v>36</v>
      </c>
      <c r="BV43" s="87">
        <f>[2]ASB!DF22</f>
        <v>30</v>
      </c>
      <c r="BW43" s="87">
        <f>[2]ASB!DG22</f>
        <v>35</v>
      </c>
      <c r="BX43" s="87">
        <f>[2]ASB!DH22</f>
        <v>36</v>
      </c>
      <c r="BY43" s="87">
        <f>[2]ASB!DI22</f>
        <v>38</v>
      </c>
      <c r="BZ43" s="87">
        <f>[2]ASB!DJ22</f>
        <v>52</v>
      </c>
      <c r="CA43" s="87">
        <f>[2]ASB!DK22</f>
        <v>49</v>
      </c>
      <c r="CB43" s="87">
        <f>[2]ASB!DL22</f>
        <v>38</v>
      </c>
      <c r="CC43" s="87">
        <f>[2]ASB!DM22</f>
        <v>39</v>
      </c>
      <c r="CD43" s="87">
        <f>[2]ASB!DN22</f>
        <v>46</v>
      </c>
      <c r="CE43" s="87">
        <f>[2]ASB!DO22</f>
        <v>43</v>
      </c>
      <c r="CF43" s="87">
        <f>[2]ASB!DP22</f>
        <v>45</v>
      </c>
      <c r="CG43" s="87">
        <f>[2]ASB!DQ22</f>
        <v>46</v>
      </c>
      <c r="CH43" s="87">
        <f>[2]ASB!DR22</f>
        <v>63</v>
      </c>
      <c r="CI43" s="87">
        <f>[2]ASB!DS22</f>
        <v>71</v>
      </c>
      <c r="CJ43" s="87">
        <f>[2]ASB!DT22</f>
        <v>69</v>
      </c>
      <c r="CK43" s="87">
        <f>[2]ASB!DU22</f>
        <v>64</v>
      </c>
      <c r="CL43" s="87">
        <f>[2]ASB!DV22</f>
        <v>66</v>
      </c>
      <c r="CM43" s="87">
        <f>[2]ASB!DW22</f>
        <v>60</v>
      </c>
      <c r="CN43" s="87">
        <f>[2]ASB!DX22</f>
        <v>55</v>
      </c>
      <c r="CO43" s="87">
        <f>[2]ASB!DY22</f>
        <v>47</v>
      </c>
      <c r="CP43" s="87">
        <f>[2]ASB!DZ22</f>
        <v>50</v>
      </c>
      <c r="CQ43" s="87">
        <f>[2]ASB!EA22</f>
        <v>47</v>
      </c>
      <c r="CR43" s="87">
        <f>[2]ASB!EB22</f>
        <v>50</v>
      </c>
      <c r="CS43" s="87">
        <f>[2]ASB!EC22</f>
        <v>50</v>
      </c>
    </row>
    <row r="44" spans="1:97" s="64" customFormat="1" x14ac:dyDescent="0.35">
      <c r="A44" s="88" t="s">
        <v>76</v>
      </c>
      <c r="B44" s="87">
        <f>[2]ASB!AL21</f>
        <v>494</v>
      </c>
      <c r="C44" s="87">
        <f>[2]ASB!AM21</f>
        <v>505</v>
      </c>
      <c r="D44" s="87">
        <f>[2]ASB!AN21</f>
        <v>525</v>
      </c>
      <c r="E44" s="87">
        <f>[2]ASB!AO21</f>
        <v>487</v>
      </c>
      <c r="F44" s="87">
        <f>[2]ASB!AP21</f>
        <v>474</v>
      </c>
      <c r="G44" s="87">
        <f>[2]ASB!AQ21</f>
        <v>384</v>
      </c>
      <c r="H44" s="87">
        <f>[2]ASB!AR21</f>
        <v>483</v>
      </c>
      <c r="I44" s="87">
        <f>[2]ASB!AS21</f>
        <v>367</v>
      </c>
      <c r="J44" s="87">
        <f>[2]ASB!AT21</f>
        <v>313</v>
      </c>
      <c r="K44" s="87">
        <f>[2]ASB!AU21</f>
        <v>289</v>
      </c>
      <c r="L44" s="87">
        <f>[2]ASB!AV21</f>
        <v>299</v>
      </c>
      <c r="M44" s="87">
        <f>[2]ASB!AW21</f>
        <v>390</v>
      </c>
      <c r="N44" s="87">
        <f>[2]ASB!AX21</f>
        <v>384</v>
      </c>
      <c r="O44" s="87">
        <f>[2]ASB!AY21</f>
        <v>412</v>
      </c>
      <c r="P44" s="87">
        <f>[2]ASB!AZ21</f>
        <v>427</v>
      </c>
      <c r="Q44" s="87">
        <f>[2]ASB!BA21</f>
        <v>487</v>
      </c>
      <c r="R44" s="87">
        <f>[2]ASB!BB21</f>
        <v>449</v>
      </c>
      <c r="S44" s="87">
        <f>[2]ASB!BC21</f>
        <v>340</v>
      </c>
      <c r="T44" s="87">
        <f>[2]ASB!BD21</f>
        <v>269</v>
      </c>
      <c r="U44" s="87">
        <f>[2]ASB!BE21</f>
        <v>289</v>
      </c>
      <c r="V44" s="87">
        <f>[2]ASB!BF21</f>
        <v>293</v>
      </c>
      <c r="W44" s="87">
        <f>[2]ASB!BG21</f>
        <v>280</v>
      </c>
      <c r="X44" s="87">
        <f>[2]ASB!BH21</f>
        <v>236</v>
      </c>
      <c r="Y44" s="87">
        <f>[2]ASB!BI21</f>
        <v>286</v>
      </c>
      <c r="Z44" s="87">
        <f>[2]ASB!BJ21</f>
        <v>294</v>
      </c>
      <c r="AA44" s="87">
        <f>[2]ASB!BK21</f>
        <v>339</v>
      </c>
      <c r="AB44" s="87">
        <f>[2]ASB!BL21</f>
        <v>293</v>
      </c>
      <c r="AC44" s="87">
        <f>[2]ASB!BM21</f>
        <v>392</v>
      </c>
      <c r="AD44" s="87">
        <f>[2]ASB!BN21</f>
        <v>405</v>
      </c>
      <c r="AE44" s="87">
        <f>[2]ASB!BO21</f>
        <v>349</v>
      </c>
      <c r="AF44" s="87">
        <f>[2]ASB!BP21</f>
        <v>244</v>
      </c>
      <c r="AG44" s="87">
        <f>[2]ASB!BQ21</f>
        <v>187</v>
      </c>
      <c r="AH44" s="87">
        <f>[2]ASB!BR21</f>
        <v>172</v>
      </c>
      <c r="AI44" s="87">
        <f>[2]ASB!BS21</f>
        <v>212</v>
      </c>
      <c r="AJ44" s="87">
        <f>[2]ASB!BT21</f>
        <v>218</v>
      </c>
      <c r="AK44" s="87">
        <f>[2]ASB!BU21</f>
        <v>283</v>
      </c>
      <c r="AL44" s="87">
        <f>[2]ASB!BV21</f>
        <v>685</v>
      </c>
      <c r="AM44" s="87">
        <f>[2]ASB!BW21</f>
        <v>579</v>
      </c>
      <c r="AN44" s="87">
        <f>[2]ASB!BX21</f>
        <v>451</v>
      </c>
      <c r="AO44" s="87">
        <f>[2]ASB!BY21</f>
        <v>440</v>
      </c>
      <c r="AP44" s="87">
        <f>[2]ASB!BZ21</f>
        <v>459</v>
      </c>
      <c r="AQ44" s="87">
        <f>[2]ASB!CA21</f>
        <v>414</v>
      </c>
      <c r="AR44" s="87">
        <f>[2]ASB!CB21</f>
        <v>330</v>
      </c>
      <c r="AS44" s="87">
        <f>[2]ASB!CC21</f>
        <v>293</v>
      </c>
      <c r="AT44" s="87">
        <f>[2]ASB!CD21</f>
        <v>216</v>
      </c>
      <c r="AU44" s="87">
        <f>[2]ASB!CE21</f>
        <v>331</v>
      </c>
      <c r="AV44" s="87">
        <f>[2]ASB!CF21</f>
        <v>300</v>
      </c>
      <c r="AW44" s="87">
        <f>[2]ASB!CG21</f>
        <v>315</v>
      </c>
      <c r="AX44" s="87">
        <f>[2]ASB!CH21</f>
        <v>377</v>
      </c>
      <c r="AY44" s="87">
        <f>[2]ASB!CI21</f>
        <v>303</v>
      </c>
      <c r="AZ44" s="87">
        <f>[2]ASB!CJ21</f>
        <v>354</v>
      </c>
      <c r="BA44" s="87">
        <f>[2]ASB!CK21</f>
        <v>371</v>
      </c>
      <c r="BB44" s="87">
        <f>[2]ASB!CL21</f>
        <v>319</v>
      </c>
      <c r="BC44" s="87">
        <f>[2]ASB!CM21</f>
        <v>288</v>
      </c>
      <c r="BD44" s="87">
        <f>[2]ASB!CN21</f>
        <v>320</v>
      </c>
      <c r="BE44" s="87">
        <f>[2]ASB!CO21</f>
        <v>278</v>
      </c>
      <c r="BF44" s="87">
        <f>[2]ASB!CP21</f>
        <v>264</v>
      </c>
      <c r="BG44" s="87">
        <f>[2]ASB!CQ21</f>
        <v>281</v>
      </c>
      <c r="BH44" s="87">
        <f>[2]ASB!CR21</f>
        <v>282</v>
      </c>
      <c r="BI44" s="87">
        <f>[2]ASB!CS21</f>
        <v>313</v>
      </c>
      <c r="BJ44" s="87">
        <f>[2]ASB!CT21</f>
        <v>320</v>
      </c>
      <c r="BK44" s="87">
        <f>[2]ASB!CU21</f>
        <v>317</v>
      </c>
      <c r="BL44" s="87">
        <f>[2]ASB!CV21</f>
        <v>295</v>
      </c>
      <c r="BM44" s="87">
        <f>[2]ASB!CW21</f>
        <v>274</v>
      </c>
      <c r="BN44" s="87">
        <f>[2]ASB!CX21</f>
        <v>292</v>
      </c>
      <c r="BO44" s="87">
        <f>[2]ASB!CY21</f>
        <v>233</v>
      </c>
      <c r="BP44" s="87">
        <f>[2]ASB!CZ21</f>
        <v>223</v>
      </c>
      <c r="BQ44" s="87">
        <f>[2]ASB!DA21</f>
        <v>191</v>
      </c>
      <c r="BR44" s="87">
        <f>[2]ASB!DB21</f>
        <v>160</v>
      </c>
      <c r="BS44" s="87">
        <f>[2]ASB!DC21</f>
        <v>179</v>
      </c>
      <c r="BT44" s="87">
        <f>[2]ASB!DD21</f>
        <v>230</v>
      </c>
      <c r="BU44" s="87">
        <f>[2]ASB!DE21</f>
        <v>225</v>
      </c>
      <c r="BV44" s="87">
        <f>[2]ASB!DF21</f>
        <v>260</v>
      </c>
      <c r="BW44" s="87">
        <f>[2]ASB!DG21</f>
        <v>221</v>
      </c>
      <c r="BX44" s="87">
        <f>[2]ASB!DH21</f>
        <v>215</v>
      </c>
      <c r="BY44" s="87">
        <f>[2]ASB!DI21</f>
        <v>224</v>
      </c>
      <c r="BZ44" s="87">
        <f>[2]ASB!DJ21</f>
        <v>249</v>
      </c>
      <c r="CA44" s="87">
        <f>[2]ASB!DK21</f>
        <v>236</v>
      </c>
      <c r="CB44" s="87">
        <f>[2]ASB!DL21</f>
        <v>150</v>
      </c>
      <c r="CC44" s="87">
        <f>[2]ASB!DM21</f>
        <v>144</v>
      </c>
      <c r="CD44" s="87">
        <f>[2]ASB!DN21</f>
        <v>163</v>
      </c>
      <c r="CE44" s="87">
        <f>[2]ASB!DO21</f>
        <v>171</v>
      </c>
      <c r="CF44" s="87">
        <f>[2]ASB!DP21</f>
        <v>170</v>
      </c>
      <c r="CG44" s="87">
        <f>[2]ASB!DQ21</f>
        <v>173</v>
      </c>
      <c r="CH44" s="87">
        <f>[2]ASB!DR21</f>
        <v>242</v>
      </c>
      <c r="CI44" s="87">
        <f>[2]ASB!DS21</f>
        <v>295</v>
      </c>
      <c r="CJ44" s="87">
        <f>[2]ASB!DT21</f>
        <v>256</v>
      </c>
      <c r="CK44" s="87">
        <f>[2]ASB!DU21</f>
        <v>254</v>
      </c>
      <c r="CL44" s="87">
        <f>[2]ASB!DV21</f>
        <v>275</v>
      </c>
      <c r="CM44" s="87">
        <f>[2]ASB!DW21</f>
        <v>249</v>
      </c>
      <c r="CN44" s="87">
        <f>[2]ASB!DX21</f>
        <v>231</v>
      </c>
      <c r="CO44" s="87">
        <f>[2]ASB!DY21</f>
        <v>198</v>
      </c>
      <c r="CP44" s="87">
        <f>[2]ASB!DZ21</f>
        <v>176</v>
      </c>
      <c r="CQ44" s="87">
        <f>[2]ASB!EA21</f>
        <v>195</v>
      </c>
      <c r="CR44" s="87">
        <f>[2]ASB!EB21</f>
        <v>204</v>
      </c>
      <c r="CS44" s="87">
        <f>[2]ASB!EC21</f>
        <v>281</v>
      </c>
    </row>
    <row r="45" spans="1:97" s="64" customFormat="1" x14ac:dyDescent="0.35">
      <c r="A45" s="88"/>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row>
    <row r="46" spans="1:97" s="64" customFormat="1" x14ac:dyDescent="0.35">
      <c r="A46" s="88"/>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row>
    <row r="47" spans="1:97" s="33" customFormat="1" x14ac:dyDescent="0.35">
      <c r="A47" s="90"/>
      <c r="B47" s="91"/>
      <c r="C47" s="91"/>
      <c r="D47" s="91"/>
      <c r="E47" s="91"/>
      <c r="F47" s="91"/>
      <c r="G47" s="91"/>
      <c r="H47" s="91"/>
      <c r="I47" s="91"/>
      <c r="J47" s="91"/>
      <c r="K47" s="91"/>
      <c r="L47" s="91"/>
      <c r="M47" s="91"/>
      <c r="N47" s="91"/>
      <c r="O47" s="84"/>
      <c r="P47" s="84"/>
      <c r="Q47" s="84"/>
      <c r="R47" s="84"/>
      <c r="S47" s="84"/>
      <c r="T47" s="84"/>
      <c r="U47" s="84"/>
      <c r="V47" s="84"/>
      <c r="W47" s="84"/>
      <c r="X47" s="84"/>
      <c r="Y47" s="84"/>
      <c r="Z47" s="84"/>
    </row>
    <row r="48" spans="1:97" s="64" customFormat="1" x14ac:dyDescent="0.35">
      <c r="A48" s="74" t="s">
        <v>145</v>
      </c>
      <c r="B48" s="64">
        <f t="shared" ref="B48" si="307">IF(AND(B49=1,C49=0)=TRUE,1,IF(AND(B49=0,C49=0,C48=0)=TRUE,0,C48+1))</f>
        <v>96</v>
      </c>
      <c r="C48" s="64">
        <f t="shared" ref="C48" si="308">IF(AND(C49=1,D49=0)=TRUE,1,IF(AND(C49=0,D49=0,D48=0)=TRUE,0,D48+1))</f>
        <v>95</v>
      </c>
      <c r="D48" s="64">
        <f t="shared" ref="D48" si="309">IF(AND(D49=1,E49=0)=TRUE,1,IF(AND(D49=0,E49=0,E48=0)=TRUE,0,E48+1))</f>
        <v>94</v>
      </c>
      <c r="E48" s="64">
        <f t="shared" ref="E48" si="310">IF(AND(E49=1,F49=0)=TRUE,1,IF(AND(E49=0,F49=0,F48=0)=TRUE,0,F48+1))</f>
        <v>93</v>
      </c>
      <c r="F48" s="64">
        <f t="shared" ref="F48" si="311">IF(AND(F49=1,G49=0)=TRUE,1,IF(AND(F49=0,G49=0,G48=0)=TRUE,0,G48+1))</f>
        <v>92</v>
      </c>
      <c r="G48" s="64">
        <f t="shared" ref="G48" si="312">IF(AND(G49=1,H49=0)=TRUE,1,IF(AND(G49=0,H49=0,H48=0)=TRUE,0,H48+1))</f>
        <v>91</v>
      </c>
      <c r="H48" s="64">
        <f t="shared" ref="H48" si="313">IF(AND(H49=1,I49=0)=TRUE,1,IF(AND(H49=0,I49=0,I48=0)=TRUE,0,I48+1))</f>
        <v>90</v>
      </c>
      <c r="I48" s="64">
        <f t="shared" ref="I48" si="314">IF(AND(I49=1,J49=0)=TRUE,1,IF(AND(I49=0,J49=0,J48=0)=TRUE,0,J48+1))</f>
        <v>89</v>
      </c>
      <c r="J48" s="64">
        <f t="shared" ref="J48" si="315">IF(AND(J49=1,K49=0)=TRUE,1,IF(AND(J49=0,K49=0,K48=0)=TRUE,0,K48+1))</f>
        <v>88</v>
      </c>
      <c r="K48" s="64">
        <f t="shared" ref="K48" si="316">IF(AND(K49=1,L49=0)=TRUE,1,IF(AND(K49=0,L49=0,L48=0)=TRUE,0,L48+1))</f>
        <v>87</v>
      </c>
      <c r="L48" s="64">
        <f t="shared" ref="L48" si="317">IF(AND(L49=1,M49=0)=TRUE,1,IF(AND(L49=0,M49=0,M48=0)=TRUE,0,M48+1))</f>
        <v>86</v>
      </c>
      <c r="M48" s="64">
        <f t="shared" ref="M48" si="318">IF(AND(M49=1,N49=0)=TRUE,1,IF(AND(M49=0,N49=0,N48=0)=TRUE,0,N48+1))</f>
        <v>85</v>
      </c>
      <c r="N48" s="64">
        <f t="shared" ref="N48" si="319">IF(AND(N49=1,O49=0)=TRUE,1,IF(AND(N49=0,O49=0,O48=0)=TRUE,0,O48+1))</f>
        <v>84</v>
      </c>
      <c r="O48" s="64">
        <f t="shared" ref="O48" si="320">IF(AND(O49=1,P49=0)=TRUE,1,IF(AND(O49=0,P49=0,P48=0)=TRUE,0,P48+1))</f>
        <v>83</v>
      </c>
      <c r="P48" s="64">
        <f t="shared" ref="P48" si="321">IF(AND(P49=1,Q49=0)=TRUE,1,IF(AND(P49=0,Q49=0,Q48=0)=TRUE,0,Q48+1))</f>
        <v>82</v>
      </c>
      <c r="Q48" s="64">
        <f t="shared" ref="Q48" si="322">IF(AND(Q49=1,R49=0)=TRUE,1,IF(AND(Q49=0,R49=0,R48=0)=TRUE,0,R48+1))</f>
        <v>81</v>
      </c>
      <c r="R48" s="64">
        <f t="shared" ref="R48" si="323">IF(AND(R49=1,S49=0)=TRUE,1,IF(AND(R49=0,S49=0,S48=0)=TRUE,0,S48+1))</f>
        <v>80</v>
      </c>
      <c r="S48" s="64">
        <f t="shared" ref="S48" si="324">IF(AND(S49=1,T49=0)=TRUE,1,IF(AND(S49=0,T49=0,T48=0)=TRUE,0,T48+1))</f>
        <v>79</v>
      </c>
      <c r="T48" s="64">
        <f t="shared" ref="T48" si="325">IF(AND(T49=1,U49=0)=TRUE,1,IF(AND(T49=0,U49=0,U48=0)=TRUE,0,U48+1))</f>
        <v>78</v>
      </c>
      <c r="U48" s="64">
        <f t="shared" ref="U48" si="326">IF(AND(U49=1,V49=0)=TRUE,1,IF(AND(U49=0,V49=0,V48=0)=TRUE,0,V48+1))</f>
        <v>77</v>
      </c>
      <c r="V48" s="64">
        <f t="shared" ref="V48" si="327">IF(AND(V49=1,W49=0)=TRUE,1,IF(AND(V49=0,W49=0,W48=0)=TRUE,0,W48+1))</f>
        <v>76</v>
      </c>
      <c r="W48" s="64">
        <f t="shared" ref="W48" si="328">IF(AND(W49=1,X49=0)=TRUE,1,IF(AND(W49=0,X49=0,X48=0)=TRUE,0,X48+1))</f>
        <v>75</v>
      </c>
      <c r="X48" s="64">
        <f t="shared" ref="X48" si="329">IF(AND(X49=1,Y49=0)=TRUE,1,IF(AND(X49=0,Y49=0,Y48=0)=TRUE,0,Y48+1))</f>
        <v>74</v>
      </c>
      <c r="Y48" s="64">
        <f t="shared" ref="Y48" si="330">IF(AND(Y49=1,Z49=0)=TRUE,1,IF(AND(Y49=0,Z49=0,Z48=0)=TRUE,0,Z48+1))</f>
        <v>73</v>
      </c>
      <c r="Z48" s="64">
        <f t="shared" ref="Z48" si="331">IF(AND(Z49=1,AA49=0)=TRUE,1,IF(AND(Z49=0,AA49=0,AA48=0)=TRUE,0,AA48+1))</f>
        <v>72</v>
      </c>
      <c r="AA48" s="64">
        <f t="shared" ref="AA48" si="332">IF(AND(AA49=1,AB49=0)=TRUE,1,IF(AND(AA49=0,AB49=0,AB48=0)=TRUE,0,AB48+1))</f>
        <v>71</v>
      </c>
      <c r="AB48" s="64">
        <f t="shared" ref="AB48" si="333">IF(AND(AB49=1,AC49=0)=TRUE,1,IF(AND(AB49=0,AC49=0,AC48=0)=TRUE,0,AC48+1))</f>
        <v>70</v>
      </c>
      <c r="AC48" s="64">
        <f t="shared" ref="AC48" si="334">IF(AND(AC49=1,AD49=0)=TRUE,1,IF(AND(AC49=0,AD49=0,AD48=0)=TRUE,0,AD48+1))</f>
        <v>69</v>
      </c>
      <c r="AD48" s="64">
        <f t="shared" ref="AD48" si="335">IF(AND(AD49=1,AE49=0)=TRUE,1,IF(AND(AD49=0,AE49=0,AE48=0)=TRUE,0,AE48+1))</f>
        <v>68</v>
      </c>
      <c r="AE48" s="64">
        <f t="shared" ref="AE48" si="336">IF(AND(AE49=1,AF49=0)=TRUE,1,IF(AND(AE49=0,AF49=0,AF48=0)=TRUE,0,AF48+1))</f>
        <v>67</v>
      </c>
      <c r="AF48" s="64">
        <f t="shared" ref="AF48" si="337">IF(AND(AF49=1,AG49=0)=TRUE,1,IF(AND(AF49=0,AG49=0,AG48=0)=TRUE,0,AG48+1))</f>
        <v>66</v>
      </c>
      <c r="AG48" s="64">
        <f t="shared" ref="AG48" si="338">IF(AND(AG49=1,AH49=0)=TRUE,1,IF(AND(AG49=0,AH49=0,AH48=0)=TRUE,0,AH48+1))</f>
        <v>65</v>
      </c>
      <c r="AH48" s="64">
        <f t="shared" ref="AH48" si="339">IF(AND(AH49=1,AI49=0)=TRUE,1,IF(AND(AH49=0,AI49=0,AI48=0)=TRUE,0,AI48+1))</f>
        <v>64</v>
      </c>
      <c r="AI48" s="64">
        <f t="shared" ref="AI48" si="340">IF(AND(AI49=1,AJ49=0)=TRUE,1,IF(AND(AI49=0,AJ49=0,AJ48=0)=TRUE,0,AJ48+1))</f>
        <v>63</v>
      </c>
      <c r="AJ48" s="64">
        <f t="shared" ref="AJ48" si="341">IF(AND(AJ49=1,AK49=0)=TRUE,1,IF(AND(AJ49=0,AK49=0,AK48=0)=TRUE,0,AK48+1))</f>
        <v>62</v>
      </c>
      <c r="AK48" s="64">
        <f t="shared" ref="AK48" si="342">IF(AND(AK49=1,AL49=0)=TRUE,1,IF(AND(AK49=0,AL49=0,AL48=0)=TRUE,0,AL48+1))</f>
        <v>61</v>
      </c>
      <c r="AL48" s="64">
        <f t="shared" ref="AL48" si="343">IF(AND(AL49=1,AM49=0)=TRUE,1,IF(AND(AL49=0,AM49=0,AM48=0)=TRUE,0,AM48+1))</f>
        <v>60</v>
      </c>
      <c r="AM48" s="64">
        <f t="shared" ref="AM48" si="344">IF(AND(AM49=1,AN49=0)=TRUE,1,IF(AND(AM49=0,AN49=0,AN48=0)=TRUE,0,AN48+1))</f>
        <v>59</v>
      </c>
      <c r="AN48" s="64">
        <f t="shared" ref="AN48" si="345">IF(AND(AN49=1,AO49=0)=TRUE,1,IF(AND(AN49=0,AO49=0,AO48=0)=TRUE,0,AO48+1))</f>
        <v>58</v>
      </c>
      <c r="AO48" s="64">
        <f t="shared" ref="AO48" si="346">IF(AND(AO49=1,AP49=0)=TRUE,1,IF(AND(AO49=0,AP49=0,AP48=0)=TRUE,0,AP48+1))</f>
        <v>57</v>
      </c>
      <c r="AP48" s="64">
        <f t="shared" ref="AP48" si="347">IF(AND(AP49=1,AQ49=0)=TRUE,1,IF(AND(AP49=0,AQ49=0,AQ48=0)=TRUE,0,AQ48+1))</f>
        <v>56</v>
      </c>
      <c r="AQ48" s="64">
        <f t="shared" ref="AQ48" si="348">IF(AND(AQ49=1,AR49=0)=TRUE,1,IF(AND(AQ49=0,AR49=0,AR48=0)=TRUE,0,AR48+1))</f>
        <v>55</v>
      </c>
      <c r="AR48" s="64">
        <f t="shared" ref="AR48" si="349">IF(AND(AR49=1,AS49=0)=TRUE,1,IF(AND(AR49=0,AS49=0,AS48=0)=TRUE,0,AS48+1))</f>
        <v>54</v>
      </c>
      <c r="AS48" s="64">
        <f t="shared" ref="AS48" si="350">IF(AND(AS49=1,AT49=0)=TRUE,1,IF(AND(AS49=0,AT49=0,AT48=0)=TRUE,0,AT48+1))</f>
        <v>53</v>
      </c>
      <c r="AT48" s="64">
        <f t="shared" ref="AT48" si="351">IF(AND(AT49=1,AU49=0)=TRUE,1,IF(AND(AT49=0,AU49=0,AU48=0)=TRUE,0,AU48+1))</f>
        <v>52</v>
      </c>
      <c r="AU48" s="64">
        <f t="shared" ref="AU48" si="352">IF(AND(AU49=1,AV49=0)=TRUE,1,IF(AND(AU49=0,AV49=0,AV48=0)=TRUE,0,AV48+1))</f>
        <v>51</v>
      </c>
      <c r="AV48" s="64">
        <f t="shared" ref="AV48" si="353">IF(AND(AV49=1,AW49=0)=TRUE,1,IF(AND(AV49=0,AW49=0,AW48=0)=TRUE,0,AW48+1))</f>
        <v>50</v>
      </c>
      <c r="AW48" s="64">
        <f t="shared" ref="AW48" si="354">IF(AND(AW49=1,AX49=0)=TRUE,1,IF(AND(AW49=0,AX49=0,AX48=0)=TRUE,0,AX48+1))</f>
        <v>49</v>
      </c>
      <c r="AX48" s="64">
        <f t="shared" ref="AX48" si="355">IF(AND(AX49=1,AY49=0)=TRUE,1,IF(AND(AX49=0,AY49=0,AY48=0)=TRUE,0,AY48+1))</f>
        <v>48</v>
      </c>
      <c r="AY48" s="64">
        <f t="shared" ref="AY48" si="356">IF(AND(AY49=1,AZ49=0)=TRUE,1,IF(AND(AY49=0,AZ49=0,AZ48=0)=TRUE,0,AZ48+1))</f>
        <v>47</v>
      </c>
      <c r="AZ48" s="64">
        <f t="shared" ref="AZ48" si="357">IF(AND(AZ49=1,BA49=0)=TRUE,1,IF(AND(AZ49=0,BA49=0,BA48=0)=TRUE,0,BA48+1))</f>
        <v>46</v>
      </c>
      <c r="BA48" s="64">
        <f t="shared" ref="BA48" si="358">IF(AND(BA49=1,BB49=0)=TRUE,1,IF(AND(BA49=0,BB49=0,BB48=0)=TRUE,0,BB48+1))</f>
        <v>45</v>
      </c>
      <c r="BB48" s="64">
        <f t="shared" ref="BB48" si="359">IF(AND(BB49=1,BC49=0)=TRUE,1,IF(AND(BB49=0,BC49=0,BC48=0)=TRUE,0,BC48+1))</f>
        <v>44</v>
      </c>
      <c r="BC48" s="64">
        <f t="shared" ref="BC48" si="360">IF(AND(BC49=1,BD49=0)=TRUE,1,IF(AND(BC49=0,BD49=0,BD48=0)=TRUE,0,BD48+1))</f>
        <v>43</v>
      </c>
      <c r="BD48" s="64">
        <f t="shared" ref="BD48" si="361">IF(AND(BD49=1,BE49=0)=TRUE,1,IF(AND(BD49=0,BE49=0,BE48=0)=TRUE,0,BE48+1))</f>
        <v>42</v>
      </c>
      <c r="BE48" s="64">
        <f t="shared" ref="BE48" si="362">IF(AND(BE49=1,BF49=0)=TRUE,1,IF(AND(BE49=0,BF49=0,BF48=0)=TRUE,0,BF48+1))</f>
        <v>41</v>
      </c>
      <c r="BF48" s="64">
        <f t="shared" ref="BF48" si="363">IF(AND(BF49=1,BG49=0)=TRUE,1,IF(AND(BF49=0,BG49=0,BG48=0)=TRUE,0,BG48+1))</f>
        <v>40</v>
      </c>
      <c r="BG48" s="64">
        <f t="shared" ref="BG48" si="364">IF(AND(BG49=1,BH49=0)=TRUE,1,IF(AND(BG49=0,BH49=0,BH48=0)=TRUE,0,BH48+1))</f>
        <v>39</v>
      </c>
      <c r="BH48" s="64">
        <f t="shared" ref="BH48" si="365">IF(AND(BH49=1,BI49=0)=TRUE,1,IF(AND(BH49=0,BI49=0,BI48=0)=TRUE,0,BI48+1))</f>
        <v>38</v>
      </c>
      <c r="BI48" s="64">
        <f t="shared" ref="BI48" si="366">IF(AND(BI49=1,BJ49=0)=TRUE,1,IF(AND(BI49=0,BJ49=0,BJ48=0)=TRUE,0,BJ48+1))</f>
        <v>37</v>
      </c>
      <c r="BJ48" s="64">
        <f t="shared" ref="BJ48" si="367">IF(AND(BJ49=1,BK49=0)=TRUE,1,IF(AND(BJ49=0,BK49=0,BK48=0)=TRUE,0,BK48+1))</f>
        <v>36</v>
      </c>
      <c r="BK48" s="64">
        <f t="shared" ref="BK48" si="368">IF(AND(BK49=1,BL49=0)=TRUE,1,IF(AND(BK49=0,BL49=0,BL48=0)=TRUE,0,BL48+1))</f>
        <v>35</v>
      </c>
      <c r="BL48" s="64">
        <f t="shared" ref="BL48" si="369">IF(AND(BL49=1,BM49=0)=TRUE,1,IF(AND(BL49=0,BM49=0,BM48=0)=TRUE,0,BM48+1))</f>
        <v>34</v>
      </c>
      <c r="BM48" s="64">
        <f t="shared" ref="BM48" si="370">IF(AND(BM49=1,BN49=0)=TRUE,1,IF(AND(BM49=0,BN49=0,BN48=0)=TRUE,0,BN48+1))</f>
        <v>33</v>
      </c>
      <c r="BN48" s="64">
        <f t="shared" ref="BN48" si="371">IF(AND(BN49=1,BO49=0)=TRUE,1,IF(AND(BN49=0,BO49=0,BO48=0)=TRUE,0,BO48+1))</f>
        <v>32</v>
      </c>
      <c r="BO48" s="64">
        <f t="shared" ref="BO48" si="372">IF(AND(BO49=1,BP49=0)=TRUE,1,IF(AND(BO49=0,BP49=0,BP48=0)=TRUE,0,BP48+1))</f>
        <v>31</v>
      </c>
      <c r="BP48" s="64">
        <f t="shared" ref="BP48" si="373">IF(AND(BP49=1,BQ49=0)=TRUE,1,IF(AND(BP49=0,BQ49=0,BQ48=0)=TRUE,0,BQ48+1))</f>
        <v>30</v>
      </c>
      <c r="BQ48" s="64">
        <f t="shared" ref="BQ48" si="374">IF(AND(BQ49=1,BR49=0)=TRUE,1,IF(AND(BQ49=0,BR49=0,BR48=0)=TRUE,0,BR48+1))</f>
        <v>29</v>
      </c>
      <c r="BR48" s="64">
        <f t="shared" ref="BR48" si="375">IF(AND(BR49=1,BS49=0)=TRUE,1,IF(AND(BR49=0,BS49=0,BS48=0)=TRUE,0,BS48+1))</f>
        <v>28</v>
      </c>
      <c r="BS48" s="64">
        <f t="shared" ref="BS48" si="376">IF(AND(BS49=1,BT49=0)=TRUE,1,IF(AND(BS49=0,BT49=0,BT48=0)=TRUE,0,BT48+1))</f>
        <v>27</v>
      </c>
      <c r="BT48" s="64">
        <f t="shared" ref="BT48" si="377">IF(AND(BT49=1,BU49=0)=TRUE,1,IF(AND(BT49=0,BU49=0,BU48=0)=TRUE,0,BU48+1))</f>
        <v>26</v>
      </c>
      <c r="BU48" s="64">
        <f t="shared" ref="BU48" si="378">IF(AND(BU49=1,BV49=0)=TRUE,1,IF(AND(BU49=0,BV49=0,BV48=0)=TRUE,0,BV48+1))</f>
        <v>25</v>
      </c>
      <c r="BV48" s="64">
        <f t="shared" ref="BV48" si="379">IF(AND(BV49=1,BW49=0)=TRUE,1,IF(AND(BV49=0,BW49=0,BW48=0)=TRUE,0,BW48+1))</f>
        <v>24</v>
      </c>
      <c r="BW48" s="64">
        <f t="shared" ref="BW48" si="380">IF(AND(BW49=1,BX49=0)=TRUE,1,IF(AND(BW49=0,BX49=0,BX48=0)=TRUE,0,BX48+1))</f>
        <v>23</v>
      </c>
      <c r="BX48" s="64">
        <f t="shared" ref="BX48" si="381">IF(AND(BX49=1,BY49=0)=TRUE,1,IF(AND(BX49=0,BY49=0,BY48=0)=TRUE,0,BY48+1))</f>
        <v>22</v>
      </c>
      <c r="BY48" s="64">
        <f t="shared" ref="BY48" si="382">IF(AND(BY49=1,BZ49=0)=TRUE,1,IF(AND(BY49=0,BZ49=0,BZ48=0)=TRUE,0,BZ48+1))</f>
        <v>21</v>
      </c>
      <c r="BZ48" s="64">
        <f t="shared" ref="BZ48" si="383">IF(AND(BZ49=1,CA49=0)=TRUE,1,IF(AND(BZ49=0,CA49=0,CA48=0)=TRUE,0,CA48+1))</f>
        <v>20</v>
      </c>
      <c r="CA48" s="64">
        <f t="shared" ref="CA48" si="384">IF(AND(CA49=1,CB49=0)=TRUE,1,IF(AND(CA49=0,CB49=0,CB48=0)=TRUE,0,CB48+1))</f>
        <v>19</v>
      </c>
      <c r="CB48" s="64">
        <f t="shared" ref="CB48" si="385">IF(AND(CB49=1,CC49=0)=TRUE,1,IF(AND(CB49=0,CC49=0,CC48=0)=TRUE,0,CC48+1))</f>
        <v>18</v>
      </c>
      <c r="CC48" s="64">
        <f t="shared" ref="CC48" si="386">IF(AND(CC49=1,CD49=0)=TRUE,1,IF(AND(CC49=0,CD49=0,CD48=0)=TRUE,0,CD48+1))</f>
        <v>17</v>
      </c>
      <c r="CD48" s="64">
        <f t="shared" ref="CD48" si="387">IF(AND(CD49=1,CE49=0)=TRUE,1,IF(AND(CD49=0,CE49=0,CE48=0)=TRUE,0,CE48+1))</f>
        <v>16</v>
      </c>
      <c r="CE48" s="64">
        <f t="shared" ref="CE48" si="388">IF(AND(CE49=1,CF49=0)=TRUE,1,IF(AND(CE49=0,CF49=0,CF48=0)=TRUE,0,CF48+1))</f>
        <v>15</v>
      </c>
      <c r="CF48" s="64">
        <f t="shared" ref="CF48" si="389">IF(AND(CF49=1,CG49=0)=TRUE,1,IF(AND(CF49=0,CG49=0,CG48=0)=TRUE,0,CG48+1))</f>
        <v>14</v>
      </c>
      <c r="CG48" s="64">
        <f t="shared" ref="CG48" si="390">IF(AND(CG49=1,CH49=0)=TRUE,1,IF(AND(CG49=0,CH49=0,CH48=0)=TRUE,0,CH48+1))</f>
        <v>13</v>
      </c>
      <c r="CH48" s="64">
        <f t="shared" ref="CH48" si="391">IF(AND(CH49=1,CI49=0)=TRUE,1,IF(AND(CH49=0,CI49=0,CI48=0)=TRUE,0,CI48+1))</f>
        <v>12</v>
      </c>
      <c r="CI48" s="64">
        <f t="shared" ref="CI48" si="392">IF(AND(CI49=1,CJ49=0)=TRUE,1,IF(AND(CI49=0,CJ49=0,CJ48=0)=TRUE,0,CJ48+1))</f>
        <v>11</v>
      </c>
      <c r="CJ48" s="64">
        <f t="shared" ref="CJ48" si="393">IF(AND(CJ49=1,CK49=0)=TRUE,1,IF(AND(CJ49=0,CK49=0,CK48=0)=TRUE,0,CK48+1))</f>
        <v>10</v>
      </c>
      <c r="CK48" s="64">
        <f t="shared" ref="CK48" si="394">IF(AND(CK49=1,CL49=0)=TRUE,1,IF(AND(CK49=0,CL49=0,CL48=0)=TRUE,0,CL48+1))</f>
        <v>9</v>
      </c>
      <c r="CL48" s="64">
        <f t="shared" ref="CL48" si="395">IF(AND(CL49=1,CM49=0)=TRUE,1,IF(AND(CL49=0,CM49=0,CM48=0)=TRUE,0,CM48+1))</f>
        <v>8</v>
      </c>
      <c r="CM48" s="64">
        <f t="shared" ref="CM48" si="396">IF(AND(CM49=1,CN49=0)=TRUE,1,IF(AND(CM49=0,CN49=0,CN48=0)=TRUE,0,CN48+1))</f>
        <v>7</v>
      </c>
      <c r="CN48" s="64">
        <f t="shared" ref="CN48" si="397">IF(AND(CN49=1,CO49=0)=TRUE,1,IF(AND(CN49=0,CO49=0,CO48=0)=TRUE,0,CO48+1))</f>
        <v>6</v>
      </c>
      <c r="CO48" s="64">
        <f t="shared" ref="CO48" si="398">IF(AND(CO49=1,CP49=0)=TRUE,1,IF(AND(CO49=0,CP49=0,CP48=0)=TRUE,0,CP48+1))</f>
        <v>5</v>
      </c>
      <c r="CP48" s="64">
        <f t="shared" ref="CP48" si="399">IF(AND(CP49=1,CQ49=0)=TRUE,1,IF(AND(CP49=0,CQ49=0,CQ48=0)=TRUE,0,CQ48+1))</f>
        <v>4</v>
      </c>
      <c r="CQ48" s="64">
        <f t="shared" ref="CQ48" si="400">IF(AND(CQ49=1,CR49=0)=TRUE,1,IF(AND(CQ49=0,CR49=0,CR48=0)=TRUE,0,CR48+1))</f>
        <v>3</v>
      </c>
      <c r="CR48" s="64">
        <f t="shared" ref="CR48:CS48" si="401">IF(AND(CR49=1,CS49=0)=TRUE,1,IF(AND(CR49=0,CS49=0,CS48=0)=TRUE,0,CS48+1))</f>
        <v>2</v>
      </c>
      <c r="CS48" s="64">
        <f t="shared" si="401"/>
        <v>1</v>
      </c>
    </row>
    <row r="49" spans="1:97" s="64" customFormat="1" x14ac:dyDescent="0.35">
      <c r="A49" s="74"/>
      <c r="B49" s="64">
        <f t="shared" ref="B49:L49" si="402">IF(SUM(B53:B60)&gt;1,1,0)</f>
        <v>1</v>
      </c>
      <c r="C49" s="64">
        <f t="shared" si="402"/>
        <v>1</v>
      </c>
      <c r="D49" s="64">
        <f t="shared" si="402"/>
        <v>1</v>
      </c>
      <c r="E49" s="64">
        <f t="shared" si="402"/>
        <v>1</v>
      </c>
      <c r="F49" s="64">
        <f t="shared" si="402"/>
        <v>1</v>
      </c>
      <c r="G49" s="64">
        <f t="shared" si="402"/>
        <v>1</v>
      </c>
      <c r="H49" s="64">
        <f t="shared" si="402"/>
        <v>1</v>
      </c>
      <c r="I49" s="64">
        <f t="shared" si="402"/>
        <v>1</v>
      </c>
      <c r="J49" s="64">
        <f t="shared" si="402"/>
        <v>1</v>
      </c>
      <c r="K49" s="64">
        <f t="shared" si="402"/>
        <v>1</v>
      </c>
      <c r="L49" s="64">
        <f t="shared" si="402"/>
        <v>1</v>
      </c>
      <c r="M49" s="64">
        <f>IF(SUM(M53:M60)&gt;1,1,0)</f>
        <v>1</v>
      </c>
      <c r="N49" s="64">
        <f t="shared" ref="N49:Z49" si="403">IF(SUM(N53:N60)&gt;1,1,0)</f>
        <v>1</v>
      </c>
      <c r="O49" s="64">
        <f t="shared" si="403"/>
        <v>1</v>
      </c>
      <c r="P49" s="64">
        <f t="shared" si="403"/>
        <v>1</v>
      </c>
      <c r="Q49" s="64">
        <f t="shared" si="403"/>
        <v>1</v>
      </c>
      <c r="R49" s="64">
        <f t="shared" si="403"/>
        <v>1</v>
      </c>
      <c r="S49" s="64">
        <f t="shared" si="403"/>
        <v>1</v>
      </c>
      <c r="T49" s="64">
        <f t="shared" si="403"/>
        <v>1</v>
      </c>
      <c r="U49" s="64">
        <f t="shared" si="403"/>
        <v>1</v>
      </c>
      <c r="V49" s="64">
        <f t="shared" si="403"/>
        <v>1</v>
      </c>
      <c r="W49" s="64">
        <f t="shared" si="403"/>
        <v>1</v>
      </c>
      <c r="X49" s="64">
        <f t="shared" si="403"/>
        <v>1</v>
      </c>
      <c r="Y49" s="64">
        <f t="shared" si="403"/>
        <v>1</v>
      </c>
      <c r="Z49" s="64">
        <f t="shared" si="403"/>
        <v>1</v>
      </c>
      <c r="AA49" s="64">
        <f t="shared" ref="AA49:AW49" si="404">IF(SUM(AA53:AA60)&gt;1,1,0)</f>
        <v>1</v>
      </c>
      <c r="AB49" s="64">
        <f t="shared" si="404"/>
        <v>1</v>
      </c>
      <c r="AC49" s="64">
        <f t="shared" si="404"/>
        <v>1</v>
      </c>
      <c r="AD49" s="64">
        <f t="shared" si="404"/>
        <v>1</v>
      </c>
      <c r="AE49" s="64">
        <f t="shared" si="404"/>
        <v>1</v>
      </c>
      <c r="AF49" s="64">
        <f t="shared" si="404"/>
        <v>1</v>
      </c>
      <c r="AG49" s="64">
        <f t="shared" si="404"/>
        <v>1</v>
      </c>
      <c r="AH49" s="64">
        <f t="shared" si="404"/>
        <v>1</v>
      </c>
      <c r="AI49" s="64">
        <f t="shared" si="404"/>
        <v>1</v>
      </c>
      <c r="AJ49" s="64">
        <f t="shared" si="404"/>
        <v>1</v>
      </c>
      <c r="AK49" s="64">
        <f t="shared" si="404"/>
        <v>1</v>
      </c>
      <c r="AL49" s="64">
        <f t="shared" si="404"/>
        <v>1</v>
      </c>
      <c r="AM49" s="64">
        <f t="shared" si="404"/>
        <v>1</v>
      </c>
      <c r="AN49" s="64">
        <f t="shared" si="404"/>
        <v>1</v>
      </c>
      <c r="AO49" s="64">
        <f t="shared" si="404"/>
        <v>1</v>
      </c>
      <c r="AP49" s="64">
        <f t="shared" si="404"/>
        <v>1</v>
      </c>
      <c r="AQ49" s="64">
        <f t="shared" si="404"/>
        <v>1</v>
      </c>
      <c r="AR49" s="64">
        <f t="shared" si="404"/>
        <v>1</v>
      </c>
      <c r="AS49" s="64">
        <f t="shared" si="404"/>
        <v>1</v>
      </c>
      <c r="AT49" s="64">
        <f t="shared" si="404"/>
        <v>1</v>
      </c>
      <c r="AU49" s="64">
        <f t="shared" si="404"/>
        <v>1</v>
      </c>
      <c r="AV49" s="64">
        <f t="shared" si="404"/>
        <v>1</v>
      </c>
      <c r="AW49" s="64">
        <f t="shared" si="404"/>
        <v>1</v>
      </c>
      <c r="AX49" s="64">
        <f t="shared" ref="AX49:BI49" si="405">IF(SUM(AX53:AX60)&gt;1,1,0)</f>
        <v>1</v>
      </c>
      <c r="AY49" s="64">
        <f t="shared" si="405"/>
        <v>1</v>
      </c>
      <c r="AZ49" s="64">
        <f t="shared" si="405"/>
        <v>1</v>
      </c>
      <c r="BA49" s="64">
        <f t="shared" si="405"/>
        <v>1</v>
      </c>
      <c r="BB49" s="64">
        <f t="shared" si="405"/>
        <v>1</v>
      </c>
      <c r="BC49" s="64">
        <f t="shared" si="405"/>
        <v>1</v>
      </c>
      <c r="BD49" s="64">
        <f t="shared" si="405"/>
        <v>1</v>
      </c>
      <c r="BE49" s="64">
        <f t="shared" si="405"/>
        <v>1</v>
      </c>
      <c r="BF49" s="64">
        <f t="shared" si="405"/>
        <v>1</v>
      </c>
      <c r="BG49" s="64">
        <f t="shared" si="405"/>
        <v>1</v>
      </c>
      <c r="BH49" s="64">
        <f t="shared" si="405"/>
        <v>1</v>
      </c>
      <c r="BI49" s="64">
        <f t="shared" si="405"/>
        <v>1</v>
      </c>
      <c r="BJ49" s="64">
        <f t="shared" ref="BJ49:BW49" si="406">IF(SUM(BJ53:BJ60)&gt;1,1,0)</f>
        <v>1</v>
      </c>
      <c r="BK49" s="64">
        <f t="shared" si="406"/>
        <v>1</v>
      </c>
      <c r="BL49" s="64">
        <f t="shared" si="406"/>
        <v>1</v>
      </c>
      <c r="BM49" s="64">
        <f t="shared" si="406"/>
        <v>1</v>
      </c>
      <c r="BN49" s="64">
        <f t="shared" si="406"/>
        <v>1</v>
      </c>
      <c r="BO49" s="64">
        <f t="shared" si="406"/>
        <v>1</v>
      </c>
      <c r="BP49" s="64">
        <f t="shared" si="406"/>
        <v>1</v>
      </c>
      <c r="BQ49" s="64">
        <f t="shared" si="406"/>
        <v>1</v>
      </c>
      <c r="BR49" s="64">
        <f t="shared" si="406"/>
        <v>1</v>
      </c>
      <c r="BS49" s="64">
        <f t="shared" si="406"/>
        <v>1</v>
      </c>
      <c r="BT49" s="64">
        <f t="shared" si="406"/>
        <v>1</v>
      </c>
      <c r="BU49" s="64">
        <f t="shared" si="406"/>
        <v>1</v>
      </c>
      <c r="BV49" s="64">
        <f t="shared" si="406"/>
        <v>1</v>
      </c>
      <c r="BW49" s="64">
        <f t="shared" si="406"/>
        <v>1</v>
      </c>
      <c r="BX49" s="64">
        <f t="shared" ref="BX49:CG49" si="407">IF(SUM(BX53:BX60)&gt;1,1,0)</f>
        <v>1</v>
      </c>
      <c r="BY49" s="64">
        <f t="shared" si="407"/>
        <v>1</v>
      </c>
      <c r="BZ49" s="64">
        <f t="shared" si="407"/>
        <v>1</v>
      </c>
      <c r="CA49" s="64">
        <f t="shared" si="407"/>
        <v>1</v>
      </c>
      <c r="CB49" s="64">
        <f t="shared" si="407"/>
        <v>1</v>
      </c>
      <c r="CC49" s="64">
        <f t="shared" si="407"/>
        <v>1</v>
      </c>
      <c r="CD49" s="64">
        <f t="shared" si="407"/>
        <v>1</v>
      </c>
      <c r="CE49" s="64">
        <f t="shared" si="407"/>
        <v>1</v>
      </c>
      <c r="CF49" s="64">
        <f t="shared" si="407"/>
        <v>1</v>
      </c>
      <c r="CG49" s="64">
        <f t="shared" si="407"/>
        <v>1</v>
      </c>
      <c r="CH49" s="64">
        <f t="shared" ref="CH49:CS49" si="408">IF(SUM(CH53:CH60)&gt;1,1,0)</f>
        <v>1</v>
      </c>
      <c r="CI49" s="64">
        <f t="shared" si="408"/>
        <v>1</v>
      </c>
      <c r="CJ49" s="64">
        <f t="shared" si="408"/>
        <v>1</v>
      </c>
      <c r="CK49" s="64">
        <f t="shared" si="408"/>
        <v>1</v>
      </c>
      <c r="CL49" s="64">
        <f t="shared" si="408"/>
        <v>1</v>
      </c>
      <c r="CM49" s="64">
        <f t="shared" si="408"/>
        <v>1</v>
      </c>
      <c r="CN49" s="64">
        <f t="shared" si="408"/>
        <v>1</v>
      </c>
      <c r="CO49" s="64">
        <f t="shared" si="408"/>
        <v>1</v>
      </c>
      <c r="CP49" s="64">
        <f t="shared" si="408"/>
        <v>1</v>
      </c>
      <c r="CQ49" s="64">
        <f t="shared" si="408"/>
        <v>1</v>
      </c>
      <c r="CR49" s="64">
        <f t="shared" si="408"/>
        <v>1</v>
      </c>
      <c r="CS49" s="64">
        <f t="shared" si="408"/>
        <v>1</v>
      </c>
    </row>
    <row r="50" spans="1:97" s="64" customFormat="1" x14ac:dyDescent="0.35">
      <c r="A50" s="74"/>
      <c r="B50" s="64" t="s">
        <v>136</v>
      </c>
      <c r="C50" s="64" t="s">
        <v>136</v>
      </c>
      <c r="D50" s="64" t="s">
        <v>136</v>
      </c>
      <c r="E50" s="64" t="s">
        <v>136</v>
      </c>
      <c r="F50" s="64" t="s">
        <v>136</v>
      </c>
      <c r="G50" s="64" t="s">
        <v>136</v>
      </c>
      <c r="H50" s="64" t="s">
        <v>136</v>
      </c>
      <c r="I50" s="64" t="s">
        <v>136</v>
      </c>
      <c r="J50" s="64" t="s">
        <v>136</v>
      </c>
      <c r="K50" s="64" t="s">
        <v>136</v>
      </c>
      <c r="L50" s="64" t="s">
        <v>136</v>
      </c>
      <c r="M50" s="64" t="s">
        <v>136</v>
      </c>
      <c r="N50" s="64" t="s">
        <v>135</v>
      </c>
      <c r="O50" s="64" t="s">
        <v>135</v>
      </c>
      <c r="P50" s="64" t="s">
        <v>135</v>
      </c>
      <c r="Q50" s="64" t="s">
        <v>135</v>
      </c>
      <c r="R50" s="64" t="s">
        <v>135</v>
      </c>
      <c r="S50" s="64" t="s">
        <v>135</v>
      </c>
      <c r="T50" s="64" t="s">
        <v>135</v>
      </c>
      <c r="U50" s="64" t="s">
        <v>135</v>
      </c>
      <c r="V50" s="64" t="s">
        <v>135</v>
      </c>
      <c r="W50" s="64" t="s">
        <v>135</v>
      </c>
      <c r="X50" s="64" t="s">
        <v>135</v>
      </c>
      <c r="Y50" s="64" t="s">
        <v>135</v>
      </c>
      <c r="Z50" s="64" t="s">
        <v>207</v>
      </c>
      <c r="AA50" s="64" t="s">
        <v>207</v>
      </c>
      <c r="AB50" s="64" t="s">
        <v>207</v>
      </c>
      <c r="AC50" s="64" t="s">
        <v>207</v>
      </c>
      <c r="AD50" s="64" t="s">
        <v>207</v>
      </c>
      <c r="AE50" s="64" t="s">
        <v>207</v>
      </c>
      <c r="AF50" s="64" t="s">
        <v>207</v>
      </c>
      <c r="AG50" s="64" t="s">
        <v>207</v>
      </c>
      <c r="AH50" s="64" t="s">
        <v>207</v>
      </c>
      <c r="AI50" s="64" t="s">
        <v>207</v>
      </c>
      <c r="AJ50" s="64" t="s">
        <v>207</v>
      </c>
      <c r="AK50" s="64" t="s">
        <v>207</v>
      </c>
      <c r="AL50" s="64" t="s">
        <v>251</v>
      </c>
      <c r="AM50" s="64" t="s">
        <v>251</v>
      </c>
      <c r="AN50" s="64" t="s">
        <v>251</v>
      </c>
      <c r="AO50" s="64" t="s">
        <v>251</v>
      </c>
      <c r="AP50" s="64" t="s">
        <v>251</v>
      </c>
      <c r="AQ50" s="64" t="s">
        <v>251</v>
      </c>
      <c r="AR50" s="64" t="s">
        <v>251</v>
      </c>
      <c r="AS50" s="64" t="s">
        <v>251</v>
      </c>
      <c r="AT50" s="64" t="s">
        <v>251</v>
      </c>
      <c r="AU50" s="64" t="s">
        <v>251</v>
      </c>
      <c r="AV50" s="64" t="s">
        <v>251</v>
      </c>
      <c r="AW50" s="64" t="s">
        <v>251</v>
      </c>
      <c r="AX50" s="64" t="s">
        <v>259</v>
      </c>
      <c r="AY50" s="64" t="s">
        <v>259</v>
      </c>
      <c r="AZ50" s="64" t="s">
        <v>259</v>
      </c>
      <c r="BA50" s="64" t="s">
        <v>259</v>
      </c>
      <c r="BB50" s="64" t="s">
        <v>259</v>
      </c>
      <c r="BC50" s="64" t="s">
        <v>259</v>
      </c>
      <c r="BD50" s="64" t="s">
        <v>259</v>
      </c>
      <c r="BE50" s="64" t="s">
        <v>259</v>
      </c>
      <c r="BF50" s="64" t="s">
        <v>259</v>
      </c>
      <c r="BG50" s="64" t="s">
        <v>259</v>
      </c>
      <c r="BH50" s="64" t="s">
        <v>259</v>
      </c>
      <c r="BI50" s="64" t="s">
        <v>259</v>
      </c>
      <c r="BJ50" s="64" t="s">
        <v>406</v>
      </c>
      <c r="BK50" s="64" t="s">
        <v>407</v>
      </c>
      <c r="BL50" s="64" t="s">
        <v>408</v>
      </c>
      <c r="BM50" s="64" t="s">
        <v>409</v>
      </c>
      <c r="BN50" s="64" t="s">
        <v>410</v>
      </c>
      <c r="BO50" s="64" t="s">
        <v>411</v>
      </c>
      <c r="BP50" s="64" t="s">
        <v>412</v>
      </c>
      <c r="BQ50" s="64" t="s">
        <v>413</v>
      </c>
      <c r="BR50" s="64" t="s">
        <v>414</v>
      </c>
      <c r="BS50" s="64" t="s">
        <v>415</v>
      </c>
      <c r="BT50" s="64" t="s">
        <v>416</v>
      </c>
      <c r="BU50" s="64" t="s">
        <v>417</v>
      </c>
      <c r="BV50" s="64" t="s">
        <v>418</v>
      </c>
      <c r="BW50" s="64" t="s">
        <v>419</v>
      </c>
      <c r="BX50" s="64" t="s">
        <v>472</v>
      </c>
      <c r="BY50" s="64" t="s">
        <v>473</v>
      </c>
      <c r="BZ50" s="64" t="s">
        <v>474</v>
      </c>
      <c r="CA50" s="64" t="s">
        <v>475</v>
      </c>
      <c r="CB50" s="64" t="s">
        <v>476</v>
      </c>
      <c r="CC50" s="64" t="s">
        <v>477</v>
      </c>
      <c r="CD50" s="64" t="s">
        <v>484</v>
      </c>
      <c r="CE50" s="64" t="s">
        <v>485</v>
      </c>
      <c r="CF50" s="64" t="s">
        <v>486</v>
      </c>
      <c r="CG50" s="64" t="s">
        <v>487</v>
      </c>
      <c r="CH50" s="64" t="s">
        <v>506</v>
      </c>
      <c r="CI50" s="64" t="s">
        <v>507</v>
      </c>
      <c r="CJ50" s="64" t="s">
        <v>508</v>
      </c>
      <c r="CK50" s="64" t="s">
        <v>509</v>
      </c>
      <c r="CL50" s="64" t="s">
        <v>510</v>
      </c>
      <c r="CM50" s="64" t="s">
        <v>511</v>
      </c>
      <c r="CN50" s="64" t="s">
        <v>512</v>
      </c>
      <c r="CO50" s="64" t="s">
        <v>513</v>
      </c>
      <c r="CP50" s="64" t="s">
        <v>514</v>
      </c>
      <c r="CQ50" s="64" t="s">
        <v>515</v>
      </c>
      <c r="CR50" s="64" t="s">
        <v>516</v>
      </c>
      <c r="CS50" s="64" t="s">
        <v>517</v>
      </c>
    </row>
    <row r="51" spans="1:97" x14ac:dyDescent="0.35">
      <c r="A51" s="75"/>
      <c r="B51" s="64" t="s">
        <v>19</v>
      </c>
      <c r="C51" s="64" t="s">
        <v>20</v>
      </c>
      <c r="D51" s="64" t="s">
        <v>21</v>
      </c>
      <c r="E51" s="64" t="s">
        <v>22</v>
      </c>
      <c r="F51" s="64" t="s">
        <v>23</v>
      </c>
      <c r="G51" s="64" t="s">
        <v>24</v>
      </c>
      <c r="H51" s="64" t="s">
        <v>25</v>
      </c>
      <c r="I51" s="64" t="s">
        <v>26</v>
      </c>
      <c r="J51" s="64" t="s">
        <v>27</v>
      </c>
      <c r="K51" s="64" t="s">
        <v>28</v>
      </c>
      <c r="L51" s="64" t="s">
        <v>29</v>
      </c>
      <c r="M51" s="64" t="s">
        <v>30</v>
      </c>
      <c r="N51" s="64" t="s">
        <v>19</v>
      </c>
      <c r="O51" s="64" t="s">
        <v>20</v>
      </c>
      <c r="P51" s="64" t="s">
        <v>21</v>
      </c>
      <c r="Q51" s="64" t="s">
        <v>22</v>
      </c>
      <c r="R51" s="64" t="s">
        <v>23</v>
      </c>
      <c r="S51" s="64" t="s">
        <v>24</v>
      </c>
      <c r="T51" s="64" t="s">
        <v>25</v>
      </c>
      <c r="U51" s="64" t="s">
        <v>26</v>
      </c>
      <c r="V51" s="64" t="s">
        <v>27</v>
      </c>
      <c r="W51" s="64" t="s">
        <v>28</v>
      </c>
      <c r="X51" s="64" t="s">
        <v>29</v>
      </c>
      <c r="Y51" s="64" t="s">
        <v>30</v>
      </c>
      <c r="Z51" s="64" t="s">
        <v>19</v>
      </c>
      <c r="AA51" s="64" t="s">
        <v>20</v>
      </c>
      <c r="AB51" s="64" t="s">
        <v>21</v>
      </c>
      <c r="AC51" s="64" t="s">
        <v>22</v>
      </c>
      <c r="AD51" s="64" t="s">
        <v>23</v>
      </c>
      <c r="AE51" s="64" t="s">
        <v>24</v>
      </c>
      <c r="AF51" s="64" t="s">
        <v>25</v>
      </c>
      <c r="AG51" s="64" t="s">
        <v>26</v>
      </c>
      <c r="AH51" s="64" t="s">
        <v>27</v>
      </c>
      <c r="AI51" s="64" t="s">
        <v>28</v>
      </c>
      <c r="AJ51" s="64" t="s">
        <v>29</v>
      </c>
      <c r="AK51" s="64" t="s">
        <v>30</v>
      </c>
      <c r="AL51" s="64" t="s">
        <v>19</v>
      </c>
      <c r="AM51" s="64" t="s">
        <v>20</v>
      </c>
      <c r="AN51" s="64" t="s">
        <v>21</v>
      </c>
      <c r="AO51" s="64" t="s">
        <v>22</v>
      </c>
      <c r="AP51" s="64" t="s">
        <v>23</v>
      </c>
      <c r="AQ51" s="64" t="s">
        <v>24</v>
      </c>
      <c r="AR51" s="64" t="s">
        <v>25</v>
      </c>
      <c r="AS51" s="64" t="s">
        <v>26</v>
      </c>
      <c r="AT51" s="64" t="s">
        <v>27</v>
      </c>
      <c r="AU51" s="64" t="s">
        <v>28</v>
      </c>
      <c r="AV51" s="64" t="s">
        <v>29</v>
      </c>
      <c r="AW51" s="64" t="s">
        <v>30</v>
      </c>
      <c r="AX51" s="64" t="s">
        <v>19</v>
      </c>
      <c r="AY51" s="64" t="s">
        <v>20</v>
      </c>
      <c r="AZ51" s="64" t="s">
        <v>21</v>
      </c>
      <c r="BA51" s="64" t="s">
        <v>22</v>
      </c>
      <c r="BB51" s="64" t="s">
        <v>23</v>
      </c>
      <c r="BC51" s="64" t="s">
        <v>24</v>
      </c>
      <c r="BD51" s="64" t="s">
        <v>25</v>
      </c>
      <c r="BE51" s="64" t="s">
        <v>26</v>
      </c>
      <c r="BF51" s="64" t="s">
        <v>27</v>
      </c>
      <c r="BG51" s="64" t="s">
        <v>28</v>
      </c>
      <c r="BH51" s="64" t="s">
        <v>29</v>
      </c>
      <c r="BI51" s="64" t="s">
        <v>30</v>
      </c>
      <c r="BJ51" s="64" t="s">
        <v>19</v>
      </c>
      <c r="BK51" s="64" t="s">
        <v>20</v>
      </c>
      <c r="BL51" s="64" t="s">
        <v>21</v>
      </c>
      <c r="BM51" s="64" t="s">
        <v>22</v>
      </c>
      <c r="BN51" s="64" t="s">
        <v>23</v>
      </c>
      <c r="BO51" s="64" t="s">
        <v>24</v>
      </c>
      <c r="BP51" s="64" t="s">
        <v>25</v>
      </c>
      <c r="BQ51" s="64" t="s">
        <v>26</v>
      </c>
      <c r="BR51" s="64" t="s">
        <v>27</v>
      </c>
      <c r="BS51" s="64" t="s">
        <v>28</v>
      </c>
      <c r="BT51" s="64" t="s">
        <v>29</v>
      </c>
      <c r="BU51" s="64" t="s">
        <v>30</v>
      </c>
      <c r="BV51" s="64" t="s">
        <v>19</v>
      </c>
      <c r="BW51" s="64" t="s">
        <v>20</v>
      </c>
      <c r="BX51" s="64" t="s">
        <v>478</v>
      </c>
      <c r="BY51" s="64" t="s">
        <v>479</v>
      </c>
      <c r="BZ51" s="64" t="s">
        <v>480</v>
      </c>
      <c r="CA51" s="64" t="s">
        <v>481</v>
      </c>
      <c r="CB51" s="64" t="s">
        <v>482</v>
      </c>
      <c r="CC51" s="64" t="s">
        <v>483</v>
      </c>
      <c r="CD51" s="64" t="s">
        <v>488</v>
      </c>
      <c r="CE51" s="64" t="s">
        <v>489</v>
      </c>
      <c r="CF51" s="64" t="s">
        <v>490</v>
      </c>
      <c r="CG51" s="64" t="s">
        <v>491</v>
      </c>
      <c r="CH51" s="64" t="s">
        <v>132</v>
      </c>
      <c r="CI51" s="64" t="s">
        <v>20</v>
      </c>
      <c r="CJ51" s="64" t="s">
        <v>478</v>
      </c>
      <c r="CK51" s="64" t="s">
        <v>479</v>
      </c>
      <c r="CL51" s="64" t="s">
        <v>480</v>
      </c>
      <c r="CM51" s="64" t="s">
        <v>481</v>
      </c>
      <c r="CN51" s="64" t="s">
        <v>482</v>
      </c>
      <c r="CO51" s="64" t="s">
        <v>483</v>
      </c>
      <c r="CP51" s="64" t="s">
        <v>488</v>
      </c>
      <c r="CQ51" s="64" t="s">
        <v>489</v>
      </c>
      <c r="CR51" s="64" t="s">
        <v>490</v>
      </c>
      <c r="CS51" s="64" t="s">
        <v>491</v>
      </c>
    </row>
    <row r="52" spans="1:97" x14ac:dyDescent="0.35">
      <c r="A52" s="76"/>
      <c r="B52" s="77">
        <v>42826</v>
      </c>
      <c r="C52" s="77">
        <v>42856</v>
      </c>
      <c r="D52" s="77">
        <v>42887</v>
      </c>
      <c r="E52" s="77">
        <v>42917</v>
      </c>
      <c r="F52" s="77">
        <v>42948</v>
      </c>
      <c r="G52" s="77">
        <v>42979</v>
      </c>
      <c r="H52" s="77">
        <v>43009</v>
      </c>
      <c r="I52" s="77">
        <v>43040</v>
      </c>
      <c r="J52" s="77">
        <v>43070</v>
      </c>
      <c r="K52" s="77">
        <v>43101</v>
      </c>
      <c r="L52" s="77">
        <v>43132</v>
      </c>
      <c r="M52" s="77">
        <v>43160</v>
      </c>
      <c r="N52" s="77">
        <v>43191</v>
      </c>
      <c r="O52" s="77">
        <v>43221</v>
      </c>
      <c r="P52" s="77">
        <v>43252</v>
      </c>
      <c r="Q52" s="77">
        <v>43282</v>
      </c>
      <c r="R52" s="77">
        <v>43313</v>
      </c>
      <c r="S52" s="77">
        <v>43344</v>
      </c>
      <c r="T52" s="77">
        <v>43374</v>
      </c>
      <c r="U52" s="77">
        <v>43405</v>
      </c>
      <c r="V52" s="77">
        <v>43435</v>
      </c>
      <c r="W52" s="77">
        <v>43466</v>
      </c>
      <c r="X52" s="77">
        <v>43497</v>
      </c>
      <c r="Y52" s="77">
        <v>43525</v>
      </c>
      <c r="Z52" s="77">
        <v>43556</v>
      </c>
      <c r="AA52" s="77">
        <v>43586</v>
      </c>
      <c r="AB52" s="77">
        <v>43617</v>
      </c>
      <c r="AC52" s="77">
        <v>43647</v>
      </c>
      <c r="AD52" s="77">
        <v>43678</v>
      </c>
      <c r="AE52" s="77">
        <v>43709</v>
      </c>
      <c r="AF52" s="77">
        <v>43739</v>
      </c>
      <c r="AG52" s="77">
        <v>43770</v>
      </c>
      <c r="AH52" s="77">
        <v>43800</v>
      </c>
      <c r="AI52" s="77">
        <v>43831</v>
      </c>
      <c r="AJ52" s="77">
        <v>43862</v>
      </c>
      <c r="AK52" s="77">
        <v>43891</v>
      </c>
      <c r="AL52" s="77">
        <v>43922</v>
      </c>
      <c r="AM52" s="77">
        <v>43952</v>
      </c>
      <c r="AN52" s="77">
        <v>43983</v>
      </c>
      <c r="AO52" s="77">
        <v>44013</v>
      </c>
      <c r="AP52" s="77">
        <v>44044</v>
      </c>
      <c r="AQ52" s="77">
        <v>44075</v>
      </c>
      <c r="AR52" s="77">
        <v>44105</v>
      </c>
      <c r="AS52" s="77">
        <v>44136</v>
      </c>
      <c r="AT52" s="77">
        <v>44166</v>
      </c>
      <c r="AU52" s="77">
        <v>44197</v>
      </c>
      <c r="AV52" s="77">
        <v>44228</v>
      </c>
      <c r="AW52" s="77">
        <v>44256</v>
      </c>
      <c r="AX52" s="77">
        <v>44287</v>
      </c>
      <c r="AY52" s="77">
        <v>44317</v>
      </c>
      <c r="AZ52" s="77">
        <v>44348</v>
      </c>
      <c r="BA52" s="77">
        <v>44378</v>
      </c>
      <c r="BB52" s="77">
        <v>44409</v>
      </c>
      <c r="BC52" s="77">
        <v>44440</v>
      </c>
      <c r="BD52" s="77">
        <v>44470</v>
      </c>
      <c r="BE52" s="77">
        <v>44501</v>
      </c>
      <c r="BF52" s="77">
        <v>44531</v>
      </c>
      <c r="BG52" s="77">
        <v>44562</v>
      </c>
      <c r="BH52" s="77">
        <v>44593</v>
      </c>
      <c r="BI52" s="77">
        <v>44621</v>
      </c>
      <c r="BJ52" s="77">
        <v>44652</v>
      </c>
      <c r="BK52" s="77">
        <v>44682</v>
      </c>
      <c r="BL52" s="77">
        <v>44713</v>
      </c>
      <c r="BM52" s="77">
        <v>44743</v>
      </c>
      <c r="BN52" s="77">
        <v>44774</v>
      </c>
      <c r="BO52" s="77">
        <v>44805</v>
      </c>
      <c r="BP52" s="77">
        <v>44835</v>
      </c>
      <c r="BQ52" s="77">
        <v>44866</v>
      </c>
      <c r="BR52" s="77">
        <v>44896</v>
      </c>
      <c r="BS52" s="77">
        <v>44927</v>
      </c>
      <c r="BT52" s="77">
        <v>44958</v>
      </c>
      <c r="BU52" s="77">
        <v>44986</v>
      </c>
      <c r="BV52" s="77">
        <v>45017</v>
      </c>
      <c r="BW52" s="77">
        <v>45047</v>
      </c>
      <c r="BX52" s="77">
        <v>45078</v>
      </c>
      <c r="BY52" s="77">
        <v>45108</v>
      </c>
      <c r="BZ52" s="77">
        <v>45139</v>
      </c>
      <c r="CA52" s="77">
        <v>45170</v>
      </c>
      <c r="CB52" s="77">
        <v>45200</v>
      </c>
      <c r="CC52" s="77">
        <v>45231</v>
      </c>
      <c r="CD52" s="77">
        <v>45261</v>
      </c>
      <c r="CE52" s="77">
        <v>45292</v>
      </c>
      <c r="CF52" s="77">
        <v>45323</v>
      </c>
      <c r="CG52" s="77">
        <v>45352</v>
      </c>
      <c r="CH52" s="77">
        <v>45383</v>
      </c>
      <c r="CI52" s="77">
        <v>45413</v>
      </c>
      <c r="CJ52" s="77">
        <v>45444</v>
      </c>
      <c r="CK52" s="77">
        <v>45474</v>
      </c>
      <c r="CL52" s="77">
        <v>45505</v>
      </c>
      <c r="CM52" s="77">
        <v>45536</v>
      </c>
      <c r="CN52" s="77">
        <v>45566</v>
      </c>
      <c r="CO52" s="77">
        <v>45597</v>
      </c>
      <c r="CP52" s="77">
        <v>45627</v>
      </c>
      <c r="CQ52" s="77">
        <v>45658</v>
      </c>
      <c r="CR52" s="77">
        <v>45689</v>
      </c>
      <c r="CS52" s="77">
        <v>45717</v>
      </c>
    </row>
    <row r="53" spans="1:97" x14ac:dyDescent="0.35">
      <c r="A53" s="78" t="s">
        <v>39</v>
      </c>
      <c r="B53" s="79">
        <f>[2]Districts_Boroughs!AL105</f>
        <v>76</v>
      </c>
      <c r="C53" s="79">
        <f>[2]Districts_Boroughs!AM105</f>
        <v>80</v>
      </c>
      <c r="D53" s="79">
        <f>[2]Districts_Boroughs!AN105</f>
        <v>77</v>
      </c>
      <c r="E53" s="79">
        <f>[2]Districts_Boroughs!AO105</f>
        <v>70</v>
      </c>
      <c r="F53" s="79">
        <f>[2]Districts_Boroughs!AP105</f>
        <v>84</v>
      </c>
      <c r="G53" s="79">
        <f>[2]Districts_Boroughs!AQ105</f>
        <v>69</v>
      </c>
      <c r="H53" s="79">
        <f>[2]Districts_Boroughs!AR105</f>
        <v>66</v>
      </c>
      <c r="I53" s="79">
        <f>[2]Districts_Boroughs!AS105</f>
        <v>78</v>
      </c>
      <c r="J53" s="79">
        <f>[2]Districts_Boroughs!AT105</f>
        <v>70</v>
      </c>
      <c r="K53" s="79">
        <f>[2]Districts_Boroughs!AU105</f>
        <v>62</v>
      </c>
      <c r="L53" s="79">
        <f>[2]Districts_Boroughs!AV105</f>
        <v>69</v>
      </c>
      <c r="M53" s="79">
        <f>[2]Districts_Boroughs!AW105</f>
        <v>73</v>
      </c>
      <c r="N53" s="79">
        <f>[2]Districts_Boroughs!AX105</f>
        <v>80</v>
      </c>
      <c r="O53" s="79">
        <f>[2]Districts_Boroughs!AY105</f>
        <v>69</v>
      </c>
      <c r="P53" s="79">
        <f>[2]Districts_Boroughs!AZ105</f>
        <v>73</v>
      </c>
      <c r="Q53" s="79">
        <f>[2]Districts_Boroughs!BA105</f>
        <v>81</v>
      </c>
      <c r="R53" s="79">
        <f>[2]Districts_Boroughs!BB105</f>
        <v>73</v>
      </c>
      <c r="S53" s="79">
        <f>[2]Districts_Boroughs!BC105</f>
        <v>54</v>
      </c>
      <c r="T53" s="79">
        <f>[2]Districts_Boroughs!BD105</f>
        <v>86</v>
      </c>
      <c r="U53" s="79">
        <f>[2]Districts_Boroughs!BE105</f>
        <v>81</v>
      </c>
      <c r="V53" s="79">
        <f>[2]Districts_Boroughs!BF105</f>
        <v>87</v>
      </c>
      <c r="W53" s="79">
        <f>[2]Districts_Boroughs!BG105</f>
        <v>79</v>
      </c>
      <c r="X53" s="79">
        <f>[2]Districts_Boroughs!BH105</f>
        <v>57</v>
      </c>
      <c r="Y53" s="79">
        <f>[2]Districts_Boroughs!BI105</f>
        <v>75</v>
      </c>
      <c r="Z53" s="79">
        <f>[2]Districts_Boroughs!BJ105</f>
        <v>59</v>
      </c>
      <c r="AA53" s="79">
        <f>[2]Districts_Boroughs!BK105</f>
        <v>70</v>
      </c>
      <c r="AB53" s="79">
        <f>[2]Districts_Boroughs!BL105</f>
        <v>63</v>
      </c>
      <c r="AC53" s="79">
        <f>[2]Districts_Boroughs!BM105</f>
        <v>76</v>
      </c>
      <c r="AD53" s="79">
        <f>[2]Districts_Boroughs!BN105</f>
        <v>72</v>
      </c>
      <c r="AE53" s="79">
        <f>[2]Districts_Boroughs!BO105</f>
        <v>62</v>
      </c>
      <c r="AF53" s="79">
        <f>[2]Districts_Boroughs!BP105</f>
        <v>91</v>
      </c>
      <c r="AG53" s="79">
        <f>[2]Districts_Boroughs!BQ105</f>
        <v>81</v>
      </c>
      <c r="AH53" s="79">
        <f>[2]Districts_Boroughs!BR105</f>
        <v>82</v>
      </c>
      <c r="AI53" s="79">
        <f>[2]Districts_Boroughs!BS105</f>
        <v>81</v>
      </c>
      <c r="AJ53" s="79">
        <f>[2]Districts_Boroughs!BT105</f>
        <v>80</v>
      </c>
      <c r="AK53" s="79">
        <f>[2]Districts_Boroughs!BU105</f>
        <v>64</v>
      </c>
      <c r="AL53" s="79">
        <f>[2]Districts_Boroughs!BV105</f>
        <v>64</v>
      </c>
      <c r="AM53" s="79">
        <f>[2]Districts_Boroughs!BW105</f>
        <v>67</v>
      </c>
      <c r="AN53" s="79">
        <f>[2]Districts_Boroughs!BX105</f>
        <v>55</v>
      </c>
      <c r="AO53" s="79">
        <f>[2]Districts_Boroughs!BY105</f>
        <v>86</v>
      </c>
      <c r="AP53" s="79">
        <f>[2]Districts_Boroughs!BZ105</f>
        <v>71</v>
      </c>
      <c r="AQ53" s="79">
        <f>[2]Districts_Boroughs!CA105</f>
        <v>84</v>
      </c>
      <c r="AR53" s="79">
        <f>[2]Districts_Boroughs!CB105</f>
        <v>68</v>
      </c>
      <c r="AS53" s="79">
        <f>[2]Districts_Boroughs!CC105</f>
        <v>56</v>
      </c>
      <c r="AT53" s="79">
        <f>[2]Districts_Boroughs!CD105</f>
        <v>66</v>
      </c>
      <c r="AU53" s="79">
        <f>[2]Districts_Boroughs!CE105</f>
        <v>41</v>
      </c>
      <c r="AV53" s="79">
        <f>[2]Districts_Boroughs!CF105</f>
        <v>51</v>
      </c>
      <c r="AW53" s="79">
        <f>[2]Districts_Boroughs!CG105</f>
        <v>54</v>
      </c>
      <c r="AX53" s="79">
        <f>[2]Districts_Boroughs!CH105</f>
        <v>86</v>
      </c>
      <c r="AY53" s="79">
        <f>[2]Districts_Boroughs!CI105</f>
        <v>76</v>
      </c>
      <c r="AZ53" s="79">
        <f>[2]Districts_Boroughs!CJ105</f>
        <v>57</v>
      </c>
      <c r="BA53" s="79">
        <f>[2]Districts_Boroughs!CK105</f>
        <v>74</v>
      </c>
      <c r="BB53" s="79">
        <f>[2]Districts_Boroughs!CL105</f>
        <v>76</v>
      </c>
      <c r="BC53" s="79">
        <f>[2]Districts_Boroughs!CM105</f>
        <v>92</v>
      </c>
      <c r="BD53" s="79">
        <f>[2]Districts_Boroughs!CN105</f>
        <v>83</v>
      </c>
      <c r="BE53" s="79">
        <f>[2]Districts_Boroughs!CO105</f>
        <v>68</v>
      </c>
      <c r="BF53" s="79">
        <f>[2]Districts_Boroughs!CP105</f>
        <v>65</v>
      </c>
      <c r="BG53" s="79">
        <f>[2]Districts_Boroughs!CQ105</f>
        <v>59</v>
      </c>
      <c r="BH53" s="79">
        <f>[2]Districts_Boroughs!CR105</f>
        <v>51</v>
      </c>
      <c r="BI53" s="79">
        <f>[2]Districts_Boroughs!CS105</f>
        <v>84</v>
      </c>
      <c r="BJ53" s="79">
        <f>[2]Districts_Boroughs!CT105</f>
        <v>68</v>
      </c>
      <c r="BK53" s="79">
        <f>[2]Districts_Boroughs!CU105</f>
        <v>75</v>
      </c>
      <c r="BL53" s="79">
        <f>[2]Districts_Boroughs!CV105</f>
        <v>69</v>
      </c>
      <c r="BM53" s="79">
        <f>[2]Districts_Boroughs!CW105</f>
        <v>97</v>
      </c>
      <c r="BN53" s="79">
        <f>[2]Districts_Boroughs!CX105</f>
        <v>61</v>
      </c>
      <c r="BO53" s="79">
        <f>[2]Districts_Boroughs!CY105</f>
        <v>55</v>
      </c>
      <c r="BP53" s="79">
        <f>[2]Districts_Boroughs!CZ105</f>
        <v>64</v>
      </c>
      <c r="BQ53" s="79">
        <f>[2]Districts_Boroughs!DA105</f>
        <v>55</v>
      </c>
      <c r="BR53" s="79">
        <f>[2]Districts_Boroughs!DB105</f>
        <v>58</v>
      </c>
      <c r="BS53" s="79">
        <f>[2]Districts_Boroughs!DC105</f>
        <v>58</v>
      </c>
      <c r="BT53" s="79">
        <f>[2]Districts_Boroughs!DD105</f>
        <v>79</v>
      </c>
      <c r="BU53" s="79">
        <f>[2]Districts_Boroughs!DE105</f>
        <v>82</v>
      </c>
      <c r="BV53" s="79">
        <f>[2]Districts_Boroughs!DF105</f>
        <v>69</v>
      </c>
      <c r="BW53" s="79">
        <f>[2]Districts_Boroughs!DG105</f>
        <v>86</v>
      </c>
      <c r="BX53" s="79">
        <f>[2]Districts_Boroughs!DH105</f>
        <v>76</v>
      </c>
      <c r="BY53" s="79">
        <f>[2]Districts_Boroughs!DI105</f>
        <v>83</v>
      </c>
      <c r="BZ53" s="79">
        <f>[2]Districts_Boroughs!DJ105</f>
        <v>75</v>
      </c>
      <c r="CA53" s="79">
        <f>[2]Districts_Boroughs!DK105</f>
        <v>61</v>
      </c>
      <c r="CB53" s="79">
        <f>[2]Districts_Boroughs!DL105</f>
        <v>83</v>
      </c>
      <c r="CC53" s="79">
        <f>[2]Districts_Boroughs!DM105</f>
        <v>60</v>
      </c>
      <c r="CD53" s="79">
        <f>[2]Districts_Boroughs!DN105</f>
        <v>76</v>
      </c>
      <c r="CE53" s="79">
        <f>[2]Districts_Boroughs!DO105</f>
        <v>64</v>
      </c>
      <c r="CF53" s="79">
        <f>[2]Districts_Boroughs!DP105</f>
        <v>59</v>
      </c>
      <c r="CG53" s="79">
        <f>[2]Districts_Boroughs!DQ105</f>
        <v>64</v>
      </c>
      <c r="CH53" s="79">
        <f>[2]Districts_Boroughs!DR105</f>
        <v>66</v>
      </c>
      <c r="CI53" s="79">
        <f>[2]Districts_Boroughs!DS105</f>
        <v>68</v>
      </c>
      <c r="CJ53" s="79">
        <f>[2]Districts_Boroughs!DT105</f>
        <v>69</v>
      </c>
      <c r="CK53" s="79">
        <f>[2]Districts_Boroughs!DU105</f>
        <v>91</v>
      </c>
      <c r="CL53" s="79">
        <f>[2]Districts_Boroughs!DV105</f>
        <v>90</v>
      </c>
      <c r="CM53" s="79">
        <f>[2]Districts_Boroughs!DW105</f>
        <v>51</v>
      </c>
      <c r="CN53" s="79">
        <f>[2]Districts_Boroughs!DX105</f>
        <v>61</v>
      </c>
      <c r="CO53" s="79">
        <f>[2]Districts_Boroughs!DY105</f>
        <v>71</v>
      </c>
      <c r="CP53" s="79">
        <f>[2]Districts_Boroughs!DZ105</f>
        <v>80</v>
      </c>
      <c r="CQ53" s="79">
        <f>[2]Districts_Boroughs!EA105</f>
        <v>71</v>
      </c>
      <c r="CR53" s="79">
        <f>[2]Districts_Boroughs!EB105</f>
        <v>66</v>
      </c>
      <c r="CS53" s="79">
        <f>[2]Districts_Boroughs!EC105</f>
        <v>87</v>
      </c>
    </row>
    <row r="54" spans="1:97" x14ac:dyDescent="0.35">
      <c r="A54" s="78" t="s">
        <v>40</v>
      </c>
      <c r="B54" s="79">
        <f>[2]Districts_Boroughs!AL106</f>
        <v>126</v>
      </c>
      <c r="C54" s="79">
        <f>[2]Districts_Boroughs!AM106</f>
        <v>151</v>
      </c>
      <c r="D54" s="79">
        <f>[2]Districts_Boroughs!AN106</f>
        <v>110</v>
      </c>
      <c r="E54" s="79">
        <f>[2]Districts_Boroughs!AO106</f>
        <v>132</v>
      </c>
      <c r="F54" s="79">
        <f>[2]Districts_Boroughs!AP106</f>
        <v>121</v>
      </c>
      <c r="G54" s="79">
        <f>[2]Districts_Boroughs!AQ106</f>
        <v>113</v>
      </c>
      <c r="H54" s="79">
        <f>[2]Districts_Boroughs!AR106</f>
        <v>128</v>
      </c>
      <c r="I54" s="79">
        <f>[2]Districts_Boroughs!AS106</f>
        <v>132</v>
      </c>
      <c r="J54" s="79">
        <f>[2]Districts_Boroughs!AT106</f>
        <v>142</v>
      </c>
      <c r="K54" s="79">
        <f>[2]Districts_Boroughs!AU106</f>
        <v>118</v>
      </c>
      <c r="L54" s="79">
        <f>[2]Districts_Boroughs!AV106</f>
        <v>104</v>
      </c>
      <c r="M54" s="79">
        <f>[2]Districts_Boroughs!AW106</f>
        <v>128</v>
      </c>
      <c r="N54" s="79">
        <f>[2]Districts_Boroughs!AX106</f>
        <v>124</v>
      </c>
      <c r="O54" s="79">
        <f>[2]Districts_Boroughs!AY106</f>
        <v>132</v>
      </c>
      <c r="P54" s="79">
        <f>[2]Districts_Boroughs!AZ106</f>
        <v>142</v>
      </c>
      <c r="Q54" s="79">
        <f>[2]Districts_Boroughs!BA106</f>
        <v>151</v>
      </c>
      <c r="R54" s="79">
        <f>[2]Districts_Boroughs!BB106</f>
        <v>133</v>
      </c>
      <c r="S54" s="79">
        <f>[2]Districts_Boroughs!BC106</f>
        <v>124</v>
      </c>
      <c r="T54" s="79">
        <f>[2]Districts_Boroughs!BD106</f>
        <v>172</v>
      </c>
      <c r="U54" s="79">
        <f>[2]Districts_Boroughs!BE106</f>
        <v>163</v>
      </c>
      <c r="V54" s="79">
        <f>[2]Districts_Boroughs!BF106</f>
        <v>157</v>
      </c>
      <c r="W54" s="79">
        <f>[2]Districts_Boroughs!BG106</f>
        <v>137</v>
      </c>
      <c r="X54" s="79">
        <f>[2]Districts_Boroughs!BH106</f>
        <v>159</v>
      </c>
      <c r="Y54" s="79">
        <f>[2]Districts_Boroughs!BI106</f>
        <v>152</v>
      </c>
      <c r="Z54" s="79">
        <f>[2]Districts_Boroughs!BJ106</f>
        <v>150</v>
      </c>
      <c r="AA54" s="79">
        <f>[2]Districts_Boroughs!BK106</f>
        <v>148</v>
      </c>
      <c r="AB54" s="79">
        <f>[2]Districts_Boroughs!BL106</f>
        <v>128</v>
      </c>
      <c r="AC54" s="79">
        <f>[2]Districts_Boroughs!BM106</f>
        <v>173</v>
      </c>
      <c r="AD54" s="79">
        <f>[2]Districts_Boroughs!BN106</f>
        <v>165</v>
      </c>
      <c r="AE54" s="79">
        <f>[2]Districts_Boroughs!BO106</f>
        <v>167</v>
      </c>
      <c r="AF54" s="79">
        <f>[2]Districts_Boroughs!BP106</f>
        <v>206</v>
      </c>
      <c r="AG54" s="79">
        <f>[2]Districts_Boroughs!BQ106</f>
        <v>172</v>
      </c>
      <c r="AH54" s="79">
        <f>[2]Districts_Boroughs!BR106</f>
        <v>169</v>
      </c>
      <c r="AI54" s="79">
        <f>[2]Districts_Boroughs!BS106</f>
        <v>151</v>
      </c>
      <c r="AJ54" s="79">
        <f>[2]Districts_Boroughs!BT106</f>
        <v>132</v>
      </c>
      <c r="AK54" s="79">
        <f>[2]Districts_Boroughs!BU106</f>
        <v>154</v>
      </c>
      <c r="AL54" s="79">
        <f>[2]Districts_Boroughs!BV106</f>
        <v>173</v>
      </c>
      <c r="AM54" s="79">
        <f>[2]Districts_Boroughs!BW106</f>
        <v>175</v>
      </c>
      <c r="AN54" s="79">
        <f>[2]Districts_Boroughs!BX106</f>
        <v>210</v>
      </c>
      <c r="AO54" s="79">
        <f>[2]Districts_Boroughs!BY106</f>
        <v>208</v>
      </c>
      <c r="AP54" s="79">
        <f>[2]Districts_Boroughs!BZ106</f>
        <v>184</v>
      </c>
      <c r="AQ54" s="79">
        <f>[2]Districts_Boroughs!CA106</f>
        <v>171</v>
      </c>
      <c r="AR54" s="79">
        <f>[2]Districts_Boroughs!CB106</f>
        <v>187</v>
      </c>
      <c r="AS54" s="79">
        <f>[2]Districts_Boroughs!CC106</f>
        <v>187</v>
      </c>
      <c r="AT54" s="79">
        <f>[2]Districts_Boroughs!CD106</f>
        <v>189</v>
      </c>
      <c r="AU54" s="79">
        <f>[2]Districts_Boroughs!CE106</f>
        <v>140</v>
      </c>
      <c r="AV54" s="79">
        <f>[2]Districts_Boroughs!CF106</f>
        <v>155</v>
      </c>
      <c r="AW54" s="79">
        <f>[2]Districts_Boroughs!CG106</f>
        <v>147</v>
      </c>
      <c r="AX54" s="79">
        <f>[2]Districts_Boroughs!CH106</f>
        <v>182</v>
      </c>
      <c r="AY54" s="79">
        <f>[2]Districts_Boroughs!CI106</f>
        <v>230</v>
      </c>
      <c r="AZ54" s="79">
        <f>[2]Districts_Boroughs!CJ106</f>
        <v>227</v>
      </c>
      <c r="BA54" s="79">
        <f>[2]Districts_Boroughs!CK106</f>
        <v>222</v>
      </c>
      <c r="BB54" s="79">
        <f>[2]Districts_Boroughs!CL106</f>
        <v>203</v>
      </c>
      <c r="BC54" s="79">
        <f>[2]Districts_Boroughs!CM106</f>
        <v>223</v>
      </c>
      <c r="BD54" s="79">
        <f>[2]Districts_Boroughs!CN106</f>
        <v>220</v>
      </c>
      <c r="BE54" s="79">
        <f>[2]Districts_Boroughs!CO106</f>
        <v>179</v>
      </c>
      <c r="BF54" s="79">
        <f>[2]Districts_Boroughs!CP106</f>
        <v>183</v>
      </c>
      <c r="BG54" s="79">
        <f>[2]Districts_Boroughs!CQ106</f>
        <v>174</v>
      </c>
      <c r="BH54" s="79">
        <f>[2]Districts_Boroughs!CR106</f>
        <v>160</v>
      </c>
      <c r="BI54" s="79">
        <f>[2]Districts_Boroughs!CS106</f>
        <v>162</v>
      </c>
      <c r="BJ54" s="79">
        <f>[2]Districts_Boroughs!CT106</f>
        <v>175</v>
      </c>
      <c r="BK54" s="79">
        <f>[2]Districts_Boroughs!CU106</f>
        <v>187</v>
      </c>
      <c r="BL54" s="79">
        <f>[2]Districts_Boroughs!CV106</f>
        <v>153</v>
      </c>
      <c r="BM54" s="79">
        <f>[2]Districts_Boroughs!CW106</f>
        <v>188</v>
      </c>
      <c r="BN54" s="79">
        <f>[2]Districts_Boroughs!CX106</f>
        <v>161</v>
      </c>
      <c r="BO54" s="79">
        <f>[2]Districts_Boroughs!CY106</f>
        <v>150</v>
      </c>
      <c r="BP54" s="79">
        <f>[2]Districts_Boroughs!CZ106</f>
        <v>143</v>
      </c>
      <c r="BQ54" s="79">
        <f>[2]Districts_Boroughs!DA106</f>
        <v>161</v>
      </c>
      <c r="BR54" s="79">
        <f>[2]Districts_Boroughs!DB106</f>
        <v>144</v>
      </c>
      <c r="BS54" s="79">
        <f>[2]Districts_Boroughs!DC106</f>
        <v>119</v>
      </c>
      <c r="BT54" s="79">
        <f>[2]Districts_Boroughs!DD106</f>
        <v>155</v>
      </c>
      <c r="BU54" s="79">
        <f>[2]Districts_Boroughs!DE106</f>
        <v>153</v>
      </c>
      <c r="BV54" s="79">
        <f>[2]Districts_Boroughs!DF106</f>
        <v>150</v>
      </c>
      <c r="BW54" s="79">
        <f>[2]Districts_Boroughs!DG106</f>
        <v>177</v>
      </c>
      <c r="BX54" s="79">
        <f>[2]Districts_Boroughs!DH106</f>
        <v>181</v>
      </c>
      <c r="BY54" s="79">
        <f>[2]Districts_Boroughs!DI106</f>
        <v>140</v>
      </c>
      <c r="BZ54" s="79">
        <f>[2]Districts_Boroughs!DJ106</f>
        <v>149</v>
      </c>
      <c r="CA54" s="79">
        <f>[2]Districts_Boroughs!DK106</f>
        <v>156</v>
      </c>
      <c r="CB54" s="79">
        <f>[2]Districts_Boroughs!DL106</f>
        <v>144</v>
      </c>
      <c r="CC54" s="79">
        <f>[2]Districts_Boroughs!DM106</f>
        <v>176</v>
      </c>
      <c r="CD54" s="79">
        <f>[2]Districts_Boroughs!DN106</f>
        <v>170</v>
      </c>
      <c r="CE54" s="79">
        <f>[2]Districts_Boroughs!DO106</f>
        <v>139</v>
      </c>
      <c r="CF54" s="79">
        <f>[2]Districts_Boroughs!DP106</f>
        <v>139</v>
      </c>
      <c r="CG54" s="79">
        <f>[2]Districts_Boroughs!DQ106</f>
        <v>173</v>
      </c>
      <c r="CH54" s="79">
        <f>[2]Districts_Boroughs!DR106</f>
        <v>174</v>
      </c>
      <c r="CI54" s="79">
        <f>[2]Districts_Boroughs!DS106</f>
        <v>136</v>
      </c>
      <c r="CJ54" s="79">
        <f>[2]Districts_Boroughs!DT106</f>
        <v>136</v>
      </c>
      <c r="CK54" s="79">
        <f>[2]Districts_Boroughs!DU106</f>
        <v>157</v>
      </c>
      <c r="CL54" s="79">
        <f>[2]Districts_Boroughs!DV106</f>
        <v>137</v>
      </c>
      <c r="CM54" s="79">
        <f>[2]Districts_Boroughs!DW106</f>
        <v>135</v>
      </c>
      <c r="CN54" s="79">
        <f>[2]Districts_Boroughs!DX106</f>
        <v>129</v>
      </c>
      <c r="CO54" s="79">
        <f>[2]Districts_Boroughs!DY106</f>
        <v>136</v>
      </c>
      <c r="CP54" s="79">
        <f>[2]Districts_Boroughs!DZ106</f>
        <v>164</v>
      </c>
      <c r="CQ54" s="79">
        <f>[2]Districts_Boroughs!EA106</f>
        <v>142</v>
      </c>
      <c r="CR54" s="79">
        <f>[2]Districts_Boroughs!EB106</f>
        <v>126</v>
      </c>
      <c r="CS54" s="79">
        <f>[2]Districts_Boroughs!EC106</f>
        <v>142</v>
      </c>
    </row>
    <row r="55" spans="1:97" x14ac:dyDescent="0.35">
      <c r="A55" s="78" t="s">
        <v>37</v>
      </c>
      <c r="B55" s="79">
        <f>[2]Districts_Boroughs!AL110</f>
        <v>6</v>
      </c>
      <c r="C55" s="79">
        <f>[2]Districts_Boroughs!AM110</f>
        <v>7</v>
      </c>
      <c r="D55" s="79">
        <f>[2]Districts_Boroughs!AN110</f>
        <v>10</v>
      </c>
      <c r="E55" s="79">
        <f>[2]Districts_Boroughs!AO110</f>
        <v>6</v>
      </c>
      <c r="F55" s="79">
        <f>[2]Districts_Boroughs!AP110</f>
        <v>4</v>
      </c>
      <c r="G55" s="79">
        <f>[2]Districts_Boroughs!AQ110</f>
        <v>4</v>
      </c>
      <c r="H55" s="79">
        <f>[2]Districts_Boroughs!AR110</f>
        <v>3</v>
      </c>
      <c r="I55" s="79">
        <f>[2]Districts_Boroughs!AS110</f>
        <v>9</v>
      </c>
      <c r="J55" s="79">
        <f>[2]Districts_Boroughs!AT110</f>
        <v>4</v>
      </c>
      <c r="K55" s="79">
        <f>[2]Districts_Boroughs!AU110</f>
        <v>4</v>
      </c>
      <c r="L55" s="79">
        <f>[2]Districts_Boroughs!AV110</f>
        <v>5</v>
      </c>
      <c r="M55" s="79">
        <f>[2]Districts_Boroughs!AW110</f>
        <v>6</v>
      </c>
      <c r="N55" s="79">
        <f>[2]Districts_Boroughs!AX110</f>
        <v>3</v>
      </c>
      <c r="O55" s="79">
        <f>[2]Districts_Boroughs!AY110</f>
        <v>7</v>
      </c>
      <c r="P55" s="79">
        <f>[2]Districts_Boroughs!AZ110</f>
        <v>7</v>
      </c>
      <c r="Q55" s="79">
        <f>[2]Districts_Boroughs!BA110</f>
        <v>6</v>
      </c>
      <c r="R55" s="79">
        <f>[2]Districts_Boroughs!BB110</f>
        <v>4</v>
      </c>
      <c r="S55" s="79">
        <f>[2]Districts_Boroughs!BC110</f>
        <v>3</v>
      </c>
      <c r="T55" s="79">
        <f>[2]Districts_Boroughs!BD110</f>
        <v>5</v>
      </c>
      <c r="U55" s="79">
        <f>[2]Districts_Boroughs!BE110</f>
        <v>4</v>
      </c>
      <c r="V55" s="79">
        <f>[2]Districts_Boroughs!BF110</f>
        <v>6</v>
      </c>
      <c r="W55" s="79">
        <f>[2]Districts_Boroughs!BG110</f>
        <v>8</v>
      </c>
      <c r="X55" s="79">
        <f>[2]Districts_Boroughs!BH110</f>
        <v>4</v>
      </c>
      <c r="Y55" s="79">
        <f>[2]Districts_Boroughs!BI110</f>
        <v>7</v>
      </c>
      <c r="Z55" s="79">
        <f>[2]Districts_Boroughs!BJ110</f>
        <v>14</v>
      </c>
      <c r="AA55" s="79">
        <f>[2]Districts_Boroughs!BK110</f>
        <v>8</v>
      </c>
      <c r="AB55" s="79">
        <f>[2]Districts_Boroughs!BL110</f>
        <v>2</v>
      </c>
      <c r="AC55" s="79">
        <f>[2]Districts_Boroughs!BM110</f>
        <v>11</v>
      </c>
      <c r="AD55" s="79">
        <f>[2]Districts_Boroughs!BN110</f>
        <v>12</v>
      </c>
      <c r="AE55" s="79">
        <f>[2]Districts_Boroughs!BO110</f>
        <v>10</v>
      </c>
      <c r="AF55" s="79">
        <f>[2]Districts_Boroughs!BP110</f>
        <v>9</v>
      </c>
      <c r="AG55" s="79">
        <f>[2]Districts_Boroughs!BQ110</f>
        <v>6</v>
      </c>
      <c r="AH55" s="79">
        <f>[2]Districts_Boroughs!BR110</f>
        <v>11</v>
      </c>
      <c r="AI55" s="79">
        <f>[2]Districts_Boroughs!BS110</f>
        <v>3</v>
      </c>
      <c r="AJ55" s="79">
        <f>[2]Districts_Boroughs!BT110</f>
        <v>3</v>
      </c>
      <c r="AK55" s="79">
        <f>[2]Districts_Boroughs!BU110</f>
        <v>4</v>
      </c>
      <c r="AL55" s="79">
        <f>[2]Districts_Boroughs!BV110</f>
        <v>5</v>
      </c>
      <c r="AM55" s="79">
        <f>[2]Districts_Boroughs!BW110</f>
        <v>6</v>
      </c>
      <c r="AN55" s="79">
        <f>[2]Districts_Boroughs!BX110</f>
        <v>4</v>
      </c>
      <c r="AO55" s="79">
        <f>[2]Districts_Boroughs!BY110</f>
        <v>8</v>
      </c>
      <c r="AP55" s="79">
        <f>[2]Districts_Boroughs!BZ110</f>
        <v>4</v>
      </c>
      <c r="AQ55" s="79">
        <f>[2]Districts_Boroughs!CA110</f>
        <v>4</v>
      </c>
      <c r="AR55" s="79">
        <f>[2]Districts_Boroughs!CB110</f>
        <v>10</v>
      </c>
      <c r="AS55" s="79">
        <f>[2]Districts_Boroughs!CC110</f>
        <v>9</v>
      </c>
      <c r="AT55" s="79">
        <f>[2]Districts_Boroughs!CD110</f>
        <v>3</v>
      </c>
      <c r="AU55" s="79">
        <f>[2]Districts_Boroughs!CE110</f>
        <v>2</v>
      </c>
      <c r="AV55" s="79">
        <f>[2]Districts_Boroughs!CF110</f>
        <v>6</v>
      </c>
      <c r="AW55" s="79">
        <f>[2]Districts_Boroughs!CG110</f>
        <v>6</v>
      </c>
      <c r="AX55" s="79">
        <f>[2]Districts_Boroughs!CH110</f>
        <v>8</v>
      </c>
      <c r="AY55" s="79">
        <f>[2]Districts_Boroughs!CI110</f>
        <v>1</v>
      </c>
      <c r="AZ55" s="79">
        <f>[2]Districts_Boroughs!CJ110</f>
        <v>9</v>
      </c>
      <c r="BA55" s="79">
        <f>[2]Districts_Boroughs!CK110</f>
        <v>10</v>
      </c>
      <c r="BB55" s="79">
        <f>[2]Districts_Boroughs!CL110</f>
        <v>10</v>
      </c>
      <c r="BC55" s="79">
        <f>[2]Districts_Boroughs!CM110</f>
        <v>7</v>
      </c>
      <c r="BD55" s="79">
        <f>[2]Districts_Boroughs!CN110</f>
        <v>10</v>
      </c>
      <c r="BE55" s="79">
        <f>[2]Districts_Boroughs!CO110</f>
        <v>6</v>
      </c>
      <c r="BF55" s="79">
        <f>[2]Districts_Boroughs!CP110</f>
        <v>5</v>
      </c>
      <c r="BG55" s="79">
        <f>[2]Districts_Boroughs!CQ110</f>
        <v>3</v>
      </c>
      <c r="BH55" s="79">
        <f>[2]Districts_Boroughs!CR110</f>
        <v>7</v>
      </c>
      <c r="BI55" s="79">
        <f>[2]Districts_Boroughs!CS110</f>
        <v>4</v>
      </c>
      <c r="BJ55" s="79">
        <f>[2]Districts_Boroughs!CT110</f>
        <v>8</v>
      </c>
      <c r="BK55" s="79">
        <f>[2]Districts_Boroughs!CU110</f>
        <v>4</v>
      </c>
      <c r="BL55" s="79">
        <f>[2]Districts_Boroughs!CV110</f>
        <v>5</v>
      </c>
      <c r="BM55" s="79">
        <f>[2]Districts_Boroughs!CW110</f>
        <v>3</v>
      </c>
      <c r="BN55" s="79">
        <f>[2]Districts_Boroughs!CX110</f>
        <v>4</v>
      </c>
      <c r="BO55" s="79">
        <f>[2]Districts_Boroughs!CY110</f>
        <v>1</v>
      </c>
      <c r="BP55" s="79">
        <f>[2]Districts_Boroughs!CZ110</f>
        <v>5</v>
      </c>
      <c r="BQ55" s="79">
        <f>[2]Districts_Boroughs!DA110</f>
        <v>8</v>
      </c>
      <c r="BR55" s="79">
        <f>[2]Districts_Boroughs!DB110</f>
        <v>2</v>
      </c>
      <c r="BS55" s="79">
        <f>[2]Districts_Boroughs!DC110</f>
        <v>1</v>
      </c>
      <c r="BT55" s="79">
        <f>[2]Districts_Boroughs!DD110</f>
        <v>5</v>
      </c>
      <c r="BU55" s="79">
        <f>[2]Districts_Boroughs!DE110</f>
        <v>3</v>
      </c>
      <c r="BV55" s="79">
        <f>[2]Districts_Boroughs!DF110</f>
        <v>2</v>
      </c>
      <c r="BW55" s="79">
        <f>[2]Districts_Boroughs!DG110</f>
        <v>3</v>
      </c>
      <c r="BX55" s="79">
        <f>[2]Districts_Boroughs!DH110</f>
        <v>2</v>
      </c>
      <c r="BY55" s="79">
        <f>[2]Districts_Boroughs!DI110</f>
        <v>4</v>
      </c>
      <c r="BZ55" s="79">
        <f>[2]Districts_Boroughs!DJ110</f>
        <v>4</v>
      </c>
      <c r="CA55" s="79">
        <f>[2]Districts_Boroughs!DK110</f>
        <v>5</v>
      </c>
      <c r="CB55" s="79">
        <f>[2]Districts_Boroughs!DL110</f>
        <v>1</v>
      </c>
      <c r="CC55" s="79">
        <f>[2]Districts_Boroughs!DM110</f>
        <v>3</v>
      </c>
      <c r="CD55" s="79">
        <f>[2]Districts_Boroughs!DN110</f>
        <v>1</v>
      </c>
      <c r="CE55" s="79">
        <f>[2]Districts_Boroughs!DO110</f>
        <v>3</v>
      </c>
      <c r="CF55" s="79">
        <f>[2]Districts_Boroughs!DP110</f>
        <v>2</v>
      </c>
      <c r="CG55" s="79">
        <f>[2]Districts_Boroughs!DQ110</f>
        <v>3</v>
      </c>
      <c r="CH55" s="79">
        <f>[2]Districts_Boroughs!DR110</f>
        <v>8</v>
      </c>
      <c r="CI55" s="79">
        <f>[2]Districts_Boroughs!DS110</f>
        <v>3</v>
      </c>
      <c r="CJ55" s="79">
        <f>[2]Districts_Boroughs!DT110</f>
        <v>4</v>
      </c>
      <c r="CK55" s="79">
        <f>[2]Districts_Boroughs!DU110</f>
        <v>13</v>
      </c>
      <c r="CL55" s="79">
        <f>[2]Districts_Boroughs!DV110</f>
        <v>2</v>
      </c>
      <c r="CM55" s="79">
        <f>[2]Districts_Boroughs!DW110</f>
        <v>6</v>
      </c>
      <c r="CN55" s="79">
        <f>[2]Districts_Boroughs!DX110</f>
        <v>2</v>
      </c>
      <c r="CO55" s="79">
        <f>[2]Districts_Boroughs!DY110</f>
        <v>0</v>
      </c>
      <c r="CP55" s="79">
        <f>[2]Districts_Boroughs!DZ110</f>
        <v>2</v>
      </c>
      <c r="CQ55" s="79">
        <f>[2]Districts_Boroughs!EA110</f>
        <v>4</v>
      </c>
      <c r="CR55" s="79">
        <f>[2]Districts_Boroughs!EB110</f>
        <v>1</v>
      </c>
      <c r="CS55" s="79">
        <f>[2]Districts_Boroughs!EC110</f>
        <v>8</v>
      </c>
    </row>
    <row r="56" spans="1:97" x14ac:dyDescent="0.35">
      <c r="A56" s="78" t="s">
        <v>52</v>
      </c>
      <c r="B56" s="79">
        <f>[2]Districts_Boroughs!AL140</f>
        <v>138</v>
      </c>
      <c r="C56" s="79">
        <f>[2]Districts_Boroughs!AM140</f>
        <v>136</v>
      </c>
      <c r="D56" s="79">
        <f>[2]Districts_Boroughs!AN140</f>
        <v>143</v>
      </c>
      <c r="E56" s="79">
        <f>[2]Districts_Boroughs!AO140</f>
        <v>96</v>
      </c>
      <c r="F56" s="79">
        <f>[2]Districts_Boroughs!AP140</f>
        <v>145</v>
      </c>
      <c r="G56" s="79">
        <f>[2]Districts_Boroughs!AQ140</f>
        <v>135</v>
      </c>
      <c r="H56" s="79">
        <f>[2]Districts_Boroughs!AR140</f>
        <v>39</v>
      </c>
      <c r="I56" s="79">
        <f>[2]Districts_Boroughs!AS140</f>
        <v>47</v>
      </c>
      <c r="J56" s="79">
        <f>[2]Districts_Boroughs!AT140</f>
        <v>35</v>
      </c>
      <c r="K56" s="79">
        <f>[2]Districts_Boroughs!AU140</f>
        <v>46</v>
      </c>
      <c r="L56" s="79">
        <f>[2]Districts_Boroughs!AV140</f>
        <v>36</v>
      </c>
      <c r="M56" s="79">
        <f>[2]Districts_Boroughs!AW140</f>
        <v>41</v>
      </c>
      <c r="N56" s="79">
        <f>[2]Districts_Boroughs!AX140</f>
        <v>47</v>
      </c>
      <c r="O56" s="79">
        <f>[2]Districts_Boroughs!AY140</f>
        <v>57</v>
      </c>
      <c r="P56" s="79">
        <f>[2]Districts_Boroughs!AZ140</f>
        <v>65</v>
      </c>
      <c r="Q56" s="79">
        <f>[2]Districts_Boroughs!BA140</f>
        <v>69</v>
      </c>
      <c r="R56" s="79">
        <f>[2]Districts_Boroughs!BB140</f>
        <v>72</v>
      </c>
      <c r="S56" s="79">
        <f>[2]Districts_Boroughs!BC140</f>
        <v>55</v>
      </c>
      <c r="T56" s="79">
        <f>[2]Districts_Boroughs!BD140</f>
        <v>91</v>
      </c>
      <c r="U56" s="79">
        <f>[2]Districts_Boroughs!BE140</f>
        <v>85</v>
      </c>
      <c r="V56" s="79">
        <f>[2]Districts_Boroughs!BF140</f>
        <v>63</v>
      </c>
      <c r="W56" s="79">
        <f>[2]Districts_Boroughs!BG140</f>
        <v>87</v>
      </c>
      <c r="X56" s="79">
        <f>[2]Districts_Boroughs!BH140</f>
        <v>111</v>
      </c>
      <c r="Y56" s="79">
        <f>[2]Districts_Boroughs!BI140</f>
        <v>111</v>
      </c>
      <c r="Z56" s="79">
        <f>[2]Districts_Boroughs!BJ140</f>
        <v>88</v>
      </c>
      <c r="AA56" s="79">
        <f>[2]Districts_Boroughs!BK140</f>
        <v>115</v>
      </c>
      <c r="AB56" s="79">
        <f>[2]Districts_Boroughs!BL140</f>
        <v>97</v>
      </c>
      <c r="AC56" s="79">
        <f>[2]Districts_Boroughs!BM140</f>
        <v>107</v>
      </c>
      <c r="AD56" s="79">
        <f>[2]Districts_Boroughs!BN140</f>
        <v>118</v>
      </c>
      <c r="AE56" s="79">
        <f>[2]Districts_Boroughs!BO140</f>
        <v>104</v>
      </c>
      <c r="AF56" s="79">
        <f>[2]Districts_Boroughs!BP140</f>
        <v>107</v>
      </c>
      <c r="AG56" s="79">
        <f>[2]Districts_Boroughs!BQ140</f>
        <v>90</v>
      </c>
      <c r="AH56" s="79">
        <f>[2]Districts_Boroughs!BR140</f>
        <v>120</v>
      </c>
      <c r="AI56" s="79">
        <f>[2]Districts_Boroughs!BS140</f>
        <v>126</v>
      </c>
      <c r="AJ56" s="79">
        <f>[2]Districts_Boroughs!BT140</f>
        <v>112</v>
      </c>
      <c r="AK56" s="79">
        <f>[2]Districts_Boroughs!BU140</f>
        <v>118</v>
      </c>
      <c r="AL56" s="79">
        <f>[2]Districts_Boroughs!BV140</f>
        <v>49</v>
      </c>
      <c r="AM56" s="79">
        <f>[2]Districts_Boroughs!BW140</f>
        <v>56</v>
      </c>
      <c r="AN56" s="79">
        <f>[2]Districts_Boroughs!BX140</f>
        <v>63</v>
      </c>
      <c r="AO56" s="79">
        <f>[2]Districts_Boroughs!BY140</f>
        <v>88</v>
      </c>
      <c r="AP56" s="79">
        <f>[2]Districts_Boroughs!BZ140</f>
        <v>71</v>
      </c>
      <c r="AQ56" s="79">
        <f>[2]Districts_Boroughs!CA140</f>
        <v>63</v>
      </c>
      <c r="AR56" s="79">
        <f>[2]Districts_Boroughs!CB140</f>
        <v>116</v>
      </c>
      <c r="AS56" s="79">
        <f>[2]Districts_Boroughs!CC140</f>
        <v>81</v>
      </c>
      <c r="AT56" s="79">
        <f>[2]Districts_Boroughs!CD140</f>
        <v>62</v>
      </c>
      <c r="AU56" s="79">
        <f>[2]Districts_Boroughs!CE140</f>
        <v>59</v>
      </c>
      <c r="AV56" s="79">
        <f>[2]Districts_Boroughs!CF140</f>
        <v>73</v>
      </c>
      <c r="AW56" s="79">
        <f>[2]Districts_Boroughs!CG140</f>
        <v>74</v>
      </c>
      <c r="AX56" s="79">
        <f>[2]Districts_Boroughs!CH140</f>
        <v>54</v>
      </c>
      <c r="AY56" s="79">
        <f>[2]Districts_Boroughs!CI140</f>
        <v>77</v>
      </c>
      <c r="AZ56" s="79">
        <f>[2]Districts_Boroughs!CJ140</f>
        <v>64</v>
      </c>
      <c r="BA56" s="79">
        <f>[2]Districts_Boroughs!CK140</f>
        <v>73</v>
      </c>
      <c r="BB56" s="79">
        <f>[2]Districts_Boroughs!CL140</f>
        <v>76</v>
      </c>
      <c r="BC56" s="79">
        <f>[2]Districts_Boroughs!CM140</f>
        <v>74</v>
      </c>
      <c r="BD56" s="79">
        <f>[2]Districts_Boroughs!CN140</f>
        <v>77</v>
      </c>
      <c r="BE56" s="79">
        <f>[2]Districts_Boroughs!CO140</f>
        <v>111</v>
      </c>
      <c r="BF56" s="79">
        <f>[2]Districts_Boroughs!CP140</f>
        <v>73</v>
      </c>
      <c r="BG56" s="79">
        <f>[2]Districts_Boroughs!CQ140</f>
        <v>69</v>
      </c>
      <c r="BH56" s="79">
        <f>[2]Districts_Boroughs!CR140</f>
        <v>56</v>
      </c>
      <c r="BI56" s="79">
        <f>[2]Districts_Boroughs!CS140</f>
        <v>89</v>
      </c>
      <c r="BJ56" s="79">
        <f>[2]Districts_Boroughs!CT140</f>
        <v>101</v>
      </c>
      <c r="BK56" s="79">
        <f>[2]Districts_Boroughs!CU140</f>
        <v>82</v>
      </c>
      <c r="BL56" s="79">
        <f>[2]Districts_Boroughs!CV140</f>
        <v>90</v>
      </c>
      <c r="BM56" s="79">
        <f>[2]Districts_Boroughs!CW140</f>
        <v>84</v>
      </c>
      <c r="BN56" s="79">
        <f>[2]Districts_Boroughs!CX140</f>
        <v>86</v>
      </c>
      <c r="BO56" s="79">
        <f>[2]Districts_Boroughs!CY140</f>
        <v>72</v>
      </c>
      <c r="BP56" s="79">
        <f>[2]Districts_Boroughs!CZ140</f>
        <v>89</v>
      </c>
      <c r="BQ56" s="79">
        <f>[2]Districts_Boroughs!DA140</f>
        <v>117</v>
      </c>
      <c r="BR56" s="79">
        <f>[2]Districts_Boroughs!DB140</f>
        <v>104</v>
      </c>
      <c r="BS56" s="79">
        <f>[2]Districts_Boroughs!DC140</f>
        <v>94</v>
      </c>
      <c r="BT56" s="79">
        <f>[2]Districts_Boroughs!DD140</f>
        <v>86</v>
      </c>
      <c r="BU56" s="79">
        <f>[2]Districts_Boroughs!DE140</f>
        <v>125</v>
      </c>
      <c r="BV56" s="79">
        <f>[2]Districts_Boroughs!DF140</f>
        <v>93</v>
      </c>
      <c r="BW56" s="79">
        <f>[2]Districts_Boroughs!DG140</f>
        <v>83</v>
      </c>
      <c r="BX56" s="79">
        <f>[2]Districts_Boroughs!DH140</f>
        <v>103</v>
      </c>
      <c r="BY56" s="79">
        <f>[2]Districts_Boroughs!DI140</f>
        <v>78</v>
      </c>
      <c r="BZ56" s="79">
        <f>[2]Districts_Boroughs!DJ140</f>
        <v>92</v>
      </c>
      <c r="CA56" s="79">
        <f>[2]Districts_Boroughs!DK140</f>
        <v>119</v>
      </c>
      <c r="CB56" s="79">
        <f>[2]Districts_Boroughs!DL140</f>
        <v>111</v>
      </c>
      <c r="CC56" s="79">
        <f>[2]Districts_Boroughs!DM140</f>
        <v>140</v>
      </c>
      <c r="CD56" s="79">
        <f>[2]Districts_Boroughs!DN140</f>
        <v>104</v>
      </c>
      <c r="CE56" s="79">
        <f>[2]Districts_Boroughs!DO140</f>
        <v>125</v>
      </c>
      <c r="CF56" s="79">
        <f>[2]Districts_Boroughs!DP140</f>
        <v>108</v>
      </c>
      <c r="CG56" s="79">
        <f>[2]Districts_Boroughs!DQ140</f>
        <v>111</v>
      </c>
      <c r="CH56" s="79">
        <f>[2]Districts_Boroughs!DR140</f>
        <v>109</v>
      </c>
      <c r="CI56" s="79">
        <f>[2]Districts_Boroughs!DS140</f>
        <v>113</v>
      </c>
      <c r="CJ56" s="79">
        <f>[2]Districts_Boroughs!DT140</f>
        <v>87</v>
      </c>
      <c r="CK56" s="79">
        <f>[2]Districts_Boroughs!DU140</f>
        <v>104</v>
      </c>
      <c r="CL56" s="79">
        <f>[2]Districts_Boroughs!DV140</f>
        <v>88</v>
      </c>
      <c r="CM56" s="79">
        <f>[2]Districts_Boroughs!DW140</f>
        <v>89</v>
      </c>
      <c r="CN56" s="79">
        <f>[2]Districts_Boroughs!DX140</f>
        <v>111</v>
      </c>
      <c r="CO56" s="79">
        <f>[2]Districts_Boroughs!DY140</f>
        <v>88</v>
      </c>
      <c r="CP56" s="79">
        <f>[2]Districts_Boroughs!DZ140</f>
        <v>83</v>
      </c>
      <c r="CQ56" s="79">
        <f>[2]Districts_Boroughs!EA140</f>
        <v>78</v>
      </c>
      <c r="CR56" s="79">
        <f>[2]Districts_Boroughs!EB140</f>
        <v>85</v>
      </c>
      <c r="CS56" s="79">
        <f>[2]Districts_Boroughs!EC140</f>
        <v>66</v>
      </c>
    </row>
    <row r="57" spans="1:97" ht="23" x14ac:dyDescent="0.35">
      <c r="A57" s="80" t="s">
        <v>141</v>
      </c>
      <c r="B57" s="81">
        <f>[2]Districts_Boroughs!AL126</f>
        <v>8</v>
      </c>
      <c r="C57" s="81">
        <f>[2]Districts_Boroughs!AM126</f>
        <v>6</v>
      </c>
      <c r="D57" s="81">
        <f>[2]Districts_Boroughs!AN126</f>
        <v>7</v>
      </c>
      <c r="E57" s="81">
        <f>[2]Districts_Boroughs!AO126</f>
        <v>6</v>
      </c>
      <c r="F57" s="81">
        <f>[2]Districts_Boroughs!AP126</f>
        <v>13</v>
      </c>
      <c r="G57" s="81">
        <f>[2]Districts_Boroughs!AQ126</f>
        <v>4</v>
      </c>
      <c r="H57" s="81">
        <f>[2]Districts_Boroughs!AR126</f>
        <v>2</v>
      </c>
      <c r="I57" s="81">
        <f>[2]Districts_Boroughs!AS126</f>
        <v>4</v>
      </c>
      <c r="J57" s="81">
        <f>[2]Districts_Boroughs!AT126</f>
        <v>1</v>
      </c>
      <c r="K57" s="81">
        <f>[2]Districts_Boroughs!AU126</f>
        <v>2</v>
      </c>
      <c r="L57" s="81">
        <f>[2]Districts_Boroughs!AV126</f>
        <v>7</v>
      </c>
      <c r="M57" s="81">
        <f>[2]Districts_Boroughs!AW126</f>
        <v>7</v>
      </c>
      <c r="N57" s="81">
        <f>[2]Districts_Boroughs!AX126</f>
        <v>5</v>
      </c>
      <c r="O57" s="81">
        <f>[2]Districts_Boroughs!AY126</f>
        <v>6</v>
      </c>
      <c r="P57" s="81">
        <f>[2]Districts_Boroughs!AZ126</f>
        <v>5</v>
      </c>
      <c r="Q57" s="81">
        <f>[2]Districts_Boroughs!BA126</f>
        <v>9</v>
      </c>
      <c r="R57" s="81">
        <f>[2]Districts_Boroughs!BB126</f>
        <v>12</v>
      </c>
      <c r="S57" s="81">
        <f>[2]Districts_Boroughs!BC126</f>
        <v>9</v>
      </c>
      <c r="T57" s="81">
        <f>[2]Districts_Boroughs!BD126</f>
        <v>7</v>
      </c>
      <c r="U57" s="81">
        <f>[2]Districts_Boroughs!BE126</f>
        <v>7</v>
      </c>
      <c r="V57" s="81">
        <f>[2]Districts_Boroughs!BF126</f>
        <v>10</v>
      </c>
      <c r="W57" s="81">
        <f>[2]Districts_Boroughs!BG126</f>
        <v>4</v>
      </c>
      <c r="X57" s="81">
        <f>[2]Districts_Boroughs!BH126</f>
        <v>6</v>
      </c>
      <c r="Y57" s="81">
        <f>[2]Districts_Boroughs!BI126</f>
        <v>12</v>
      </c>
      <c r="Z57" s="81">
        <f>[2]Districts_Boroughs!BJ126</f>
        <v>5</v>
      </c>
      <c r="AA57" s="81">
        <f>[2]Districts_Boroughs!BK126</f>
        <v>1</v>
      </c>
      <c r="AB57" s="81">
        <f>[2]Districts_Boroughs!BL126</f>
        <v>4</v>
      </c>
      <c r="AC57" s="81">
        <f>[2]Districts_Boroughs!BM126</f>
        <v>4</v>
      </c>
      <c r="AD57" s="81">
        <f>[2]Districts_Boroughs!BN126</f>
        <v>7</v>
      </c>
      <c r="AE57" s="81">
        <f>[2]Districts_Boroughs!BO126</f>
        <v>11</v>
      </c>
      <c r="AF57" s="81">
        <f>[2]Districts_Boroughs!BP126</f>
        <v>3</v>
      </c>
      <c r="AG57" s="81">
        <f>[2]Districts_Boroughs!BQ126</f>
        <v>6</v>
      </c>
      <c r="AH57" s="81">
        <f>[2]Districts_Boroughs!BR126</f>
        <v>7</v>
      </c>
      <c r="AI57" s="81">
        <f>[2]Districts_Boroughs!BS126</f>
        <v>8</v>
      </c>
      <c r="AJ57" s="81">
        <f>[2]Districts_Boroughs!BT126</f>
        <v>6</v>
      </c>
      <c r="AK57" s="81">
        <f>[2]Districts_Boroughs!BU126</f>
        <v>8</v>
      </c>
      <c r="AL57" s="81">
        <f>[2]Districts_Boroughs!BV126</f>
        <v>9</v>
      </c>
      <c r="AM57" s="81">
        <f>[2]Districts_Boroughs!BW126</f>
        <v>5</v>
      </c>
      <c r="AN57" s="81">
        <f>[2]Districts_Boroughs!BX126</f>
        <v>6</v>
      </c>
      <c r="AO57" s="81">
        <f>[2]Districts_Boroughs!BY126</f>
        <v>7</v>
      </c>
      <c r="AP57" s="81">
        <f>[2]Districts_Boroughs!BZ126</f>
        <v>6</v>
      </c>
      <c r="AQ57" s="81">
        <f>[2]Districts_Boroughs!CA126</f>
        <v>9</v>
      </c>
      <c r="AR57" s="81">
        <f>[2]Districts_Boroughs!CB126</f>
        <v>5</v>
      </c>
      <c r="AS57" s="81">
        <f>[2]Districts_Boroughs!CC126</f>
        <v>4</v>
      </c>
      <c r="AT57" s="81">
        <f>[2]Districts_Boroughs!CD126</f>
        <v>6</v>
      </c>
      <c r="AU57" s="81">
        <f>[2]Districts_Boroughs!CE126</f>
        <v>3</v>
      </c>
      <c r="AV57" s="81">
        <f>[2]Districts_Boroughs!CF126</f>
        <v>4</v>
      </c>
      <c r="AW57" s="81">
        <f>[2]Districts_Boroughs!CG126</f>
        <v>2</v>
      </c>
      <c r="AX57" s="81">
        <f>[2]Districts_Boroughs!CH126</f>
        <v>1</v>
      </c>
      <c r="AY57" s="81">
        <f>[2]Districts_Boroughs!CI126</f>
        <v>5</v>
      </c>
      <c r="AZ57" s="81">
        <f>[2]Districts_Boroughs!CJ126</f>
        <v>5</v>
      </c>
      <c r="BA57" s="81">
        <f>[2]Districts_Boroughs!CK126</f>
        <v>11</v>
      </c>
      <c r="BB57" s="81">
        <f>[2]Districts_Boroughs!CL126</f>
        <v>3</v>
      </c>
      <c r="BC57" s="81">
        <f>[2]Districts_Boroughs!CM126</f>
        <v>6</v>
      </c>
      <c r="BD57" s="81">
        <f>[2]Districts_Boroughs!CN126</f>
        <v>4</v>
      </c>
      <c r="BE57" s="81">
        <f>[2]Districts_Boroughs!CO126</f>
        <v>3</v>
      </c>
      <c r="BF57" s="81">
        <f>[2]Districts_Boroughs!CP126</f>
        <v>7</v>
      </c>
      <c r="BG57" s="81">
        <f>[2]Districts_Boroughs!CQ126</f>
        <v>3</v>
      </c>
      <c r="BH57" s="81">
        <f>[2]Districts_Boroughs!CR126</f>
        <v>7</v>
      </c>
      <c r="BI57" s="81">
        <f>[2]Districts_Boroughs!CS126</f>
        <v>1</v>
      </c>
      <c r="BJ57" s="81">
        <f>[2]Districts_Boroughs!CT126</f>
        <v>6</v>
      </c>
      <c r="BK57" s="81">
        <f>[2]Districts_Boroughs!CU126</f>
        <v>7</v>
      </c>
      <c r="BL57" s="81">
        <f>[2]Districts_Boroughs!CV126</f>
        <v>6</v>
      </c>
      <c r="BM57" s="81">
        <f>[2]Districts_Boroughs!CW126</f>
        <v>7</v>
      </c>
      <c r="BN57" s="81">
        <f>[2]Districts_Boroughs!CX126</f>
        <v>2</v>
      </c>
      <c r="BO57" s="81">
        <f>[2]Districts_Boroughs!CY126</f>
        <v>3</v>
      </c>
      <c r="BP57" s="81">
        <f>[2]Districts_Boroughs!CZ126</f>
        <v>5</v>
      </c>
      <c r="BQ57" s="81">
        <f>[2]Districts_Boroughs!DA126</f>
        <v>4</v>
      </c>
      <c r="BR57" s="81">
        <f>[2]Districts_Boroughs!DB126</f>
        <v>7</v>
      </c>
      <c r="BS57" s="81">
        <f>[2]Districts_Boroughs!DC126</f>
        <v>2</v>
      </c>
      <c r="BT57" s="81">
        <f>[2]Districts_Boroughs!DD126</f>
        <v>2</v>
      </c>
      <c r="BU57" s="81">
        <f>[2]Districts_Boroughs!DE126</f>
        <v>8</v>
      </c>
      <c r="BV57" s="81">
        <f>[2]Districts_Boroughs!DF126</f>
        <v>7</v>
      </c>
      <c r="BW57" s="81">
        <f>[2]Districts_Boroughs!DG126</f>
        <v>7</v>
      </c>
      <c r="BX57" s="81">
        <f>[2]Districts_Boroughs!DH126</f>
        <v>10</v>
      </c>
      <c r="BY57" s="81">
        <f>[2]Districts_Boroughs!DI126</f>
        <v>10</v>
      </c>
      <c r="BZ57" s="81">
        <f>[2]Districts_Boroughs!DJ126</f>
        <v>7</v>
      </c>
      <c r="CA57" s="81">
        <f>[2]Districts_Boroughs!DK126</f>
        <v>6</v>
      </c>
      <c r="CB57" s="81">
        <f>[2]Districts_Boroughs!DL126</f>
        <v>3</v>
      </c>
      <c r="CC57" s="81">
        <f>[2]Districts_Boroughs!DM126</f>
        <v>2</v>
      </c>
      <c r="CD57" s="81">
        <f>[2]Districts_Boroughs!DN126</f>
        <v>8</v>
      </c>
      <c r="CE57" s="81">
        <f>[2]Districts_Boroughs!DO126</f>
        <v>4</v>
      </c>
      <c r="CF57" s="81">
        <f>[2]Districts_Boroughs!DP126</f>
        <v>6</v>
      </c>
      <c r="CG57" s="81">
        <f>[2]Districts_Boroughs!DQ126</f>
        <v>3</v>
      </c>
      <c r="CH57" s="81">
        <f>[2]Districts_Boroughs!DR126</f>
        <v>3</v>
      </c>
      <c r="CI57" s="81">
        <f>[2]Districts_Boroughs!DS126</f>
        <v>5</v>
      </c>
      <c r="CJ57" s="81">
        <f>[2]Districts_Boroughs!DT126</f>
        <v>4</v>
      </c>
      <c r="CK57" s="81">
        <f>[2]Districts_Boroughs!DU126</f>
        <v>7</v>
      </c>
      <c r="CL57" s="81">
        <f>[2]Districts_Boroughs!DV126</f>
        <v>4</v>
      </c>
      <c r="CM57" s="81">
        <f>[2]Districts_Boroughs!DW126</f>
        <v>3</v>
      </c>
      <c r="CN57" s="81">
        <f>[2]Districts_Boroughs!DX126</f>
        <v>4</v>
      </c>
      <c r="CO57" s="81">
        <f>[2]Districts_Boroughs!DY126</f>
        <v>7</v>
      </c>
      <c r="CP57" s="81">
        <f>[2]Districts_Boroughs!DZ126</f>
        <v>6</v>
      </c>
      <c r="CQ57" s="81">
        <f>[2]Districts_Boroughs!EA126</f>
        <v>6</v>
      </c>
      <c r="CR57" s="81">
        <f>[2]Districts_Boroughs!EB126</f>
        <v>2</v>
      </c>
      <c r="CS57" s="81">
        <f>[2]Districts_Boroughs!EC126</f>
        <v>4</v>
      </c>
    </row>
    <row r="58" spans="1:97" ht="34.5" x14ac:dyDescent="0.35">
      <c r="A58" s="80" t="s">
        <v>142</v>
      </c>
      <c r="B58" s="81">
        <f>[2]Districts_Boroughs!AL127</f>
        <v>4</v>
      </c>
      <c r="C58" s="81">
        <f>[2]Districts_Boroughs!AM127</f>
        <v>1</v>
      </c>
      <c r="D58" s="81">
        <f>[2]Districts_Boroughs!AN127</f>
        <v>2</v>
      </c>
      <c r="E58" s="81">
        <f>[2]Districts_Boroughs!AO127</f>
        <v>5</v>
      </c>
      <c r="F58" s="81">
        <f>[2]Districts_Boroughs!AP127</f>
        <v>5</v>
      </c>
      <c r="G58" s="81">
        <f>[2]Districts_Boroughs!AQ127</f>
        <v>7</v>
      </c>
      <c r="H58" s="81">
        <f>[2]Districts_Boroughs!AR127</f>
        <v>2</v>
      </c>
      <c r="I58" s="81">
        <f>[2]Districts_Boroughs!AS127</f>
        <v>5</v>
      </c>
      <c r="J58" s="81">
        <f>[2]Districts_Boroughs!AT127</f>
        <v>2</v>
      </c>
      <c r="K58" s="81">
        <f>[2]Districts_Boroughs!AU127</f>
        <v>5</v>
      </c>
      <c r="L58" s="81">
        <f>[2]Districts_Boroughs!AV127</f>
        <v>2</v>
      </c>
      <c r="M58" s="81">
        <f>[2]Districts_Boroughs!AW127</f>
        <v>1</v>
      </c>
      <c r="N58" s="81">
        <f>[2]Districts_Boroughs!AX127</f>
        <v>8</v>
      </c>
      <c r="O58" s="81">
        <f>[2]Districts_Boroughs!AY127</f>
        <v>9</v>
      </c>
      <c r="P58" s="81">
        <f>[2]Districts_Boroughs!AZ127</f>
        <v>4</v>
      </c>
      <c r="Q58" s="81">
        <f>[2]Districts_Boroughs!BA127</f>
        <v>5</v>
      </c>
      <c r="R58" s="81">
        <f>[2]Districts_Boroughs!BB127</f>
        <v>4</v>
      </c>
      <c r="S58" s="81">
        <f>[2]Districts_Boroughs!BC127</f>
        <v>0</v>
      </c>
      <c r="T58" s="81">
        <f>[2]Districts_Boroughs!BD127</f>
        <v>8</v>
      </c>
      <c r="U58" s="81">
        <f>[2]Districts_Boroughs!BE127</f>
        <v>9</v>
      </c>
      <c r="V58" s="81">
        <f>[2]Districts_Boroughs!BF127</f>
        <v>4</v>
      </c>
      <c r="W58" s="81">
        <f>[2]Districts_Boroughs!BG127</f>
        <v>2</v>
      </c>
      <c r="X58" s="81">
        <f>[2]Districts_Boroughs!BH127</f>
        <v>7</v>
      </c>
      <c r="Y58" s="81">
        <f>[2]Districts_Boroughs!BI127</f>
        <v>2</v>
      </c>
      <c r="Z58" s="81">
        <f>[2]Districts_Boroughs!BJ127</f>
        <v>1</v>
      </c>
      <c r="AA58" s="81">
        <f>[2]Districts_Boroughs!BK127</f>
        <v>4</v>
      </c>
      <c r="AB58" s="81">
        <f>[2]Districts_Boroughs!BL127</f>
        <v>6</v>
      </c>
      <c r="AC58" s="81">
        <f>[2]Districts_Boroughs!BM127</f>
        <v>6</v>
      </c>
      <c r="AD58" s="81">
        <f>[2]Districts_Boroughs!BN127</f>
        <v>9</v>
      </c>
      <c r="AE58" s="81">
        <f>[2]Districts_Boroughs!BO127</f>
        <v>2</v>
      </c>
      <c r="AF58" s="81">
        <f>[2]Districts_Boroughs!BP127</f>
        <v>4</v>
      </c>
      <c r="AG58" s="81">
        <f>[2]Districts_Boroughs!BQ127</f>
        <v>8</v>
      </c>
      <c r="AH58" s="81">
        <f>[2]Districts_Boroughs!BR127</f>
        <v>3</v>
      </c>
      <c r="AI58" s="81">
        <f>[2]Districts_Boroughs!BS127</f>
        <v>5</v>
      </c>
      <c r="AJ58" s="81">
        <f>[2]Districts_Boroughs!BT127</f>
        <v>6</v>
      </c>
      <c r="AK58" s="81">
        <f>[2]Districts_Boroughs!BU127</f>
        <v>6</v>
      </c>
      <c r="AL58" s="81">
        <f>[2]Districts_Boroughs!BV127</f>
        <v>0</v>
      </c>
      <c r="AM58" s="81">
        <f>[2]Districts_Boroughs!BW127</f>
        <v>2</v>
      </c>
      <c r="AN58" s="81">
        <f>[2]Districts_Boroughs!BX127</f>
        <v>3</v>
      </c>
      <c r="AO58" s="81">
        <f>[2]Districts_Boroughs!BY127</f>
        <v>4</v>
      </c>
      <c r="AP58" s="81">
        <f>[2]Districts_Boroughs!BZ127</f>
        <v>3</v>
      </c>
      <c r="AQ58" s="81">
        <f>[2]Districts_Boroughs!CA127</f>
        <v>4</v>
      </c>
      <c r="AR58" s="81">
        <f>[2]Districts_Boroughs!CB127</f>
        <v>4</v>
      </c>
      <c r="AS58" s="81">
        <f>[2]Districts_Boroughs!CC127</f>
        <v>0</v>
      </c>
      <c r="AT58" s="81">
        <f>[2]Districts_Boroughs!CD127</f>
        <v>1</v>
      </c>
      <c r="AU58" s="81">
        <f>[2]Districts_Boroughs!CE127</f>
        <v>0</v>
      </c>
      <c r="AV58" s="81">
        <f>[2]Districts_Boroughs!CF127</f>
        <v>1</v>
      </c>
      <c r="AW58" s="81">
        <f>[2]Districts_Boroughs!CG127</f>
        <v>4</v>
      </c>
      <c r="AX58" s="81">
        <f>[2]Districts_Boroughs!CH127</f>
        <v>2</v>
      </c>
      <c r="AY58" s="81">
        <f>[2]Districts_Boroughs!CI127</f>
        <v>1</v>
      </c>
      <c r="AZ58" s="81">
        <f>[2]Districts_Boroughs!CJ127</f>
        <v>1</v>
      </c>
      <c r="BA58" s="81">
        <f>[2]Districts_Boroughs!CK127</f>
        <v>6</v>
      </c>
      <c r="BB58" s="81">
        <f>[2]Districts_Boroughs!CL127</f>
        <v>5</v>
      </c>
      <c r="BC58" s="81">
        <f>[2]Districts_Boroughs!CM127</f>
        <v>1</v>
      </c>
      <c r="BD58" s="81">
        <f>[2]Districts_Boroughs!CN127</f>
        <v>5</v>
      </c>
      <c r="BE58" s="81">
        <f>[2]Districts_Boroughs!CO127</f>
        <v>3</v>
      </c>
      <c r="BF58" s="81">
        <f>[2]Districts_Boroughs!CP127</f>
        <v>6</v>
      </c>
      <c r="BG58" s="81">
        <f>[2]Districts_Boroughs!CQ127</f>
        <v>1</v>
      </c>
      <c r="BH58" s="81">
        <f>[2]Districts_Boroughs!CR127</f>
        <v>1</v>
      </c>
      <c r="BI58" s="81">
        <f>[2]Districts_Boroughs!CS127</f>
        <v>3</v>
      </c>
      <c r="BJ58" s="81">
        <f>[2]Districts_Boroughs!CT127</f>
        <v>2</v>
      </c>
      <c r="BK58" s="81">
        <f>[2]Districts_Boroughs!CU127</f>
        <v>2</v>
      </c>
      <c r="BL58" s="81">
        <f>[2]Districts_Boroughs!CV127</f>
        <v>2</v>
      </c>
      <c r="BM58" s="81">
        <f>[2]Districts_Boroughs!CW127</f>
        <v>3</v>
      </c>
      <c r="BN58" s="81">
        <f>[2]Districts_Boroughs!CX127</f>
        <v>3</v>
      </c>
      <c r="BO58" s="81">
        <f>[2]Districts_Boroughs!CY127</f>
        <v>1</v>
      </c>
      <c r="BP58" s="81">
        <f>[2]Districts_Boroughs!CZ127</f>
        <v>2</v>
      </c>
      <c r="BQ58" s="81">
        <f>[2]Districts_Boroughs!DA127</f>
        <v>4</v>
      </c>
      <c r="BR58" s="81">
        <f>[2]Districts_Boroughs!DB127</f>
        <v>5</v>
      </c>
      <c r="BS58" s="81">
        <f>[2]Districts_Boroughs!DC127</f>
        <v>1</v>
      </c>
      <c r="BT58" s="81">
        <f>[2]Districts_Boroughs!DD127</f>
        <v>2</v>
      </c>
      <c r="BU58" s="81">
        <f>[2]Districts_Boroughs!DE127</f>
        <v>3</v>
      </c>
      <c r="BV58" s="81">
        <f>[2]Districts_Boroughs!DF127</f>
        <v>3</v>
      </c>
      <c r="BW58" s="81">
        <f>[2]Districts_Boroughs!DG127</f>
        <v>1</v>
      </c>
      <c r="BX58" s="81">
        <f>[2]Districts_Boroughs!DH127</f>
        <v>3</v>
      </c>
      <c r="BY58" s="81">
        <f>[2]Districts_Boroughs!DI127</f>
        <v>3</v>
      </c>
      <c r="BZ58" s="81">
        <f>[2]Districts_Boroughs!DJ127</f>
        <v>1</v>
      </c>
      <c r="CA58" s="81">
        <f>[2]Districts_Boroughs!DK127</f>
        <v>1</v>
      </c>
      <c r="CB58" s="81">
        <f>[2]Districts_Boroughs!DL127</f>
        <v>6</v>
      </c>
      <c r="CC58" s="81">
        <f>[2]Districts_Boroughs!DM127</f>
        <v>3</v>
      </c>
      <c r="CD58" s="81">
        <f>[2]Districts_Boroughs!DN127</f>
        <v>2</v>
      </c>
      <c r="CE58" s="81">
        <f>[2]Districts_Boroughs!DO127</f>
        <v>2</v>
      </c>
      <c r="CF58" s="81">
        <f>[2]Districts_Boroughs!DP127</f>
        <v>4</v>
      </c>
      <c r="CG58" s="81">
        <f>[2]Districts_Boroughs!DQ127</f>
        <v>3</v>
      </c>
      <c r="CH58" s="81">
        <f>[2]Districts_Boroughs!DR127</f>
        <v>3</v>
      </c>
      <c r="CI58" s="81">
        <f>[2]Districts_Boroughs!DS127</f>
        <v>5</v>
      </c>
      <c r="CJ58" s="81">
        <f>[2]Districts_Boroughs!DT127</f>
        <v>7</v>
      </c>
      <c r="CK58" s="81">
        <f>[2]Districts_Boroughs!DU127</f>
        <v>5</v>
      </c>
      <c r="CL58" s="81">
        <f>[2]Districts_Boroughs!DV127</f>
        <v>1</v>
      </c>
      <c r="CM58" s="81">
        <f>[2]Districts_Boroughs!DW127</f>
        <v>2</v>
      </c>
      <c r="CN58" s="81">
        <f>[2]Districts_Boroughs!DX127</f>
        <v>6</v>
      </c>
      <c r="CO58" s="81">
        <f>[2]Districts_Boroughs!DY127</f>
        <v>3</v>
      </c>
      <c r="CP58" s="81">
        <f>[2]Districts_Boroughs!DZ127</f>
        <v>3</v>
      </c>
      <c r="CQ58" s="81">
        <f>[2]Districts_Boroughs!EA127</f>
        <v>1</v>
      </c>
      <c r="CR58" s="81">
        <f>[2]Districts_Boroughs!EB127</f>
        <v>2</v>
      </c>
      <c r="CS58" s="81">
        <f>[2]Districts_Boroughs!EC127</f>
        <v>2</v>
      </c>
    </row>
    <row r="59" spans="1:97" x14ac:dyDescent="0.35">
      <c r="A59" s="82" t="s">
        <v>143</v>
      </c>
      <c r="B59" s="755">
        <f>[2]Districts_Boroughs!AL111</f>
        <v>52</v>
      </c>
      <c r="C59" s="755">
        <f>[2]Districts_Boroughs!AM111</f>
        <v>42</v>
      </c>
      <c r="D59" s="755">
        <f>[2]Districts_Boroughs!AN111</f>
        <v>38</v>
      </c>
      <c r="E59" s="755">
        <f>[2]Districts_Boroughs!AO111</f>
        <v>53</v>
      </c>
      <c r="F59" s="755">
        <f>[2]Districts_Boroughs!AP111</f>
        <v>44</v>
      </c>
      <c r="G59" s="755">
        <f>[2]Districts_Boroughs!AQ111</f>
        <v>65</v>
      </c>
      <c r="H59" s="755">
        <f>[2]Districts_Boroughs!AR111</f>
        <v>69</v>
      </c>
      <c r="I59" s="755">
        <f>[2]Districts_Boroughs!AS111</f>
        <v>76</v>
      </c>
      <c r="J59" s="755">
        <f>[2]Districts_Boroughs!AT111</f>
        <v>61</v>
      </c>
      <c r="K59" s="755">
        <f>[2]Districts_Boroughs!AU111</f>
        <v>54</v>
      </c>
      <c r="L59" s="755">
        <f>[2]Districts_Boroughs!AV111</f>
        <v>31</v>
      </c>
      <c r="M59" s="755">
        <f>[2]Districts_Boroughs!AW111</f>
        <v>32</v>
      </c>
      <c r="N59" s="755">
        <f>[2]Districts_Boroughs!AX111</f>
        <v>29</v>
      </c>
      <c r="O59" s="755">
        <f>[2]Districts_Boroughs!AY111</f>
        <v>35</v>
      </c>
      <c r="P59" s="755">
        <f>[2]Districts_Boroughs!AZ111</f>
        <v>27</v>
      </c>
      <c r="Q59" s="755">
        <f>[2]Districts_Boroughs!BA111</f>
        <v>29</v>
      </c>
      <c r="R59" s="755">
        <f>[2]Districts_Boroughs!BB111</f>
        <v>31</v>
      </c>
      <c r="S59" s="755">
        <f>[2]Districts_Boroughs!BC111</f>
        <v>38</v>
      </c>
      <c r="T59" s="755">
        <f>[2]Districts_Boroughs!BD111</f>
        <v>64</v>
      </c>
      <c r="U59" s="755">
        <f>[2]Districts_Boroughs!BE111</f>
        <v>46</v>
      </c>
      <c r="V59" s="755">
        <f>[2]Districts_Boroughs!BF111</f>
        <v>47</v>
      </c>
      <c r="W59" s="755">
        <f>[2]Districts_Boroughs!BG111</f>
        <v>44</v>
      </c>
      <c r="X59" s="755">
        <f>[2]Districts_Boroughs!BH111</f>
        <v>42</v>
      </c>
      <c r="Y59" s="755">
        <f>[2]Districts_Boroughs!BI111</f>
        <v>35</v>
      </c>
      <c r="Z59" s="755">
        <f>[2]Districts_Boroughs!BJ111</f>
        <v>23</v>
      </c>
      <c r="AA59" s="755">
        <f>[2]Districts_Boroughs!BK111</f>
        <v>28</v>
      </c>
      <c r="AB59" s="755">
        <f>[2]Districts_Boroughs!BL111</f>
        <v>34</v>
      </c>
      <c r="AC59" s="755">
        <f>[2]Districts_Boroughs!BM111</f>
        <v>27</v>
      </c>
      <c r="AD59" s="755">
        <f>[2]Districts_Boroughs!BN111</f>
        <v>44</v>
      </c>
      <c r="AE59" s="755">
        <f>[2]Districts_Boroughs!BO111</f>
        <v>37</v>
      </c>
      <c r="AF59" s="755">
        <f>[2]Districts_Boroughs!BP111</f>
        <v>33</v>
      </c>
      <c r="AG59" s="755">
        <f>[2]Districts_Boroughs!BQ111</f>
        <v>24</v>
      </c>
      <c r="AH59" s="755">
        <f>[2]Districts_Boroughs!BR111</f>
        <v>26</v>
      </c>
      <c r="AI59" s="755">
        <f>[2]Districts_Boroughs!BS111</f>
        <v>30</v>
      </c>
      <c r="AJ59" s="755">
        <f>[2]Districts_Boroughs!BT111</f>
        <v>21</v>
      </c>
      <c r="AK59" s="755">
        <f>[2]Districts_Boroughs!BU111</f>
        <v>34</v>
      </c>
      <c r="AL59" s="755">
        <f>[2]Districts_Boroughs!BV111</f>
        <v>18</v>
      </c>
      <c r="AM59" s="755">
        <f>[2]Districts_Boroughs!BW111</f>
        <v>19</v>
      </c>
      <c r="AN59" s="755">
        <f>[2]Districts_Boroughs!BX111</f>
        <v>27</v>
      </c>
      <c r="AO59" s="755">
        <f>[2]Districts_Boroughs!BY111</f>
        <v>24</v>
      </c>
      <c r="AP59" s="755">
        <f>[2]Districts_Boroughs!BZ111</f>
        <v>19</v>
      </c>
      <c r="AQ59" s="755">
        <f>[2]Districts_Boroughs!CA111</f>
        <v>15</v>
      </c>
      <c r="AR59" s="755">
        <f>[2]Districts_Boroughs!CB111</f>
        <v>22</v>
      </c>
      <c r="AS59" s="755">
        <f>[2]Districts_Boroughs!CC111</f>
        <v>14</v>
      </c>
      <c r="AT59" s="755">
        <f>[2]Districts_Boroughs!CD111</f>
        <v>15</v>
      </c>
      <c r="AU59" s="755">
        <f>[2]Districts_Boroughs!CE111</f>
        <v>15</v>
      </c>
      <c r="AV59" s="755">
        <f>[2]Districts_Boroughs!CF111</f>
        <v>12</v>
      </c>
      <c r="AW59" s="755">
        <f>[2]Districts_Boroughs!CG111</f>
        <v>17</v>
      </c>
      <c r="AX59" s="755">
        <f>[2]Districts_Boroughs!CH111</f>
        <v>15</v>
      </c>
      <c r="AY59" s="755">
        <f>[2]Districts_Boroughs!CI111</f>
        <v>27</v>
      </c>
      <c r="AZ59" s="755">
        <f>[2]Districts_Boroughs!CJ111</f>
        <v>14</v>
      </c>
      <c r="BA59" s="755">
        <f>[2]Districts_Boroughs!CK111</f>
        <v>15</v>
      </c>
      <c r="BB59" s="755">
        <f>[2]Districts_Boroughs!CL111</f>
        <v>8</v>
      </c>
      <c r="BC59" s="755">
        <f>[2]Districts_Boroughs!CM111</f>
        <v>21</v>
      </c>
      <c r="BD59" s="755">
        <f>[2]Districts_Boroughs!CN111</f>
        <v>23</v>
      </c>
      <c r="BE59" s="755">
        <f>[2]Districts_Boroughs!CO111</f>
        <v>15</v>
      </c>
      <c r="BF59" s="755">
        <f>[2]Districts_Boroughs!CP111</f>
        <v>14</v>
      </c>
      <c r="BG59" s="755">
        <f>[2]Districts_Boroughs!CQ111</f>
        <v>21</v>
      </c>
      <c r="BH59" s="755">
        <f>[2]Districts_Boroughs!CR111</f>
        <v>10</v>
      </c>
      <c r="BI59" s="755">
        <f>[2]Districts_Boroughs!CS111</f>
        <v>27</v>
      </c>
      <c r="BJ59" s="755">
        <f>[2]Districts_Boroughs!CT111</f>
        <v>12</v>
      </c>
      <c r="BK59" s="755">
        <f>[2]Districts_Boroughs!CU111</f>
        <v>19</v>
      </c>
      <c r="BL59" s="755">
        <f>[2]Districts_Boroughs!CV111</f>
        <v>12</v>
      </c>
      <c r="BM59" s="755">
        <f>[2]Districts_Boroughs!CW111</f>
        <v>14</v>
      </c>
      <c r="BN59" s="755">
        <f>[2]Districts_Boroughs!CX111</f>
        <v>11</v>
      </c>
      <c r="BO59" s="755">
        <f>[2]Districts_Boroughs!CY111</f>
        <v>12</v>
      </c>
      <c r="BP59" s="755">
        <f>[2]Districts_Boroughs!CZ111</f>
        <v>14</v>
      </c>
      <c r="BQ59" s="755">
        <f>[2]Districts_Boroughs!DA111</f>
        <v>14</v>
      </c>
      <c r="BR59" s="755">
        <f>[2]Districts_Boroughs!DB111</f>
        <v>14</v>
      </c>
      <c r="BS59" s="755">
        <f>[2]Districts_Boroughs!DC111</f>
        <v>15</v>
      </c>
      <c r="BT59" s="755">
        <f>[2]Districts_Boroughs!DD111</f>
        <v>10</v>
      </c>
      <c r="BU59" s="755">
        <f>[2]Districts_Boroughs!DE111</f>
        <v>15</v>
      </c>
      <c r="BV59" s="755">
        <f>[2]Districts_Boroughs!DF111</f>
        <v>19</v>
      </c>
      <c r="BW59" s="755">
        <f>[2]Districts_Boroughs!DG111</f>
        <v>15</v>
      </c>
      <c r="BX59" s="755">
        <f>[2]Districts_Boroughs!DH111</f>
        <v>9</v>
      </c>
      <c r="BY59" s="755">
        <f>[2]Districts_Boroughs!DI111</f>
        <v>4</v>
      </c>
      <c r="BZ59" s="755">
        <f>[2]Districts_Boroughs!DJ111</f>
        <v>16</v>
      </c>
      <c r="CA59" s="755">
        <f>[2]Districts_Boroughs!DK111</f>
        <v>17</v>
      </c>
      <c r="CB59" s="755">
        <f>[2]Districts_Boroughs!DL111</f>
        <v>14</v>
      </c>
      <c r="CC59" s="755">
        <f>[2]Districts_Boroughs!DM111</f>
        <v>9</v>
      </c>
      <c r="CD59" s="755">
        <f>[2]Districts_Boroughs!DN111</f>
        <v>8</v>
      </c>
      <c r="CE59" s="755">
        <f>[2]Districts_Boroughs!DO111</f>
        <v>18</v>
      </c>
      <c r="CF59" s="755">
        <f>[2]Districts_Boroughs!DP111</f>
        <v>22</v>
      </c>
      <c r="CG59" s="755">
        <f>[2]Districts_Boroughs!DQ111</f>
        <v>18</v>
      </c>
      <c r="CH59" s="755">
        <f>[2]Districts_Boroughs!DR111</f>
        <v>28</v>
      </c>
      <c r="CI59" s="755">
        <f>[2]Districts_Boroughs!DS111</f>
        <v>14</v>
      </c>
      <c r="CJ59" s="755">
        <f>[2]Districts_Boroughs!DT111</f>
        <v>15</v>
      </c>
      <c r="CK59" s="755">
        <f>[2]Districts_Boroughs!DU111</f>
        <v>24</v>
      </c>
      <c r="CL59" s="755">
        <f>[2]Districts_Boroughs!DV111</f>
        <v>25</v>
      </c>
      <c r="CM59" s="755">
        <f>[2]Districts_Boroughs!DW111</f>
        <v>24</v>
      </c>
      <c r="CN59" s="755">
        <f>[2]Districts_Boroughs!DX111</f>
        <v>20</v>
      </c>
      <c r="CO59" s="755">
        <f>[2]Districts_Boroughs!DY111</f>
        <v>20</v>
      </c>
      <c r="CP59" s="755">
        <f>[2]Districts_Boroughs!DZ111</f>
        <v>27</v>
      </c>
      <c r="CQ59" s="755">
        <f>[2]Districts_Boroughs!EA111</f>
        <v>11</v>
      </c>
      <c r="CR59" s="755">
        <f>[2]Districts_Boroughs!EB111</f>
        <v>14</v>
      </c>
      <c r="CS59" s="755">
        <f>[2]Districts_Boroughs!EC111</f>
        <v>11</v>
      </c>
    </row>
    <row r="60" spans="1:97" s="64" customFormat="1" x14ac:dyDescent="0.35">
      <c r="A60" s="93" t="s">
        <v>68</v>
      </c>
      <c r="B60" s="87">
        <f>[2]ASB!AL30</f>
        <v>46</v>
      </c>
      <c r="C60" s="87">
        <f>[2]ASB!AM30</f>
        <v>39</v>
      </c>
      <c r="D60" s="87">
        <f>[2]ASB!AN30</f>
        <v>38</v>
      </c>
      <c r="E60" s="87">
        <f>[2]ASB!AO30</f>
        <v>56</v>
      </c>
      <c r="F60" s="87">
        <f>[2]ASB!AP30</f>
        <v>36</v>
      </c>
      <c r="G60" s="87">
        <f>[2]ASB!AQ30</f>
        <v>29</v>
      </c>
      <c r="H60" s="87">
        <f>[2]ASB!AR30</f>
        <v>34</v>
      </c>
      <c r="I60" s="87">
        <f>[2]ASB!AS30</f>
        <v>25</v>
      </c>
      <c r="J60" s="87">
        <f>[2]ASB!AT30</f>
        <v>37</v>
      </c>
      <c r="K60" s="87">
        <f>[2]ASB!AU30</f>
        <v>42</v>
      </c>
      <c r="L60" s="87">
        <f>[2]ASB!AV30</f>
        <v>26</v>
      </c>
      <c r="M60" s="87">
        <f>[2]ASB!AW30</f>
        <v>41</v>
      </c>
      <c r="N60" s="87">
        <f>[2]ASB!AX30</f>
        <v>27</v>
      </c>
      <c r="O60" s="87">
        <f>[2]ASB!AY30</f>
        <v>37</v>
      </c>
      <c r="P60" s="87">
        <f>[2]ASB!AZ30</f>
        <v>36</v>
      </c>
      <c r="Q60" s="87">
        <f>[2]ASB!BA30</f>
        <v>41</v>
      </c>
      <c r="R60" s="87">
        <f>[2]ASB!BB30</f>
        <v>22</v>
      </c>
      <c r="S60" s="87">
        <f>[2]ASB!BC30</f>
        <v>32</v>
      </c>
      <c r="T60" s="87">
        <f>[2]ASB!BD30</f>
        <v>36</v>
      </c>
      <c r="U60" s="87">
        <f>[2]ASB!BE30</f>
        <v>28</v>
      </c>
      <c r="V60" s="87">
        <f>[2]ASB!BF30</f>
        <v>26</v>
      </c>
      <c r="W60" s="87">
        <f>[2]ASB!BG30</f>
        <v>21</v>
      </c>
      <c r="X60" s="87">
        <f>[2]ASB!BH30</f>
        <v>30</v>
      </c>
      <c r="Y60" s="87">
        <f>[2]ASB!BI30</f>
        <v>33</v>
      </c>
      <c r="Z60" s="87">
        <f>[2]ASB!BJ30</f>
        <v>32</v>
      </c>
      <c r="AA60" s="87">
        <f>[2]ASB!BK30</f>
        <v>32</v>
      </c>
      <c r="AB60" s="87">
        <f>[2]ASB!BL30</f>
        <v>36</v>
      </c>
      <c r="AC60" s="87">
        <f>[2]ASB!BM30</f>
        <v>34</v>
      </c>
      <c r="AD60" s="87">
        <f>[2]ASB!BN30</f>
        <v>21</v>
      </c>
      <c r="AE60" s="87">
        <f>[2]ASB!BO30</f>
        <v>36</v>
      </c>
      <c r="AF60" s="87">
        <f>[2]ASB!BP30</f>
        <v>28</v>
      </c>
      <c r="AG60" s="87">
        <f>[2]ASB!BQ30</f>
        <v>20</v>
      </c>
      <c r="AH60" s="87">
        <f>[2]ASB!BR30</f>
        <v>23</v>
      </c>
      <c r="AI60" s="87">
        <f>[2]ASB!BS30</f>
        <v>23</v>
      </c>
      <c r="AJ60" s="87">
        <f>[2]ASB!BT30</f>
        <v>19</v>
      </c>
      <c r="AK60" s="87">
        <f>[2]ASB!BU30</f>
        <v>29</v>
      </c>
      <c r="AL60" s="87">
        <f>[2]ASB!BV30</f>
        <v>56</v>
      </c>
      <c r="AM60" s="87">
        <f>[2]ASB!BW30</f>
        <v>47</v>
      </c>
      <c r="AN60" s="87">
        <f>[2]ASB!BX30</f>
        <v>31</v>
      </c>
      <c r="AO60" s="87">
        <f>[2]ASB!BY30</f>
        <v>37</v>
      </c>
      <c r="AP60" s="87">
        <f>[2]ASB!BZ30</f>
        <v>42</v>
      </c>
      <c r="AQ60" s="87">
        <f>[2]ASB!CA30</f>
        <v>32</v>
      </c>
      <c r="AR60" s="87">
        <f>[2]ASB!CB30</f>
        <v>26</v>
      </c>
      <c r="AS60" s="87">
        <f>[2]ASB!CC30</f>
        <v>26</v>
      </c>
      <c r="AT60" s="87">
        <f>[2]ASB!CD30</f>
        <v>27</v>
      </c>
      <c r="AU60" s="87">
        <f>[2]ASB!CE30</f>
        <v>27</v>
      </c>
      <c r="AV60" s="87">
        <f>[2]ASB!CF30</f>
        <v>23</v>
      </c>
      <c r="AW60" s="87">
        <f>[2]ASB!CG30</f>
        <v>15</v>
      </c>
      <c r="AX60" s="87">
        <f>[2]ASB!CH30</f>
        <v>35</v>
      </c>
      <c r="AY60" s="87">
        <f>[2]ASB!CI30</f>
        <v>28</v>
      </c>
      <c r="AZ60" s="87">
        <f>[2]ASB!CJ30</f>
        <v>36</v>
      </c>
      <c r="BA60" s="87">
        <f>[2]ASB!CK30</f>
        <v>34</v>
      </c>
      <c r="BB60" s="87">
        <f>[2]ASB!CL30</f>
        <v>29</v>
      </c>
      <c r="BC60" s="87">
        <f>[2]ASB!CM30</f>
        <v>27</v>
      </c>
      <c r="BD60" s="87">
        <f>[2]ASB!CN30</f>
        <v>29</v>
      </c>
      <c r="BE60" s="87">
        <f>[2]ASB!CO30</f>
        <v>29</v>
      </c>
      <c r="BF60" s="87">
        <f>[2]ASB!CP30</f>
        <v>30</v>
      </c>
      <c r="BG60" s="87">
        <f>[2]ASB!CQ30</f>
        <v>22</v>
      </c>
      <c r="BH60" s="87">
        <f>[2]ASB!CR30</f>
        <v>22</v>
      </c>
      <c r="BI60" s="87">
        <f>[2]ASB!CS30</f>
        <v>23</v>
      </c>
      <c r="BJ60" s="87">
        <f>[2]ASB!CT30</f>
        <v>36</v>
      </c>
      <c r="BK60" s="87">
        <f>[2]ASB!CU30</f>
        <v>23</v>
      </c>
      <c r="BL60" s="87">
        <f>[2]ASB!CV30</f>
        <v>33</v>
      </c>
      <c r="BM60" s="87">
        <f>[2]ASB!CW30</f>
        <v>21</v>
      </c>
      <c r="BN60" s="87">
        <f>[2]ASB!CX30</f>
        <v>42</v>
      </c>
      <c r="BO60" s="87">
        <f>[2]ASB!CY30</f>
        <v>24</v>
      </c>
      <c r="BP60" s="87">
        <f>[2]ASB!CZ30</f>
        <v>24</v>
      </c>
      <c r="BQ60" s="87">
        <f>[2]ASB!DA30</f>
        <v>33</v>
      </c>
      <c r="BR60" s="87">
        <f>[2]ASB!DB30</f>
        <v>24</v>
      </c>
      <c r="BS60" s="87">
        <f>[2]ASB!DC30</f>
        <v>15</v>
      </c>
      <c r="BT60" s="87">
        <f>[2]ASB!DD30</f>
        <v>13</v>
      </c>
      <c r="BU60" s="87">
        <f>[2]ASB!DE30</f>
        <v>19</v>
      </c>
      <c r="BV60" s="87">
        <f>[2]ASB!DF30</f>
        <v>17</v>
      </c>
      <c r="BW60" s="87">
        <f>[2]ASB!DG30</f>
        <v>19</v>
      </c>
      <c r="BX60" s="87">
        <f>[2]ASB!DH30</f>
        <v>22</v>
      </c>
      <c r="BY60" s="87">
        <f>[2]ASB!DI30</f>
        <v>18</v>
      </c>
      <c r="BZ60" s="87">
        <f>[2]ASB!DJ30</f>
        <v>27</v>
      </c>
      <c r="CA60" s="87">
        <f>[2]ASB!DK30</f>
        <v>27</v>
      </c>
      <c r="CB60" s="87">
        <f>[2]ASB!DL30</f>
        <v>18</v>
      </c>
      <c r="CC60" s="87">
        <f>[2]ASB!DM30</f>
        <v>25</v>
      </c>
      <c r="CD60" s="87">
        <f>[2]ASB!DN30</f>
        <v>23</v>
      </c>
      <c r="CE60" s="87">
        <f>[2]ASB!DO30</f>
        <v>22</v>
      </c>
      <c r="CF60" s="87">
        <f>[2]ASB!DP30</f>
        <v>23</v>
      </c>
      <c r="CG60" s="87">
        <f>[2]ASB!DQ30</f>
        <v>42</v>
      </c>
      <c r="CH60" s="87">
        <f>[2]ASB!DR30</f>
        <v>30</v>
      </c>
      <c r="CI60" s="87">
        <f>[2]ASB!DS30</f>
        <v>43</v>
      </c>
      <c r="CJ60" s="87">
        <f>[2]ASB!DT30</f>
        <v>34</v>
      </c>
      <c r="CK60" s="87">
        <f>[2]ASB!DU30</f>
        <v>45</v>
      </c>
      <c r="CL60" s="87">
        <f>[2]ASB!DV30</f>
        <v>32</v>
      </c>
      <c r="CM60" s="87">
        <f>[2]ASB!DW30</f>
        <v>37</v>
      </c>
      <c r="CN60" s="87">
        <f>[2]ASB!DX30</f>
        <v>34</v>
      </c>
      <c r="CO60" s="87">
        <f>[2]ASB!DY30</f>
        <v>32</v>
      </c>
      <c r="CP60" s="87">
        <f>[2]ASB!DZ30</f>
        <v>24</v>
      </c>
      <c r="CQ60" s="87">
        <f>[2]ASB!EA30</f>
        <v>24</v>
      </c>
      <c r="CR60" s="87">
        <f>[2]ASB!EB30</f>
        <v>23</v>
      </c>
      <c r="CS60" s="87">
        <f>[2]ASB!EC30</f>
        <v>40</v>
      </c>
    </row>
    <row r="61" spans="1:97" s="33" customFormat="1" x14ac:dyDescent="0.35">
      <c r="A61" s="92"/>
      <c r="B61" s="91"/>
      <c r="C61" s="91"/>
      <c r="D61" s="91"/>
      <c r="E61" s="91"/>
      <c r="F61" s="91"/>
      <c r="G61" s="91"/>
      <c r="H61" s="91"/>
      <c r="I61" s="91"/>
      <c r="J61" s="91"/>
      <c r="K61" s="91"/>
      <c r="L61" s="91"/>
      <c r="M61" s="91"/>
      <c r="N61" s="91"/>
      <c r="O61" s="84"/>
      <c r="P61" s="84"/>
      <c r="Q61" s="84"/>
      <c r="R61" s="84"/>
      <c r="S61" s="84"/>
      <c r="T61" s="84"/>
      <c r="U61" s="84"/>
      <c r="V61" s="84"/>
      <c r="W61" s="84"/>
      <c r="X61" s="84"/>
      <c r="Y61" s="84"/>
      <c r="Z61" s="84"/>
    </row>
    <row r="62" spans="1:97" s="64" customFormat="1" x14ac:dyDescent="0.35">
      <c r="A62" s="74" t="s">
        <v>146</v>
      </c>
      <c r="B62" s="64">
        <f t="shared" ref="B62" si="409">IF(AND(B63=1,C63=0)=TRUE,1,IF(AND(B63=0,C63=0,C62=0)=TRUE,0,C62+1))</f>
        <v>96</v>
      </c>
      <c r="C62" s="64">
        <f t="shared" ref="C62" si="410">IF(AND(C63=1,D63=0)=TRUE,1,IF(AND(C63=0,D63=0,D62=0)=TRUE,0,D62+1))</f>
        <v>95</v>
      </c>
      <c r="D62" s="64">
        <f t="shared" ref="D62" si="411">IF(AND(D63=1,E63=0)=TRUE,1,IF(AND(D63=0,E63=0,E62=0)=TRUE,0,E62+1))</f>
        <v>94</v>
      </c>
      <c r="E62" s="64">
        <f t="shared" ref="E62" si="412">IF(AND(E63=1,F63=0)=TRUE,1,IF(AND(E63=0,F63=0,F62=0)=TRUE,0,F62+1))</f>
        <v>93</v>
      </c>
      <c r="F62" s="64">
        <f t="shared" ref="F62" si="413">IF(AND(F63=1,G63=0)=TRUE,1,IF(AND(F63=0,G63=0,G62=0)=TRUE,0,G62+1))</f>
        <v>92</v>
      </c>
      <c r="G62" s="64">
        <f t="shared" ref="G62" si="414">IF(AND(G63=1,H63=0)=TRUE,1,IF(AND(G63=0,H63=0,H62=0)=TRUE,0,H62+1))</f>
        <v>91</v>
      </c>
      <c r="H62" s="64">
        <f t="shared" ref="H62" si="415">IF(AND(H63=1,I63=0)=TRUE,1,IF(AND(H63=0,I63=0,I62=0)=TRUE,0,I62+1))</f>
        <v>90</v>
      </c>
      <c r="I62" s="64">
        <f t="shared" ref="I62" si="416">IF(AND(I63=1,J63=0)=TRUE,1,IF(AND(I63=0,J63=0,J62=0)=TRUE,0,J62+1))</f>
        <v>89</v>
      </c>
      <c r="J62" s="64">
        <f t="shared" ref="J62" si="417">IF(AND(J63=1,K63=0)=TRUE,1,IF(AND(J63=0,K63=0,K62=0)=TRUE,0,K62+1))</f>
        <v>88</v>
      </c>
      <c r="K62" s="64">
        <f t="shared" ref="K62" si="418">IF(AND(K63=1,L63=0)=TRUE,1,IF(AND(K63=0,L63=0,L62=0)=TRUE,0,L62+1))</f>
        <v>87</v>
      </c>
      <c r="L62" s="64">
        <f t="shared" ref="L62" si="419">IF(AND(L63=1,M63=0)=TRUE,1,IF(AND(L63=0,M63=0,M62=0)=TRUE,0,M62+1))</f>
        <v>86</v>
      </c>
      <c r="M62" s="64">
        <f t="shared" ref="M62" si="420">IF(AND(M63=1,N63=0)=TRUE,1,IF(AND(M63=0,N63=0,N62=0)=TRUE,0,N62+1))</f>
        <v>85</v>
      </c>
      <c r="N62" s="64">
        <f t="shared" ref="N62" si="421">IF(AND(N63=1,O63=0)=TRUE,1,IF(AND(N63=0,O63=0,O62=0)=TRUE,0,O62+1))</f>
        <v>84</v>
      </c>
      <c r="O62" s="64">
        <f t="shared" ref="O62" si="422">IF(AND(O63=1,P63=0)=TRUE,1,IF(AND(O63=0,P63=0,P62=0)=TRUE,0,P62+1))</f>
        <v>83</v>
      </c>
      <c r="P62" s="64">
        <f t="shared" ref="P62" si="423">IF(AND(P63=1,Q63=0)=TRUE,1,IF(AND(P63=0,Q63=0,Q62=0)=TRUE,0,Q62+1))</f>
        <v>82</v>
      </c>
      <c r="Q62" s="64">
        <f t="shared" ref="Q62" si="424">IF(AND(Q63=1,R63=0)=TRUE,1,IF(AND(Q63=0,R63=0,R62=0)=TRUE,0,R62+1))</f>
        <v>81</v>
      </c>
      <c r="R62" s="64">
        <f t="shared" ref="R62" si="425">IF(AND(R63=1,S63=0)=TRUE,1,IF(AND(R63=0,S63=0,S62=0)=TRUE,0,S62+1))</f>
        <v>80</v>
      </c>
      <c r="S62" s="64">
        <f t="shared" ref="S62" si="426">IF(AND(S63=1,T63=0)=TRUE,1,IF(AND(S63=0,T63=0,T62=0)=TRUE,0,T62+1))</f>
        <v>79</v>
      </c>
      <c r="T62" s="64">
        <f t="shared" ref="T62" si="427">IF(AND(T63=1,U63=0)=TRUE,1,IF(AND(T63=0,U63=0,U62=0)=TRUE,0,U62+1))</f>
        <v>78</v>
      </c>
      <c r="U62" s="64">
        <f t="shared" ref="U62" si="428">IF(AND(U63=1,V63=0)=TRUE,1,IF(AND(U63=0,V63=0,V62=0)=TRUE,0,V62+1))</f>
        <v>77</v>
      </c>
      <c r="V62" s="64">
        <f t="shared" ref="V62" si="429">IF(AND(V63=1,W63=0)=TRUE,1,IF(AND(V63=0,W63=0,W62=0)=TRUE,0,W62+1))</f>
        <v>76</v>
      </c>
      <c r="W62" s="64">
        <f t="shared" ref="W62" si="430">IF(AND(W63=1,X63=0)=TRUE,1,IF(AND(W63=0,X63=0,X62=0)=TRUE,0,X62+1))</f>
        <v>75</v>
      </c>
      <c r="X62" s="64">
        <f t="shared" ref="X62" si="431">IF(AND(X63=1,Y63=0)=TRUE,1,IF(AND(X63=0,Y63=0,Y62=0)=TRUE,0,Y62+1))</f>
        <v>74</v>
      </c>
      <c r="Y62" s="64">
        <f t="shared" ref="Y62" si="432">IF(AND(Y63=1,Z63=0)=TRUE,1,IF(AND(Y63=0,Z63=0,Z62=0)=TRUE,0,Z62+1))</f>
        <v>73</v>
      </c>
      <c r="Z62" s="64">
        <f t="shared" ref="Z62" si="433">IF(AND(Z63=1,AA63=0)=TRUE,1,IF(AND(Z63=0,AA63=0,AA62=0)=TRUE,0,AA62+1))</f>
        <v>72</v>
      </c>
      <c r="AA62" s="64">
        <f t="shared" ref="AA62" si="434">IF(AND(AA63=1,AB63=0)=TRUE,1,IF(AND(AA63=0,AB63=0,AB62=0)=TRUE,0,AB62+1))</f>
        <v>71</v>
      </c>
      <c r="AB62" s="64">
        <f t="shared" ref="AB62" si="435">IF(AND(AB63=1,AC63=0)=TRUE,1,IF(AND(AB63=0,AC63=0,AC62=0)=TRUE,0,AC62+1))</f>
        <v>70</v>
      </c>
      <c r="AC62" s="64">
        <f t="shared" ref="AC62" si="436">IF(AND(AC63=1,AD63=0)=TRUE,1,IF(AND(AC63=0,AD63=0,AD62=0)=TRUE,0,AD62+1))</f>
        <v>69</v>
      </c>
      <c r="AD62" s="64">
        <f t="shared" ref="AD62" si="437">IF(AND(AD63=1,AE63=0)=TRUE,1,IF(AND(AD63=0,AE63=0,AE62=0)=TRUE,0,AE62+1))</f>
        <v>68</v>
      </c>
      <c r="AE62" s="64">
        <f t="shared" ref="AE62" si="438">IF(AND(AE63=1,AF63=0)=TRUE,1,IF(AND(AE63=0,AF63=0,AF62=0)=TRUE,0,AF62+1))</f>
        <v>67</v>
      </c>
      <c r="AF62" s="64">
        <f t="shared" ref="AF62" si="439">IF(AND(AF63=1,AG63=0)=TRUE,1,IF(AND(AF63=0,AG63=0,AG62=0)=TRUE,0,AG62+1))</f>
        <v>66</v>
      </c>
      <c r="AG62" s="64">
        <f t="shared" ref="AG62" si="440">IF(AND(AG63=1,AH63=0)=TRUE,1,IF(AND(AG63=0,AH63=0,AH62=0)=TRUE,0,AH62+1))</f>
        <v>65</v>
      </c>
      <c r="AH62" s="64">
        <f t="shared" ref="AH62" si="441">IF(AND(AH63=1,AI63=0)=TRUE,1,IF(AND(AH63=0,AI63=0,AI62=0)=TRUE,0,AI62+1))</f>
        <v>64</v>
      </c>
      <c r="AI62" s="64">
        <f t="shared" ref="AI62" si="442">IF(AND(AI63=1,AJ63=0)=TRUE,1,IF(AND(AI63=0,AJ63=0,AJ62=0)=TRUE,0,AJ62+1))</f>
        <v>63</v>
      </c>
      <c r="AJ62" s="64">
        <f t="shared" ref="AJ62" si="443">IF(AND(AJ63=1,AK63=0)=TRUE,1,IF(AND(AJ63=0,AK63=0,AK62=0)=TRUE,0,AK62+1))</f>
        <v>62</v>
      </c>
      <c r="AK62" s="64">
        <f t="shared" ref="AK62" si="444">IF(AND(AK63=1,AL63=0)=TRUE,1,IF(AND(AK63=0,AL63=0,AL62=0)=TRUE,0,AL62+1))</f>
        <v>61</v>
      </c>
      <c r="AL62" s="64">
        <f t="shared" ref="AL62" si="445">IF(AND(AL63=1,AM63=0)=TRUE,1,IF(AND(AL63=0,AM63=0,AM62=0)=TRUE,0,AM62+1))</f>
        <v>60</v>
      </c>
      <c r="AM62" s="64">
        <f t="shared" ref="AM62" si="446">IF(AND(AM63=1,AN63=0)=TRUE,1,IF(AND(AM63=0,AN63=0,AN62=0)=TRUE,0,AN62+1))</f>
        <v>59</v>
      </c>
      <c r="AN62" s="64">
        <f t="shared" ref="AN62" si="447">IF(AND(AN63=1,AO63=0)=TRUE,1,IF(AND(AN63=0,AO63=0,AO62=0)=TRUE,0,AO62+1))</f>
        <v>58</v>
      </c>
      <c r="AO62" s="64">
        <f t="shared" ref="AO62" si="448">IF(AND(AO63=1,AP63=0)=TRUE,1,IF(AND(AO63=0,AP63=0,AP62=0)=TRUE,0,AP62+1))</f>
        <v>57</v>
      </c>
      <c r="AP62" s="64">
        <f t="shared" ref="AP62" si="449">IF(AND(AP63=1,AQ63=0)=TRUE,1,IF(AND(AP63=0,AQ63=0,AQ62=0)=TRUE,0,AQ62+1))</f>
        <v>56</v>
      </c>
      <c r="AQ62" s="64">
        <f t="shared" ref="AQ62" si="450">IF(AND(AQ63=1,AR63=0)=TRUE,1,IF(AND(AQ63=0,AR63=0,AR62=0)=TRUE,0,AR62+1))</f>
        <v>55</v>
      </c>
      <c r="AR62" s="64">
        <f t="shared" ref="AR62" si="451">IF(AND(AR63=1,AS63=0)=TRUE,1,IF(AND(AR63=0,AS63=0,AS62=0)=TRUE,0,AS62+1))</f>
        <v>54</v>
      </c>
      <c r="AS62" s="64">
        <f t="shared" ref="AS62" si="452">IF(AND(AS63=1,AT63=0)=TRUE,1,IF(AND(AS63=0,AT63=0,AT62=0)=TRUE,0,AT62+1))</f>
        <v>53</v>
      </c>
      <c r="AT62" s="64">
        <f t="shared" ref="AT62" si="453">IF(AND(AT63=1,AU63=0)=TRUE,1,IF(AND(AT63=0,AU63=0,AU62=0)=TRUE,0,AU62+1))</f>
        <v>52</v>
      </c>
      <c r="AU62" s="64">
        <f t="shared" ref="AU62" si="454">IF(AND(AU63=1,AV63=0)=TRUE,1,IF(AND(AU63=0,AV63=0,AV62=0)=TRUE,0,AV62+1))</f>
        <v>51</v>
      </c>
      <c r="AV62" s="64">
        <f t="shared" ref="AV62" si="455">IF(AND(AV63=1,AW63=0)=TRUE,1,IF(AND(AV63=0,AW63=0,AW62=0)=TRUE,0,AW62+1))</f>
        <v>50</v>
      </c>
      <c r="AW62" s="64">
        <f t="shared" ref="AW62" si="456">IF(AND(AW63=1,AX63=0)=TRUE,1,IF(AND(AW63=0,AX63=0,AX62=0)=TRUE,0,AX62+1))</f>
        <v>49</v>
      </c>
      <c r="AX62" s="64">
        <f t="shared" ref="AX62" si="457">IF(AND(AX63=1,AY63=0)=TRUE,1,IF(AND(AX63=0,AY63=0,AY62=0)=TRUE,0,AY62+1))</f>
        <v>48</v>
      </c>
      <c r="AY62" s="64">
        <f t="shared" ref="AY62" si="458">IF(AND(AY63=1,AZ63=0)=TRUE,1,IF(AND(AY63=0,AZ63=0,AZ62=0)=TRUE,0,AZ62+1))</f>
        <v>47</v>
      </c>
      <c r="AZ62" s="64">
        <f t="shared" ref="AZ62" si="459">IF(AND(AZ63=1,BA63=0)=TRUE,1,IF(AND(AZ63=0,BA63=0,BA62=0)=TRUE,0,BA62+1))</f>
        <v>46</v>
      </c>
      <c r="BA62" s="64">
        <f t="shared" ref="BA62" si="460">IF(AND(BA63=1,BB63=0)=TRUE,1,IF(AND(BA63=0,BB63=0,BB62=0)=TRUE,0,BB62+1))</f>
        <v>45</v>
      </c>
      <c r="BB62" s="64">
        <f t="shared" ref="BB62" si="461">IF(AND(BB63=1,BC63=0)=TRUE,1,IF(AND(BB63=0,BC63=0,BC62=0)=TRUE,0,BC62+1))</f>
        <v>44</v>
      </c>
      <c r="BC62" s="64">
        <f t="shared" ref="BC62" si="462">IF(AND(BC63=1,BD63=0)=TRUE,1,IF(AND(BC63=0,BD63=0,BD62=0)=TRUE,0,BD62+1))</f>
        <v>43</v>
      </c>
      <c r="BD62" s="64">
        <f t="shared" ref="BD62" si="463">IF(AND(BD63=1,BE63=0)=TRUE,1,IF(AND(BD63=0,BE63=0,BE62=0)=TRUE,0,BE62+1))</f>
        <v>42</v>
      </c>
      <c r="BE62" s="64">
        <f t="shared" ref="BE62" si="464">IF(AND(BE63=1,BF63=0)=TRUE,1,IF(AND(BE63=0,BF63=0,BF62=0)=TRUE,0,BF62+1))</f>
        <v>41</v>
      </c>
      <c r="BF62" s="64">
        <f t="shared" ref="BF62" si="465">IF(AND(BF63=1,BG63=0)=TRUE,1,IF(AND(BF63=0,BG63=0,BG62=0)=TRUE,0,BG62+1))</f>
        <v>40</v>
      </c>
      <c r="BG62" s="64">
        <f t="shared" ref="BG62" si="466">IF(AND(BG63=1,BH63=0)=TRUE,1,IF(AND(BG63=0,BH63=0,BH62=0)=TRUE,0,BH62+1))</f>
        <v>39</v>
      </c>
      <c r="BH62" s="64">
        <f t="shared" ref="BH62" si="467">IF(AND(BH63=1,BI63=0)=TRUE,1,IF(AND(BH63=0,BI63=0,BI62=0)=TRUE,0,BI62+1))</f>
        <v>38</v>
      </c>
      <c r="BI62" s="64">
        <f t="shared" ref="BI62" si="468">IF(AND(BI63=1,BJ63=0)=TRUE,1,IF(AND(BI63=0,BJ63=0,BJ62=0)=TRUE,0,BJ62+1))</f>
        <v>37</v>
      </c>
      <c r="BJ62" s="64">
        <f t="shared" ref="BJ62" si="469">IF(AND(BJ63=1,BK63=0)=TRUE,1,IF(AND(BJ63=0,BK63=0,BK62=0)=TRUE,0,BK62+1))</f>
        <v>36</v>
      </c>
      <c r="BK62" s="64">
        <f t="shared" ref="BK62" si="470">IF(AND(BK63=1,BL63=0)=TRUE,1,IF(AND(BK63=0,BL63=0,BL62=0)=TRUE,0,BL62+1))</f>
        <v>35</v>
      </c>
      <c r="BL62" s="64">
        <f t="shared" ref="BL62" si="471">IF(AND(BL63=1,BM63=0)=TRUE,1,IF(AND(BL63=0,BM63=0,BM62=0)=TRUE,0,BM62+1))</f>
        <v>34</v>
      </c>
      <c r="BM62" s="64">
        <f t="shared" ref="BM62" si="472">IF(AND(BM63=1,BN63=0)=TRUE,1,IF(AND(BM63=0,BN63=0,BN62=0)=TRUE,0,BN62+1))</f>
        <v>33</v>
      </c>
      <c r="BN62" s="64">
        <f t="shared" ref="BN62" si="473">IF(AND(BN63=1,BO63=0)=TRUE,1,IF(AND(BN63=0,BO63=0,BO62=0)=TRUE,0,BO62+1))</f>
        <v>32</v>
      </c>
      <c r="BO62" s="64">
        <f t="shared" ref="BO62" si="474">IF(AND(BO63=1,BP63=0)=TRUE,1,IF(AND(BO63=0,BP63=0,BP62=0)=TRUE,0,BP62+1))</f>
        <v>31</v>
      </c>
      <c r="BP62" s="64">
        <f t="shared" ref="BP62" si="475">IF(AND(BP63=1,BQ63=0)=TRUE,1,IF(AND(BP63=0,BQ63=0,BQ62=0)=TRUE,0,BQ62+1))</f>
        <v>30</v>
      </c>
      <c r="BQ62" s="64">
        <f t="shared" ref="BQ62" si="476">IF(AND(BQ63=1,BR63=0)=TRUE,1,IF(AND(BQ63=0,BR63=0,BR62=0)=TRUE,0,BR62+1))</f>
        <v>29</v>
      </c>
      <c r="BR62" s="64">
        <f t="shared" ref="BR62" si="477">IF(AND(BR63=1,BS63=0)=TRUE,1,IF(AND(BR63=0,BS63=0,BS62=0)=TRUE,0,BS62+1))</f>
        <v>28</v>
      </c>
      <c r="BS62" s="64">
        <f t="shared" ref="BS62" si="478">IF(AND(BS63=1,BT63=0)=TRUE,1,IF(AND(BS63=0,BT63=0,BT62=0)=TRUE,0,BT62+1))</f>
        <v>27</v>
      </c>
      <c r="BT62" s="64">
        <f t="shared" ref="BT62" si="479">IF(AND(BT63=1,BU63=0)=TRUE,1,IF(AND(BT63=0,BU63=0,BU62=0)=TRUE,0,BU62+1))</f>
        <v>26</v>
      </c>
      <c r="BU62" s="64">
        <f t="shared" ref="BU62" si="480">IF(AND(BU63=1,BV63=0)=TRUE,1,IF(AND(BU63=0,BV63=0,BV62=0)=TRUE,0,BV62+1))</f>
        <v>25</v>
      </c>
      <c r="BV62" s="64">
        <f t="shared" ref="BV62" si="481">IF(AND(BV63=1,BW63=0)=TRUE,1,IF(AND(BV63=0,BW63=0,BW62=0)=TRUE,0,BW62+1))</f>
        <v>24</v>
      </c>
      <c r="BW62" s="64">
        <f t="shared" ref="BW62" si="482">IF(AND(BW63=1,BX63=0)=TRUE,1,IF(AND(BW63=0,BX63=0,BX62=0)=TRUE,0,BX62+1))</f>
        <v>23</v>
      </c>
      <c r="BX62" s="64">
        <f t="shared" ref="BX62" si="483">IF(AND(BX63=1,BY63=0)=TRUE,1,IF(AND(BX63=0,BY63=0,BY62=0)=TRUE,0,BY62+1))</f>
        <v>22</v>
      </c>
      <c r="BY62" s="64">
        <f t="shared" ref="BY62" si="484">IF(AND(BY63=1,BZ63=0)=TRUE,1,IF(AND(BY63=0,BZ63=0,BZ62=0)=TRUE,0,BZ62+1))</f>
        <v>21</v>
      </c>
      <c r="BZ62" s="64">
        <f t="shared" ref="BZ62" si="485">IF(AND(BZ63=1,CA63=0)=TRUE,1,IF(AND(BZ63=0,CA63=0,CA62=0)=TRUE,0,CA62+1))</f>
        <v>20</v>
      </c>
      <c r="CA62" s="64">
        <f t="shared" ref="CA62" si="486">IF(AND(CA63=1,CB63=0)=TRUE,1,IF(AND(CA63=0,CB63=0,CB62=0)=TRUE,0,CB62+1))</f>
        <v>19</v>
      </c>
      <c r="CB62" s="64">
        <f t="shared" ref="CB62" si="487">IF(AND(CB63=1,CC63=0)=TRUE,1,IF(AND(CB63=0,CC63=0,CC62=0)=TRUE,0,CC62+1))</f>
        <v>18</v>
      </c>
      <c r="CC62" s="64">
        <f t="shared" ref="CC62" si="488">IF(AND(CC63=1,CD63=0)=TRUE,1,IF(AND(CC63=0,CD63=0,CD62=0)=TRUE,0,CD62+1))</f>
        <v>17</v>
      </c>
      <c r="CD62" s="64">
        <f t="shared" ref="CD62" si="489">IF(AND(CD63=1,CE63=0)=TRUE,1,IF(AND(CD63=0,CE63=0,CE62=0)=TRUE,0,CE62+1))</f>
        <v>16</v>
      </c>
      <c r="CE62" s="64">
        <f t="shared" ref="CE62" si="490">IF(AND(CE63=1,CF63=0)=TRUE,1,IF(AND(CE63=0,CF63=0,CF62=0)=TRUE,0,CF62+1))</f>
        <v>15</v>
      </c>
      <c r="CF62" s="64">
        <f t="shared" ref="CF62" si="491">IF(AND(CF63=1,CG63=0)=TRUE,1,IF(AND(CF63=0,CG63=0,CG62=0)=TRUE,0,CG62+1))</f>
        <v>14</v>
      </c>
      <c r="CG62" s="64">
        <f t="shared" ref="CG62" si="492">IF(AND(CG63=1,CH63=0)=TRUE,1,IF(AND(CG63=0,CH63=0,CH62=0)=TRUE,0,CH62+1))</f>
        <v>13</v>
      </c>
      <c r="CH62" s="64">
        <f t="shared" ref="CH62" si="493">IF(AND(CH63=1,CI63=0)=TRUE,1,IF(AND(CH63=0,CI63=0,CI62=0)=TRUE,0,CI62+1))</f>
        <v>12</v>
      </c>
      <c r="CI62" s="64">
        <f t="shared" ref="CI62" si="494">IF(AND(CI63=1,CJ63=0)=TRUE,1,IF(AND(CI63=0,CJ63=0,CJ62=0)=TRUE,0,CJ62+1))</f>
        <v>11</v>
      </c>
      <c r="CJ62" s="64">
        <f t="shared" ref="CJ62" si="495">IF(AND(CJ63=1,CK63=0)=TRUE,1,IF(AND(CJ63=0,CK63=0,CK62=0)=TRUE,0,CK62+1))</f>
        <v>10</v>
      </c>
      <c r="CK62" s="64">
        <f t="shared" ref="CK62" si="496">IF(AND(CK63=1,CL63=0)=TRUE,1,IF(AND(CK63=0,CL63=0,CL62=0)=TRUE,0,CL62+1))</f>
        <v>9</v>
      </c>
      <c r="CL62" s="64">
        <f t="shared" ref="CL62" si="497">IF(AND(CL63=1,CM63=0)=TRUE,1,IF(AND(CL63=0,CM63=0,CM62=0)=TRUE,0,CM62+1))</f>
        <v>8</v>
      </c>
      <c r="CM62" s="64">
        <f t="shared" ref="CM62" si="498">IF(AND(CM63=1,CN63=0)=TRUE,1,IF(AND(CM63=0,CN63=0,CN62=0)=TRUE,0,CN62+1))</f>
        <v>7</v>
      </c>
      <c r="CN62" s="64">
        <f t="shared" ref="CN62" si="499">IF(AND(CN63=1,CO63=0)=TRUE,1,IF(AND(CN63=0,CO63=0,CO62=0)=TRUE,0,CO62+1))</f>
        <v>6</v>
      </c>
      <c r="CO62" s="64">
        <f t="shared" ref="CO62" si="500">IF(AND(CO63=1,CP63=0)=TRUE,1,IF(AND(CO63=0,CP63=0,CP62=0)=TRUE,0,CP62+1))</f>
        <v>5</v>
      </c>
      <c r="CP62" s="64">
        <f t="shared" ref="CP62" si="501">IF(AND(CP63=1,CQ63=0)=TRUE,1,IF(AND(CP63=0,CQ63=0,CQ62=0)=TRUE,0,CQ62+1))</f>
        <v>4</v>
      </c>
      <c r="CQ62" s="64">
        <f t="shared" ref="CQ62" si="502">IF(AND(CQ63=1,CR63=0)=TRUE,1,IF(AND(CQ63=0,CR63=0,CR62=0)=TRUE,0,CR62+1))</f>
        <v>3</v>
      </c>
      <c r="CR62" s="64">
        <f t="shared" ref="CR62:CS62" si="503">IF(AND(CR63=1,CS63=0)=TRUE,1,IF(AND(CR63=0,CS63=0,CS62=0)=TRUE,0,CS62+1))</f>
        <v>2</v>
      </c>
      <c r="CS62" s="64">
        <f t="shared" si="503"/>
        <v>1</v>
      </c>
    </row>
    <row r="63" spans="1:97" s="64" customFormat="1" x14ac:dyDescent="0.35">
      <c r="A63" s="74"/>
      <c r="B63" s="64">
        <f>IF(SUM(B67:B75)&gt;1,1,0)</f>
        <v>1</v>
      </c>
      <c r="C63" s="64">
        <f t="shared" ref="C63:Z63" si="504">IF(SUM(C67:C75)&gt;1,1,0)</f>
        <v>1</v>
      </c>
      <c r="D63" s="64">
        <f t="shared" si="504"/>
        <v>1</v>
      </c>
      <c r="E63" s="64">
        <f t="shared" si="504"/>
        <v>1</v>
      </c>
      <c r="F63" s="64">
        <f t="shared" si="504"/>
        <v>1</v>
      </c>
      <c r="G63" s="64">
        <f t="shared" si="504"/>
        <v>1</v>
      </c>
      <c r="H63" s="64">
        <f t="shared" si="504"/>
        <v>1</v>
      </c>
      <c r="I63" s="64">
        <f t="shared" si="504"/>
        <v>1</v>
      </c>
      <c r="J63" s="64">
        <f t="shared" si="504"/>
        <v>1</v>
      </c>
      <c r="K63" s="64">
        <f t="shared" si="504"/>
        <v>1</v>
      </c>
      <c r="L63" s="64">
        <f t="shared" si="504"/>
        <v>1</v>
      </c>
      <c r="M63" s="64">
        <f t="shared" si="504"/>
        <v>1</v>
      </c>
      <c r="N63" s="64">
        <f t="shared" si="504"/>
        <v>1</v>
      </c>
      <c r="O63" s="64">
        <f t="shared" si="504"/>
        <v>1</v>
      </c>
      <c r="P63" s="64">
        <f t="shared" si="504"/>
        <v>1</v>
      </c>
      <c r="Q63" s="64">
        <f t="shared" si="504"/>
        <v>1</v>
      </c>
      <c r="R63" s="64">
        <f t="shared" si="504"/>
        <v>1</v>
      </c>
      <c r="S63" s="64">
        <f t="shared" si="504"/>
        <v>1</v>
      </c>
      <c r="T63" s="64">
        <f t="shared" si="504"/>
        <v>1</v>
      </c>
      <c r="U63" s="64">
        <f t="shared" si="504"/>
        <v>1</v>
      </c>
      <c r="V63" s="64">
        <f t="shared" si="504"/>
        <v>1</v>
      </c>
      <c r="W63" s="64">
        <f t="shared" si="504"/>
        <v>1</v>
      </c>
      <c r="X63" s="64">
        <f t="shared" si="504"/>
        <v>1</v>
      </c>
      <c r="Y63" s="64">
        <f t="shared" si="504"/>
        <v>1</v>
      </c>
      <c r="Z63" s="64">
        <f t="shared" si="504"/>
        <v>1</v>
      </c>
      <c r="AA63" s="64">
        <f t="shared" ref="AA63:AW63" si="505">IF(SUM(AA67:AA75)&gt;1,1,0)</f>
        <v>1</v>
      </c>
      <c r="AB63" s="64">
        <f t="shared" si="505"/>
        <v>1</v>
      </c>
      <c r="AC63" s="64">
        <f t="shared" si="505"/>
        <v>1</v>
      </c>
      <c r="AD63" s="64">
        <f t="shared" si="505"/>
        <v>1</v>
      </c>
      <c r="AE63" s="64">
        <f t="shared" si="505"/>
        <v>1</v>
      </c>
      <c r="AF63" s="64">
        <f t="shared" si="505"/>
        <v>1</v>
      </c>
      <c r="AG63" s="64">
        <f t="shared" si="505"/>
        <v>1</v>
      </c>
      <c r="AH63" s="64">
        <f t="shared" si="505"/>
        <v>1</v>
      </c>
      <c r="AI63" s="64">
        <f t="shared" si="505"/>
        <v>1</v>
      </c>
      <c r="AJ63" s="64">
        <f t="shared" si="505"/>
        <v>1</v>
      </c>
      <c r="AK63" s="64">
        <f t="shared" si="505"/>
        <v>1</v>
      </c>
      <c r="AL63" s="64">
        <f t="shared" si="505"/>
        <v>1</v>
      </c>
      <c r="AM63" s="64">
        <f t="shared" si="505"/>
        <v>1</v>
      </c>
      <c r="AN63" s="64">
        <f t="shared" si="505"/>
        <v>1</v>
      </c>
      <c r="AO63" s="64">
        <f t="shared" si="505"/>
        <v>1</v>
      </c>
      <c r="AP63" s="64">
        <f t="shared" si="505"/>
        <v>1</v>
      </c>
      <c r="AQ63" s="64">
        <f t="shared" si="505"/>
        <v>1</v>
      </c>
      <c r="AR63" s="64">
        <f t="shared" si="505"/>
        <v>1</v>
      </c>
      <c r="AS63" s="64">
        <f t="shared" si="505"/>
        <v>1</v>
      </c>
      <c r="AT63" s="64">
        <f t="shared" si="505"/>
        <v>1</v>
      </c>
      <c r="AU63" s="64">
        <f t="shared" si="505"/>
        <v>1</v>
      </c>
      <c r="AV63" s="64">
        <f t="shared" si="505"/>
        <v>1</v>
      </c>
      <c r="AW63" s="64">
        <f t="shared" si="505"/>
        <v>1</v>
      </c>
      <c r="AX63" s="64">
        <f t="shared" ref="AX63:BI63" si="506">IF(SUM(AX67:AX75)&gt;1,1,0)</f>
        <v>1</v>
      </c>
      <c r="AY63" s="64">
        <f t="shared" si="506"/>
        <v>1</v>
      </c>
      <c r="AZ63" s="64">
        <f t="shared" si="506"/>
        <v>1</v>
      </c>
      <c r="BA63" s="64">
        <f t="shared" si="506"/>
        <v>1</v>
      </c>
      <c r="BB63" s="64">
        <f t="shared" si="506"/>
        <v>1</v>
      </c>
      <c r="BC63" s="64">
        <f t="shared" si="506"/>
        <v>1</v>
      </c>
      <c r="BD63" s="64">
        <f t="shared" si="506"/>
        <v>1</v>
      </c>
      <c r="BE63" s="64">
        <f t="shared" si="506"/>
        <v>1</v>
      </c>
      <c r="BF63" s="64">
        <f t="shared" si="506"/>
        <v>1</v>
      </c>
      <c r="BG63" s="64">
        <f t="shared" si="506"/>
        <v>1</v>
      </c>
      <c r="BH63" s="64">
        <f t="shared" si="506"/>
        <v>1</v>
      </c>
      <c r="BI63" s="64">
        <f t="shared" si="506"/>
        <v>1</v>
      </c>
      <c r="BJ63" s="64">
        <f t="shared" ref="BJ63:BW63" si="507">IF(SUM(BJ67:BJ75)&gt;1,1,0)</f>
        <v>1</v>
      </c>
      <c r="BK63" s="64">
        <f t="shared" si="507"/>
        <v>1</v>
      </c>
      <c r="BL63" s="64">
        <f t="shared" si="507"/>
        <v>1</v>
      </c>
      <c r="BM63" s="64">
        <f t="shared" si="507"/>
        <v>1</v>
      </c>
      <c r="BN63" s="64">
        <f t="shared" si="507"/>
        <v>1</v>
      </c>
      <c r="BO63" s="64">
        <f t="shared" si="507"/>
        <v>1</v>
      </c>
      <c r="BP63" s="64">
        <f t="shared" si="507"/>
        <v>1</v>
      </c>
      <c r="BQ63" s="64">
        <f t="shared" si="507"/>
        <v>1</v>
      </c>
      <c r="BR63" s="64">
        <f t="shared" si="507"/>
        <v>1</v>
      </c>
      <c r="BS63" s="64">
        <f t="shared" si="507"/>
        <v>1</v>
      </c>
      <c r="BT63" s="64">
        <f t="shared" si="507"/>
        <v>1</v>
      </c>
      <c r="BU63" s="64">
        <f t="shared" si="507"/>
        <v>1</v>
      </c>
      <c r="BV63" s="64">
        <f t="shared" si="507"/>
        <v>1</v>
      </c>
      <c r="BW63" s="64">
        <f t="shared" si="507"/>
        <v>1</v>
      </c>
      <c r="BX63" s="64">
        <f t="shared" ref="BX63:CG63" si="508">IF(SUM(BX67:BX75)&gt;1,1,0)</f>
        <v>1</v>
      </c>
      <c r="BY63" s="64">
        <f t="shared" si="508"/>
        <v>1</v>
      </c>
      <c r="BZ63" s="64">
        <f t="shared" si="508"/>
        <v>1</v>
      </c>
      <c r="CA63" s="64">
        <f t="shared" si="508"/>
        <v>1</v>
      </c>
      <c r="CB63" s="64">
        <f t="shared" si="508"/>
        <v>1</v>
      </c>
      <c r="CC63" s="64">
        <f t="shared" si="508"/>
        <v>1</v>
      </c>
      <c r="CD63" s="64">
        <f t="shared" si="508"/>
        <v>1</v>
      </c>
      <c r="CE63" s="64">
        <f t="shared" si="508"/>
        <v>1</v>
      </c>
      <c r="CF63" s="64">
        <f t="shared" si="508"/>
        <v>1</v>
      </c>
      <c r="CG63" s="64">
        <f t="shared" si="508"/>
        <v>1</v>
      </c>
      <c r="CH63" s="64">
        <f t="shared" ref="CH63:CS63" si="509">IF(SUM(CH67:CH75)&gt;1,1,0)</f>
        <v>1</v>
      </c>
      <c r="CI63" s="64">
        <f t="shared" si="509"/>
        <v>1</v>
      </c>
      <c r="CJ63" s="64">
        <f t="shared" si="509"/>
        <v>1</v>
      </c>
      <c r="CK63" s="64">
        <f t="shared" si="509"/>
        <v>1</v>
      </c>
      <c r="CL63" s="64">
        <f t="shared" si="509"/>
        <v>1</v>
      </c>
      <c r="CM63" s="64">
        <f t="shared" si="509"/>
        <v>1</v>
      </c>
      <c r="CN63" s="64">
        <f t="shared" si="509"/>
        <v>1</v>
      </c>
      <c r="CO63" s="64">
        <f t="shared" si="509"/>
        <v>1</v>
      </c>
      <c r="CP63" s="64">
        <f t="shared" si="509"/>
        <v>1</v>
      </c>
      <c r="CQ63" s="64">
        <f t="shared" si="509"/>
        <v>1</v>
      </c>
      <c r="CR63" s="64">
        <f t="shared" si="509"/>
        <v>1</v>
      </c>
      <c r="CS63" s="64">
        <f t="shared" si="509"/>
        <v>1</v>
      </c>
    </row>
    <row r="64" spans="1:97" s="64" customFormat="1" x14ac:dyDescent="0.35">
      <c r="A64" s="74"/>
      <c r="B64" s="64" t="s">
        <v>136</v>
      </c>
      <c r="C64" s="64" t="s">
        <v>136</v>
      </c>
      <c r="D64" s="64" t="s">
        <v>136</v>
      </c>
      <c r="E64" s="64" t="s">
        <v>136</v>
      </c>
      <c r="F64" s="64" t="s">
        <v>136</v>
      </c>
      <c r="G64" s="64" t="s">
        <v>136</v>
      </c>
      <c r="H64" s="64" t="s">
        <v>136</v>
      </c>
      <c r="I64" s="64" t="s">
        <v>136</v>
      </c>
      <c r="J64" s="64" t="s">
        <v>136</v>
      </c>
      <c r="K64" s="64" t="s">
        <v>136</v>
      </c>
      <c r="L64" s="64" t="s">
        <v>136</v>
      </c>
      <c r="M64" s="64" t="s">
        <v>136</v>
      </c>
      <c r="N64" s="64" t="s">
        <v>135</v>
      </c>
      <c r="O64" s="64" t="s">
        <v>135</v>
      </c>
      <c r="P64" s="64" t="s">
        <v>135</v>
      </c>
      <c r="Q64" s="64" t="s">
        <v>135</v>
      </c>
      <c r="R64" s="64" t="s">
        <v>135</v>
      </c>
      <c r="S64" s="64" t="s">
        <v>135</v>
      </c>
      <c r="T64" s="64" t="s">
        <v>135</v>
      </c>
      <c r="U64" s="64" t="s">
        <v>135</v>
      </c>
      <c r="V64" s="64" t="s">
        <v>135</v>
      </c>
      <c r="W64" s="64" t="s">
        <v>135</v>
      </c>
      <c r="X64" s="64" t="s">
        <v>135</v>
      </c>
      <c r="Y64" s="64" t="s">
        <v>135</v>
      </c>
      <c r="Z64" s="64" t="s">
        <v>207</v>
      </c>
      <c r="AA64" s="64" t="s">
        <v>207</v>
      </c>
      <c r="AB64" s="64" t="s">
        <v>207</v>
      </c>
      <c r="AC64" s="64" t="s">
        <v>207</v>
      </c>
      <c r="AD64" s="64" t="s">
        <v>207</v>
      </c>
      <c r="AE64" s="64" t="s">
        <v>207</v>
      </c>
      <c r="AF64" s="64" t="s">
        <v>207</v>
      </c>
      <c r="AG64" s="64" t="s">
        <v>207</v>
      </c>
      <c r="AH64" s="64" t="s">
        <v>207</v>
      </c>
      <c r="AI64" s="64" t="s">
        <v>207</v>
      </c>
      <c r="AJ64" s="64" t="s">
        <v>207</v>
      </c>
      <c r="AK64" s="64" t="s">
        <v>207</v>
      </c>
      <c r="AL64" s="64" t="s">
        <v>251</v>
      </c>
      <c r="AM64" s="64" t="s">
        <v>251</v>
      </c>
      <c r="AN64" s="64" t="s">
        <v>251</v>
      </c>
      <c r="AO64" s="64" t="s">
        <v>251</v>
      </c>
      <c r="AP64" s="64" t="s">
        <v>251</v>
      </c>
      <c r="AQ64" s="64" t="s">
        <v>251</v>
      </c>
      <c r="AR64" s="64" t="s">
        <v>251</v>
      </c>
      <c r="AS64" s="64" t="s">
        <v>251</v>
      </c>
      <c r="AT64" s="64" t="s">
        <v>251</v>
      </c>
      <c r="AU64" s="64" t="s">
        <v>251</v>
      </c>
      <c r="AV64" s="64" t="s">
        <v>251</v>
      </c>
      <c r="AW64" s="64" t="s">
        <v>251</v>
      </c>
      <c r="AX64" s="64" t="s">
        <v>259</v>
      </c>
      <c r="AY64" s="64" t="s">
        <v>259</v>
      </c>
      <c r="AZ64" s="64" t="s">
        <v>259</v>
      </c>
      <c r="BA64" s="64" t="s">
        <v>259</v>
      </c>
      <c r="BB64" s="64" t="s">
        <v>259</v>
      </c>
      <c r="BC64" s="64" t="s">
        <v>259</v>
      </c>
      <c r="BD64" s="64" t="s">
        <v>259</v>
      </c>
      <c r="BE64" s="64" t="s">
        <v>259</v>
      </c>
      <c r="BF64" s="64" t="s">
        <v>259</v>
      </c>
      <c r="BG64" s="64" t="s">
        <v>259</v>
      </c>
      <c r="BH64" s="64" t="s">
        <v>259</v>
      </c>
      <c r="BI64" s="64" t="s">
        <v>259</v>
      </c>
      <c r="BJ64" s="64" t="s">
        <v>406</v>
      </c>
      <c r="BK64" s="64" t="s">
        <v>407</v>
      </c>
      <c r="BL64" s="64" t="s">
        <v>408</v>
      </c>
      <c r="BM64" s="64" t="s">
        <v>409</v>
      </c>
      <c r="BN64" s="64" t="s">
        <v>410</v>
      </c>
      <c r="BO64" s="64" t="s">
        <v>411</v>
      </c>
      <c r="BP64" s="64" t="s">
        <v>412</v>
      </c>
      <c r="BQ64" s="64" t="s">
        <v>413</v>
      </c>
      <c r="BR64" s="64" t="s">
        <v>414</v>
      </c>
      <c r="BS64" s="64" t="s">
        <v>415</v>
      </c>
      <c r="BT64" s="64" t="s">
        <v>416</v>
      </c>
      <c r="BU64" s="64" t="s">
        <v>417</v>
      </c>
      <c r="BV64" s="64" t="s">
        <v>418</v>
      </c>
      <c r="BW64" s="64" t="s">
        <v>419</v>
      </c>
      <c r="BX64" s="64" t="s">
        <v>472</v>
      </c>
      <c r="BY64" s="64" t="s">
        <v>473</v>
      </c>
      <c r="BZ64" s="64" t="s">
        <v>474</v>
      </c>
      <c r="CA64" s="64" t="s">
        <v>475</v>
      </c>
      <c r="CB64" s="64" t="s">
        <v>476</v>
      </c>
      <c r="CC64" s="64" t="s">
        <v>477</v>
      </c>
      <c r="CD64" s="64" t="s">
        <v>484</v>
      </c>
      <c r="CE64" s="64" t="s">
        <v>485</v>
      </c>
      <c r="CF64" s="64" t="s">
        <v>486</v>
      </c>
      <c r="CG64" s="64" t="s">
        <v>487</v>
      </c>
      <c r="CH64" s="64" t="s">
        <v>506</v>
      </c>
      <c r="CI64" s="64" t="s">
        <v>507</v>
      </c>
      <c r="CJ64" s="64" t="s">
        <v>508</v>
      </c>
      <c r="CK64" s="64" t="s">
        <v>509</v>
      </c>
      <c r="CL64" s="64" t="s">
        <v>510</v>
      </c>
      <c r="CM64" s="64" t="s">
        <v>511</v>
      </c>
      <c r="CN64" s="64" t="s">
        <v>512</v>
      </c>
      <c r="CO64" s="64" t="s">
        <v>513</v>
      </c>
      <c r="CP64" s="64" t="s">
        <v>514</v>
      </c>
      <c r="CQ64" s="64" t="s">
        <v>515</v>
      </c>
      <c r="CR64" s="64" t="s">
        <v>516</v>
      </c>
      <c r="CS64" s="64" t="s">
        <v>517</v>
      </c>
    </row>
    <row r="65" spans="1:97" x14ac:dyDescent="0.35">
      <c r="A65" s="75"/>
      <c r="B65" s="64" t="s">
        <v>19</v>
      </c>
      <c r="C65" s="64" t="s">
        <v>20</v>
      </c>
      <c r="D65" s="64" t="s">
        <v>21</v>
      </c>
      <c r="E65" s="64" t="s">
        <v>22</v>
      </c>
      <c r="F65" s="64" t="s">
        <v>23</v>
      </c>
      <c r="G65" s="64" t="s">
        <v>24</v>
      </c>
      <c r="H65" s="64" t="s">
        <v>25</v>
      </c>
      <c r="I65" s="64" t="s">
        <v>26</v>
      </c>
      <c r="J65" s="64" t="s">
        <v>27</v>
      </c>
      <c r="K65" s="64" t="s">
        <v>28</v>
      </c>
      <c r="L65" s="64" t="s">
        <v>29</v>
      </c>
      <c r="M65" s="64" t="s">
        <v>30</v>
      </c>
      <c r="N65" s="64" t="s">
        <v>19</v>
      </c>
      <c r="O65" s="64" t="s">
        <v>20</v>
      </c>
      <c r="P65" s="64" t="s">
        <v>21</v>
      </c>
      <c r="Q65" s="64" t="s">
        <v>22</v>
      </c>
      <c r="R65" s="64" t="s">
        <v>23</v>
      </c>
      <c r="S65" s="64" t="s">
        <v>24</v>
      </c>
      <c r="T65" s="64" t="s">
        <v>25</v>
      </c>
      <c r="U65" s="64" t="s">
        <v>26</v>
      </c>
      <c r="V65" s="64" t="s">
        <v>27</v>
      </c>
      <c r="W65" s="64" t="s">
        <v>28</v>
      </c>
      <c r="X65" s="64" t="s">
        <v>29</v>
      </c>
      <c r="Y65" s="64" t="s">
        <v>30</v>
      </c>
      <c r="Z65" s="64" t="s">
        <v>19</v>
      </c>
      <c r="AA65" s="64" t="s">
        <v>20</v>
      </c>
      <c r="AB65" s="64" t="s">
        <v>21</v>
      </c>
      <c r="AC65" s="64" t="s">
        <v>22</v>
      </c>
      <c r="AD65" s="64" t="s">
        <v>23</v>
      </c>
      <c r="AE65" s="64" t="s">
        <v>24</v>
      </c>
      <c r="AF65" s="64" t="s">
        <v>25</v>
      </c>
      <c r="AG65" s="64" t="s">
        <v>26</v>
      </c>
      <c r="AH65" s="64" t="s">
        <v>27</v>
      </c>
      <c r="AI65" s="64" t="s">
        <v>28</v>
      </c>
      <c r="AJ65" s="64" t="s">
        <v>29</v>
      </c>
      <c r="AK65" s="64" t="s">
        <v>30</v>
      </c>
      <c r="AL65" s="64" t="s">
        <v>19</v>
      </c>
      <c r="AM65" s="64" t="s">
        <v>20</v>
      </c>
      <c r="AN65" s="64" t="s">
        <v>21</v>
      </c>
      <c r="AO65" s="64" t="s">
        <v>22</v>
      </c>
      <c r="AP65" s="64" t="s">
        <v>23</v>
      </c>
      <c r="AQ65" s="64" t="s">
        <v>24</v>
      </c>
      <c r="AR65" s="64" t="s">
        <v>25</v>
      </c>
      <c r="AS65" s="64" t="s">
        <v>26</v>
      </c>
      <c r="AT65" s="64" t="s">
        <v>27</v>
      </c>
      <c r="AU65" s="64" t="s">
        <v>28</v>
      </c>
      <c r="AV65" s="64" t="s">
        <v>29</v>
      </c>
      <c r="AW65" s="64" t="s">
        <v>30</v>
      </c>
      <c r="AX65" s="64" t="s">
        <v>19</v>
      </c>
      <c r="AY65" s="64" t="s">
        <v>20</v>
      </c>
      <c r="AZ65" s="64" t="s">
        <v>21</v>
      </c>
      <c r="BA65" s="64" t="s">
        <v>22</v>
      </c>
      <c r="BB65" s="64" t="s">
        <v>23</v>
      </c>
      <c r="BC65" s="64" t="s">
        <v>24</v>
      </c>
      <c r="BD65" s="64" t="s">
        <v>25</v>
      </c>
      <c r="BE65" s="64" t="s">
        <v>26</v>
      </c>
      <c r="BF65" s="64" t="s">
        <v>27</v>
      </c>
      <c r="BG65" s="64" t="s">
        <v>28</v>
      </c>
      <c r="BH65" s="64" t="s">
        <v>29</v>
      </c>
      <c r="BI65" s="64" t="s">
        <v>30</v>
      </c>
      <c r="BJ65" s="64" t="s">
        <v>19</v>
      </c>
      <c r="BK65" s="64" t="s">
        <v>20</v>
      </c>
      <c r="BL65" s="64" t="s">
        <v>21</v>
      </c>
      <c r="BM65" s="64" t="s">
        <v>22</v>
      </c>
      <c r="BN65" s="64" t="s">
        <v>23</v>
      </c>
      <c r="BO65" s="64" t="s">
        <v>24</v>
      </c>
      <c r="BP65" s="64" t="s">
        <v>25</v>
      </c>
      <c r="BQ65" s="64" t="s">
        <v>26</v>
      </c>
      <c r="BR65" s="64" t="s">
        <v>27</v>
      </c>
      <c r="BS65" s="64" t="s">
        <v>28</v>
      </c>
      <c r="BT65" s="64" t="s">
        <v>29</v>
      </c>
      <c r="BU65" s="64" t="s">
        <v>30</v>
      </c>
      <c r="BV65" s="64" t="s">
        <v>19</v>
      </c>
      <c r="BW65" s="64" t="s">
        <v>20</v>
      </c>
      <c r="BX65" s="64" t="s">
        <v>478</v>
      </c>
      <c r="BY65" s="64" t="s">
        <v>479</v>
      </c>
      <c r="BZ65" s="64" t="s">
        <v>480</v>
      </c>
      <c r="CA65" s="64" t="s">
        <v>481</v>
      </c>
      <c r="CB65" s="64" t="s">
        <v>482</v>
      </c>
      <c r="CC65" s="64" t="s">
        <v>483</v>
      </c>
      <c r="CD65" s="64" t="s">
        <v>488</v>
      </c>
      <c r="CE65" s="64" t="s">
        <v>489</v>
      </c>
      <c r="CF65" s="64" t="s">
        <v>490</v>
      </c>
      <c r="CG65" s="64" t="s">
        <v>491</v>
      </c>
      <c r="CH65" s="64" t="s">
        <v>132</v>
      </c>
      <c r="CI65" s="64" t="s">
        <v>20</v>
      </c>
      <c r="CJ65" s="64" t="s">
        <v>478</v>
      </c>
      <c r="CK65" s="64" t="s">
        <v>479</v>
      </c>
      <c r="CL65" s="64" t="s">
        <v>480</v>
      </c>
      <c r="CM65" s="64" t="s">
        <v>481</v>
      </c>
      <c r="CN65" s="64" t="s">
        <v>482</v>
      </c>
      <c r="CO65" s="64" t="s">
        <v>483</v>
      </c>
      <c r="CP65" s="64" t="s">
        <v>488</v>
      </c>
      <c r="CQ65" s="64" t="s">
        <v>489</v>
      </c>
      <c r="CR65" s="64" t="s">
        <v>490</v>
      </c>
      <c r="CS65" s="64" t="s">
        <v>491</v>
      </c>
    </row>
    <row r="66" spans="1:97" s="64" customFormat="1" x14ac:dyDescent="0.35">
      <c r="A66" s="76"/>
      <c r="B66" s="77">
        <v>42826</v>
      </c>
      <c r="C66" s="77">
        <v>42856</v>
      </c>
      <c r="D66" s="77">
        <v>42887</v>
      </c>
      <c r="E66" s="77">
        <v>42917</v>
      </c>
      <c r="F66" s="77">
        <v>42948</v>
      </c>
      <c r="G66" s="77">
        <v>42979</v>
      </c>
      <c r="H66" s="77">
        <v>43009</v>
      </c>
      <c r="I66" s="77">
        <v>43040</v>
      </c>
      <c r="J66" s="77">
        <v>43070</v>
      </c>
      <c r="K66" s="77">
        <v>43101</v>
      </c>
      <c r="L66" s="77">
        <v>43132</v>
      </c>
      <c r="M66" s="77">
        <v>43160</v>
      </c>
      <c r="N66" s="77">
        <v>43191</v>
      </c>
      <c r="O66" s="77">
        <v>43221</v>
      </c>
      <c r="P66" s="77">
        <v>43252</v>
      </c>
      <c r="Q66" s="77">
        <v>43282</v>
      </c>
      <c r="R66" s="77">
        <v>43313</v>
      </c>
      <c r="S66" s="77">
        <v>43344</v>
      </c>
      <c r="T66" s="77">
        <v>43374</v>
      </c>
      <c r="U66" s="77">
        <v>43405</v>
      </c>
      <c r="V66" s="77">
        <v>43435</v>
      </c>
      <c r="W66" s="77">
        <v>43466</v>
      </c>
      <c r="X66" s="77">
        <v>43497</v>
      </c>
      <c r="Y66" s="77">
        <v>43525</v>
      </c>
      <c r="Z66" s="77">
        <v>43556</v>
      </c>
      <c r="AA66" s="77">
        <v>43586</v>
      </c>
      <c r="AB66" s="77">
        <v>43617</v>
      </c>
      <c r="AC66" s="77">
        <v>43647</v>
      </c>
      <c r="AD66" s="77">
        <v>43678</v>
      </c>
      <c r="AE66" s="77">
        <v>43709</v>
      </c>
      <c r="AF66" s="77">
        <v>43739</v>
      </c>
      <c r="AG66" s="77">
        <v>43770</v>
      </c>
      <c r="AH66" s="77">
        <v>43800</v>
      </c>
      <c r="AI66" s="77">
        <v>43831</v>
      </c>
      <c r="AJ66" s="77">
        <v>43862</v>
      </c>
      <c r="AK66" s="77">
        <v>43891</v>
      </c>
      <c r="AL66" s="77">
        <v>43922</v>
      </c>
      <c r="AM66" s="77">
        <v>43952</v>
      </c>
      <c r="AN66" s="77">
        <v>43983</v>
      </c>
      <c r="AO66" s="77">
        <v>44013</v>
      </c>
      <c r="AP66" s="77">
        <v>44044</v>
      </c>
      <c r="AQ66" s="77">
        <v>44075</v>
      </c>
      <c r="AR66" s="77">
        <v>44105</v>
      </c>
      <c r="AS66" s="77">
        <v>44136</v>
      </c>
      <c r="AT66" s="77">
        <v>44166</v>
      </c>
      <c r="AU66" s="77">
        <v>44197</v>
      </c>
      <c r="AV66" s="77">
        <v>44228</v>
      </c>
      <c r="AW66" s="77">
        <v>44256</v>
      </c>
      <c r="AX66" s="77">
        <v>44287</v>
      </c>
      <c r="AY66" s="77">
        <v>44317</v>
      </c>
      <c r="AZ66" s="77">
        <v>44348</v>
      </c>
      <c r="BA66" s="77">
        <v>44378</v>
      </c>
      <c r="BB66" s="77">
        <v>44409</v>
      </c>
      <c r="BC66" s="77">
        <v>44440</v>
      </c>
      <c r="BD66" s="77">
        <v>44470</v>
      </c>
      <c r="BE66" s="77">
        <v>44501</v>
      </c>
      <c r="BF66" s="77">
        <v>44531</v>
      </c>
      <c r="BG66" s="77">
        <v>44562</v>
      </c>
      <c r="BH66" s="77">
        <v>44593</v>
      </c>
      <c r="BI66" s="77">
        <v>44621</v>
      </c>
      <c r="BJ66" s="77">
        <v>44652</v>
      </c>
      <c r="BK66" s="77">
        <v>44682</v>
      </c>
      <c r="BL66" s="77">
        <v>44713</v>
      </c>
      <c r="BM66" s="77">
        <v>44743</v>
      </c>
      <c r="BN66" s="77">
        <v>44774</v>
      </c>
      <c r="BO66" s="77">
        <v>44805</v>
      </c>
      <c r="BP66" s="77">
        <v>44835</v>
      </c>
      <c r="BQ66" s="77">
        <v>44866</v>
      </c>
      <c r="BR66" s="77">
        <v>44896</v>
      </c>
      <c r="BS66" s="77">
        <v>44927</v>
      </c>
      <c r="BT66" s="77">
        <v>44958</v>
      </c>
      <c r="BU66" s="77">
        <v>44986</v>
      </c>
      <c r="BV66" s="77">
        <v>45017</v>
      </c>
      <c r="BW66" s="77">
        <v>45047</v>
      </c>
      <c r="BX66" s="77">
        <v>45078</v>
      </c>
      <c r="BY66" s="77">
        <v>45108</v>
      </c>
      <c r="BZ66" s="77">
        <v>45139</v>
      </c>
      <c r="CA66" s="77">
        <v>45170</v>
      </c>
      <c r="CB66" s="77">
        <v>45200</v>
      </c>
      <c r="CC66" s="77">
        <v>45231</v>
      </c>
      <c r="CD66" s="77">
        <v>45261</v>
      </c>
      <c r="CE66" s="77">
        <v>45292</v>
      </c>
      <c r="CF66" s="77">
        <v>45323</v>
      </c>
      <c r="CG66" s="77">
        <v>45352</v>
      </c>
      <c r="CH66" s="77">
        <v>45383</v>
      </c>
      <c r="CI66" s="77">
        <v>45413</v>
      </c>
      <c r="CJ66" s="77">
        <v>45444</v>
      </c>
      <c r="CK66" s="77">
        <v>45474</v>
      </c>
      <c r="CL66" s="77">
        <v>45505</v>
      </c>
      <c r="CM66" s="77">
        <v>45536</v>
      </c>
      <c r="CN66" s="77">
        <v>45566</v>
      </c>
      <c r="CO66" s="77">
        <v>45597</v>
      </c>
      <c r="CP66" s="77">
        <v>45627</v>
      </c>
      <c r="CQ66" s="77">
        <v>45658</v>
      </c>
      <c r="CR66" s="77">
        <v>45689</v>
      </c>
      <c r="CS66" s="77">
        <v>45717</v>
      </c>
    </row>
    <row r="67" spans="1:97" x14ac:dyDescent="0.35">
      <c r="A67" s="78" t="s">
        <v>39</v>
      </c>
      <c r="B67" s="79">
        <f>[2]Districts_Boroughs!AL154</f>
        <v>51</v>
      </c>
      <c r="C67" s="79">
        <f>[2]Districts_Boroughs!AM154</f>
        <v>57</v>
      </c>
      <c r="D67" s="79">
        <f>[2]Districts_Boroughs!AN154</f>
        <v>41</v>
      </c>
      <c r="E67" s="79">
        <f>[2]Districts_Boroughs!AO154</f>
        <v>78</v>
      </c>
      <c r="F67" s="79">
        <f>[2]Districts_Boroughs!AP154</f>
        <v>57</v>
      </c>
      <c r="G67" s="79">
        <f>[2]Districts_Boroughs!AQ154</f>
        <v>53</v>
      </c>
      <c r="H67" s="79">
        <f>[2]Districts_Boroughs!AR154</f>
        <v>42</v>
      </c>
      <c r="I67" s="79">
        <f>[2]Districts_Boroughs!AS154</f>
        <v>43</v>
      </c>
      <c r="J67" s="79">
        <f>[2]Districts_Boroughs!AT154</f>
        <v>63</v>
      </c>
      <c r="K67" s="79">
        <f>[2]Districts_Boroughs!AU154</f>
        <v>49</v>
      </c>
      <c r="L67" s="79">
        <f>[2]Districts_Boroughs!AV154</f>
        <v>42</v>
      </c>
      <c r="M67" s="79">
        <f>[2]Districts_Boroughs!AW154</f>
        <v>38</v>
      </c>
      <c r="N67" s="79">
        <f>[2]Districts_Boroughs!AX154</f>
        <v>37</v>
      </c>
      <c r="O67" s="79">
        <f>[2]Districts_Boroughs!AY154</f>
        <v>67</v>
      </c>
      <c r="P67" s="79">
        <f>[2]Districts_Boroughs!AZ154</f>
        <v>52</v>
      </c>
      <c r="Q67" s="79">
        <f>[2]Districts_Boroughs!BA154</f>
        <v>68</v>
      </c>
      <c r="R67" s="79">
        <f>[2]Districts_Boroughs!BB154</f>
        <v>57</v>
      </c>
      <c r="S67" s="79">
        <f>[2]Districts_Boroughs!BC154</f>
        <v>43</v>
      </c>
      <c r="T67" s="79">
        <f>[2]Districts_Boroughs!BD154</f>
        <v>63</v>
      </c>
      <c r="U67" s="79">
        <f>[2]Districts_Boroughs!BE154</f>
        <v>41</v>
      </c>
      <c r="V67" s="79">
        <f>[2]Districts_Boroughs!BF154</f>
        <v>67</v>
      </c>
      <c r="W67" s="79">
        <f>[2]Districts_Boroughs!BG154</f>
        <v>49</v>
      </c>
      <c r="X67" s="79">
        <f>[2]Districts_Boroughs!BH154</f>
        <v>35</v>
      </c>
      <c r="Y67" s="79">
        <f>[2]Districts_Boroughs!BI154</f>
        <v>42</v>
      </c>
      <c r="Z67" s="79">
        <f>[2]Districts_Boroughs!BJ154</f>
        <v>67</v>
      </c>
      <c r="AA67" s="79">
        <f>[2]Districts_Boroughs!BK154</f>
        <v>59</v>
      </c>
      <c r="AB67" s="79">
        <f>[2]Districts_Boroughs!BL154</f>
        <v>68</v>
      </c>
      <c r="AC67" s="79">
        <f>[2]Districts_Boroughs!BM154</f>
        <v>71</v>
      </c>
      <c r="AD67" s="79">
        <f>[2]Districts_Boroughs!BN154</f>
        <v>59</v>
      </c>
      <c r="AE67" s="79">
        <f>[2]Districts_Boroughs!BO154</f>
        <v>55</v>
      </c>
      <c r="AF67" s="79">
        <f>[2]Districts_Boroughs!BP154</f>
        <v>59</v>
      </c>
      <c r="AG67" s="79">
        <f>[2]Districts_Boroughs!BQ154</f>
        <v>59</v>
      </c>
      <c r="AH67" s="79">
        <f>[2]Districts_Boroughs!BR154</f>
        <v>82</v>
      </c>
      <c r="AI67" s="79">
        <f>[2]Districts_Boroughs!BS154</f>
        <v>48</v>
      </c>
      <c r="AJ67" s="79">
        <f>[2]Districts_Boroughs!BT154</f>
        <v>42</v>
      </c>
      <c r="AK67" s="79">
        <f>[2]Districts_Boroughs!BU154</f>
        <v>54</v>
      </c>
      <c r="AL67" s="79">
        <f>[2]Districts_Boroughs!BV154</f>
        <v>44</v>
      </c>
      <c r="AM67" s="79">
        <f>[2]Districts_Boroughs!BW154</f>
        <v>64</v>
      </c>
      <c r="AN67" s="79">
        <f>[2]Districts_Boroughs!BX154</f>
        <v>64</v>
      </c>
      <c r="AO67" s="79">
        <f>[2]Districts_Boroughs!BY154</f>
        <v>68</v>
      </c>
      <c r="AP67" s="79">
        <f>[2]Districts_Boroughs!BZ154</f>
        <v>44</v>
      </c>
      <c r="AQ67" s="79">
        <f>[2]Districts_Boroughs!CA154</f>
        <v>58</v>
      </c>
      <c r="AR67" s="79">
        <f>[2]Districts_Boroughs!CB154</f>
        <v>70</v>
      </c>
      <c r="AS67" s="79">
        <f>[2]Districts_Boroughs!CC154</f>
        <v>37</v>
      </c>
      <c r="AT67" s="79">
        <f>[2]Districts_Boroughs!CD154</f>
        <v>42</v>
      </c>
      <c r="AU67" s="79">
        <f>[2]Districts_Boroughs!CE154</f>
        <v>36</v>
      </c>
      <c r="AV67" s="79">
        <f>[2]Districts_Boroughs!CF154</f>
        <v>57</v>
      </c>
      <c r="AW67" s="79">
        <f>[2]Districts_Boroughs!CG154</f>
        <v>51</v>
      </c>
      <c r="AX67" s="79">
        <f>[2]Districts_Boroughs!CH154</f>
        <v>56</v>
      </c>
      <c r="AY67" s="79">
        <f>[2]Districts_Boroughs!CI154</f>
        <v>43</v>
      </c>
      <c r="AZ67" s="79">
        <f>[2]Districts_Boroughs!CJ154</f>
        <v>67</v>
      </c>
      <c r="BA67" s="79">
        <f>[2]Districts_Boroughs!CK154</f>
        <v>63</v>
      </c>
      <c r="BB67" s="79">
        <f>[2]Districts_Boroughs!CL154</f>
        <v>70</v>
      </c>
      <c r="BC67" s="79">
        <f>[2]Districts_Boroughs!CM154</f>
        <v>62</v>
      </c>
      <c r="BD67" s="79">
        <f>[2]Districts_Boroughs!CN154</f>
        <v>61</v>
      </c>
      <c r="BE67" s="79">
        <f>[2]Districts_Boroughs!CO154</f>
        <v>51</v>
      </c>
      <c r="BF67" s="79">
        <f>[2]Districts_Boroughs!CP154</f>
        <v>60</v>
      </c>
      <c r="BG67" s="79">
        <f>[2]Districts_Boroughs!CQ154</f>
        <v>58</v>
      </c>
      <c r="BH67" s="79">
        <f>[2]Districts_Boroughs!CR154</f>
        <v>44</v>
      </c>
      <c r="BI67" s="79">
        <f>[2]Districts_Boroughs!CS154</f>
        <v>54</v>
      </c>
      <c r="BJ67" s="79">
        <f>[2]Districts_Boroughs!CT154</f>
        <v>69</v>
      </c>
      <c r="BK67" s="79">
        <f>[2]Districts_Boroughs!CU154</f>
        <v>64</v>
      </c>
      <c r="BL67" s="79">
        <f>[2]Districts_Boroughs!CV154</f>
        <v>64</v>
      </c>
      <c r="BM67" s="79">
        <f>[2]Districts_Boroughs!CW154</f>
        <v>69</v>
      </c>
      <c r="BN67" s="79">
        <f>[2]Districts_Boroughs!CX154</f>
        <v>94</v>
      </c>
      <c r="BO67" s="79">
        <f>[2]Districts_Boroughs!CY154</f>
        <v>66</v>
      </c>
      <c r="BP67" s="79">
        <f>[2]Districts_Boroughs!CZ154</f>
        <v>56</v>
      </c>
      <c r="BQ67" s="79">
        <f>[2]Districts_Boroughs!DA154</f>
        <v>58</v>
      </c>
      <c r="BR67" s="79">
        <f>[2]Districts_Boroughs!DB154</f>
        <v>61</v>
      </c>
      <c r="BS67" s="79">
        <f>[2]Districts_Boroughs!DC154</f>
        <v>58</v>
      </c>
      <c r="BT67" s="79">
        <f>[2]Districts_Boroughs!DD154</f>
        <v>68</v>
      </c>
      <c r="BU67" s="79">
        <f>[2]Districts_Boroughs!DE154</f>
        <v>58</v>
      </c>
      <c r="BV67" s="79">
        <f>[2]Districts_Boroughs!DF154</f>
        <v>77</v>
      </c>
      <c r="BW67" s="79">
        <f>[2]Districts_Boroughs!DG154</f>
        <v>74</v>
      </c>
      <c r="BX67" s="79">
        <f>[2]Districts_Boroughs!DH154</f>
        <v>97</v>
      </c>
      <c r="BY67" s="79">
        <f>[2]Districts_Boroughs!DI154</f>
        <v>81</v>
      </c>
      <c r="BZ67" s="79">
        <f>[2]Districts_Boroughs!DJ154</f>
        <v>79</v>
      </c>
      <c r="CA67" s="79">
        <f>[2]Districts_Boroughs!DK154</f>
        <v>70</v>
      </c>
      <c r="CB67" s="79">
        <f>[2]Districts_Boroughs!DL154</f>
        <v>72</v>
      </c>
      <c r="CC67" s="79">
        <f>[2]Districts_Boroughs!DM154</f>
        <v>70</v>
      </c>
      <c r="CD67" s="79">
        <f>[2]Districts_Boroughs!DN154</f>
        <v>69</v>
      </c>
      <c r="CE67" s="79">
        <f>[2]Districts_Boroughs!DO154</f>
        <v>58</v>
      </c>
      <c r="CF67" s="79">
        <f>[2]Districts_Boroughs!DP154</f>
        <v>83</v>
      </c>
      <c r="CG67" s="79">
        <f>[2]Districts_Boroughs!DQ154</f>
        <v>69</v>
      </c>
      <c r="CH67" s="79">
        <f>[2]Districts_Boroughs!DR154</f>
        <v>72</v>
      </c>
      <c r="CI67" s="79">
        <f>[2]Districts_Boroughs!DS154</f>
        <v>81</v>
      </c>
      <c r="CJ67" s="79">
        <f>[2]Districts_Boroughs!DT154</f>
        <v>76</v>
      </c>
      <c r="CK67" s="79">
        <f>[2]Districts_Boroughs!DU154</f>
        <v>95</v>
      </c>
      <c r="CL67" s="79">
        <f>[2]Districts_Boroughs!DV154</f>
        <v>71</v>
      </c>
      <c r="CM67" s="79">
        <f>[2]Districts_Boroughs!DW154</f>
        <v>65</v>
      </c>
      <c r="CN67" s="79">
        <f>[2]Districts_Boroughs!DX154</f>
        <v>83</v>
      </c>
      <c r="CO67" s="79">
        <f>[2]Districts_Boroughs!DY154</f>
        <v>69</v>
      </c>
      <c r="CP67" s="79">
        <f>[2]Districts_Boroughs!DZ154</f>
        <v>65</v>
      </c>
      <c r="CQ67" s="79">
        <f>[2]Districts_Boroughs!EA154</f>
        <v>82</v>
      </c>
      <c r="CR67" s="79">
        <f>[2]Districts_Boroughs!EB154</f>
        <v>55</v>
      </c>
      <c r="CS67" s="79">
        <f>[2]Districts_Boroughs!EC154</f>
        <v>55</v>
      </c>
    </row>
    <row r="68" spans="1:97" x14ac:dyDescent="0.35">
      <c r="A68" s="78" t="s">
        <v>40</v>
      </c>
      <c r="B68" s="79">
        <f>[2]Districts_Boroughs!AL155</f>
        <v>98</v>
      </c>
      <c r="C68" s="79">
        <f>[2]Districts_Boroughs!AM155</f>
        <v>108</v>
      </c>
      <c r="D68" s="79">
        <f>[2]Districts_Boroughs!AN155</f>
        <v>111</v>
      </c>
      <c r="E68" s="79">
        <f>[2]Districts_Boroughs!AO155</f>
        <v>108</v>
      </c>
      <c r="F68" s="79">
        <f>[2]Districts_Boroughs!AP155</f>
        <v>98</v>
      </c>
      <c r="G68" s="79">
        <f>[2]Districts_Boroughs!AQ155</f>
        <v>96</v>
      </c>
      <c r="H68" s="79">
        <f>[2]Districts_Boroughs!AR155</f>
        <v>87</v>
      </c>
      <c r="I68" s="79">
        <f>[2]Districts_Boroughs!AS155</f>
        <v>102</v>
      </c>
      <c r="J68" s="79">
        <f>[2]Districts_Boroughs!AT155</f>
        <v>103</v>
      </c>
      <c r="K68" s="79">
        <f>[2]Districts_Boroughs!AU155</f>
        <v>96</v>
      </c>
      <c r="L68" s="79">
        <f>[2]Districts_Boroughs!AV155</f>
        <v>94</v>
      </c>
      <c r="M68" s="79">
        <f>[2]Districts_Boroughs!AW155</f>
        <v>110</v>
      </c>
      <c r="N68" s="79">
        <f>[2]Districts_Boroughs!AX155</f>
        <v>105</v>
      </c>
      <c r="O68" s="79">
        <f>[2]Districts_Boroughs!AY155</f>
        <v>101</v>
      </c>
      <c r="P68" s="79">
        <f>[2]Districts_Boroughs!AZ155</f>
        <v>106</v>
      </c>
      <c r="Q68" s="79">
        <f>[2]Districts_Boroughs!BA155</f>
        <v>154</v>
      </c>
      <c r="R68" s="79">
        <f>[2]Districts_Boroughs!BB155</f>
        <v>122</v>
      </c>
      <c r="S68" s="79">
        <f>[2]Districts_Boroughs!BC155</f>
        <v>114</v>
      </c>
      <c r="T68" s="79">
        <f>[2]Districts_Boroughs!BD155</f>
        <v>96</v>
      </c>
      <c r="U68" s="79">
        <f>[2]Districts_Boroughs!BE155</f>
        <v>129</v>
      </c>
      <c r="V68" s="79">
        <f>[2]Districts_Boroughs!BF155</f>
        <v>117</v>
      </c>
      <c r="W68" s="79">
        <f>[2]Districts_Boroughs!BG155</f>
        <v>112</v>
      </c>
      <c r="X68" s="79">
        <f>[2]Districts_Boroughs!BH155</f>
        <v>100</v>
      </c>
      <c r="Y68" s="79">
        <f>[2]Districts_Boroughs!BI155</f>
        <v>136</v>
      </c>
      <c r="Z68" s="79">
        <f>[2]Districts_Boroughs!BJ155</f>
        <v>130</v>
      </c>
      <c r="AA68" s="79">
        <f>[2]Districts_Boroughs!BK155</f>
        <v>118</v>
      </c>
      <c r="AB68" s="79">
        <f>[2]Districts_Boroughs!BL155</f>
        <v>149</v>
      </c>
      <c r="AC68" s="79">
        <f>[2]Districts_Boroughs!BM155</f>
        <v>143</v>
      </c>
      <c r="AD68" s="79">
        <f>[2]Districts_Boroughs!BN155</f>
        <v>140</v>
      </c>
      <c r="AE68" s="79">
        <f>[2]Districts_Boroughs!BO155</f>
        <v>136</v>
      </c>
      <c r="AF68" s="79">
        <f>[2]Districts_Boroughs!BP155</f>
        <v>130</v>
      </c>
      <c r="AG68" s="79">
        <f>[2]Districts_Boroughs!BQ155</f>
        <v>135</v>
      </c>
      <c r="AH68" s="79">
        <f>[2]Districts_Boroughs!BR155</f>
        <v>137</v>
      </c>
      <c r="AI68" s="79">
        <f>[2]Districts_Boroughs!BS155</f>
        <v>132</v>
      </c>
      <c r="AJ68" s="79">
        <f>[2]Districts_Boroughs!BT155</f>
        <v>129</v>
      </c>
      <c r="AK68" s="79">
        <f>[2]Districts_Boroughs!BU155</f>
        <v>157</v>
      </c>
      <c r="AL68" s="79">
        <f>[2]Districts_Boroughs!BV155</f>
        <v>120</v>
      </c>
      <c r="AM68" s="79">
        <f>[2]Districts_Boroughs!BW155</f>
        <v>138</v>
      </c>
      <c r="AN68" s="79">
        <f>[2]Districts_Boroughs!BX155</f>
        <v>178</v>
      </c>
      <c r="AO68" s="79">
        <f>[2]Districts_Boroughs!BY155</f>
        <v>144</v>
      </c>
      <c r="AP68" s="79">
        <f>[2]Districts_Boroughs!BZ155</f>
        <v>160</v>
      </c>
      <c r="AQ68" s="79">
        <f>[2]Districts_Boroughs!CA155</f>
        <v>153</v>
      </c>
      <c r="AR68" s="79">
        <f>[2]Districts_Boroughs!CB155</f>
        <v>188</v>
      </c>
      <c r="AS68" s="79">
        <f>[2]Districts_Boroughs!CC155</f>
        <v>158</v>
      </c>
      <c r="AT68" s="79">
        <f>[2]Districts_Boroughs!CD155</f>
        <v>120</v>
      </c>
      <c r="AU68" s="79">
        <f>[2]Districts_Boroughs!CE155</f>
        <v>124</v>
      </c>
      <c r="AV68" s="79">
        <f>[2]Districts_Boroughs!CF155</f>
        <v>144</v>
      </c>
      <c r="AW68" s="79">
        <f>[2]Districts_Boroughs!CG155</f>
        <v>137</v>
      </c>
      <c r="AX68" s="79">
        <f>[2]Districts_Boroughs!CH155</f>
        <v>162</v>
      </c>
      <c r="AY68" s="79">
        <f>[2]Districts_Boroughs!CI155</f>
        <v>165</v>
      </c>
      <c r="AZ68" s="79">
        <f>[2]Districts_Boroughs!CJ155</f>
        <v>160</v>
      </c>
      <c r="BA68" s="79">
        <f>[2]Districts_Boroughs!CK155</f>
        <v>205</v>
      </c>
      <c r="BB68" s="79">
        <f>[2]Districts_Boroughs!CL155</f>
        <v>172</v>
      </c>
      <c r="BC68" s="79">
        <f>[2]Districts_Boroughs!CM155</f>
        <v>153</v>
      </c>
      <c r="BD68" s="79">
        <f>[2]Districts_Boroughs!CN155</f>
        <v>170</v>
      </c>
      <c r="BE68" s="79">
        <f>[2]Districts_Boroughs!CO155</f>
        <v>142</v>
      </c>
      <c r="BF68" s="79">
        <f>[2]Districts_Boroughs!CP155</f>
        <v>162</v>
      </c>
      <c r="BG68" s="79">
        <f>[2]Districts_Boroughs!CQ155</f>
        <v>140</v>
      </c>
      <c r="BH68" s="79">
        <f>[2]Districts_Boroughs!CR155</f>
        <v>133</v>
      </c>
      <c r="BI68" s="79">
        <f>[2]Districts_Boroughs!CS155</f>
        <v>176</v>
      </c>
      <c r="BJ68" s="79">
        <f>[2]Districts_Boroughs!CT155</f>
        <v>135</v>
      </c>
      <c r="BK68" s="79">
        <f>[2]Districts_Boroughs!CU155</f>
        <v>162</v>
      </c>
      <c r="BL68" s="79">
        <f>[2]Districts_Boroughs!CV155</f>
        <v>154</v>
      </c>
      <c r="BM68" s="79">
        <f>[2]Districts_Boroughs!CW155</f>
        <v>188</v>
      </c>
      <c r="BN68" s="79">
        <f>[2]Districts_Boroughs!CX155</f>
        <v>134</v>
      </c>
      <c r="BO68" s="79">
        <f>[2]Districts_Boroughs!CY155</f>
        <v>147</v>
      </c>
      <c r="BP68" s="79">
        <f>[2]Districts_Boroughs!CZ155</f>
        <v>173</v>
      </c>
      <c r="BQ68" s="79">
        <f>[2]Districts_Boroughs!DA155</f>
        <v>152</v>
      </c>
      <c r="BR68" s="79">
        <f>[2]Districts_Boroughs!DB155</f>
        <v>145</v>
      </c>
      <c r="BS68" s="79">
        <f>[2]Districts_Boroughs!DC155</f>
        <v>139</v>
      </c>
      <c r="BT68" s="79">
        <f>[2]Districts_Boroughs!DD155</f>
        <v>136</v>
      </c>
      <c r="BU68" s="79">
        <f>[2]Districts_Boroughs!DE155</f>
        <v>187</v>
      </c>
      <c r="BV68" s="79">
        <f>[2]Districts_Boroughs!DF155</f>
        <v>148</v>
      </c>
      <c r="BW68" s="79">
        <f>[2]Districts_Boroughs!DG155</f>
        <v>125</v>
      </c>
      <c r="BX68" s="79">
        <f>[2]Districts_Boroughs!DH155</f>
        <v>173</v>
      </c>
      <c r="BY68" s="79">
        <f>[2]Districts_Boroughs!DI155</f>
        <v>145</v>
      </c>
      <c r="BZ68" s="79">
        <f>[2]Districts_Boroughs!DJ155</f>
        <v>148</v>
      </c>
      <c r="CA68" s="79">
        <f>[2]Districts_Boroughs!DK155</f>
        <v>175</v>
      </c>
      <c r="CB68" s="79">
        <f>[2]Districts_Boroughs!DL155</f>
        <v>172</v>
      </c>
      <c r="CC68" s="79">
        <f>[2]Districts_Boroughs!DM155</f>
        <v>159</v>
      </c>
      <c r="CD68" s="79">
        <f>[2]Districts_Boroughs!DN155</f>
        <v>162</v>
      </c>
      <c r="CE68" s="79">
        <f>[2]Districts_Boroughs!DO155</f>
        <v>157</v>
      </c>
      <c r="CF68" s="79">
        <f>[2]Districts_Boroughs!DP155</f>
        <v>157</v>
      </c>
      <c r="CG68" s="79">
        <f>[2]Districts_Boroughs!DQ155</f>
        <v>143</v>
      </c>
      <c r="CH68" s="79">
        <f>[2]Districts_Boroughs!DR155</f>
        <v>153</v>
      </c>
      <c r="CI68" s="79">
        <f>[2]Districts_Boroughs!DS155</f>
        <v>160</v>
      </c>
      <c r="CJ68" s="79">
        <f>[2]Districts_Boroughs!DT155</f>
        <v>163</v>
      </c>
      <c r="CK68" s="79">
        <f>[2]Districts_Boroughs!DU155</f>
        <v>164</v>
      </c>
      <c r="CL68" s="79">
        <f>[2]Districts_Boroughs!DV155</f>
        <v>147</v>
      </c>
      <c r="CM68" s="79">
        <f>[2]Districts_Boroughs!DW155</f>
        <v>135</v>
      </c>
      <c r="CN68" s="79">
        <f>[2]Districts_Boroughs!DX155</f>
        <v>156</v>
      </c>
      <c r="CO68" s="79">
        <f>[2]Districts_Boroughs!DY155</f>
        <v>152</v>
      </c>
      <c r="CP68" s="79">
        <f>[2]Districts_Boroughs!DZ155</f>
        <v>138</v>
      </c>
      <c r="CQ68" s="79">
        <f>[2]Districts_Boroughs!EA155</f>
        <v>127</v>
      </c>
      <c r="CR68" s="79">
        <f>[2]Districts_Boroughs!EB155</f>
        <v>170</v>
      </c>
      <c r="CS68" s="79">
        <f>[2]Districts_Boroughs!EC155</f>
        <v>158</v>
      </c>
    </row>
    <row r="69" spans="1:97" x14ac:dyDescent="0.35">
      <c r="A69" s="78" t="s">
        <v>5</v>
      </c>
      <c r="B69" s="79">
        <f>[2]Districts_Boroughs!AL156</f>
        <v>6</v>
      </c>
      <c r="C69" s="79">
        <f>[2]Districts_Boroughs!AM156</f>
        <v>18</v>
      </c>
      <c r="D69" s="79">
        <f>[2]Districts_Boroughs!AN156</f>
        <v>8</v>
      </c>
      <c r="E69" s="79">
        <f>[2]Districts_Boroughs!AO156</f>
        <v>10</v>
      </c>
      <c r="F69" s="79">
        <f>[2]Districts_Boroughs!AP156</f>
        <v>7</v>
      </c>
      <c r="G69" s="79">
        <f>[2]Districts_Boroughs!AQ156</f>
        <v>6</v>
      </c>
      <c r="H69" s="79">
        <f>[2]Districts_Boroughs!AR156</f>
        <v>7</v>
      </c>
      <c r="I69" s="79">
        <f>[2]Districts_Boroughs!AS156</f>
        <v>9</v>
      </c>
      <c r="J69" s="79">
        <f>[2]Districts_Boroughs!AT156</f>
        <v>5</v>
      </c>
      <c r="K69" s="79">
        <f>[2]Districts_Boroughs!AU156</f>
        <v>5</v>
      </c>
      <c r="L69" s="79">
        <f>[2]Districts_Boroughs!AV156</f>
        <v>5</v>
      </c>
      <c r="M69" s="79">
        <f>[2]Districts_Boroughs!AW156</f>
        <v>8</v>
      </c>
      <c r="N69" s="79">
        <f>[2]Districts_Boroughs!AX156</f>
        <v>5</v>
      </c>
      <c r="O69" s="79">
        <f>[2]Districts_Boroughs!AY156</f>
        <v>9</v>
      </c>
      <c r="P69" s="79">
        <f>[2]Districts_Boroughs!AZ156</f>
        <v>10</v>
      </c>
      <c r="Q69" s="79">
        <f>[2]Districts_Boroughs!BA156</f>
        <v>5</v>
      </c>
      <c r="R69" s="79">
        <f>[2]Districts_Boroughs!BB156</f>
        <v>6</v>
      </c>
      <c r="S69" s="79">
        <f>[2]Districts_Boroughs!BC156</f>
        <v>4</v>
      </c>
      <c r="T69" s="79">
        <f>[2]Districts_Boroughs!BD156</f>
        <v>3</v>
      </c>
      <c r="U69" s="79">
        <f>[2]Districts_Boroughs!BE156</f>
        <v>1</v>
      </c>
      <c r="V69" s="79">
        <f>[2]Districts_Boroughs!BF156</f>
        <v>5</v>
      </c>
      <c r="W69" s="79">
        <f>[2]Districts_Boroughs!BG156</f>
        <v>4</v>
      </c>
      <c r="X69" s="79">
        <f>[2]Districts_Boroughs!BH156</f>
        <v>4</v>
      </c>
      <c r="Y69" s="79">
        <f>[2]Districts_Boroughs!BI156</f>
        <v>7</v>
      </c>
      <c r="Z69" s="79">
        <f>[2]Districts_Boroughs!BJ156</f>
        <v>7</v>
      </c>
      <c r="AA69" s="79">
        <f>[2]Districts_Boroughs!BK156</f>
        <v>9</v>
      </c>
      <c r="AB69" s="79">
        <f>[2]Districts_Boroughs!BL156</f>
        <v>7</v>
      </c>
      <c r="AC69" s="79">
        <f>[2]Districts_Boroughs!BM156</f>
        <v>8</v>
      </c>
      <c r="AD69" s="79">
        <f>[2]Districts_Boroughs!BN156</f>
        <v>14</v>
      </c>
      <c r="AE69" s="79">
        <f>[2]Districts_Boroughs!BO156</f>
        <v>11</v>
      </c>
      <c r="AF69" s="79">
        <f>[2]Districts_Boroughs!BP156</f>
        <v>10</v>
      </c>
      <c r="AG69" s="79">
        <f>[2]Districts_Boroughs!BQ156</f>
        <v>4</v>
      </c>
      <c r="AH69" s="79">
        <f>[2]Districts_Boroughs!BR156</f>
        <v>7</v>
      </c>
      <c r="AI69" s="79">
        <f>[2]Districts_Boroughs!BS156</f>
        <v>4</v>
      </c>
      <c r="AJ69" s="79">
        <f>[2]Districts_Boroughs!BT156</f>
        <v>9</v>
      </c>
      <c r="AK69" s="79">
        <f>[2]Districts_Boroughs!BU156</f>
        <v>3</v>
      </c>
      <c r="AL69" s="79">
        <f>[2]Districts_Boroughs!BV156</f>
        <v>2</v>
      </c>
      <c r="AM69" s="79">
        <f>[2]Districts_Boroughs!BW156</f>
        <v>2</v>
      </c>
      <c r="AN69" s="79">
        <f>[2]Districts_Boroughs!BX156</f>
        <v>5</v>
      </c>
      <c r="AO69" s="79">
        <f>[2]Districts_Boroughs!BY156</f>
        <v>5</v>
      </c>
      <c r="AP69" s="79">
        <f>[2]Districts_Boroughs!BZ156</f>
        <v>7</v>
      </c>
      <c r="AQ69" s="79">
        <f>[2]Districts_Boroughs!CA156</f>
        <v>2</v>
      </c>
      <c r="AR69" s="79">
        <f>[2]Districts_Boroughs!CB156</f>
        <v>7</v>
      </c>
      <c r="AS69" s="79">
        <f>[2]Districts_Boroughs!CC156</f>
        <v>7</v>
      </c>
      <c r="AT69" s="79">
        <f>[2]Districts_Boroughs!CD156</f>
        <v>6</v>
      </c>
      <c r="AU69" s="79">
        <f>[2]Districts_Boroughs!CE156</f>
        <v>6</v>
      </c>
      <c r="AV69" s="79">
        <f>[2]Districts_Boroughs!CF156</f>
        <v>4</v>
      </c>
      <c r="AW69" s="79">
        <f>[2]Districts_Boroughs!CG156</f>
        <v>7</v>
      </c>
      <c r="AX69" s="79">
        <f>[2]Districts_Boroughs!CH156</f>
        <v>9</v>
      </c>
      <c r="AY69" s="79">
        <f>[2]Districts_Boroughs!CI156</f>
        <v>2</v>
      </c>
      <c r="AZ69" s="79">
        <f>[2]Districts_Boroughs!CJ156</f>
        <v>6</v>
      </c>
      <c r="BA69" s="79">
        <f>[2]Districts_Boroughs!CK156</f>
        <v>14</v>
      </c>
      <c r="BB69" s="79">
        <f>[2]Districts_Boroughs!CL156</f>
        <v>13</v>
      </c>
      <c r="BC69" s="79">
        <f>[2]Districts_Boroughs!CM156</f>
        <v>7</v>
      </c>
      <c r="BD69" s="79">
        <f>[2]Districts_Boroughs!CN156</f>
        <v>3</v>
      </c>
      <c r="BE69" s="79">
        <f>[2]Districts_Boroughs!CO156</f>
        <v>7</v>
      </c>
      <c r="BF69" s="79">
        <f>[2]Districts_Boroughs!CP156</f>
        <v>5</v>
      </c>
      <c r="BG69" s="79">
        <f>[2]Districts_Boroughs!CQ156</f>
        <v>9</v>
      </c>
      <c r="BH69" s="79">
        <f>[2]Districts_Boroughs!CR156</f>
        <v>7</v>
      </c>
      <c r="BI69" s="79">
        <f>[2]Districts_Boroughs!CS156</f>
        <v>10</v>
      </c>
      <c r="BJ69" s="79">
        <f>[2]Districts_Boroughs!CT156</f>
        <v>6</v>
      </c>
      <c r="BK69" s="79">
        <f>[2]Districts_Boroughs!CU156</f>
        <v>5</v>
      </c>
      <c r="BL69" s="79">
        <f>[2]Districts_Boroughs!CV156</f>
        <v>7</v>
      </c>
      <c r="BM69" s="79">
        <f>[2]Districts_Boroughs!CW156</f>
        <v>1</v>
      </c>
      <c r="BN69" s="79">
        <f>[2]Districts_Boroughs!CX156</f>
        <v>4</v>
      </c>
      <c r="BO69" s="79">
        <f>[2]Districts_Boroughs!CY156</f>
        <v>5</v>
      </c>
      <c r="BP69" s="79">
        <f>[2]Districts_Boroughs!CZ156</f>
        <v>8</v>
      </c>
      <c r="BQ69" s="79">
        <f>[2]Districts_Boroughs!DA156</f>
        <v>9</v>
      </c>
      <c r="BR69" s="79">
        <f>[2]Districts_Boroughs!DB156</f>
        <v>18</v>
      </c>
      <c r="BS69" s="79">
        <f>[2]Districts_Boroughs!DC156</f>
        <v>6</v>
      </c>
      <c r="BT69" s="79">
        <f>[2]Districts_Boroughs!DD156</f>
        <v>8</v>
      </c>
      <c r="BU69" s="79">
        <f>[2]Districts_Boroughs!DE156</f>
        <v>17</v>
      </c>
      <c r="BV69" s="79">
        <f>[2]Districts_Boroughs!DF156</f>
        <v>4</v>
      </c>
      <c r="BW69" s="79">
        <f>[2]Districts_Boroughs!DG156</f>
        <v>4</v>
      </c>
      <c r="BX69" s="79">
        <f>[2]Districts_Boroughs!DH156</f>
        <v>8</v>
      </c>
      <c r="BY69" s="79">
        <f>[2]Districts_Boroughs!DI156</f>
        <v>6</v>
      </c>
      <c r="BZ69" s="79">
        <f>[2]Districts_Boroughs!DJ156</f>
        <v>12</v>
      </c>
      <c r="CA69" s="79">
        <f>[2]Districts_Boroughs!DK156</f>
        <v>13</v>
      </c>
      <c r="CB69" s="79">
        <f>[2]Districts_Boroughs!DL156</f>
        <v>8</v>
      </c>
      <c r="CC69" s="79">
        <f>[2]Districts_Boroughs!DM156</f>
        <v>12</v>
      </c>
      <c r="CD69" s="79">
        <f>[2]Districts_Boroughs!DN156</f>
        <v>7</v>
      </c>
      <c r="CE69" s="79">
        <f>[2]Districts_Boroughs!DO156</f>
        <v>8</v>
      </c>
      <c r="CF69" s="79">
        <f>[2]Districts_Boroughs!DP156</f>
        <v>8</v>
      </c>
      <c r="CG69" s="79">
        <f>[2]Districts_Boroughs!DQ156</f>
        <v>8</v>
      </c>
      <c r="CH69" s="79">
        <f>[2]Districts_Boroughs!DR156</f>
        <v>6</v>
      </c>
      <c r="CI69" s="79">
        <f>[2]Districts_Boroughs!DS156</f>
        <v>9</v>
      </c>
      <c r="CJ69" s="79">
        <f>[2]Districts_Boroughs!DT156</f>
        <v>8</v>
      </c>
      <c r="CK69" s="79">
        <f>[2]Districts_Boroughs!DU156</f>
        <v>6</v>
      </c>
      <c r="CL69" s="79">
        <f>[2]Districts_Boroughs!DV156</f>
        <v>8</v>
      </c>
      <c r="CM69" s="79">
        <f>[2]Districts_Boroughs!DW156</f>
        <v>2</v>
      </c>
      <c r="CN69" s="79">
        <f>[2]Districts_Boroughs!DX156</f>
        <v>15</v>
      </c>
      <c r="CO69" s="79">
        <f>[2]Districts_Boroughs!DY156</f>
        <v>9</v>
      </c>
      <c r="CP69" s="79">
        <f>[2]Districts_Boroughs!DZ156</f>
        <v>9</v>
      </c>
      <c r="CQ69" s="79">
        <f>[2]Districts_Boroughs!EA156</f>
        <v>11</v>
      </c>
      <c r="CR69" s="79">
        <f>[2]Districts_Boroughs!EB156</f>
        <v>5</v>
      </c>
      <c r="CS69" s="79">
        <f>[2]Districts_Boroughs!EC156</f>
        <v>5</v>
      </c>
    </row>
    <row r="70" spans="1:97" x14ac:dyDescent="0.35">
      <c r="A70" s="78" t="s">
        <v>35</v>
      </c>
      <c r="B70" s="79">
        <f>[2]Districts_Boroughs!AL157</f>
        <v>20</v>
      </c>
      <c r="C70" s="79">
        <f>[2]Districts_Boroughs!AM157</f>
        <v>20</v>
      </c>
      <c r="D70" s="79">
        <f>[2]Districts_Boroughs!AN157</f>
        <v>13</v>
      </c>
      <c r="E70" s="79">
        <f>[2]Districts_Boroughs!AO157</f>
        <v>17</v>
      </c>
      <c r="F70" s="79">
        <f>[2]Districts_Boroughs!AP157</f>
        <v>15</v>
      </c>
      <c r="G70" s="79">
        <f>[2]Districts_Boroughs!AQ157</f>
        <v>15</v>
      </c>
      <c r="H70" s="79">
        <f>[2]Districts_Boroughs!AR157</f>
        <v>17</v>
      </c>
      <c r="I70" s="79">
        <f>[2]Districts_Boroughs!AS157</f>
        <v>19</v>
      </c>
      <c r="J70" s="79">
        <f>[2]Districts_Boroughs!AT157</f>
        <v>10</v>
      </c>
      <c r="K70" s="79">
        <f>[2]Districts_Boroughs!AU157</f>
        <v>18</v>
      </c>
      <c r="L70" s="79">
        <f>[2]Districts_Boroughs!AV157</f>
        <v>10</v>
      </c>
      <c r="M70" s="79">
        <f>[2]Districts_Boroughs!AW157</f>
        <v>15</v>
      </c>
      <c r="N70" s="79">
        <f>[2]Districts_Boroughs!AX157</f>
        <v>14</v>
      </c>
      <c r="O70" s="79">
        <f>[2]Districts_Boroughs!AY157</f>
        <v>10</v>
      </c>
      <c r="P70" s="79">
        <f>[2]Districts_Boroughs!AZ157</f>
        <v>12</v>
      </c>
      <c r="Q70" s="79">
        <f>[2]Districts_Boroughs!BA157</f>
        <v>16</v>
      </c>
      <c r="R70" s="79">
        <f>[2]Districts_Boroughs!BB157</f>
        <v>17</v>
      </c>
      <c r="S70" s="79">
        <f>[2]Districts_Boroughs!BC157</f>
        <v>22</v>
      </c>
      <c r="T70" s="79">
        <f>[2]Districts_Boroughs!BD157</f>
        <v>16</v>
      </c>
      <c r="U70" s="79">
        <f>[2]Districts_Boroughs!BE157</f>
        <v>9</v>
      </c>
      <c r="V70" s="79">
        <f>[2]Districts_Boroughs!BF157</f>
        <v>15</v>
      </c>
      <c r="W70" s="79">
        <f>[2]Districts_Boroughs!BG157</f>
        <v>12</v>
      </c>
      <c r="X70" s="79">
        <f>[2]Districts_Boroughs!BH157</f>
        <v>12</v>
      </c>
      <c r="Y70" s="79">
        <f>[2]Districts_Boroughs!BI157</f>
        <v>9</v>
      </c>
      <c r="Z70" s="79">
        <f>[2]Districts_Boroughs!BJ157</f>
        <v>15</v>
      </c>
      <c r="AA70" s="79">
        <f>[2]Districts_Boroughs!BK157</f>
        <v>15</v>
      </c>
      <c r="AB70" s="79">
        <f>[2]Districts_Boroughs!BL157</f>
        <v>7</v>
      </c>
      <c r="AC70" s="79">
        <f>[2]Districts_Boroughs!BM157</f>
        <v>20</v>
      </c>
      <c r="AD70" s="79">
        <f>[2]Districts_Boroughs!BN157</f>
        <v>12</v>
      </c>
      <c r="AE70" s="79">
        <f>[2]Districts_Boroughs!BO157</f>
        <v>12</v>
      </c>
      <c r="AF70" s="79">
        <f>[2]Districts_Boroughs!BP157</f>
        <v>9</v>
      </c>
      <c r="AG70" s="79">
        <f>[2]Districts_Boroughs!BQ157</f>
        <v>12</v>
      </c>
      <c r="AH70" s="79">
        <f>[2]Districts_Boroughs!BR157</f>
        <v>6</v>
      </c>
      <c r="AI70" s="79">
        <f>[2]Districts_Boroughs!BS157</f>
        <v>15</v>
      </c>
      <c r="AJ70" s="79">
        <f>[2]Districts_Boroughs!BT157</f>
        <v>18</v>
      </c>
      <c r="AK70" s="79">
        <f>[2]Districts_Boroughs!BU157</f>
        <v>12</v>
      </c>
      <c r="AL70" s="79">
        <f>[2]Districts_Boroughs!BV157</f>
        <v>7</v>
      </c>
      <c r="AM70" s="79">
        <f>[2]Districts_Boroughs!BW157</f>
        <v>15</v>
      </c>
      <c r="AN70" s="79">
        <f>[2]Districts_Boroughs!BX157</f>
        <v>12</v>
      </c>
      <c r="AO70" s="79">
        <f>[2]Districts_Boroughs!BY157</f>
        <v>11</v>
      </c>
      <c r="AP70" s="79">
        <f>[2]Districts_Boroughs!BZ157</f>
        <v>14</v>
      </c>
      <c r="AQ70" s="79">
        <f>[2]Districts_Boroughs!CA157</f>
        <v>14</v>
      </c>
      <c r="AR70" s="79">
        <f>[2]Districts_Boroughs!CB157</f>
        <v>10</v>
      </c>
      <c r="AS70" s="79">
        <f>[2]Districts_Boroughs!CC157</f>
        <v>12</v>
      </c>
      <c r="AT70" s="79">
        <f>[2]Districts_Boroughs!CD157</f>
        <v>10</v>
      </c>
      <c r="AU70" s="79">
        <f>[2]Districts_Boroughs!CE157</f>
        <v>11</v>
      </c>
      <c r="AV70" s="79">
        <f>[2]Districts_Boroughs!CF157</f>
        <v>6</v>
      </c>
      <c r="AW70" s="79">
        <f>[2]Districts_Boroughs!CG157</f>
        <v>14</v>
      </c>
      <c r="AX70" s="79">
        <f>[2]Districts_Boroughs!CH157</f>
        <v>11</v>
      </c>
      <c r="AY70" s="79">
        <f>[2]Districts_Boroughs!CI157</f>
        <v>12</v>
      </c>
      <c r="AZ70" s="79">
        <f>[2]Districts_Boroughs!CJ157</f>
        <v>11</v>
      </c>
      <c r="BA70" s="79">
        <f>[2]Districts_Boroughs!CK157</f>
        <v>13</v>
      </c>
      <c r="BB70" s="79">
        <f>[2]Districts_Boroughs!CL157</f>
        <v>12</v>
      </c>
      <c r="BC70" s="79">
        <f>[2]Districts_Boroughs!CM157</f>
        <v>10</v>
      </c>
      <c r="BD70" s="79">
        <f>[2]Districts_Boroughs!CN157</f>
        <v>9</v>
      </c>
      <c r="BE70" s="79">
        <f>[2]Districts_Boroughs!CO157</f>
        <v>14</v>
      </c>
      <c r="BF70" s="79">
        <f>[2]Districts_Boroughs!CP157</f>
        <v>8</v>
      </c>
      <c r="BG70" s="79">
        <f>[2]Districts_Boroughs!CQ157</f>
        <v>18</v>
      </c>
      <c r="BH70" s="79">
        <f>[2]Districts_Boroughs!CR157</f>
        <v>15</v>
      </c>
      <c r="BI70" s="79">
        <f>[2]Districts_Boroughs!CS157</f>
        <v>19</v>
      </c>
      <c r="BJ70" s="79">
        <f>[2]Districts_Boroughs!CT157</f>
        <v>10</v>
      </c>
      <c r="BK70" s="79">
        <f>[2]Districts_Boroughs!CU157</f>
        <v>22</v>
      </c>
      <c r="BL70" s="79">
        <f>[2]Districts_Boroughs!CV157</f>
        <v>12</v>
      </c>
      <c r="BM70" s="79">
        <f>[2]Districts_Boroughs!CW157</f>
        <v>20</v>
      </c>
      <c r="BN70" s="79">
        <f>[2]Districts_Boroughs!CX157</f>
        <v>17</v>
      </c>
      <c r="BO70" s="79">
        <f>[2]Districts_Boroughs!CY157</f>
        <v>12</v>
      </c>
      <c r="BP70" s="79">
        <f>[2]Districts_Boroughs!CZ157</f>
        <v>15</v>
      </c>
      <c r="BQ70" s="79">
        <f>[2]Districts_Boroughs!DA157</f>
        <v>15</v>
      </c>
      <c r="BR70" s="79">
        <f>[2]Districts_Boroughs!DB157</f>
        <v>18</v>
      </c>
      <c r="BS70" s="79">
        <f>[2]Districts_Boroughs!DC157</f>
        <v>17</v>
      </c>
      <c r="BT70" s="79">
        <f>[2]Districts_Boroughs!DD157</f>
        <v>19</v>
      </c>
      <c r="BU70" s="79">
        <f>[2]Districts_Boroughs!DE157</f>
        <v>20</v>
      </c>
      <c r="BV70" s="79">
        <f>[2]Districts_Boroughs!DF157</f>
        <v>14</v>
      </c>
      <c r="BW70" s="79">
        <f>[2]Districts_Boroughs!DG157</f>
        <v>17</v>
      </c>
      <c r="BX70" s="79">
        <f>[2]Districts_Boroughs!DH157</f>
        <v>15</v>
      </c>
      <c r="BY70" s="79">
        <f>[2]Districts_Boroughs!DI157</f>
        <v>14</v>
      </c>
      <c r="BZ70" s="79">
        <f>[2]Districts_Boroughs!DJ157</f>
        <v>18</v>
      </c>
      <c r="CA70" s="79">
        <f>[2]Districts_Boroughs!DK157</f>
        <v>20</v>
      </c>
      <c r="CB70" s="79">
        <f>[2]Districts_Boroughs!DL157</f>
        <v>23</v>
      </c>
      <c r="CC70" s="79">
        <f>[2]Districts_Boroughs!DM157</f>
        <v>19</v>
      </c>
      <c r="CD70" s="79">
        <f>[2]Districts_Boroughs!DN157</f>
        <v>18</v>
      </c>
      <c r="CE70" s="79">
        <f>[2]Districts_Boroughs!DO157</f>
        <v>15</v>
      </c>
      <c r="CF70" s="79">
        <f>[2]Districts_Boroughs!DP157</f>
        <v>16</v>
      </c>
      <c r="CG70" s="79">
        <f>[2]Districts_Boroughs!DQ157</f>
        <v>19</v>
      </c>
      <c r="CH70" s="79">
        <f>[2]Districts_Boroughs!DR157</f>
        <v>16</v>
      </c>
      <c r="CI70" s="79">
        <f>[2]Districts_Boroughs!DS157</f>
        <v>15</v>
      </c>
      <c r="CJ70" s="79">
        <f>[2]Districts_Boroughs!DT157</f>
        <v>22</v>
      </c>
      <c r="CK70" s="79">
        <f>[2]Districts_Boroughs!DU157</f>
        <v>14</v>
      </c>
      <c r="CL70" s="79">
        <f>[2]Districts_Boroughs!DV157</f>
        <v>19</v>
      </c>
      <c r="CM70" s="79">
        <f>[2]Districts_Boroughs!DW157</f>
        <v>13</v>
      </c>
      <c r="CN70" s="79">
        <f>[2]Districts_Boroughs!DX157</f>
        <v>21</v>
      </c>
      <c r="CO70" s="79">
        <f>[2]Districts_Boroughs!DY157</f>
        <v>17</v>
      </c>
      <c r="CP70" s="79">
        <f>[2]Districts_Boroughs!DZ157</f>
        <v>25</v>
      </c>
      <c r="CQ70" s="79">
        <f>[2]Districts_Boroughs!EA157</f>
        <v>21</v>
      </c>
      <c r="CR70" s="79">
        <f>[2]Districts_Boroughs!EB157</f>
        <v>15</v>
      </c>
      <c r="CS70" s="79">
        <f>[2]Districts_Boroughs!EC157</f>
        <v>29</v>
      </c>
    </row>
    <row r="71" spans="1:97" x14ac:dyDescent="0.35">
      <c r="A71" s="80" t="s">
        <v>46</v>
      </c>
      <c r="B71" s="81">
        <f>[2]Districts_Boroughs!AL178</f>
        <v>0</v>
      </c>
      <c r="C71" s="81">
        <f>[2]Districts_Boroughs!AM178</f>
        <v>1</v>
      </c>
      <c r="D71" s="81">
        <f>[2]Districts_Boroughs!AN178</f>
        <v>1</v>
      </c>
      <c r="E71" s="81">
        <f>[2]Districts_Boroughs!AO178</f>
        <v>3</v>
      </c>
      <c r="F71" s="81">
        <f>[2]Districts_Boroughs!AP178</f>
        <v>2</v>
      </c>
      <c r="G71" s="81">
        <f>[2]Districts_Boroughs!AQ178</f>
        <v>0</v>
      </c>
      <c r="H71" s="81">
        <f>[2]Districts_Boroughs!AR178</f>
        <v>0</v>
      </c>
      <c r="I71" s="81">
        <f>[2]Districts_Boroughs!AS178</f>
        <v>0</v>
      </c>
      <c r="J71" s="81">
        <f>[2]Districts_Boroughs!AT178</f>
        <v>0</v>
      </c>
      <c r="K71" s="81">
        <f>[2]Districts_Boroughs!AU178</f>
        <v>2</v>
      </c>
      <c r="L71" s="81">
        <f>[2]Districts_Boroughs!AV178</f>
        <v>1</v>
      </c>
      <c r="M71" s="81">
        <f>[2]Districts_Boroughs!AW178</f>
        <v>2</v>
      </c>
      <c r="N71" s="81">
        <f>[2]Districts_Boroughs!AX178</f>
        <v>1</v>
      </c>
      <c r="O71" s="81">
        <f>[2]Districts_Boroughs!AY178</f>
        <v>0</v>
      </c>
      <c r="P71" s="81">
        <f>[2]Districts_Boroughs!AZ178</f>
        <v>0</v>
      </c>
      <c r="Q71" s="81">
        <f>[2]Districts_Boroughs!BA178</f>
        <v>0</v>
      </c>
      <c r="R71" s="81">
        <f>[2]Districts_Boroughs!BB178</f>
        <v>1</v>
      </c>
      <c r="S71" s="81">
        <f>[2]Districts_Boroughs!BC178</f>
        <v>0</v>
      </c>
      <c r="T71" s="81">
        <f>[2]Districts_Boroughs!BD178</f>
        <v>0</v>
      </c>
      <c r="U71" s="81">
        <f>[2]Districts_Boroughs!BE178</f>
        <v>1</v>
      </c>
      <c r="V71" s="81">
        <f>[2]Districts_Boroughs!BF178</f>
        <v>0</v>
      </c>
      <c r="W71" s="81">
        <f>[2]Districts_Boroughs!BG178</f>
        <v>0</v>
      </c>
      <c r="X71" s="81">
        <f>[2]Districts_Boroughs!BH178</f>
        <v>0</v>
      </c>
      <c r="Y71" s="81">
        <f>[2]Districts_Boroughs!BI178</f>
        <v>0</v>
      </c>
      <c r="Z71" s="81">
        <f>[2]Districts_Boroughs!BJ178</f>
        <v>0</v>
      </c>
      <c r="AA71" s="81">
        <f>[2]Districts_Boroughs!BK178</f>
        <v>0</v>
      </c>
      <c r="AB71" s="81">
        <f>[2]Districts_Boroughs!BL178</f>
        <v>2</v>
      </c>
      <c r="AC71" s="81">
        <f>[2]Districts_Boroughs!BM178</f>
        <v>1</v>
      </c>
      <c r="AD71" s="81">
        <f>[2]Districts_Boroughs!BN178</f>
        <v>0</v>
      </c>
      <c r="AE71" s="81">
        <f>[2]Districts_Boroughs!BO178</f>
        <v>0</v>
      </c>
      <c r="AF71" s="81">
        <f>[2]Districts_Boroughs!BP178</f>
        <v>0</v>
      </c>
      <c r="AG71" s="81">
        <f>[2]Districts_Boroughs!BQ178</f>
        <v>3</v>
      </c>
      <c r="AH71" s="81">
        <f>[2]Districts_Boroughs!BR178</f>
        <v>1</v>
      </c>
      <c r="AI71" s="81">
        <f>[2]Districts_Boroughs!BS178</f>
        <v>1</v>
      </c>
      <c r="AJ71" s="81">
        <f>[2]Districts_Boroughs!BT178</f>
        <v>1</v>
      </c>
      <c r="AK71" s="81">
        <f>[2]Districts_Boroughs!BU178</f>
        <v>3</v>
      </c>
      <c r="AL71" s="81">
        <f>[2]Districts_Boroughs!BV178</f>
        <v>1</v>
      </c>
      <c r="AM71" s="81">
        <f>[2]Districts_Boroughs!BW178</f>
        <v>1</v>
      </c>
      <c r="AN71" s="81">
        <f>[2]Districts_Boroughs!BX178</f>
        <v>0</v>
      </c>
      <c r="AO71" s="81">
        <f>[2]Districts_Boroughs!BY178</f>
        <v>0</v>
      </c>
      <c r="AP71" s="81">
        <f>[2]Districts_Boroughs!BZ178</f>
        <v>2</v>
      </c>
      <c r="AQ71" s="81">
        <f>[2]Districts_Boroughs!CA178</f>
        <v>0</v>
      </c>
      <c r="AR71" s="81">
        <f>[2]Districts_Boroughs!CB178</f>
        <v>0</v>
      </c>
      <c r="AS71" s="81">
        <f>[2]Districts_Boroughs!CC178</f>
        <v>0</v>
      </c>
      <c r="AT71" s="81">
        <f>[2]Districts_Boroughs!CD178</f>
        <v>0</v>
      </c>
      <c r="AU71" s="81">
        <f>[2]Districts_Boroughs!CE178</f>
        <v>0</v>
      </c>
      <c r="AV71" s="81">
        <f>[2]Districts_Boroughs!CF178</f>
        <v>1</v>
      </c>
      <c r="AW71" s="81">
        <f>[2]Districts_Boroughs!CG178</f>
        <v>0</v>
      </c>
      <c r="AX71" s="81">
        <f>[2]Districts_Boroughs!CH178</f>
        <v>0</v>
      </c>
      <c r="AY71" s="81">
        <f>[2]Districts_Boroughs!CI178</f>
        <v>0</v>
      </c>
      <c r="AZ71" s="81">
        <f>[2]Districts_Boroughs!CJ178</f>
        <v>0</v>
      </c>
      <c r="BA71" s="81">
        <f>[2]Districts_Boroughs!CK178</f>
        <v>1</v>
      </c>
      <c r="BB71" s="81">
        <f>[2]Districts_Boroughs!CL178</f>
        <v>0</v>
      </c>
      <c r="BC71" s="81">
        <f>[2]Districts_Boroughs!CM178</f>
        <v>0</v>
      </c>
      <c r="BD71" s="81">
        <f>[2]Districts_Boroughs!CN178</f>
        <v>1</v>
      </c>
      <c r="BE71" s="81">
        <f>[2]Districts_Boroughs!CO178</f>
        <v>1</v>
      </c>
      <c r="BF71" s="81">
        <f>[2]Districts_Boroughs!CP178</f>
        <v>2</v>
      </c>
      <c r="BG71" s="81">
        <f>[2]Districts_Boroughs!CQ178</f>
        <v>1</v>
      </c>
      <c r="BH71" s="81">
        <f>[2]Districts_Boroughs!CR178</f>
        <v>1</v>
      </c>
      <c r="BI71" s="81">
        <f>[2]Districts_Boroughs!CS178</f>
        <v>0</v>
      </c>
      <c r="BJ71" s="81">
        <f>[2]Districts_Boroughs!CT178</f>
        <v>2</v>
      </c>
      <c r="BK71" s="81">
        <f>[2]Districts_Boroughs!CU178</f>
        <v>0</v>
      </c>
      <c r="BL71" s="81">
        <f>[2]Districts_Boroughs!CV178</f>
        <v>1</v>
      </c>
      <c r="BM71" s="81">
        <f>[2]Districts_Boroughs!CW178</f>
        <v>0</v>
      </c>
      <c r="BN71" s="81">
        <f>[2]Districts_Boroughs!CX178</f>
        <v>1</v>
      </c>
      <c r="BO71" s="81">
        <f>[2]Districts_Boroughs!CY178</f>
        <v>1</v>
      </c>
      <c r="BP71" s="81">
        <f>[2]Districts_Boroughs!CZ178</f>
        <v>1</v>
      </c>
      <c r="BQ71" s="81">
        <f>[2]Districts_Boroughs!DA178</f>
        <v>1</v>
      </c>
      <c r="BR71" s="81">
        <f>[2]Districts_Boroughs!DB178</f>
        <v>0</v>
      </c>
      <c r="BS71" s="81">
        <f>[2]Districts_Boroughs!DC178</f>
        <v>0</v>
      </c>
      <c r="BT71" s="81">
        <f>[2]Districts_Boroughs!DD178</f>
        <v>1</v>
      </c>
      <c r="BU71" s="81">
        <f>[2]Districts_Boroughs!DE178</f>
        <v>2</v>
      </c>
      <c r="BV71" s="81">
        <f>[2]Districts_Boroughs!DF178</f>
        <v>1</v>
      </c>
      <c r="BW71" s="81">
        <f>[2]Districts_Boroughs!DG178</f>
        <v>2</v>
      </c>
      <c r="BX71" s="81">
        <f>[2]Districts_Boroughs!DH178</f>
        <v>1</v>
      </c>
      <c r="BY71" s="81">
        <f>[2]Districts_Boroughs!DI178</f>
        <v>1</v>
      </c>
      <c r="BZ71" s="81">
        <f>[2]Districts_Boroughs!DJ178</f>
        <v>0</v>
      </c>
      <c r="CA71" s="81">
        <f>[2]Districts_Boroughs!DK178</f>
        <v>0</v>
      </c>
      <c r="CB71" s="81">
        <f>[2]Districts_Boroughs!DL178</f>
        <v>1</v>
      </c>
      <c r="CC71" s="81">
        <f>[2]Districts_Boroughs!DM178</f>
        <v>1</v>
      </c>
      <c r="CD71" s="81">
        <f>[2]Districts_Boroughs!DN178</f>
        <v>1</v>
      </c>
      <c r="CE71" s="81">
        <f>[2]Districts_Boroughs!DO178</f>
        <v>1</v>
      </c>
      <c r="CF71" s="81">
        <f>[2]Districts_Boroughs!DP178</f>
        <v>1</v>
      </c>
      <c r="CG71" s="81">
        <f>[2]Districts_Boroughs!DQ178</f>
        <v>0</v>
      </c>
      <c r="CH71" s="81">
        <f>[2]Districts_Boroughs!DR178</f>
        <v>3</v>
      </c>
      <c r="CI71" s="81">
        <f>[2]Districts_Boroughs!DS178</f>
        <v>2</v>
      </c>
      <c r="CJ71" s="81">
        <f>[2]Districts_Boroughs!DT178</f>
        <v>1</v>
      </c>
      <c r="CK71" s="81">
        <f>[2]Districts_Boroughs!DU178</f>
        <v>0</v>
      </c>
      <c r="CL71" s="81">
        <f>[2]Districts_Boroughs!DV178</f>
        <v>0</v>
      </c>
      <c r="CM71" s="81">
        <f>[2]Districts_Boroughs!DW178</f>
        <v>0</v>
      </c>
      <c r="CN71" s="81">
        <f>[2]Districts_Boroughs!DX178</f>
        <v>1</v>
      </c>
      <c r="CO71" s="81">
        <f>[2]Districts_Boroughs!DY178</f>
        <v>2</v>
      </c>
      <c r="CP71" s="81">
        <f>[2]Districts_Boroughs!DZ178</f>
        <v>0</v>
      </c>
      <c r="CQ71" s="81">
        <f>[2]Districts_Boroughs!EA178</f>
        <v>0</v>
      </c>
      <c r="CR71" s="81">
        <f>[2]Districts_Boroughs!EB178</f>
        <v>0</v>
      </c>
      <c r="CS71" s="81">
        <f>[2]Districts_Boroughs!EC178</f>
        <v>1</v>
      </c>
    </row>
    <row r="72" spans="1:97" x14ac:dyDescent="0.35">
      <c r="A72" s="80" t="s">
        <v>48</v>
      </c>
      <c r="B72" s="81">
        <f>[2]Districts_Boroughs!AL180</f>
        <v>36</v>
      </c>
      <c r="C72" s="81">
        <f>[2]Districts_Boroughs!AM180</f>
        <v>40</v>
      </c>
      <c r="D72" s="81">
        <f>[2]Districts_Boroughs!AN180</f>
        <v>63</v>
      </c>
      <c r="E72" s="81">
        <f>[2]Districts_Boroughs!AO180</f>
        <v>72</v>
      </c>
      <c r="F72" s="81">
        <f>[2]Districts_Boroughs!AP180</f>
        <v>50</v>
      </c>
      <c r="G72" s="81">
        <f>[2]Districts_Boroughs!AQ180</f>
        <v>45</v>
      </c>
      <c r="H72" s="81">
        <f>[2]Districts_Boroughs!AR180</f>
        <v>27</v>
      </c>
      <c r="I72" s="81">
        <f>[2]Districts_Boroughs!AS180</f>
        <v>51</v>
      </c>
      <c r="J72" s="81">
        <f>[2]Districts_Boroughs!AT180</f>
        <v>28</v>
      </c>
      <c r="K72" s="81">
        <f>[2]Districts_Boroughs!AU180</f>
        <v>39</v>
      </c>
      <c r="L72" s="81">
        <f>[2]Districts_Boroughs!AV180</f>
        <v>36</v>
      </c>
      <c r="M72" s="81">
        <f>[2]Districts_Boroughs!AW180</f>
        <v>35</v>
      </c>
      <c r="N72" s="81">
        <f>[2]Districts_Boroughs!AX180</f>
        <v>41</v>
      </c>
      <c r="O72" s="81">
        <f>[2]Districts_Boroughs!AY180</f>
        <v>37</v>
      </c>
      <c r="P72" s="81">
        <f>[2]Districts_Boroughs!AZ180</f>
        <v>38</v>
      </c>
      <c r="Q72" s="81">
        <f>[2]Districts_Boroughs!BA180</f>
        <v>37</v>
      </c>
      <c r="R72" s="81">
        <f>[2]Districts_Boroughs!BB180</f>
        <v>32</v>
      </c>
      <c r="S72" s="81">
        <f>[2]Districts_Boroughs!BC180</f>
        <v>57</v>
      </c>
      <c r="T72" s="81">
        <f>[2]Districts_Boroughs!BD180</f>
        <v>45</v>
      </c>
      <c r="U72" s="81">
        <f>[2]Districts_Boroughs!BE180</f>
        <v>44</v>
      </c>
      <c r="V72" s="81">
        <f>[2]Districts_Boroughs!BF180</f>
        <v>48</v>
      </c>
      <c r="W72" s="81">
        <f>[2]Districts_Boroughs!BG180</f>
        <v>58</v>
      </c>
      <c r="X72" s="81">
        <f>[2]Districts_Boroughs!BH180</f>
        <v>50</v>
      </c>
      <c r="Y72" s="81">
        <f>[2]Districts_Boroughs!BI180</f>
        <v>32</v>
      </c>
      <c r="Z72" s="81">
        <f>[2]Districts_Boroughs!BJ180</f>
        <v>64</v>
      </c>
      <c r="AA72" s="81">
        <f>[2]Districts_Boroughs!BK180</f>
        <v>68</v>
      </c>
      <c r="AB72" s="81">
        <f>[2]Districts_Boroughs!BL180</f>
        <v>51</v>
      </c>
      <c r="AC72" s="81">
        <f>[2]Districts_Boroughs!BM180</f>
        <v>47</v>
      </c>
      <c r="AD72" s="81">
        <f>[2]Districts_Boroughs!BN180</f>
        <v>32</v>
      </c>
      <c r="AE72" s="81">
        <f>[2]Districts_Boroughs!BO180</f>
        <v>65</v>
      </c>
      <c r="AF72" s="81">
        <f>[2]Districts_Boroughs!BP180</f>
        <v>68</v>
      </c>
      <c r="AG72" s="81">
        <f>[2]Districts_Boroughs!BQ180</f>
        <v>45</v>
      </c>
      <c r="AH72" s="81">
        <f>[2]Districts_Boroughs!BR180</f>
        <v>41</v>
      </c>
      <c r="AI72" s="81">
        <f>[2]Districts_Boroughs!BS180</f>
        <v>65</v>
      </c>
      <c r="AJ72" s="81">
        <f>[2]Districts_Boroughs!BT180</f>
        <v>77</v>
      </c>
      <c r="AK72" s="81">
        <f>[2]Districts_Boroughs!BU180</f>
        <v>43</v>
      </c>
      <c r="AL72" s="81">
        <f>[2]Districts_Boroughs!BV180</f>
        <v>23</v>
      </c>
      <c r="AM72" s="81">
        <f>[2]Districts_Boroughs!BW180</f>
        <v>25</v>
      </c>
      <c r="AN72" s="81">
        <f>[2]Districts_Boroughs!BX180</f>
        <v>18</v>
      </c>
      <c r="AO72" s="81">
        <f>[2]Districts_Boroughs!BY180</f>
        <v>34</v>
      </c>
      <c r="AP72" s="81">
        <f>[2]Districts_Boroughs!BZ180</f>
        <v>24</v>
      </c>
      <c r="AQ72" s="81">
        <f>[2]Districts_Boroughs!CA180</f>
        <v>33</v>
      </c>
      <c r="AR72" s="81">
        <f>[2]Districts_Boroughs!CB180</f>
        <v>51</v>
      </c>
      <c r="AS72" s="81">
        <f>[2]Districts_Boroughs!CC180</f>
        <v>45</v>
      </c>
      <c r="AT72" s="81">
        <f>[2]Districts_Boroughs!CD180</f>
        <v>25</v>
      </c>
      <c r="AU72" s="81">
        <f>[2]Districts_Boroughs!CE180</f>
        <v>22</v>
      </c>
      <c r="AV72" s="81">
        <f>[2]Districts_Boroughs!CF180</f>
        <v>20</v>
      </c>
      <c r="AW72" s="81">
        <f>[2]Districts_Boroughs!CG180</f>
        <v>31</v>
      </c>
      <c r="AX72" s="81">
        <f>[2]Districts_Boroughs!CH180</f>
        <v>27</v>
      </c>
      <c r="AY72" s="81">
        <f>[2]Districts_Boroughs!CI180</f>
        <v>30</v>
      </c>
      <c r="AZ72" s="81">
        <f>[2]Districts_Boroughs!CJ180</f>
        <v>23</v>
      </c>
      <c r="BA72" s="81">
        <f>[2]Districts_Boroughs!CK180</f>
        <v>37</v>
      </c>
      <c r="BB72" s="81">
        <f>[2]Districts_Boroughs!CL180</f>
        <v>53</v>
      </c>
      <c r="BC72" s="81">
        <f>[2]Districts_Boroughs!CM180</f>
        <v>38</v>
      </c>
      <c r="BD72" s="81">
        <f>[2]Districts_Boroughs!CN180</f>
        <v>41</v>
      </c>
      <c r="BE72" s="81">
        <f>[2]Districts_Boroughs!CO180</f>
        <v>49</v>
      </c>
      <c r="BF72" s="81">
        <f>[2]Districts_Boroughs!CP180</f>
        <v>26</v>
      </c>
      <c r="BG72" s="81">
        <f>[2]Districts_Boroughs!CQ180</f>
        <v>38</v>
      </c>
      <c r="BH72" s="81">
        <f>[2]Districts_Boroughs!CR180</f>
        <v>27</v>
      </c>
      <c r="BI72" s="81">
        <f>[2]Districts_Boroughs!CS180</f>
        <v>60</v>
      </c>
      <c r="BJ72" s="81">
        <f>[2]Districts_Boroughs!CT180</f>
        <v>46</v>
      </c>
      <c r="BK72" s="81">
        <f>[2]Districts_Boroughs!CU180</f>
        <v>52</v>
      </c>
      <c r="BL72" s="81">
        <f>[2]Districts_Boroughs!CV180</f>
        <v>37</v>
      </c>
      <c r="BM72" s="81">
        <f>[2]Districts_Boroughs!CW180</f>
        <v>52</v>
      </c>
      <c r="BN72" s="81">
        <f>[2]Districts_Boroughs!CX180</f>
        <v>68</v>
      </c>
      <c r="BO72" s="81">
        <f>[2]Districts_Boroughs!CY180</f>
        <v>81</v>
      </c>
      <c r="BP72" s="81">
        <f>[2]Districts_Boroughs!CZ180</f>
        <v>51</v>
      </c>
      <c r="BQ72" s="81">
        <f>[2]Districts_Boroughs!DA180</f>
        <v>61</v>
      </c>
      <c r="BR72" s="81">
        <f>[2]Districts_Boroughs!DB180</f>
        <v>35</v>
      </c>
      <c r="BS72" s="81">
        <f>[2]Districts_Boroughs!DC180</f>
        <v>69</v>
      </c>
      <c r="BT72" s="81">
        <f>[2]Districts_Boroughs!DD180</f>
        <v>69</v>
      </c>
      <c r="BU72" s="81">
        <f>[2]Districts_Boroughs!DE180</f>
        <v>48</v>
      </c>
      <c r="BV72" s="81">
        <f>[2]Districts_Boroughs!DF180</f>
        <v>65</v>
      </c>
      <c r="BW72" s="81">
        <f>[2]Districts_Boroughs!DG180</f>
        <v>63</v>
      </c>
      <c r="BX72" s="81">
        <f>[2]Districts_Boroughs!DH180</f>
        <v>53</v>
      </c>
      <c r="BY72" s="81">
        <f>[2]Districts_Boroughs!DI180</f>
        <v>59</v>
      </c>
      <c r="BZ72" s="81">
        <f>[2]Districts_Boroughs!DJ180</f>
        <v>45</v>
      </c>
      <c r="CA72" s="81">
        <f>[2]Districts_Boroughs!DK180</f>
        <v>35</v>
      </c>
      <c r="CB72" s="81">
        <f>[2]Districts_Boroughs!DL180</f>
        <v>55</v>
      </c>
      <c r="CC72" s="81">
        <f>[2]Districts_Boroughs!DM180</f>
        <v>46</v>
      </c>
      <c r="CD72" s="81">
        <f>[2]Districts_Boroughs!DN180</f>
        <v>36</v>
      </c>
      <c r="CE72" s="81">
        <f>[2]Districts_Boroughs!DO180</f>
        <v>29</v>
      </c>
      <c r="CF72" s="81">
        <f>[2]Districts_Boroughs!DP180</f>
        <v>19</v>
      </c>
      <c r="CG72" s="81">
        <f>[2]Districts_Boroughs!DQ180</f>
        <v>25</v>
      </c>
      <c r="CH72" s="81">
        <f>[2]Districts_Boroughs!DR180</f>
        <v>30</v>
      </c>
      <c r="CI72" s="81">
        <f>[2]Districts_Boroughs!DS180</f>
        <v>57</v>
      </c>
      <c r="CJ72" s="81">
        <f>[2]Districts_Boroughs!DT180</f>
        <v>52</v>
      </c>
      <c r="CK72" s="81">
        <f>[2]Districts_Boroughs!DU180</f>
        <v>40</v>
      </c>
      <c r="CL72" s="81">
        <f>[2]Districts_Boroughs!DV180</f>
        <v>28</v>
      </c>
      <c r="CM72" s="81">
        <f>[2]Districts_Boroughs!DW180</f>
        <v>16</v>
      </c>
      <c r="CN72" s="81">
        <f>[2]Districts_Boroughs!DX180</f>
        <v>56</v>
      </c>
      <c r="CO72" s="81">
        <f>[2]Districts_Boroughs!DY180</f>
        <v>54</v>
      </c>
      <c r="CP72" s="81">
        <f>[2]Districts_Boroughs!DZ180</f>
        <v>32</v>
      </c>
      <c r="CQ72" s="81">
        <f>[2]Districts_Boroughs!EA180</f>
        <v>30</v>
      </c>
      <c r="CR72" s="81">
        <f>[2]Districts_Boroughs!EB180</f>
        <v>22</v>
      </c>
      <c r="CS72" s="81">
        <f>[2]Districts_Boroughs!EC180</f>
        <v>33</v>
      </c>
    </row>
    <row r="73" spans="1:97" ht="23" x14ac:dyDescent="0.35">
      <c r="A73" s="80" t="s">
        <v>49</v>
      </c>
      <c r="B73" s="81">
        <f>[2]Districts_Boroughs!AL181</f>
        <v>5</v>
      </c>
      <c r="C73" s="81">
        <f>[2]Districts_Boroughs!AM181</f>
        <v>14</v>
      </c>
      <c r="D73" s="81">
        <f>[2]Districts_Boroughs!AN181</f>
        <v>10</v>
      </c>
      <c r="E73" s="81">
        <f>[2]Districts_Boroughs!AO181</f>
        <v>16</v>
      </c>
      <c r="F73" s="81">
        <f>[2]Districts_Boroughs!AP181</f>
        <v>17</v>
      </c>
      <c r="G73" s="81">
        <f>[2]Districts_Boroughs!AQ181</f>
        <v>12</v>
      </c>
      <c r="H73" s="81">
        <f>[2]Districts_Boroughs!AR181</f>
        <v>13</v>
      </c>
      <c r="I73" s="81">
        <f>[2]Districts_Boroughs!AS181</f>
        <v>19</v>
      </c>
      <c r="J73" s="81">
        <f>[2]Districts_Boroughs!AT181</f>
        <v>9</v>
      </c>
      <c r="K73" s="81">
        <f>[2]Districts_Boroughs!AU181</f>
        <v>12</v>
      </c>
      <c r="L73" s="81">
        <f>[2]Districts_Boroughs!AV181</f>
        <v>18</v>
      </c>
      <c r="M73" s="81">
        <f>[2]Districts_Boroughs!AW181</f>
        <v>17</v>
      </c>
      <c r="N73" s="81">
        <f>[2]Districts_Boroughs!AX181</f>
        <v>5</v>
      </c>
      <c r="O73" s="81">
        <f>[2]Districts_Boroughs!AY181</f>
        <v>16</v>
      </c>
      <c r="P73" s="81">
        <f>[2]Districts_Boroughs!AZ181</f>
        <v>7</v>
      </c>
      <c r="Q73" s="81">
        <f>[2]Districts_Boroughs!BA181</f>
        <v>19</v>
      </c>
      <c r="R73" s="81">
        <f>[2]Districts_Boroughs!BB181</f>
        <v>16</v>
      </c>
      <c r="S73" s="81">
        <f>[2]Districts_Boroughs!BC181</f>
        <v>15</v>
      </c>
      <c r="T73" s="81">
        <f>[2]Districts_Boroughs!BD181</f>
        <v>11</v>
      </c>
      <c r="U73" s="81">
        <f>[2]Districts_Boroughs!BE181</f>
        <v>10</v>
      </c>
      <c r="V73" s="81">
        <f>[2]Districts_Boroughs!BF181</f>
        <v>19</v>
      </c>
      <c r="W73" s="81">
        <f>[2]Districts_Boroughs!BG181</f>
        <v>13</v>
      </c>
      <c r="X73" s="81">
        <f>[2]Districts_Boroughs!BH181</f>
        <v>9</v>
      </c>
      <c r="Y73" s="81">
        <f>[2]Districts_Boroughs!BI181</f>
        <v>14</v>
      </c>
      <c r="Z73" s="81">
        <f>[2]Districts_Boroughs!BJ181</f>
        <v>14</v>
      </c>
      <c r="AA73" s="81">
        <f>[2]Districts_Boroughs!BK181</f>
        <v>8</v>
      </c>
      <c r="AB73" s="81">
        <f>[2]Districts_Boroughs!BL181</f>
        <v>18</v>
      </c>
      <c r="AC73" s="81">
        <f>[2]Districts_Boroughs!BM181</f>
        <v>13</v>
      </c>
      <c r="AD73" s="81">
        <f>[2]Districts_Boroughs!BN181</f>
        <v>11</v>
      </c>
      <c r="AE73" s="81">
        <f>[2]Districts_Boroughs!BO181</f>
        <v>22</v>
      </c>
      <c r="AF73" s="81">
        <f>[2]Districts_Boroughs!BP181</f>
        <v>9</v>
      </c>
      <c r="AG73" s="81">
        <f>[2]Districts_Boroughs!BQ181</f>
        <v>8</v>
      </c>
      <c r="AH73" s="81">
        <f>[2]Districts_Boroughs!BR181</f>
        <v>7</v>
      </c>
      <c r="AI73" s="81">
        <f>[2]Districts_Boroughs!BS181</f>
        <v>11</v>
      </c>
      <c r="AJ73" s="81">
        <f>[2]Districts_Boroughs!BT181</f>
        <v>8</v>
      </c>
      <c r="AK73" s="81">
        <f>[2]Districts_Boroughs!BU181</f>
        <v>7</v>
      </c>
      <c r="AL73" s="81">
        <f>[2]Districts_Boroughs!BV181</f>
        <v>12</v>
      </c>
      <c r="AM73" s="81">
        <f>[2]Districts_Boroughs!BW181</f>
        <v>8</v>
      </c>
      <c r="AN73" s="81">
        <f>[2]Districts_Boroughs!BX181</f>
        <v>12</v>
      </c>
      <c r="AO73" s="81">
        <f>[2]Districts_Boroughs!BY181</f>
        <v>12</v>
      </c>
      <c r="AP73" s="81">
        <f>[2]Districts_Boroughs!BZ181</f>
        <v>8</v>
      </c>
      <c r="AQ73" s="81">
        <f>[2]Districts_Boroughs!CA181</f>
        <v>12</v>
      </c>
      <c r="AR73" s="81">
        <f>[2]Districts_Boroughs!CB181</f>
        <v>7</v>
      </c>
      <c r="AS73" s="81">
        <f>[2]Districts_Boroughs!CC181</f>
        <v>11</v>
      </c>
      <c r="AT73" s="81">
        <f>[2]Districts_Boroughs!CD181</f>
        <v>10</v>
      </c>
      <c r="AU73" s="81">
        <f>[2]Districts_Boroughs!CE181</f>
        <v>10</v>
      </c>
      <c r="AV73" s="81">
        <f>[2]Districts_Boroughs!CF181</f>
        <v>13</v>
      </c>
      <c r="AW73" s="81">
        <f>[2]Districts_Boroughs!CG181</f>
        <v>15</v>
      </c>
      <c r="AX73" s="81">
        <f>[2]Districts_Boroughs!CH181</f>
        <v>3</v>
      </c>
      <c r="AY73" s="81">
        <f>[2]Districts_Boroughs!CI181</f>
        <v>7</v>
      </c>
      <c r="AZ73" s="81">
        <f>[2]Districts_Boroughs!CJ181</f>
        <v>5</v>
      </c>
      <c r="BA73" s="81">
        <f>[2]Districts_Boroughs!CK181</f>
        <v>17</v>
      </c>
      <c r="BB73" s="81">
        <f>[2]Districts_Boroughs!CL181</f>
        <v>11</v>
      </c>
      <c r="BC73" s="81">
        <f>[2]Districts_Boroughs!CM181</f>
        <v>10</v>
      </c>
      <c r="BD73" s="81">
        <f>[2]Districts_Boroughs!CN181</f>
        <v>17</v>
      </c>
      <c r="BE73" s="81">
        <f>[2]Districts_Boroughs!CO181</f>
        <v>11</v>
      </c>
      <c r="BF73" s="81">
        <f>[2]Districts_Boroughs!CP181</f>
        <v>16</v>
      </c>
      <c r="BG73" s="81">
        <f>[2]Districts_Boroughs!CQ181</f>
        <v>16</v>
      </c>
      <c r="BH73" s="81">
        <f>[2]Districts_Boroughs!CR181</f>
        <v>17</v>
      </c>
      <c r="BI73" s="81">
        <f>[2]Districts_Boroughs!CS181</f>
        <v>19</v>
      </c>
      <c r="BJ73" s="81">
        <f>[2]Districts_Boroughs!CT181</f>
        <v>13</v>
      </c>
      <c r="BK73" s="81">
        <f>[2]Districts_Boroughs!CU181</f>
        <v>5</v>
      </c>
      <c r="BL73" s="81">
        <f>[2]Districts_Boroughs!CV181</f>
        <v>12</v>
      </c>
      <c r="BM73" s="81">
        <f>[2]Districts_Boroughs!CW181</f>
        <v>20</v>
      </c>
      <c r="BN73" s="81">
        <f>[2]Districts_Boroughs!CX181</f>
        <v>21</v>
      </c>
      <c r="BO73" s="81">
        <f>[2]Districts_Boroughs!CY181</f>
        <v>22</v>
      </c>
      <c r="BP73" s="81">
        <f>[2]Districts_Boroughs!CZ181</f>
        <v>16</v>
      </c>
      <c r="BQ73" s="81">
        <f>[2]Districts_Boroughs!DA181</f>
        <v>15</v>
      </c>
      <c r="BR73" s="81">
        <f>[2]Districts_Boroughs!DB181</f>
        <v>20</v>
      </c>
      <c r="BS73" s="81">
        <f>[2]Districts_Boroughs!DC181</f>
        <v>15</v>
      </c>
      <c r="BT73" s="81">
        <f>[2]Districts_Boroughs!DD181</f>
        <v>12</v>
      </c>
      <c r="BU73" s="81">
        <f>[2]Districts_Boroughs!DE181</f>
        <v>17</v>
      </c>
      <c r="BV73" s="81">
        <f>[2]Districts_Boroughs!DF181</f>
        <v>21</v>
      </c>
      <c r="BW73" s="81">
        <f>[2]Districts_Boroughs!DG181</f>
        <v>22</v>
      </c>
      <c r="BX73" s="81">
        <f>[2]Districts_Boroughs!DH181</f>
        <v>17</v>
      </c>
      <c r="BY73" s="81">
        <f>[2]Districts_Boroughs!DI181</f>
        <v>12</v>
      </c>
      <c r="BZ73" s="81">
        <f>[2]Districts_Boroughs!DJ181</f>
        <v>12</v>
      </c>
      <c r="CA73" s="81">
        <f>[2]Districts_Boroughs!DK181</f>
        <v>12</v>
      </c>
      <c r="CB73" s="81">
        <f>[2]Districts_Boroughs!DL181</f>
        <v>13</v>
      </c>
      <c r="CC73" s="81">
        <f>[2]Districts_Boroughs!DM181</f>
        <v>12</v>
      </c>
      <c r="CD73" s="81">
        <f>[2]Districts_Boroughs!DN181</f>
        <v>6</v>
      </c>
      <c r="CE73" s="81">
        <f>[2]Districts_Boroughs!DO181</f>
        <v>19</v>
      </c>
      <c r="CF73" s="81">
        <f>[2]Districts_Boroughs!DP181</f>
        <v>12</v>
      </c>
      <c r="CG73" s="81">
        <f>[2]Districts_Boroughs!DQ181</f>
        <v>20</v>
      </c>
      <c r="CH73" s="81">
        <f>[2]Districts_Boroughs!DR181</f>
        <v>10</v>
      </c>
      <c r="CI73" s="81">
        <f>[2]Districts_Boroughs!DS181</f>
        <v>26</v>
      </c>
      <c r="CJ73" s="81">
        <f>[2]Districts_Boroughs!DT181</f>
        <v>16</v>
      </c>
      <c r="CK73" s="81">
        <f>[2]Districts_Boroughs!DU181</f>
        <v>12</v>
      </c>
      <c r="CL73" s="81">
        <f>[2]Districts_Boroughs!DV181</f>
        <v>12</v>
      </c>
      <c r="CM73" s="81">
        <f>[2]Districts_Boroughs!DW181</f>
        <v>17</v>
      </c>
      <c r="CN73" s="81">
        <f>[2]Districts_Boroughs!DX181</f>
        <v>19</v>
      </c>
      <c r="CO73" s="81">
        <f>[2]Districts_Boroughs!DY181</f>
        <v>19</v>
      </c>
      <c r="CP73" s="81">
        <f>[2]Districts_Boroughs!DZ181</f>
        <v>26</v>
      </c>
      <c r="CQ73" s="81">
        <f>[2]Districts_Boroughs!EA181</f>
        <v>31</v>
      </c>
      <c r="CR73" s="81">
        <f>[2]Districts_Boroughs!EB181</f>
        <v>17</v>
      </c>
      <c r="CS73" s="81">
        <f>[2]Districts_Boroughs!EC181</f>
        <v>24</v>
      </c>
    </row>
    <row r="74" spans="1:97" x14ac:dyDescent="0.35">
      <c r="A74" s="82" t="s">
        <v>143</v>
      </c>
      <c r="B74" s="755">
        <f>[2]Districts_Boroughs!AL160</f>
        <v>51</v>
      </c>
      <c r="C74" s="755">
        <f>[2]Districts_Boroughs!AM160</f>
        <v>65</v>
      </c>
      <c r="D74" s="755">
        <f>[2]Districts_Boroughs!AN160</f>
        <v>59</v>
      </c>
      <c r="E74" s="755">
        <f>[2]Districts_Boroughs!AO160</f>
        <v>58</v>
      </c>
      <c r="F74" s="755">
        <f>[2]Districts_Boroughs!AP160</f>
        <v>48</v>
      </c>
      <c r="G74" s="755">
        <f>[2]Districts_Boroughs!AQ160</f>
        <v>68</v>
      </c>
      <c r="H74" s="755">
        <f>[2]Districts_Boroughs!AR160</f>
        <v>95</v>
      </c>
      <c r="I74" s="755">
        <f>[2]Districts_Boroughs!AS160</f>
        <v>58</v>
      </c>
      <c r="J74" s="755">
        <f>[2]Districts_Boroughs!AT160</f>
        <v>48</v>
      </c>
      <c r="K74" s="755">
        <f>[2]Districts_Boroughs!AU160</f>
        <v>68</v>
      </c>
      <c r="L74" s="755">
        <f>[2]Districts_Boroughs!AV160</f>
        <v>30</v>
      </c>
      <c r="M74" s="755">
        <f>[2]Districts_Boroughs!AW160</f>
        <v>37</v>
      </c>
      <c r="N74" s="755">
        <f>[2]Districts_Boroughs!AX160</f>
        <v>62</v>
      </c>
      <c r="O74" s="755">
        <f>[2]Districts_Boroughs!AY160</f>
        <v>64</v>
      </c>
      <c r="P74" s="755">
        <f>[2]Districts_Boroughs!AZ160</f>
        <v>49</v>
      </c>
      <c r="Q74" s="755">
        <f>[2]Districts_Boroughs!BA160</f>
        <v>50</v>
      </c>
      <c r="R74" s="755">
        <f>[2]Districts_Boroughs!BB160</f>
        <v>87</v>
      </c>
      <c r="S74" s="755">
        <f>[2]Districts_Boroughs!BC160</f>
        <v>41</v>
      </c>
      <c r="T74" s="755">
        <f>[2]Districts_Boroughs!BD160</f>
        <v>57</v>
      </c>
      <c r="U74" s="755">
        <f>[2]Districts_Boroughs!BE160</f>
        <v>72</v>
      </c>
      <c r="V74" s="755">
        <f>[2]Districts_Boroughs!BF160</f>
        <v>69</v>
      </c>
      <c r="W74" s="755">
        <f>[2]Districts_Boroughs!BG160</f>
        <v>62</v>
      </c>
      <c r="X74" s="755">
        <f>[2]Districts_Boroughs!BH160</f>
        <v>40</v>
      </c>
      <c r="Y74" s="755">
        <f>[2]Districts_Boroughs!BI160</f>
        <v>52</v>
      </c>
      <c r="Z74" s="755">
        <f>[2]Districts_Boroughs!BJ160</f>
        <v>51</v>
      </c>
      <c r="AA74" s="755">
        <f>[2]Districts_Boroughs!BK160</f>
        <v>44</v>
      </c>
      <c r="AB74" s="755">
        <f>[2]Districts_Boroughs!BL160</f>
        <v>62</v>
      </c>
      <c r="AC74" s="755">
        <f>[2]Districts_Boroughs!BM160</f>
        <v>71</v>
      </c>
      <c r="AD74" s="755">
        <f>[2]Districts_Boroughs!BN160</f>
        <v>53</v>
      </c>
      <c r="AE74" s="755">
        <f>[2]Districts_Boroughs!BO160</f>
        <v>41</v>
      </c>
      <c r="AF74" s="755">
        <f>[2]Districts_Boroughs!BP160</f>
        <v>67</v>
      </c>
      <c r="AG74" s="755">
        <f>[2]Districts_Boroughs!BQ160</f>
        <v>45</v>
      </c>
      <c r="AH74" s="755">
        <f>[2]Districts_Boroughs!BR160</f>
        <v>51</v>
      </c>
      <c r="AI74" s="755">
        <f>[2]Districts_Boroughs!BS160</f>
        <v>63</v>
      </c>
      <c r="AJ74" s="755">
        <f>[2]Districts_Boroughs!BT160</f>
        <v>44</v>
      </c>
      <c r="AK74" s="755">
        <f>[2]Districts_Boroughs!BU160</f>
        <v>41</v>
      </c>
      <c r="AL74" s="755">
        <f>[2]Districts_Boroughs!BV160</f>
        <v>39</v>
      </c>
      <c r="AM74" s="755">
        <f>[2]Districts_Boroughs!BW160</f>
        <v>23</v>
      </c>
      <c r="AN74" s="755">
        <f>[2]Districts_Boroughs!BX160</f>
        <v>27</v>
      </c>
      <c r="AO74" s="755">
        <f>[2]Districts_Boroughs!BY160</f>
        <v>27</v>
      </c>
      <c r="AP74" s="755">
        <f>[2]Districts_Boroughs!BZ160</f>
        <v>40</v>
      </c>
      <c r="AQ74" s="755">
        <f>[2]Districts_Boroughs!CA160</f>
        <v>29</v>
      </c>
      <c r="AR74" s="755">
        <f>[2]Districts_Boroughs!CB160</f>
        <v>21</v>
      </c>
      <c r="AS74" s="755">
        <f>[2]Districts_Boroughs!CC160</f>
        <v>31</v>
      </c>
      <c r="AT74" s="755">
        <f>[2]Districts_Boroughs!CD160</f>
        <v>35</v>
      </c>
      <c r="AU74" s="755">
        <f>[2]Districts_Boroughs!CE160</f>
        <v>19</v>
      </c>
      <c r="AV74" s="755">
        <f>[2]Districts_Boroughs!CF160</f>
        <v>17</v>
      </c>
      <c r="AW74" s="755">
        <f>[2]Districts_Boroughs!CG160</f>
        <v>26</v>
      </c>
      <c r="AX74" s="755">
        <f>[2]Districts_Boroughs!CH160</f>
        <v>20</v>
      </c>
      <c r="AY74" s="755">
        <f>[2]Districts_Boroughs!CI160</f>
        <v>25</v>
      </c>
      <c r="AZ74" s="755">
        <f>[2]Districts_Boroughs!CJ160</f>
        <v>26</v>
      </c>
      <c r="BA74" s="755">
        <f>[2]Districts_Boroughs!CK160</f>
        <v>29</v>
      </c>
      <c r="BB74" s="755">
        <f>[2]Districts_Boroughs!CL160</f>
        <v>27</v>
      </c>
      <c r="BC74" s="755">
        <f>[2]Districts_Boroughs!CM160</f>
        <v>32</v>
      </c>
      <c r="BD74" s="755">
        <f>[2]Districts_Boroughs!CN160</f>
        <v>44</v>
      </c>
      <c r="BE74" s="755">
        <f>[2]Districts_Boroughs!CO160</f>
        <v>49</v>
      </c>
      <c r="BF74" s="755">
        <f>[2]Districts_Boroughs!CP160</f>
        <v>38</v>
      </c>
      <c r="BG74" s="755">
        <f>[2]Districts_Boroughs!CQ160</f>
        <v>36</v>
      </c>
      <c r="BH74" s="755">
        <f>[2]Districts_Boroughs!CR160</f>
        <v>33</v>
      </c>
      <c r="BI74" s="755">
        <f>[2]Districts_Boroughs!CS160</f>
        <v>45</v>
      </c>
      <c r="BJ74" s="755">
        <f>[2]Districts_Boroughs!CT160</f>
        <v>43</v>
      </c>
      <c r="BK74" s="755">
        <f>[2]Districts_Boroughs!CU160</f>
        <v>27</v>
      </c>
      <c r="BL74" s="755">
        <f>[2]Districts_Boroughs!CV160</f>
        <v>34</v>
      </c>
      <c r="BM74" s="755">
        <f>[2]Districts_Boroughs!CW160</f>
        <v>28</v>
      </c>
      <c r="BN74" s="755">
        <f>[2]Districts_Boroughs!CX160</f>
        <v>26</v>
      </c>
      <c r="BO74" s="755">
        <f>[2]Districts_Boroughs!CY160</f>
        <v>43</v>
      </c>
      <c r="BP74" s="755">
        <f>[2]Districts_Boroughs!CZ160</f>
        <v>41</v>
      </c>
      <c r="BQ74" s="755">
        <f>[2]Districts_Boroughs!DA160</f>
        <v>48</v>
      </c>
      <c r="BR74" s="755">
        <f>[2]Districts_Boroughs!DB160</f>
        <v>29</v>
      </c>
      <c r="BS74" s="755">
        <f>[2]Districts_Boroughs!DC160</f>
        <v>41</v>
      </c>
      <c r="BT74" s="755">
        <f>[2]Districts_Boroughs!DD160</f>
        <v>25</v>
      </c>
      <c r="BU74" s="755">
        <f>[2]Districts_Boroughs!DE160</f>
        <v>33</v>
      </c>
      <c r="BV74" s="755">
        <f>[2]Districts_Boroughs!DF160</f>
        <v>44</v>
      </c>
      <c r="BW74" s="755">
        <f>[2]Districts_Boroughs!DG160</f>
        <v>23</v>
      </c>
      <c r="BX74" s="755">
        <f>[2]Districts_Boroughs!DH160</f>
        <v>38</v>
      </c>
      <c r="BY74" s="755">
        <f>[2]Districts_Boroughs!DI160</f>
        <v>35</v>
      </c>
      <c r="BZ74" s="755">
        <f>[2]Districts_Boroughs!DJ160</f>
        <v>20</v>
      </c>
      <c r="CA74" s="755">
        <f>[2]Districts_Boroughs!DK160</f>
        <v>26</v>
      </c>
      <c r="CB74" s="755">
        <f>[2]Districts_Boroughs!DL160</f>
        <v>38</v>
      </c>
      <c r="CC74" s="755">
        <f>[2]Districts_Boroughs!DM160</f>
        <v>41</v>
      </c>
      <c r="CD74" s="755">
        <f>[2]Districts_Boroughs!DN160</f>
        <v>43</v>
      </c>
      <c r="CE74" s="755">
        <f>[2]Districts_Boroughs!DO160</f>
        <v>34</v>
      </c>
      <c r="CF74" s="755">
        <f>[2]Districts_Boroughs!DP160</f>
        <v>29</v>
      </c>
      <c r="CG74" s="755">
        <f>[2]Districts_Boroughs!DQ160</f>
        <v>21</v>
      </c>
      <c r="CH74" s="755">
        <f>[2]Districts_Boroughs!DR160</f>
        <v>35</v>
      </c>
      <c r="CI74" s="755">
        <f>[2]Districts_Boroughs!DS160</f>
        <v>49</v>
      </c>
      <c r="CJ74" s="755">
        <f>[2]Districts_Boroughs!DT160</f>
        <v>35</v>
      </c>
      <c r="CK74" s="755">
        <f>[2]Districts_Boroughs!DU160</f>
        <v>48</v>
      </c>
      <c r="CL74" s="755">
        <f>[2]Districts_Boroughs!DV160</f>
        <v>23</v>
      </c>
      <c r="CM74" s="755">
        <f>[2]Districts_Boroughs!DW160</f>
        <v>44</v>
      </c>
      <c r="CN74" s="755">
        <f>[2]Districts_Boroughs!DX160</f>
        <v>32</v>
      </c>
      <c r="CO74" s="755">
        <f>[2]Districts_Boroughs!DY160</f>
        <v>31</v>
      </c>
      <c r="CP74" s="755">
        <f>[2]Districts_Boroughs!DZ160</f>
        <v>35</v>
      </c>
      <c r="CQ74" s="755">
        <f>[2]Districts_Boroughs!EA160</f>
        <v>46</v>
      </c>
      <c r="CR74" s="755">
        <f>[2]Districts_Boroughs!EB160</f>
        <v>41</v>
      </c>
      <c r="CS74" s="755">
        <f>[2]Districts_Boroughs!EC160</f>
        <v>50</v>
      </c>
    </row>
    <row r="75" spans="1:97" s="27" customFormat="1" ht="11.5" x14ac:dyDescent="0.25">
      <c r="A75" s="86" t="s">
        <v>148</v>
      </c>
      <c r="B75" s="85">
        <f>B71+B73</f>
        <v>5</v>
      </c>
      <c r="C75" s="85">
        <f t="shared" ref="C75:M75" si="510">C71+C73</f>
        <v>15</v>
      </c>
      <c r="D75" s="85">
        <f t="shared" si="510"/>
        <v>11</v>
      </c>
      <c r="E75" s="85">
        <f t="shared" si="510"/>
        <v>19</v>
      </c>
      <c r="F75" s="85">
        <f t="shared" si="510"/>
        <v>19</v>
      </c>
      <c r="G75" s="85">
        <f t="shared" si="510"/>
        <v>12</v>
      </c>
      <c r="H75" s="85">
        <f t="shared" si="510"/>
        <v>13</v>
      </c>
      <c r="I75" s="85">
        <f t="shared" si="510"/>
        <v>19</v>
      </c>
      <c r="J75" s="85">
        <f t="shared" si="510"/>
        <v>9</v>
      </c>
      <c r="K75" s="85">
        <f t="shared" si="510"/>
        <v>14</v>
      </c>
      <c r="L75" s="85">
        <f t="shared" si="510"/>
        <v>19</v>
      </c>
      <c r="M75" s="85">
        <f t="shared" si="510"/>
        <v>19</v>
      </c>
      <c r="N75" s="85">
        <f>N71+N73</f>
        <v>6</v>
      </c>
      <c r="O75" s="85">
        <f t="shared" ref="O75:Z75" si="511">O71+O73</f>
        <v>16</v>
      </c>
      <c r="P75" s="85">
        <f t="shared" si="511"/>
        <v>7</v>
      </c>
      <c r="Q75" s="85">
        <f t="shared" si="511"/>
        <v>19</v>
      </c>
      <c r="R75" s="85">
        <f t="shared" si="511"/>
        <v>17</v>
      </c>
      <c r="S75" s="85">
        <f t="shared" si="511"/>
        <v>15</v>
      </c>
      <c r="T75" s="85">
        <f t="shared" si="511"/>
        <v>11</v>
      </c>
      <c r="U75" s="85">
        <f t="shared" si="511"/>
        <v>11</v>
      </c>
      <c r="V75" s="85">
        <f t="shared" si="511"/>
        <v>19</v>
      </c>
      <c r="W75" s="85">
        <f t="shared" si="511"/>
        <v>13</v>
      </c>
      <c r="X75" s="85">
        <f t="shared" si="511"/>
        <v>9</v>
      </c>
      <c r="Y75" s="85">
        <f t="shared" si="511"/>
        <v>14</v>
      </c>
      <c r="Z75" s="85">
        <f t="shared" si="511"/>
        <v>14</v>
      </c>
      <c r="AA75" s="85">
        <f t="shared" ref="AA75:AK75" si="512">AA71+AA73</f>
        <v>8</v>
      </c>
      <c r="AB75" s="85">
        <f t="shared" si="512"/>
        <v>20</v>
      </c>
      <c r="AC75" s="85">
        <f t="shared" si="512"/>
        <v>14</v>
      </c>
      <c r="AD75" s="85">
        <f t="shared" si="512"/>
        <v>11</v>
      </c>
      <c r="AE75" s="85">
        <f t="shared" si="512"/>
        <v>22</v>
      </c>
      <c r="AF75" s="85">
        <f t="shared" si="512"/>
        <v>9</v>
      </c>
      <c r="AG75" s="85">
        <f t="shared" si="512"/>
        <v>11</v>
      </c>
      <c r="AH75" s="85">
        <f t="shared" si="512"/>
        <v>8</v>
      </c>
      <c r="AI75" s="85">
        <f t="shared" si="512"/>
        <v>12</v>
      </c>
      <c r="AJ75" s="85">
        <f t="shared" si="512"/>
        <v>9</v>
      </c>
      <c r="AK75" s="85">
        <f t="shared" si="512"/>
        <v>10</v>
      </c>
      <c r="AL75" s="85">
        <f t="shared" ref="AL75:AW75" si="513">AL71+AL73</f>
        <v>13</v>
      </c>
      <c r="AM75" s="85">
        <f t="shared" si="513"/>
        <v>9</v>
      </c>
      <c r="AN75" s="85">
        <f t="shared" si="513"/>
        <v>12</v>
      </c>
      <c r="AO75" s="85">
        <f t="shared" si="513"/>
        <v>12</v>
      </c>
      <c r="AP75" s="85">
        <f t="shared" si="513"/>
        <v>10</v>
      </c>
      <c r="AQ75" s="85">
        <f t="shared" si="513"/>
        <v>12</v>
      </c>
      <c r="AR75" s="85">
        <f t="shared" si="513"/>
        <v>7</v>
      </c>
      <c r="AS75" s="85">
        <f t="shared" si="513"/>
        <v>11</v>
      </c>
      <c r="AT75" s="85">
        <f t="shared" si="513"/>
        <v>10</v>
      </c>
      <c r="AU75" s="85">
        <f t="shared" si="513"/>
        <v>10</v>
      </c>
      <c r="AV75" s="85">
        <f t="shared" si="513"/>
        <v>14</v>
      </c>
      <c r="AW75" s="85">
        <f t="shared" si="513"/>
        <v>15</v>
      </c>
      <c r="AX75" s="85">
        <f t="shared" ref="AX75:BI75" si="514">AX71+AX73</f>
        <v>3</v>
      </c>
      <c r="AY75" s="85">
        <f t="shared" si="514"/>
        <v>7</v>
      </c>
      <c r="AZ75" s="85">
        <f t="shared" si="514"/>
        <v>5</v>
      </c>
      <c r="BA75" s="85">
        <f t="shared" si="514"/>
        <v>18</v>
      </c>
      <c r="BB75" s="85">
        <f t="shared" si="514"/>
        <v>11</v>
      </c>
      <c r="BC75" s="85">
        <f t="shared" si="514"/>
        <v>10</v>
      </c>
      <c r="BD75" s="85">
        <f t="shared" si="514"/>
        <v>18</v>
      </c>
      <c r="BE75" s="85">
        <f t="shared" si="514"/>
        <v>12</v>
      </c>
      <c r="BF75" s="85">
        <f t="shared" si="514"/>
        <v>18</v>
      </c>
      <c r="BG75" s="85">
        <f t="shared" si="514"/>
        <v>17</v>
      </c>
      <c r="BH75" s="85">
        <f t="shared" si="514"/>
        <v>18</v>
      </c>
      <c r="BI75" s="85">
        <f t="shared" si="514"/>
        <v>19</v>
      </c>
      <c r="BJ75" s="85">
        <f t="shared" ref="BJ75:BW75" si="515">BJ71+BJ73</f>
        <v>15</v>
      </c>
      <c r="BK75" s="85">
        <f t="shared" si="515"/>
        <v>5</v>
      </c>
      <c r="BL75" s="85">
        <f t="shared" si="515"/>
        <v>13</v>
      </c>
      <c r="BM75" s="85">
        <f t="shared" si="515"/>
        <v>20</v>
      </c>
      <c r="BN75" s="85">
        <f t="shared" si="515"/>
        <v>22</v>
      </c>
      <c r="BO75" s="85">
        <f t="shared" si="515"/>
        <v>23</v>
      </c>
      <c r="BP75" s="85">
        <f t="shared" si="515"/>
        <v>17</v>
      </c>
      <c r="BQ75" s="85">
        <f t="shared" si="515"/>
        <v>16</v>
      </c>
      <c r="BR75" s="85">
        <f t="shared" si="515"/>
        <v>20</v>
      </c>
      <c r="BS75" s="85">
        <f t="shared" si="515"/>
        <v>15</v>
      </c>
      <c r="BT75" s="85">
        <f t="shared" si="515"/>
        <v>13</v>
      </c>
      <c r="BU75" s="85">
        <f t="shared" si="515"/>
        <v>19</v>
      </c>
      <c r="BV75" s="85">
        <f t="shared" si="515"/>
        <v>22</v>
      </c>
      <c r="BW75" s="85">
        <f t="shared" si="515"/>
        <v>24</v>
      </c>
      <c r="BX75" s="85">
        <f t="shared" ref="BX75:CG75" si="516">BX71+BX73</f>
        <v>18</v>
      </c>
      <c r="BY75" s="85">
        <f t="shared" si="516"/>
        <v>13</v>
      </c>
      <c r="BZ75" s="85">
        <f t="shared" si="516"/>
        <v>12</v>
      </c>
      <c r="CA75" s="85">
        <f t="shared" si="516"/>
        <v>12</v>
      </c>
      <c r="CB75" s="85">
        <f t="shared" si="516"/>
        <v>14</v>
      </c>
      <c r="CC75" s="85">
        <f t="shared" si="516"/>
        <v>13</v>
      </c>
      <c r="CD75" s="85">
        <f t="shared" si="516"/>
        <v>7</v>
      </c>
      <c r="CE75" s="85">
        <f t="shared" si="516"/>
        <v>20</v>
      </c>
      <c r="CF75" s="85">
        <f t="shared" si="516"/>
        <v>13</v>
      </c>
      <c r="CG75" s="85">
        <f t="shared" si="516"/>
        <v>20</v>
      </c>
      <c r="CH75" s="85">
        <f t="shared" ref="CH75:CS75" si="517">CH71+CH73</f>
        <v>13</v>
      </c>
      <c r="CI75" s="85">
        <f t="shared" si="517"/>
        <v>28</v>
      </c>
      <c r="CJ75" s="85">
        <f t="shared" si="517"/>
        <v>17</v>
      </c>
      <c r="CK75" s="85">
        <f t="shared" si="517"/>
        <v>12</v>
      </c>
      <c r="CL75" s="85">
        <f t="shared" si="517"/>
        <v>12</v>
      </c>
      <c r="CM75" s="85">
        <f t="shared" si="517"/>
        <v>17</v>
      </c>
      <c r="CN75" s="85">
        <f t="shared" si="517"/>
        <v>20</v>
      </c>
      <c r="CO75" s="85">
        <f t="shared" si="517"/>
        <v>21</v>
      </c>
      <c r="CP75" s="85">
        <f t="shared" si="517"/>
        <v>26</v>
      </c>
      <c r="CQ75" s="85">
        <f t="shared" si="517"/>
        <v>31</v>
      </c>
      <c r="CR75" s="85">
        <f t="shared" si="517"/>
        <v>17</v>
      </c>
      <c r="CS75" s="85">
        <f t="shared" si="517"/>
        <v>25</v>
      </c>
    </row>
    <row r="76" spans="1:97" s="27" customFormat="1" ht="11.5" x14ac:dyDescent="0.25">
      <c r="A76" s="93" t="s">
        <v>68</v>
      </c>
      <c r="B76" s="85">
        <f>[2]ASB!AL38</f>
        <v>29</v>
      </c>
      <c r="C76" s="85">
        <f>[2]ASB!AM38</f>
        <v>25</v>
      </c>
      <c r="D76" s="85">
        <f>[2]ASB!AN38</f>
        <v>32</v>
      </c>
      <c r="E76" s="85">
        <f>[2]ASB!AO38</f>
        <v>47</v>
      </c>
      <c r="F76" s="85">
        <f>[2]ASB!AP38</f>
        <v>31</v>
      </c>
      <c r="G76" s="85">
        <f>[2]ASB!AQ38</f>
        <v>31</v>
      </c>
      <c r="H76" s="85">
        <f>[2]ASB!AR38</f>
        <v>33</v>
      </c>
      <c r="I76" s="85">
        <f>[2]ASB!AS38</f>
        <v>32</v>
      </c>
      <c r="J76" s="85">
        <f>[2]ASB!AT38</f>
        <v>29</v>
      </c>
      <c r="K76" s="85">
        <f>[2]ASB!AU38</f>
        <v>35</v>
      </c>
      <c r="L76" s="85">
        <f>[2]ASB!AV38</f>
        <v>26</v>
      </c>
      <c r="M76" s="85">
        <f>[2]ASB!AW38</f>
        <v>37</v>
      </c>
      <c r="N76" s="85">
        <f>[2]ASB!AX38</f>
        <v>33</v>
      </c>
      <c r="O76" s="85">
        <f>[2]ASB!AY38</f>
        <v>47</v>
      </c>
      <c r="P76" s="85">
        <f>[2]ASB!AZ38</f>
        <v>54</v>
      </c>
      <c r="Q76" s="85">
        <f>[2]ASB!BA38</f>
        <v>36</v>
      </c>
      <c r="R76" s="85">
        <f>[2]ASB!BB38</f>
        <v>41</v>
      </c>
      <c r="S76" s="85">
        <f>[2]ASB!BC38</f>
        <v>47</v>
      </c>
      <c r="T76" s="85">
        <f>[2]ASB!BD38</f>
        <v>35</v>
      </c>
      <c r="U76" s="85">
        <f>[2]ASB!BE38</f>
        <v>24</v>
      </c>
      <c r="V76" s="85">
        <f>[2]ASB!BF38</f>
        <v>17</v>
      </c>
      <c r="W76" s="85">
        <f>[2]ASB!BG38</f>
        <v>16</v>
      </c>
      <c r="X76" s="85">
        <f>[2]ASB!BH38</f>
        <v>14</v>
      </c>
      <c r="Y76" s="85">
        <f>[2]ASB!BI38</f>
        <v>24</v>
      </c>
      <c r="Z76" s="85">
        <f>[2]ASB!BJ38</f>
        <v>38</v>
      </c>
      <c r="AA76" s="85">
        <f>[2]ASB!BK38</f>
        <v>36</v>
      </c>
      <c r="AB76" s="85">
        <f>[2]ASB!BL38</f>
        <v>25</v>
      </c>
      <c r="AC76" s="85">
        <f>[2]ASB!BM38</f>
        <v>24</v>
      </c>
      <c r="AD76" s="85">
        <f>[2]ASB!BN38</f>
        <v>25</v>
      </c>
      <c r="AE76" s="85">
        <f>[2]ASB!BO38</f>
        <v>29</v>
      </c>
      <c r="AF76" s="85">
        <f>[2]ASB!BP38</f>
        <v>19</v>
      </c>
      <c r="AG76" s="85">
        <f>[2]ASB!BQ38</f>
        <v>12</v>
      </c>
      <c r="AH76" s="85">
        <f>[2]ASB!BR38</f>
        <v>17</v>
      </c>
      <c r="AI76" s="85">
        <f>[2]ASB!BS38</f>
        <v>22</v>
      </c>
      <c r="AJ76" s="85">
        <f>[2]ASB!BT38</f>
        <v>17</v>
      </c>
      <c r="AK76" s="85">
        <f>[2]ASB!BU38</f>
        <v>22</v>
      </c>
      <c r="AL76" s="85">
        <f>[2]ASB!BV38</f>
        <v>70</v>
      </c>
      <c r="AM76" s="85">
        <f>[2]ASB!BW38</f>
        <v>59</v>
      </c>
      <c r="AN76" s="85">
        <f>[2]ASB!BX38</f>
        <v>30</v>
      </c>
      <c r="AO76" s="85">
        <f>[2]ASB!BY38</f>
        <v>42</v>
      </c>
      <c r="AP76" s="85">
        <f>[2]ASB!BZ38</f>
        <v>37</v>
      </c>
      <c r="AQ76" s="85">
        <f>[2]ASB!CA38</f>
        <v>38</v>
      </c>
      <c r="AR76" s="85">
        <f>[2]ASB!CB38</f>
        <v>30</v>
      </c>
      <c r="AS76" s="85">
        <f>[2]ASB!CC38</f>
        <v>30</v>
      </c>
      <c r="AT76" s="85">
        <f>[2]ASB!CD38</f>
        <v>20</v>
      </c>
      <c r="AU76" s="85">
        <f>[2]ASB!CE38</f>
        <v>26</v>
      </c>
      <c r="AV76" s="85">
        <f>[2]ASB!CF38</f>
        <v>21</v>
      </c>
      <c r="AW76" s="85">
        <f>[2]ASB!CG38</f>
        <v>21</v>
      </c>
      <c r="AX76" s="85">
        <f>[2]ASB!CH38</f>
        <v>37</v>
      </c>
      <c r="AY76" s="85">
        <f>[2]ASB!CI38</f>
        <v>29</v>
      </c>
      <c r="AZ76" s="85">
        <f>[2]ASB!CJ38</f>
        <v>27</v>
      </c>
      <c r="BA76" s="85">
        <f>[2]ASB!CK38</f>
        <v>36</v>
      </c>
      <c r="BB76" s="85">
        <f>[2]ASB!CL38</f>
        <v>25</v>
      </c>
      <c r="BC76" s="85">
        <f>[2]ASB!CM38</f>
        <v>45</v>
      </c>
      <c r="BD76" s="85">
        <f>[2]ASB!CN38</f>
        <v>47</v>
      </c>
      <c r="BE76" s="85">
        <f>[2]ASB!CO38</f>
        <v>45</v>
      </c>
      <c r="BF76" s="85">
        <f>[2]ASB!CP38</f>
        <v>25</v>
      </c>
      <c r="BG76" s="85">
        <f>[2]ASB!CQ38</f>
        <v>23</v>
      </c>
      <c r="BH76" s="85">
        <f>[2]ASB!CR38</f>
        <v>23</v>
      </c>
      <c r="BI76" s="85">
        <f>[2]ASB!CS38</f>
        <v>23</v>
      </c>
      <c r="BJ76" s="85">
        <f>[2]ASB!CT38</f>
        <v>15</v>
      </c>
      <c r="BK76" s="85">
        <f>[2]ASB!CU38</f>
        <v>24</v>
      </c>
      <c r="BL76" s="85">
        <f>[2]ASB!CV38</f>
        <v>27</v>
      </c>
      <c r="BM76" s="85">
        <f>[2]ASB!CW38</f>
        <v>29</v>
      </c>
      <c r="BN76" s="85">
        <f>[2]ASB!CX38</f>
        <v>37</v>
      </c>
      <c r="BO76" s="85">
        <f>[2]ASB!CY38</f>
        <v>32</v>
      </c>
      <c r="BP76" s="85">
        <f>[2]ASB!CZ38</f>
        <v>33</v>
      </c>
      <c r="BQ76" s="85">
        <f>[2]ASB!DA38</f>
        <v>28</v>
      </c>
      <c r="BR76" s="85">
        <f>[2]ASB!DB38</f>
        <v>23</v>
      </c>
      <c r="BS76" s="85">
        <f>[2]ASB!DC38</f>
        <v>20</v>
      </c>
      <c r="BT76" s="85">
        <f>[2]ASB!DD38</f>
        <v>23</v>
      </c>
      <c r="BU76" s="85">
        <f>[2]ASB!DE38</f>
        <v>18</v>
      </c>
      <c r="BV76" s="85">
        <f>[2]ASB!DF38</f>
        <v>19</v>
      </c>
      <c r="BW76" s="85">
        <f>[2]ASB!DG38</f>
        <v>31</v>
      </c>
      <c r="BX76" s="85">
        <f>[2]ASB!DH38</f>
        <v>28</v>
      </c>
      <c r="BY76" s="85">
        <f>[2]ASB!DI38</f>
        <v>23</v>
      </c>
      <c r="BZ76" s="85">
        <f>[2]ASB!DJ38</f>
        <v>31</v>
      </c>
      <c r="CA76" s="85">
        <f>[2]ASB!DK38</f>
        <v>37</v>
      </c>
      <c r="CB76" s="85">
        <f>[2]ASB!DL38</f>
        <v>28</v>
      </c>
      <c r="CC76" s="85">
        <f>[2]ASB!DM38</f>
        <v>35</v>
      </c>
      <c r="CD76" s="85">
        <f>[2]ASB!DN38</f>
        <v>20</v>
      </c>
      <c r="CE76" s="85">
        <f>[2]ASB!DO38</f>
        <v>34</v>
      </c>
      <c r="CF76" s="85">
        <f>[2]ASB!DP38</f>
        <v>33</v>
      </c>
      <c r="CG76" s="85">
        <f>[2]ASB!DQ38</f>
        <v>48</v>
      </c>
      <c r="CH76" s="85">
        <f>[2]ASB!DR38</f>
        <v>61</v>
      </c>
      <c r="CI76" s="85">
        <f>[2]ASB!DS38</f>
        <v>51</v>
      </c>
      <c r="CJ76" s="85">
        <f>[2]ASB!DT38</f>
        <v>51</v>
      </c>
      <c r="CK76" s="85">
        <f>[2]ASB!DU38</f>
        <v>45</v>
      </c>
      <c r="CL76" s="85">
        <f>[2]ASB!DV38</f>
        <v>32</v>
      </c>
      <c r="CM76" s="85">
        <f>[2]ASB!DW38</f>
        <v>59</v>
      </c>
      <c r="CN76" s="85">
        <f>[2]ASB!DX38</f>
        <v>44</v>
      </c>
      <c r="CO76" s="85">
        <f>[2]ASB!DY38</f>
        <v>43</v>
      </c>
      <c r="CP76" s="85">
        <f>[2]ASB!DZ38</f>
        <v>25</v>
      </c>
      <c r="CQ76" s="85">
        <f>[2]ASB!EA38</f>
        <v>36</v>
      </c>
      <c r="CR76" s="85">
        <f>[2]ASB!EB38</f>
        <v>30</v>
      </c>
      <c r="CS76" s="85">
        <f>[2]ASB!EC38</f>
        <v>37</v>
      </c>
    </row>
    <row r="77" spans="1:97" s="33" customFormat="1" x14ac:dyDescent="0.3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97" s="64" customFormat="1" x14ac:dyDescent="0.35">
      <c r="A78" s="74" t="s">
        <v>147</v>
      </c>
      <c r="B78" s="64">
        <f t="shared" ref="B78" si="518">IF(AND(B79=1,C79=0)=TRUE,1,IF(AND(B79=0,C79=0,C78=0)=TRUE,0,C78+1))</f>
        <v>96</v>
      </c>
      <c r="C78" s="64">
        <f t="shared" ref="C78" si="519">IF(AND(C79=1,D79=0)=TRUE,1,IF(AND(C79=0,D79=0,D78=0)=TRUE,0,D78+1))</f>
        <v>95</v>
      </c>
      <c r="D78" s="64">
        <f t="shared" ref="D78" si="520">IF(AND(D79=1,E79=0)=TRUE,1,IF(AND(D79=0,E79=0,E78=0)=TRUE,0,E78+1))</f>
        <v>94</v>
      </c>
      <c r="E78" s="64">
        <f t="shared" ref="E78" si="521">IF(AND(E79=1,F79=0)=TRUE,1,IF(AND(E79=0,F79=0,F78=0)=TRUE,0,F78+1))</f>
        <v>93</v>
      </c>
      <c r="F78" s="64">
        <f t="shared" ref="F78" si="522">IF(AND(F79=1,G79=0)=TRUE,1,IF(AND(F79=0,G79=0,G78=0)=TRUE,0,G78+1))</f>
        <v>92</v>
      </c>
      <c r="G78" s="64">
        <f t="shared" ref="G78" si="523">IF(AND(G79=1,H79=0)=TRUE,1,IF(AND(G79=0,H79=0,H78=0)=TRUE,0,H78+1))</f>
        <v>91</v>
      </c>
      <c r="H78" s="64">
        <f t="shared" ref="H78" si="524">IF(AND(H79=1,I79=0)=TRUE,1,IF(AND(H79=0,I79=0,I78=0)=TRUE,0,I78+1))</f>
        <v>90</v>
      </c>
      <c r="I78" s="64">
        <f t="shared" ref="I78" si="525">IF(AND(I79=1,J79=0)=TRUE,1,IF(AND(I79=0,J79=0,J78=0)=TRUE,0,J78+1))</f>
        <v>89</v>
      </c>
      <c r="J78" s="64">
        <f t="shared" ref="J78" si="526">IF(AND(J79=1,K79=0)=TRUE,1,IF(AND(J79=0,K79=0,K78=0)=TRUE,0,K78+1))</f>
        <v>88</v>
      </c>
      <c r="K78" s="64">
        <f t="shared" ref="K78" si="527">IF(AND(K79=1,L79=0)=TRUE,1,IF(AND(K79=0,L79=0,L78=0)=TRUE,0,L78+1))</f>
        <v>87</v>
      </c>
      <c r="L78" s="64">
        <f t="shared" ref="L78" si="528">IF(AND(L79=1,M79=0)=TRUE,1,IF(AND(L79=0,M79=0,M78=0)=TRUE,0,M78+1))</f>
        <v>86</v>
      </c>
      <c r="M78" s="64">
        <f t="shared" ref="M78" si="529">IF(AND(M79=1,N79=0)=TRUE,1,IF(AND(M79=0,N79=0,N78=0)=TRUE,0,N78+1))</f>
        <v>85</v>
      </c>
      <c r="N78" s="64">
        <f t="shared" ref="N78" si="530">IF(AND(N79=1,O79=0)=TRUE,1,IF(AND(N79=0,O79=0,O78=0)=TRUE,0,O78+1))</f>
        <v>84</v>
      </c>
      <c r="O78" s="64">
        <f t="shared" ref="O78" si="531">IF(AND(O79=1,P79=0)=TRUE,1,IF(AND(O79=0,P79=0,P78=0)=TRUE,0,P78+1))</f>
        <v>83</v>
      </c>
      <c r="P78" s="64">
        <f t="shared" ref="P78" si="532">IF(AND(P79=1,Q79=0)=TRUE,1,IF(AND(P79=0,Q79=0,Q78=0)=TRUE,0,Q78+1))</f>
        <v>82</v>
      </c>
      <c r="Q78" s="64">
        <f t="shared" ref="Q78" si="533">IF(AND(Q79=1,R79=0)=TRUE,1,IF(AND(Q79=0,R79=0,R78=0)=TRUE,0,R78+1))</f>
        <v>81</v>
      </c>
      <c r="R78" s="64">
        <f t="shared" ref="R78" si="534">IF(AND(R79=1,S79=0)=TRUE,1,IF(AND(R79=0,S79=0,S78=0)=TRUE,0,S78+1))</f>
        <v>80</v>
      </c>
      <c r="S78" s="64">
        <f t="shared" ref="S78" si="535">IF(AND(S79=1,T79=0)=TRUE,1,IF(AND(S79=0,T79=0,T78=0)=TRUE,0,T78+1))</f>
        <v>79</v>
      </c>
      <c r="T78" s="64">
        <f t="shared" ref="T78" si="536">IF(AND(T79=1,U79=0)=TRUE,1,IF(AND(T79=0,U79=0,U78=0)=TRUE,0,U78+1))</f>
        <v>78</v>
      </c>
      <c r="U78" s="64">
        <f t="shared" ref="U78" si="537">IF(AND(U79=1,V79=0)=TRUE,1,IF(AND(U79=0,V79=0,V78=0)=TRUE,0,V78+1))</f>
        <v>77</v>
      </c>
      <c r="V78" s="64">
        <f t="shared" ref="V78" si="538">IF(AND(V79=1,W79=0)=TRUE,1,IF(AND(V79=0,W79=0,W78=0)=TRUE,0,W78+1))</f>
        <v>76</v>
      </c>
      <c r="W78" s="64">
        <f t="shared" ref="W78" si="539">IF(AND(W79=1,X79=0)=TRUE,1,IF(AND(W79=0,X79=0,X78=0)=TRUE,0,X78+1))</f>
        <v>75</v>
      </c>
      <c r="X78" s="64">
        <f t="shared" ref="X78" si="540">IF(AND(X79=1,Y79=0)=TRUE,1,IF(AND(X79=0,Y79=0,Y78=0)=TRUE,0,Y78+1))</f>
        <v>74</v>
      </c>
      <c r="Y78" s="64">
        <f t="shared" ref="Y78" si="541">IF(AND(Y79=1,Z79=0)=TRUE,1,IF(AND(Y79=0,Z79=0,Z78=0)=TRUE,0,Z78+1))</f>
        <v>73</v>
      </c>
      <c r="Z78" s="64">
        <f t="shared" ref="Z78" si="542">IF(AND(Z79=1,AA79=0)=TRUE,1,IF(AND(Z79=0,AA79=0,AA78=0)=TRUE,0,AA78+1))</f>
        <v>72</v>
      </c>
      <c r="AA78" s="64">
        <f t="shared" ref="AA78" si="543">IF(AND(AA79=1,AB79=0)=TRUE,1,IF(AND(AA79=0,AB79=0,AB78=0)=TRUE,0,AB78+1))</f>
        <v>71</v>
      </c>
      <c r="AB78" s="64">
        <f t="shared" ref="AB78" si="544">IF(AND(AB79=1,AC79=0)=TRUE,1,IF(AND(AB79=0,AC79=0,AC78=0)=TRUE,0,AC78+1))</f>
        <v>70</v>
      </c>
      <c r="AC78" s="64">
        <f t="shared" ref="AC78" si="545">IF(AND(AC79=1,AD79=0)=TRUE,1,IF(AND(AC79=0,AD79=0,AD78=0)=TRUE,0,AD78+1))</f>
        <v>69</v>
      </c>
      <c r="AD78" s="64">
        <f t="shared" ref="AD78" si="546">IF(AND(AD79=1,AE79=0)=TRUE,1,IF(AND(AD79=0,AE79=0,AE78=0)=TRUE,0,AE78+1))</f>
        <v>68</v>
      </c>
      <c r="AE78" s="64">
        <f t="shared" ref="AE78" si="547">IF(AND(AE79=1,AF79=0)=TRUE,1,IF(AND(AE79=0,AF79=0,AF78=0)=TRUE,0,AF78+1))</f>
        <v>67</v>
      </c>
      <c r="AF78" s="64">
        <f t="shared" ref="AF78" si="548">IF(AND(AF79=1,AG79=0)=TRUE,1,IF(AND(AF79=0,AG79=0,AG78=0)=TRUE,0,AG78+1))</f>
        <v>66</v>
      </c>
      <c r="AG78" s="64">
        <f t="shared" ref="AG78" si="549">IF(AND(AG79=1,AH79=0)=TRUE,1,IF(AND(AG79=0,AH79=0,AH78=0)=TRUE,0,AH78+1))</f>
        <v>65</v>
      </c>
      <c r="AH78" s="64">
        <f t="shared" ref="AH78" si="550">IF(AND(AH79=1,AI79=0)=TRUE,1,IF(AND(AH79=0,AI79=0,AI78=0)=TRUE,0,AI78+1))</f>
        <v>64</v>
      </c>
      <c r="AI78" s="64">
        <f t="shared" ref="AI78" si="551">IF(AND(AI79=1,AJ79=0)=TRUE,1,IF(AND(AI79=0,AJ79=0,AJ78=0)=TRUE,0,AJ78+1))</f>
        <v>63</v>
      </c>
      <c r="AJ78" s="64">
        <f t="shared" ref="AJ78" si="552">IF(AND(AJ79=1,AK79=0)=TRUE,1,IF(AND(AJ79=0,AK79=0,AK78=0)=TRUE,0,AK78+1))</f>
        <v>62</v>
      </c>
      <c r="AK78" s="64">
        <f t="shared" ref="AK78" si="553">IF(AND(AK79=1,AL79=0)=TRUE,1,IF(AND(AK79=0,AL79=0,AL78=0)=TRUE,0,AL78+1))</f>
        <v>61</v>
      </c>
      <c r="AL78" s="64">
        <f t="shared" ref="AL78" si="554">IF(AND(AL79=1,AM79=0)=TRUE,1,IF(AND(AL79=0,AM79=0,AM78=0)=TRUE,0,AM78+1))</f>
        <v>60</v>
      </c>
      <c r="AM78" s="64">
        <f t="shared" ref="AM78" si="555">IF(AND(AM79=1,AN79=0)=TRUE,1,IF(AND(AM79=0,AN79=0,AN78=0)=TRUE,0,AN78+1))</f>
        <v>59</v>
      </c>
      <c r="AN78" s="64">
        <f t="shared" ref="AN78" si="556">IF(AND(AN79=1,AO79=0)=TRUE,1,IF(AND(AN79=0,AO79=0,AO78=0)=TRUE,0,AO78+1))</f>
        <v>58</v>
      </c>
      <c r="AO78" s="64">
        <f t="shared" ref="AO78" si="557">IF(AND(AO79=1,AP79=0)=TRUE,1,IF(AND(AO79=0,AP79=0,AP78=0)=TRUE,0,AP78+1))</f>
        <v>57</v>
      </c>
      <c r="AP78" s="64">
        <f t="shared" ref="AP78" si="558">IF(AND(AP79=1,AQ79=0)=TRUE,1,IF(AND(AP79=0,AQ79=0,AQ78=0)=TRUE,0,AQ78+1))</f>
        <v>56</v>
      </c>
      <c r="AQ78" s="64">
        <f t="shared" ref="AQ78" si="559">IF(AND(AQ79=1,AR79=0)=TRUE,1,IF(AND(AQ79=0,AR79=0,AR78=0)=TRUE,0,AR78+1))</f>
        <v>55</v>
      </c>
      <c r="AR78" s="64">
        <f t="shared" ref="AR78" si="560">IF(AND(AR79=1,AS79=0)=TRUE,1,IF(AND(AR79=0,AS79=0,AS78=0)=TRUE,0,AS78+1))</f>
        <v>54</v>
      </c>
      <c r="AS78" s="64">
        <f t="shared" ref="AS78" si="561">IF(AND(AS79=1,AT79=0)=TRUE,1,IF(AND(AS79=0,AT79=0,AT78=0)=TRUE,0,AT78+1))</f>
        <v>53</v>
      </c>
      <c r="AT78" s="64">
        <f t="shared" ref="AT78" si="562">IF(AND(AT79=1,AU79=0)=TRUE,1,IF(AND(AT79=0,AU79=0,AU78=0)=TRUE,0,AU78+1))</f>
        <v>52</v>
      </c>
      <c r="AU78" s="64">
        <f t="shared" ref="AU78" si="563">IF(AND(AU79=1,AV79=0)=TRUE,1,IF(AND(AU79=0,AV79=0,AV78=0)=TRUE,0,AV78+1))</f>
        <v>51</v>
      </c>
      <c r="AV78" s="64">
        <f t="shared" ref="AV78" si="564">IF(AND(AV79=1,AW79=0)=TRUE,1,IF(AND(AV79=0,AW79=0,AW78=0)=TRUE,0,AW78+1))</f>
        <v>50</v>
      </c>
      <c r="AW78" s="64">
        <f t="shared" ref="AW78" si="565">IF(AND(AW79=1,AX79=0)=TRUE,1,IF(AND(AW79=0,AX79=0,AX78=0)=TRUE,0,AX78+1))</f>
        <v>49</v>
      </c>
      <c r="AX78" s="64">
        <f t="shared" ref="AX78" si="566">IF(AND(AX79=1,AY79=0)=TRUE,1,IF(AND(AX79=0,AY79=0,AY78=0)=TRUE,0,AY78+1))</f>
        <v>48</v>
      </c>
      <c r="AY78" s="64">
        <f t="shared" ref="AY78" si="567">IF(AND(AY79=1,AZ79=0)=TRUE,1,IF(AND(AY79=0,AZ79=0,AZ78=0)=TRUE,0,AZ78+1))</f>
        <v>47</v>
      </c>
      <c r="AZ78" s="64">
        <f t="shared" ref="AZ78" si="568">IF(AND(AZ79=1,BA79=0)=TRUE,1,IF(AND(AZ79=0,BA79=0,BA78=0)=TRUE,0,BA78+1))</f>
        <v>46</v>
      </c>
      <c r="BA78" s="64">
        <f t="shared" ref="BA78" si="569">IF(AND(BA79=1,BB79=0)=TRUE,1,IF(AND(BA79=0,BB79=0,BB78=0)=TRUE,0,BB78+1))</f>
        <v>45</v>
      </c>
      <c r="BB78" s="64">
        <f t="shared" ref="BB78" si="570">IF(AND(BB79=1,BC79=0)=TRUE,1,IF(AND(BB79=0,BC79=0,BC78=0)=TRUE,0,BC78+1))</f>
        <v>44</v>
      </c>
      <c r="BC78" s="64">
        <f t="shared" ref="BC78" si="571">IF(AND(BC79=1,BD79=0)=TRUE,1,IF(AND(BC79=0,BD79=0,BD78=0)=TRUE,0,BD78+1))</f>
        <v>43</v>
      </c>
      <c r="BD78" s="64">
        <f t="shared" ref="BD78" si="572">IF(AND(BD79=1,BE79=0)=TRUE,1,IF(AND(BD79=0,BE79=0,BE78=0)=TRUE,0,BE78+1))</f>
        <v>42</v>
      </c>
      <c r="BE78" s="64">
        <f t="shared" ref="BE78" si="573">IF(AND(BE79=1,BF79=0)=TRUE,1,IF(AND(BE79=0,BF79=0,BF78=0)=TRUE,0,BF78+1))</f>
        <v>41</v>
      </c>
      <c r="BF78" s="64">
        <f t="shared" ref="BF78" si="574">IF(AND(BF79=1,BG79=0)=TRUE,1,IF(AND(BF79=0,BG79=0,BG78=0)=TRUE,0,BG78+1))</f>
        <v>40</v>
      </c>
      <c r="BG78" s="64">
        <f t="shared" ref="BG78" si="575">IF(AND(BG79=1,BH79=0)=TRUE,1,IF(AND(BG79=0,BH79=0,BH78=0)=TRUE,0,BH78+1))</f>
        <v>39</v>
      </c>
      <c r="BH78" s="64">
        <f t="shared" ref="BH78" si="576">IF(AND(BH79=1,BI79=0)=TRUE,1,IF(AND(BH79=0,BI79=0,BI78=0)=TRUE,0,BI78+1))</f>
        <v>38</v>
      </c>
      <c r="BI78" s="64">
        <f t="shared" ref="BI78" si="577">IF(AND(BI79=1,BJ79=0)=TRUE,1,IF(AND(BI79=0,BJ79=0,BJ78=0)=TRUE,0,BJ78+1))</f>
        <v>37</v>
      </c>
      <c r="BJ78" s="64">
        <f t="shared" ref="BJ78" si="578">IF(AND(BJ79=1,BK79=0)=TRUE,1,IF(AND(BJ79=0,BK79=0,BK78=0)=TRUE,0,BK78+1))</f>
        <v>36</v>
      </c>
      <c r="BK78" s="64">
        <f t="shared" ref="BK78" si="579">IF(AND(BK79=1,BL79=0)=TRUE,1,IF(AND(BK79=0,BL79=0,BL78=0)=TRUE,0,BL78+1))</f>
        <v>35</v>
      </c>
      <c r="BL78" s="64">
        <f t="shared" ref="BL78" si="580">IF(AND(BL79=1,BM79=0)=TRUE,1,IF(AND(BL79=0,BM79=0,BM78=0)=TRUE,0,BM78+1))</f>
        <v>34</v>
      </c>
      <c r="BM78" s="64">
        <f t="shared" ref="BM78" si="581">IF(AND(BM79=1,BN79=0)=TRUE,1,IF(AND(BM79=0,BN79=0,BN78=0)=TRUE,0,BN78+1))</f>
        <v>33</v>
      </c>
      <c r="BN78" s="64">
        <f t="shared" ref="BN78" si="582">IF(AND(BN79=1,BO79=0)=TRUE,1,IF(AND(BN79=0,BO79=0,BO78=0)=TRUE,0,BO78+1))</f>
        <v>32</v>
      </c>
      <c r="BO78" s="64">
        <f t="shared" ref="BO78" si="583">IF(AND(BO79=1,BP79=0)=TRUE,1,IF(AND(BO79=0,BP79=0,BP78=0)=TRUE,0,BP78+1))</f>
        <v>31</v>
      </c>
      <c r="BP78" s="64">
        <f t="shared" ref="BP78" si="584">IF(AND(BP79=1,BQ79=0)=TRUE,1,IF(AND(BP79=0,BQ79=0,BQ78=0)=TRUE,0,BQ78+1))</f>
        <v>30</v>
      </c>
      <c r="BQ78" s="64">
        <f t="shared" ref="BQ78" si="585">IF(AND(BQ79=1,BR79=0)=TRUE,1,IF(AND(BQ79=0,BR79=0,BR78=0)=TRUE,0,BR78+1))</f>
        <v>29</v>
      </c>
      <c r="BR78" s="64">
        <f t="shared" ref="BR78" si="586">IF(AND(BR79=1,BS79=0)=TRUE,1,IF(AND(BR79=0,BS79=0,BS78=0)=TRUE,0,BS78+1))</f>
        <v>28</v>
      </c>
      <c r="BS78" s="64">
        <f t="shared" ref="BS78" si="587">IF(AND(BS79=1,BT79=0)=TRUE,1,IF(AND(BS79=0,BT79=0,BT78=0)=TRUE,0,BT78+1))</f>
        <v>27</v>
      </c>
      <c r="BT78" s="64">
        <f t="shared" ref="BT78" si="588">IF(AND(BT79=1,BU79=0)=TRUE,1,IF(AND(BT79=0,BU79=0,BU78=0)=TRUE,0,BU78+1))</f>
        <v>26</v>
      </c>
      <c r="BU78" s="64">
        <f t="shared" ref="BU78" si="589">IF(AND(BU79=1,BV79=0)=TRUE,1,IF(AND(BU79=0,BV79=0,BV78=0)=TRUE,0,BV78+1))</f>
        <v>25</v>
      </c>
      <c r="BV78" s="64">
        <f t="shared" ref="BV78" si="590">IF(AND(BV79=1,BW79=0)=TRUE,1,IF(AND(BV79=0,BW79=0,BW78=0)=TRUE,0,BW78+1))</f>
        <v>24</v>
      </c>
      <c r="BW78" s="64">
        <f t="shared" ref="BW78" si="591">IF(AND(BW79=1,BX79=0)=TRUE,1,IF(AND(BW79=0,BX79=0,BX78=0)=TRUE,0,BX78+1))</f>
        <v>23</v>
      </c>
      <c r="BX78" s="64">
        <f t="shared" ref="BX78" si="592">IF(AND(BX79=1,BY79=0)=TRUE,1,IF(AND(BX79=0,BY79=0,BY78=0)=TRUE,0,BY78+1))</f>
        <v>22</v>
      </c>
      <c r="BY78" s="64">
        <f t="shared" ref="BY78" si="593">IF(AND(BY79=1,BZ79=0)=TRUE,1,IF(AND(BY79=0,BZ79=0,BZ78=0)=TRUE,0,BZ78+1))</f>
        <v>21</v>
      </c>
      <c r="BZ78" s="64">
        <f t="shared" ref="BZ78" si="594">IF(AND(BZ79=1,CA79=0)=TRUE,1,IF(AND(BZ79=0,CA79=0,CA78=0)=TRUE,0,CA78+1))</f>
        <v>20</v>
      </c>
      <c r="CA78" s="64">
        <f t="shared" ref="CA78" si="595">IF(AND(CA79=1,CB79=0)=TRUE,1,IF(AND(CA79=0,CB79=0,CB78=0)=TRUE,0,CB78+1))</f>
        <v>19</v>
      </c>
      <c r="CB78" s="64">
        <f t="shared" ref="CB78" si="596">IF(AND(CB79=1,CC79=0)=TRUE,1,IF(AND(CB79=0,CC79=0,CC78=0)=TRUE,0,CC78+1))</f>
        <v>18</v>
      </c>
      <c r="CC78" s="64">
        <f t="shared" ref="CC78" si="597">IF(AND(CC79=1,CD79=0)=TRUE,1,IF(AND(CC79=0,CD79=0,CD78=0)=TRUE,0,CD78+1))</f>
        <v>17</v>
      </c>
      <c r="CD78" s="64">
        <f t="shared" ref="CD78" si="598">IF(AND(CD79=1,CE79=0)=TRUE,1,IF(AND(CD79=0,CE79=0,CE78=0)=TRUE,0,CE78+1))</f>
        <v>16</v>
      </c>
      <c r="CE78" s="64">
        <f t="shared" ref="CE78" si="599">IF(AND(CE79=1,CF79=0)=TRUE,1,IF(AND(CE79=0,CF79=0,CF78=0)=TRUE,0,CF78+1))</f>
        <v>15</v>
      </c>
      <c r="CF78" s="64">
        <f t="shared" ref="CF78" si="600">IF(AND(CF79=1,CG79=0)=TRUE,1,IF(AND(CF79=0,CG79=0,CG78=0)=TRUE,0,CG78+1))</f>
        <v>14</v>
      </c>
      <c r="CG78" s="64">
        <f t="shared" ref="CG78" si="601">IF(AND(CG79=1,CH79=0)=TRUE,1,IF(AND(CG79=0,CH79=0,CH78=0)=TRUE,0,CH78+1))</f>
        <v>13</v>
      </c>
      <c r="CH78" s="64">
        <f t="shared" ref="CH78" si="602">IF(AND(CH79=1,CI79=0)=TRUE,1,IF(AND(CH79=0,CI79=0,CI78=0)=TRUE,0,CI78+1))</f>
        <v>12</v>
      </c>
      <c r="CI78" s="64">
        <f t="shared" ref="CI78" si="603">IF(AND(CI79=1,CJ79=0)=TRUE,1,IF(AND(CI79=0,CJ79=0,CJ78=0)=TRUE,0,CJ78+1))</f>
        <v>11</v>
      </c>
      <c r="CJ78" s="64">
        <f t="shared" ref="CJ78" si="604">IF(AND(CJ79=1,CK79=0)=TRUE,1,IF(AND(CJ79=0,CK79=0,CK78=0)=TRUE,0,CK78+1))</f>
        <v>10</v>
      </c>
      <c r="CK78" s="64">
        <f t="shared" ref="CK78" si="605">IF(AND(CK79=1,CL79=0)=TRUE,1,IF(AND(CK79=0,CL79=0,CL78=0)=TRUE,0,CL78+1))</f>
        <v>9</v>
      </c>
      <c r="CL78" s="64">
        <f t="shared" ref="CL78" si="606">IF(AND(CL79=1,CM79=0)=TRUE,1,IF(AND(CL79=0,CM79=0,CM78=0)=TRUE,0,CM78+1))</f>
        <v>8</v>
      </c>
      <c r="CM78" s="64">
        <f t="shared" ref="CM78" si="607">IF(AND(CM79=1,CN79=0)=TRUE,1,IF(AND(CM79=0,CN79=0,CN78=0)=TRUE,0,CN78+1))</f>
        <v>7</v>
      </c>
      <c r="CN78" s="64">
        <f t="shared" ref="CN78" si="608">IF(AND(CN79=1,CO79=0)=TRUE,1,IF(AND(CN79=0,CO79=0,CO78=0)=TRUE,0,CO78+1))</f>
        <v>6</v>
      </c>
      <c r="CO78" s="64">
        <f t="shared" ref="CO78" si="609">IF(AND(CO79=1,CP79=0)=TRUE,1,IF(AND(CO79=0,CP79=0,CP78=0)=TRUE,0,CP78+1))</f>
        <v>5</v>
      </c>
      <c r="CP78" s="64">
        <f t="shared" ref="CP78" si="610">IF(AND(CP79=1,CQ79=0)=TRUE,1,IF(AND(CP79=0,CQ79=0,CQ78=0)=TRUE,0,CQ78+1))</f>
        <v>4</v>
      </c>
      <c r="CQ78" s="64">
        <f t="shared" ref="CQ78" si="611">IF(AND(CQ79=1,CR79=0)=TRUE,1,IF(AND(CQ79=0,CR79=0,CR78=0)=TRUE,0,CR78+1))</f>
        <v>3</v>
      </c>
      <c r="CR78" s="64">
        <f t="shared" ref="CR78:CS78" si="612">IF(AND(CR79=1,CS79=0)=TRUE,1,IF(AND(CR79=0,CS79=0,CS78=0)=TRUE,0,CS78+1))</f>
        <v>2</v>
      </c>
      <c r="CS78" s="64">
        <f t="shared" si="612"/>
        <v>1</v>
      </c>
    </row>
    <row r="79" spans="1:97" s="64" customFormat="1" x14ac:dyDescent="0.35">
      <c r="A79" s="74"/>
      <c r="B79" s="64">
        <f t="shared" ref="B79:Z79" si="613">IF(SUM(B83:B92)&gt;1,1,0)</f>
        <v>1</v>
      </c>
      <c r="C79" s="64">
        <f t="shared" si="613"/>
        <v>1</v>
      </c>
      <c r="D79" s="64">
        <f t="shared" si="613"/>
        <v>1</v>
      </c>
      <c r="E79" s="64">
        <f t="shared" si="613"/>
        <v>1</v>
      </c>
      <c r="F79" s="64">
        <f t="shared" si="613"/>
        <v>1</v>
      </c>
      <c r="G79" s="64">
        <f t="shared" si="613"/>
        <v>1</v>
      </c>
      <c r="H79" s="64">
        <f t="shared" si="613"/>
        <v>1</v>
      </c>
      <c r="I79" s="64">
        <f t="shared" si="613"/>
        <v>1</v>
      </c>
      <c r="J79" s="64">
        <f t="shared" si="613"/>
        <v>1</v>
      </c>
      <c r="K79" s="64">
        <f t="shared" si="613"/>
        <v>1</v>
      </c>
      <c r="L79" s="64">
        <f t="shared" si="613"/>
        <v>1</v>
      </c>
      <c r="M79" s="64">
        <f t="shared" si="613"/>
        <v>1</v>
      </c>
      <c r="N79" s="64">
        <f t="shared" si="613"/>
        <v>1</v>
      </c>
      <c r="O79" s="64">
        <f t="shared" si="613"/>
        <v>1</v>
      </c>
      <c r="P79" s="64">
        <f t="shared" si="613"/>
        <v>1</v>
      </c>
      <c r="Q79" s="64">
        <f t="shared" si="613"/>
        <v>1</v>
      </c>
      <c r="R79" s="64">
        <f t="shared" si="613"/>
        <v>1</v>
      </c>
      <c r="S79" s="64">
        <f t="shared" si="613"/>
        <v>1</v>
      </c>
      <c r="T79" s="64">
        <f t="shared" si="613"/>
        <v>1</v>
      </c>
      <c r="U79" s="64">
        <f t="shared" si="613"/>
        <v>1</v>
      </c>
      <c r="V79" s="64">
        <f t="shared" si="613"/>
        <v>1</v>
      </c>
      <c r="W79" s="64">
        <f t="shared" si="613"/>
        <v>1</v>
      </c>
      <c r="X79" s="64">
        <f t="shared" si="613"/>
        <v>1</v>
      </c>
      <c r="Y79" s="64">
        <f t="shared" si="613"/>
        <v>1</v>
      </c>
      <c r="Z79" s="64">
        <f t="shared" si="613"/>
        <v>1</v>
      </c>
      <c r="AA79" s="64">
        <f t="shared" ref="AA79:AW79" si="614">IF(SUM(AA83:AA92)&gt;1,1,0)</f>
        <v>1</v>
      </c>
      <c r="AB79" s="64">
        <f t="shared" si="614"/>
        <v>1</v>
      </c>
      <c r="AC79" s="64">
        <f t="shared" si="614"/>
        <v>1</v>
      </c>
      <c r="AD79" s="64">
        <f t="shared" si="614"/>
        <v>1</v>
      </c>
      <c r="AE79" s="64">
        <f t="shared" si="614"/>
        <v>1</v>
      </c>
      <c r="AF79" s="64">
        <f t="shared" si="614"/>
        <v>1</v>
      </c>
      <c r="AG79" s="64">
        <f t="shared" si="614"/>
        <v>1</v>
      </c>
      <c r="AH79" s="64">
        <f t="shared" si="614"/>
        <v>1</v>
      </c>
      <c r="AI79" s="64">
        <f t="shared" si="614"/>
        <v>1</v>
      </c>
      <c r="AJ79" s="64">
        <f t="shared" si="614"/>
        <v>1</v>
      </c>
      <c r="AK79" s="64">
        <f t="shared" si="614"/>
        <v>1</v>
      </c>
      <c r="AL79" s="64">
        <f t="shared" si="614"/>
        <v>1</v>
      </c>
      <c r="AM79" s="64">
        <f t="shared" si="614"/>
        <v>1</v>
      </c>
      <c r="AN79" s="64">
        <f t="shared" si="614"/>
        <v>1</v>
      </c>
      <c r="AO79" s="64">
        <f t="shared" si="614"/>
        <v>1</v>
      </c>
      <c r="AP79" s="64">
        <f t="shared" si="614"/>
        <v>1</v>
      </c>
      <c r="AQ79" s="64">
        <f t="shared" si="614"/>
        <v>1</v>
      </c>
      <c r="AR79" s="64">
        <f t="shared" si="614"/>
        <v>1</v>
      </c>
      <c r="AS79" s="64">
        <f t="shared" si="614"/>
        <v>1</v>
      </c>
      <c r="AT79" s="64">
        <f t="shared" si="614"/>
        <v>1</v>
      </c>
      <c r="AU79" s="64">
        <f t="shared" si="614"/>
        <v>1</v>
      </c>
      <c r="AV79" s="64">
        <f t="shared" si="614"/>
        <v>1</v>
      </c>
      <c r="AW79" s="64">
        <f t="shared" si="614"/>
        <v>1</v>
      </c>
      <c r="AX79" s="64">
        <f t="shared" ref="AX79:BI79" si="615">IF(SUM(AX83:AX92)&gt;1,1,0)</f>
        <v>1</v>
      </c>
      <c r="AY79" s="64">
        <f t="shared" si="615"/>
        <v>1</v>
      </c>
      <c r="AZ79" s="64">
        <f t="shared" si="615"/>
        <v>1</v>
      </c>
      <c r="BA79" s="64">
        <f t="shared" si="615"/>
        <v>1</v>
      </c>
      <c r="BB79" s="64">
        <f t="shared" si="615"/>
        <v>1</v>
      </c>
      <c r="BC79" s="64">
        <f t="shared" si="615"/>
        <v>1</v>
      </c>
      <c r="BD79" s="64">
        <f t="shared" si="615"/>
        <v>1</v>
      </c>
      <c r="BE79" s="64">
        <f t="shared" si="615"/>
        <v>1</v>
      </c>
      <c r="BF79" s="64">
        <f t="shared" si="615"/>
        <v>1</v>
      </c>
      <c r="BG79" s="64">
        <f t="shared" si="615"/>
        <v>1</v>
      </c>
      <c r="BH79" s="64">
        <f t="shared" si="615"/>
        <v>1</v>
      </c>
      <c r="BI79" s="64">
        <f t="shared" si="615"/>
        <v>1</v>
      </c>
      <c r="BJ79" s="64">
        <f t="shared" ref="BJ79:BW79" si="616">IF(SUM(BJ83:BJ92)&gt;1,1,0)</f>
        <v>1</v>
      </c>
      <c r="BK79" s="64">
        <f t="shared" si="616"/>
        <v>1</v>
      </c>
      <c r="BL79" s="64">
        <f t="shared" si="616"/>
        <v>1</v>
      </c>
      <c r="BM79" s="64">
        <f t="shared" si="616"/>
        <v>1</v>
      </c>
      <c r="BN79" s="64">
        <f t="shared" si="616"/>
        <v>1</v>
      </c>
      <c r="BO79" s="64">
        <f t="shared" si="616"/>
        <v>1</v>
      </c>
      <c r="BP79" s="64">
        <f t="shared" si="616"/>
        <v>1</v>
      </c>
      <c r="BQ79" s="64">
        <f t="shared" si="616"/>
        <v>1</v>
      </c>
      <c r="BR79" s="64">
        <f t="shared" si="616"/>
        <v>1</v>
      </c>
      <c r="BS79" s="64">
        <f t="shared" si="616"/>
        <v>1</v>
      </c>
      <c r="BT79" s="64">
        <f t="shared" si="616"/>
        <v>1</v>
      </c>
      <c r="BU79" s="64">
        <f t="shared" si="616"/>
        <v>1</v>
      </c>
      <c r="BV79" s="64">
        <f t="shared" si="616"/>
        <v>1</v>
      </c>
      <c r="BW79" s="64">
        <f t="shared" si="616"/>
        <v>1</v>
      </c>
      <c r="BX79" s="64">
        <f t="shared" ref="BX79:CG79" si="617">IF(SUM(BX83:BX92)&gt;1,1,0)</f>
        <v>1</v>
      </c>
      <c r="BY79" s="64">
        <f t="shared" si="617"/>
        <v>1</v>
      </c>
      <c r="BZ79" s="64">
        <f t="shared" si="617"/>
        <v>1</v>
      </c>
      <c r="CA79" s="64">
        <f t="shared" si="617"/>
        <v>1</v>
      </c>
      <c r="CB79" s="64">
        <f t="shared" si="617"/>
        <v>1</v>
      </c>
      <c r="CC79" s="64">
        <f t="shared" si="617"/>
        <v>1</v>
      </c>
      <c r="CD79" s="64">
        <f t="shared" si="617"/>
        <v>1</v>
      </c>
      <c r="CE79" s="64">
        <f t="shared" si="617"/>
        <v>1</v>
      </c>
      <c r="CF79" s="64">
        <f t="shared" si="617"/>
        <v>1</v>
      </c>
      <c r="CG79" s="64">
        <f t="shared" si="617"/>
        <v>1</v>
      </c>
      <c r="CH79" s="64">
        <f t="shared" ref="CH79:CS79" si="618">IF(SUM(CH83:CH92)&gt;1,1,0)</f>
        <v>1</v>
      </c>
      <c r="CI79" s="64">
        <f t="shared" si="618"/>
        <v>1</v>
      </c>
      <c r="CJ79" s="64">
        <f t="shared" si="618"/>
        <v>1</v>
      </c>
      <c r="CK79" s="64">
        <f t="shared" si="618"/>
        <v>1</v>
      </c>
      <c r="CL79" s="64">
        <f t="shared" si="618"/>
        <v>1</v>
      </c>
      <c r="CM79" s="64">
        <f t="shared" si="618"/>
        <v>1</v>
      </c>
      <c r="CN79" s="64">
        <f t="shared" si="618"/>
        <v>1</v>
      </c>
      <c r="CO79" s="64">
        <f t="shared" si="618"/>
        <v>1</v>
      </c>
      <c r="CP79" s="64">
        <f t="shared" si="618"/>
        <v>1</v>
      </c>
      <c r="CQ79" s="64">
        <f t="shared" si="618"/>
        <v>1</v>
      </c>
      <c r="CR79" s="64">
        <f t="shared" si="618"/>
        <v>1</v>
      </c>
      <c r="CS79" s="64">
        <f t="shared" si="618"/>
        <v>1</v>
      </c>
    </row>
    <row r="80" spans="1:97" s="64" customFormat="1" x14ac:dyDescent="0.35">
      <c r="A80" s="74"/>
      <c r="B80" s="64" t="s">
        <v>136</v>
      </c>
      <c r="C80" s="64" t="s">
        <v>136</v>
      </c>
      <c r="D80" s="64" t="s">
        <v>136</v>
      </c>
      <c r="E80" s="64" t="s">
        <v>136</v>
      </c>
      <c r="F80" s="64" t="s">
        <v>136</v>
      </c>
      <c r="G80" s="64" t="s">
        <v>136</v>
      </c>
      <c r="H80" s="64" t="s">
        <v>136</v>
      </c>
      <c r="I80" s="64" t="s">
        <v>136</v>
      </c>
      <c r="J80" s="64" t="s">
        <v>136</v>
      </c>
      <c r="K80" s="64" t="s">
        <v>136</v>
      </c>
      <c r="L80" s="64" t="s">
        <v>136</v>
      </c>
      <c r="M80" s="64" t="s">
        <v>136</v>
      </c>
      <c r="N80" s="64" t="s">
        <v>135</v>
      </c>
      <c r="O80" s="64" t="s">
        <v>135</v>
      </c>
      <c r="P80" s="64" t="s">
        <v>135</v>
      </c>
      <c r="Q80" s="64" t="s">
        <v>135</v>
      </c>
      <c r="R80" s="64" t="s">
        <v>135</v>
      </c>
      <c r="S80" s="64" t="s">
        <v>135</v>
      </c>
      <c r="T80" s="64" t="s">
        <v>135</v>
      </c>
      <c r="U80" s="64" t="s">
        <v>135</v>
      </c>
      <c r="V80" s="64" t="s">
        <v>135</v>
      </c>
      <c r="W80" s="64" t="s">
        <v>135</v>
      </c>
      <c r="X80" s="64" t="s">
        <v>135</v>
      </c>
      <c r="Y80" s="64" t="s">
        <v>135</v>
      </c>
      <c r="Z80" s="64" t="s">
        <v>207</v>
      </c>
      <c r="AA80" s="64" t="s">
        <v>207</v>
      </c>
      <c r="AB80" s="64" t="s">
        <v>207</v>
      </c>
      <c r="AC80" s="64" t="s">
        <v>207</v>
      </c>
      <c r="AD80" s="64" t="s">
        <v>207</v>
      </c>
      <c r="AE80" s="64" t="s">
        <v>207</v>
      </c>
      <c r="AF80" s="64" t="s">
        <v>207</v>
      </c>
      <c r="AG80" s="64" t="s">
        <v>207</v>
      </c>
      <c r="AH80" s="64" t="s">
        <v>207</v>
      </c>
      <c r="AI80" s="64" t="s">
        <v>207</v>
      </c>
      <c r="AJ80" s="64" t="s">
        <v>207</v>
      </c>
      <c r="AK80" s="64" t="s">
        <v>207</v>
      </c>
      <c r="AL80" s="64" t="s">
        <v>251</v>
      </c>
      <c r="AM80" s="64" t="s">
        <v>251</v>
      </c>
      <c r="AN80" s="64" t="s">
        <v>251</v>
      </c>
      <c r="AO80" s="64" t="s">
        <v>251</v>
      </c>
      <c r="AP80" s="64" t="s">
        <v>251</v>
      </c>
      <c r="AQ80" s="64" t="s">
        <v>251</v>
      </c>
      <c r="AR80" s="64" t="s">
        <v>251</v>
      </c>
      <c r="AS80" s="64" t="s">
        <v>251</v>
      </c>
      <c r="AT80" s="64" t="s">
        <v>251</v>
      </c>
      <c r="AU80" s="64" t="s">
        <v>251</v>
      </c>
      <c r="AV80" s="64" t="s">
        <v>251</v>
      </c>
      <c r="AW80" s="64" t="s">
        <v>251</v>
      </c>
      <c r="AX80" s="64" t="s">
        <v>259</v>
      </c>
      <c r="AY80" s="64" t="s">
        <v>259</v>
      </c>
      <c r="AZ80" s="64" t="s">
        <v>259</v>
      </c>
      <c r="BA80" s="64" t="s">
        <v>259</v>
      </c>
      <c r="BB80" s="64" t="s">
        <v>259</v>
      </c>
      <c r="BC80" s="64" t="s">
        <v>259</v>
      </c>
      <c r="BD80" s="64" t="s">
        <v>259</v>
      </c>
      <c r="BE80" s="64" t="s">
        <v>259</v>
      </c>
      <c r="BF80" s="64" t="s">
        <v>259</v>
      </c>
      <c r="BG80" s="64" t="s">
        <v>259</v>
      </c>
      <c r="BH80" s="64" t="s">
        <v>259</v>
      </c>
      <c r="BI80" s="64" t="s">
        <v>259</v>
      </c>
      <c r="BJ80" s="64" t="s">
        <v>406</v>
      </c>
      <c r="BK80" s="64" t="s">
        <v>407</v>
      </c>
      <c r="BL80" s="64" t="s">
        <v>408</v>
      </c>
      <c r="BM80" s="64" t="s">
        <v>409</v>
      </c>
      <c r="BN80" s="64" t="s">
        <v>410</v>
      </c>
      <c r="BO80" s="64" t="s">
        <v>411</v>
      </c>
      <c r="BP80" s="64" t="s">
        <v>412</v>
      </c>
      <c r="BQ80" s="64" t="s">
        <v>413</v>
      </c>
      <c r="BR80" s="64" t="s">
        <v>414</v>
      </c>
      <c r="BS80" s="64" t="s">
        <v>415</v>
      </c>
      <c r="BT80" s="64" t="s">
        <v>416</v>
      </c>
      <c r="BU80" s="64" t="s">
        <v>417</v>
      </c>
      <c r="BV80" s="64" t="s">
        <v>418</v>
      </c>
      <c r="BW80" s="64" t="s">
        <v>419</v>
      </c>
      <c r="BX80" s="64" t="s">
        <v>472</v>
      </c>
      <c r="BY80" s="64" t="s">
        <v>473</v>
      </c>
      <c r="BZ80" s="64" t="s">
        <v>474</v>
      </c>
      <c r="CA80" s="64" t="s">
        <v>475</v>
      </c>
      <c r="CB80" s="64" t="s">
        <v>476</v>
      </c>
      <c r="CC80" s="64" t="s">
        <v>477</v>
      </c>
      <c r="CD80" s="64" t="s">
        <v>484</v>
      </c>
      <c r="CE80" s="64" t="s">
        <v>485</v>
      </c>
      <c r="CF80" s="64" t="s">
        <v>486</v>
      </c>
      <c r="CG80" s="64" t="s">
        <v>487</v>
      </c>
      <c r="CH80" s="64" t="s">
        <v>506</v>
      </c>
      <c r="CI80" s="64" t="s">
        <v>507</v>
      </c>
      <c r="CJ80" s="64" t="s">
        <v>508</v>
      </c>
      <c r="CK80" s="64" t="s">
        <v>509</v>
      </c>
      <c r="CL80" s="64" t="s">
        <v>510</v>
      </c>
      <c r="CM80" s="64" t="s">
        <v>511</v>
      </c>
      <c r="CN80" s="64" t="s">
        <v>512</v>
      </c>
      <c r="CO80" s="64" t="s">
        <v>513</v>
      </c>
      <c r="CP80" s="64" t="s">
        <v>514</v>
      </c>
      <c r="CQ80" s="64" t="s">
        <v>515</v>
      </c>
      <c r="CR80" s="64" t="s">
        <v>516</v>
      </c>
      <c r="CS80" s="64" t="s">
        <v>517</v>
      </c>
    </row>
    <row r="81" spans="1:97" x14ac:dyDescent="0.35">
      <c r="A81" s="75"/>
      <c r="B81" s="64" t="s">
        <v>19</v>
      </c>
      <c r="C81" s="64" t="s">
        <v>20</v>
      </c>
      <c r="D81" s="64" t="s">
        <v>21</v>
      </c>
      <c r="E81" s="64" t="s">
        <v>22</v>
      </c>
      <c r="F81" s="64" t="s">
        <v>23</v>
      </c>
      <c r="G81" s="64" t="s">
        <v>24</v>
      </c>
      <c r="H81" s="64" t="s">
        <v>25</v>
      </c>
      <c r="I81" s="64" t="s">
        <v>26</v>
      </c>
      <c r="J81" s="64" t="s">
        <v>27</v>
      </c>
      <c r="K81" s="64" t="s">
        <v>28</v>
      </c>
      <c r="L81" s="64" t="s">
        <v>29</v>
      </c>
      <c r="M81" s="64" t="s">
        <v>30</v>
      </c>
      <c r="N81" s="64" t="s">
        <v>19</v>
      </c>
      <c r="O81" s="64" t="s">
        <v>20</v>
      </c>
      <c r="P81" s="64" t="s">
        <v>21</v>
      </c>
      <c r="Q81" s="64" t="s">
        <v>22</v>
      </c>
      <c r="R81" s="64" t="s">
        <v>23</v>
      </c>
      <c r="S81" s="64" t="s">
        <v>24</v>
      </c>
      <c r="T81" s="64" t="s">
        <v>25</v>
      </c>
      <c r="U81" s="64" t="s">
        <v>26</v>
      </c>
      <c r="V81" s="64" t="s">
        <v>27</v>
      </c>
      <c r="W81" s="64" t="s">
        <v>28</v>
      </c>
      <c r="X81" s="64" t="s">
        <v>29</v>
      </c>
      <c r="Y81" s="64" t="s">
        <v>30</v>
      </c>
      <c r="Z81" s="64" t="s">
        <v>19</v>
      </c>
      <c r="AA81" s="64" t="s">
        <v>20</v>
      </c>
      <c r="AB81" s="64" t="s">
        <v>21</v>
      </c>
      <c r="AC81" s="64" t="s">
        <v>22</v>
      </c>
      <c r="AD81" s="64" t="s">
        <v>23</v>
      </c>
      <c r="AE81" s="64" t="s">
        <v>24</v>
      </c>
      <c r="AF81" s="64" t="s">
        <v>25</v>
      </c>
      <c r="AG81" s="64" t="s">
        <v>26</v>
      </c>
      <c r="AH81" s="64" t="s">
        <v>27</v>
      </c>
      <c r="AI81" s="64" t="s">
        <v>28</v>
      </c>
      <c r="AJ81" s="64" t="s">
        <v>29</v>
      </c>
      <c r="AK81" s="64" t="s">
        <v>30</v>
      </c>
      <c r="AL81" s="64" t="s">
        <v>19</v>
      </c>
      <c r="AM81" s="64" t="s">
        <v>20</v>
      </c>
      <c r="AN81" s="64" t="s">
        <v>21</v>
      </c>
      <c r="AO81" s="64" t="s">
        <v>22</v>
      </c>
      <c r="AP81" s="64" t="s">
        <v>23</v>
      </c>
      <c r="AQ81" s="64" t="s">
        <v>24</v>
      </c>
      <c r="AR81" s="64" t="s">
        <v>25</v>
      </c>
      <c r="AS81" s="64" t="s">
        <v>26</v>
      </c>
      <c r="AT81" s="64" t="s">
        <v>27</v>
      </c>
      <c r="AU81" s="64" t="s">
        <v>28</v>
      </c>
      <c r="AV81" s="64" t="s">
        <v>29</v>
      </c>
      <c r="AW81" s="64" t="s">
        <v>30</v>
      </c>
      <c r="AX81" s="64" t="s">
        <v>19</v>
      </c>
      <c r="AY81" s="64" t="s">
        <v>20</v>
      </c>
      <c r="AZ81" s="64" t="s">
        <v>21</v>
      </c>
      <c r="BA81" s="64" t="s">
        <v>22</v>
      </c>
      <c r="BB81" s="64" t="s">
        <v>23</v>
      </c>
      <c r="BC81" s="64" t="s">
        <v>24</v>
      </c>
      <c r="BD81" s="64" t="s">
        <v>25</v>
      </c>
      <c r="BE81" s="64" t="s">
        <v>26</v>
      </c>
      <c r="BF81" s="64" t="s">
        <v>27</v>
      </c>
      <c r="BG81" s="64" t="s">
        <v>28</v>
      </c>
      <c r="BH81" s="64" t="s">
        <v>29</v>
      </c>
      <c r="BI81" s="64" t="s">
        <v>30</v>
      </c>
      <c r="BJ81" s="64" t="s">
        <v>19</v>
      </c>
      <c r="BK81" s="64" t="s">
        <v>20</v>
      </c>
      <c r="BL81" s="64" t="s">
        <v>21</v>
      </c>
      <c r="BM81" s="64" t="s">
        <v>22</v>
      </c>
      <c r="BN81" s="64" t="s">
        <v>23</v>
      </c>
      <c r="BO81" s="64" t="s">
        <v>24</v>
      </c>
      <c r="BP81" s="64" t="s">
        <v>25</v>
      </c>
      <c r="BQ81" s="64" t="s">
        <v>26</v>
      </c>
      <c r="BR81" s="64" t="s">
        <v>27</v>
      </c>
      <c r="BS81" s="64" t="s">
        <v>28</v>
      </c>
      <c r="BT81" s="64" t="s">
        <v>29</v>
      </c>
      <c r="BU81" s="64" t="s">
        <v>30</v>
      </c>
      <c r="BV81" s="64" t="s">
        <v>19</v>
      </c>
      <c r="BW81" s="64" t="s">
        <v>20</v>
      </c>
      <c r="BX81" s="64" t="s">
        <v>478</v>
      </c>
      <c r="BY81" s="64" t="s">
        <v>479</v>
      </c>
      <c r="BZ81" s="64" t="s">
        <v>480</v>
      </c>
      <c r="CA81" s="64" t="s">
        <v>481</v>
      </c>
      <c r="CB81" s="64" t="s">
        <v>482</v>
      </c>
      <c r="CC81" s="64" t="s">
        <v>483</v>
      </c>
      <c r="CD81" s="64" t="s">
        <v>488</v>
      </c>
      <c r="CE81" s="64" t="s">
        <v>489</v>
      </c>
      <c r="CF81" s="64" t="s">
        <v>490</v>
      </c>
      <c r="CG81" s="64" t="s">
        <v>491</v>
      </c>
      <c r="CH81" s="64" t="s">
        <v>132</v>
      </c>
      <c r="CI81" s="64" t="s">
        <v>20</v>
      </c>
      <c r="CJ81" s="64" t="s">
        <v>478</v>
      </c>
      <c r="CK81" s="64" t="s">
        <v>479</v>
      </c>
      <c r="CL81" s="64" t="s">
        <v>480</v>
      </c>
      <c r="CM81" s="64" t="s">
        <v>481</v>
      </c>
      <c r="CN81" s="64" t="s">
        <v>482</v>
      </c>
      <c r="CO81" s="64" t="s">
        <v>483</v>
      </c>
      <c r="CP81" s="64" t="s">
        <v>488</v>
      </c>
      <c r="CQ81" s="64" t="s">
        <v>489</v>
      </c>
      <c r="CR81" s="64" t="s">
        <v>490</v>
      </c>
      <c r="CS81" s="64" t="s">
        <v>491</v>
      </c>
    </row>
    <row r="82" spans="1:97" x14ac:dyDescent="0.35">
      <c r="A82" s="76"/>
      <c r="B82" s="77">
        <v>42826</v>
      </c>
      <c r="C82" s="77">
        <v>42856</v>
      </c>
      <c r="D82" s="77">
        <v>42887</v>
      </c>
      <c r="E82" s="77">
        <v>42917</v>
      </c>
      <c r="F82" s="77">
        <v>42948</v>
      </c>
      <c r="G82" s="77">
        <v>42979</v>
      </c>
      <c r="H82" s="77">
        <v>43009</v>
      </c>
      <c r="I82" s="77">
        <v>43040</v>
      </c>
      <c r="J82" s="77">
        <v>43070</v>
      </c>
      <c r="K82" s="77">
        <v>43101</v>
      </c>
      <c r="L82" s="77">
        <v>43132</v>
      </c>
      <c r="M82" s="77">
        <v>43160</v>
      </c>
      <c r="N82" s="77">
        <v>43191</v>
      </c>
      <c r="O82" s="77">
        <v>43221</v>
      </c>
      <c r="P82" s="77">
        <v>43252</v>
      </c>
      <c r="Q82" s="77">
        <v>43282</v>
      </c>
      <c r="R82" s="77">
        <v>43313</v>
      </c>
      <c r="S82" s="77">
        <v>43344</v>
      </c>
      <c r="T82" s="77">
        <v>43374</v>
      </c>
      <c r="U82" s="77">
        <v>43405</v>
      </c>
      <c r="V82" s="77">
        <v>43435</v>
      </c>
      <c r="W82" s="77">
        <v>43466</v>
      </c>
      <c r="X82" s="77">
        <v>43497</v>
      </c>
      <c r="Y82" s="77">
        <v>43525</v>
      </c>
      <c r="Z82" s="77">
        <v>43556</v>
      </c>
      <c r="AA82" s="77">
        <v>43586</v>
      </c>
      <c r="AB82" s="77">
        <v>43617</v>
      </c>
      <c r="AC82" s="77">
        <v>43647</v>
      </c>
      <c r="AD82" s="77">
        <v>43678</v>
      </c>
      <c r="AE82" s="77">
        <v>43709</v>
      </c>
      <c r="AF82" s="77">
        <v>43739</v>
      </c>
      <c r="AG82" s="77">
        <v>43770</v>
      </c>
      <c r="AH82" s="77">
        <v>43800</v>
      </c>
      <c r="AI82" s="77">
        <v>43831</v>
      </c>
      <c r="AJ82" s="77">
        <v>43862</v>
      </c>
      <c r="AK82" s="77">
        <v>43891</v>
      </c>
      <c r="AL82" s="77">
        <v>43922</v>
      </c>
      <c r="AM82" s="77">
        <v>43952</v>
      </c>
      <c r="AN82" s="77">
        <v>43983</v>
      </c>
      <c r="AO82" s="77">
        <v>44013</v>
      </c>
      <c r="AP82" s="77">
        <v>44044</v>
      </c>
      <c r="AQ82" s="77">
        <v>44075</v>
      </c>
      <c r="AR82" s="77">
        <v>44105</v>
      </c>
      <c r="AS82" s="77">
        <v>44136</v>
      </c>
      <c r="AT82" s="77">
        <v>44166</v>
      </c>
      <c r="AU82" s="77">
        <v>44197</v>
      </c>
      <c r="AV82" s="77">
        <v>44228</v>
      </c>
      <c r="AW82" s="77">
        <v>44256</v>
      </c>
      <c r="AX82" s="77">
        <v>44287</v>
      </c>
      <c r="AY82" s="77">
        <v>44317</v>
      </c>
      <c r="AZ82" s="77">
        <v>44348</v>
      </c>
      <c r="BA82" s="77">
        <v>44378</v>
      </c>
      <c r="BB82" s="77">
        <v>44409</v>
      </c>
      <c r="BC82" s="77">
        <v>44440</v>
      </c>
      <c r="BD82" s="77">
        <v>44470</v>
      </c>
      <c r="BE82" s="77">
        <v>44501</v>
      </c>
      <c r="BF82" s="77">
        <v>44531</v>
      </c>
      <c r="BG82" s="77">
        <v>44562</v>
      </c>
      <c r="BH82" s="77">
        <v>44593</v>
      </c>
      <c r="BI82" s="77">
        <v>44621</v>
      </c>
      <c r="BJ82" s="77">
        <v>44652</v>
      </c>
      <c r="BK82" s="77">
        <v>44682</v>
      </c>
      <c r="BL82" s="77">
        <v>44713</v>
      </c>
      <c r="BM82" s="77">
        <v>44743</v>
      </c>
      <c r="BN82" s="77">
        <v>44774</v>
      </c>
      <c r="BO82" s="77">
        <v>44805</v>
      </c>
      <c r="BP82" s="77">
        <v>44835</v>
      </c>
      <c r="BQ82" s="77">
        <v>44866</v>
      </c>
      <c r="BR82" s="77">
        <v>44896</v>
      </c>
      <c r="BS82" s="77">
        <v>44927</v>
      </c>
      <c r="BT82" s="77">
        <v>44958</v>
      </c>
      <c r="BU82" s="77">
        <v>44986</v>
      </c>
      <c r="BV82" s="77">
        <v>45017</v>
      </c>
      <c r="BW82" s="77">
        <v>45047</v>
      </c>
      <c r="BX82" s="77">
        <v>45078</v>
      </c>
      <c r="BY82" s="77">
        <v>45108</v>
      </c>
      <c r="BZ82" s="77">
        <v>45139</v>
      </c>
      <c r="CA82" s="77">
        <v>45170</v>
      </c>
      <c r="CB82" s="77">
        <v>45200</v>
      </c>
      <c r="CC82" s="77">
        <v>45231</v>
      </c>
      <c r="CD82" s="77">
        <v>45261</v>
      </c>
      <c r="CE82" s="77">
        <v>45292</v>
      </c>
      <c r="CF82" s="77">
        <v>45323</v>
      </c>
      <c r="CG82" s="77">
        <v>45352</v>
      </c>
      <c r="CH82" s="77">
        <v>45383</v>
      </c>
      <c r="CI82" s="77">
        <v>45413</v>
      </c>
      <c r="CJ82" s="77">
        <v>45444</v>
      </c>
      <c r="CK82" s="77">
        <v>45474</v>
      </c>
      <c r="CL82" s="77">
        <v>45505</v>
      </c>
      <c r="CM82" s="77">
        <v>45536</v>
      </c>
      <c r="CN82" s="77">
        <v>45566</v>
      </c>
      <c r="CO82" s="77">
        <v>45597</v>
      </c>
      <c r="CP82" s="77">
        <v>45627</v>
      </c>
      <c r="CQ82" s="77">
        <v>45658</v>
      </c>
      <c r="CR82" s="77">
        <v>45689</v>
      </c>
      <c r="CS82" s="77">
        <v>45717</v>
      </c>
    </row>
    <row r="83" spans="1:97" x14ac:dyDescent="0.35">
      <c r="A83" s="78" t="s">
        <v>39</v>
      </c>
      <c r="B83" s="79">
        <f>[2]Districts_Boroughs!AL204</f>
        <v>102</v>
      </c>
      <c r="C83" s="79">
        <f>[2]Districts_Boroughs!AM204</f>
        <v>83</v>
      </c>
      <c r="D83" s="79">
        <f>[2]Districts_Boroughs!AN204</f>
        <v>93</v>
      </c>
      <c r="E83" s="79">
        <f>[2]Districts_Boroughs!AO204</f>
        <v>97</v>
      </c>
      <c r="F83" s="79">
        <f>[2]Districts_Boroughs!AP204</f>
        <v>112</v>
      </c>
      <c r="G83" s="79">
        <f>[2]Districts_Boroughs!AQ204</f>
        <v>102</v>
      </c>
      <c r="H83" s="79">
        <f>[2]Districts_Boroughs!AR204</f>
        <v>94</v>
      </c>
      <c r="I83" s="79">
        <f>[2]Districts_Boroughs!AS204</f>
        <v>87</v>
      </c>
      <c r="J83" s="79">
        <f>[2]Districts_Boroughs!AT204</f>
        <v>90</v>
      </c>
      <c r="K83" s="79">
        <f>[2]Districts_Boroughs!AU204</f>
        <v>76</v>
      </c>
      <c r="L83" s="79">
        <f>[2]Districts_Boroughs!AV204</f>
        <v>63</v>
      </c>
      <c r="M83" s="79">
        <f>[2]Districts_Boroughs!AW204</f>
        <v>67</v>
      </c>
      <c r="N83" s="79">
        <f>[2]Districts_Boroughs!AX204</f>
        <v>72</v>
      </c>
      <c r="O83" s="79">
        <f>[2]Districts_Boroughs!AY204</f>
        <v>90</v>
      </c>
      <c r="P83" s="79">
        <f>[2]Districts_Boroughs!AZ204</f>
        <v>86</v>
      </c>
      <c r="Q83" s="79">
        <f>[2]Districts_Boroughs!BA204</f>
        <v>91</v>
      </c>
      <c r="R83" s="79">
        <f>[2]Districts_Boroughs!BB204</f>
        <v>97</v>
      </c>
      <c r="S83" s="79">
        <f>[2]Districts_Boroughs!BC204</f>
        <v>82</v>
      </c>
      <c r="T83" s="79">
        <f>[2]Districts_Boroughs!BD204</f>
        <v>91</v>
      </c>
      <c r="U83" s="79">
        <f>[2]Districts_Boroughs!BE204</f>
        <v>87</v>
      </c>
      <c r="V83" s="79">
        <f>[2]Districts_Boroughs!BF204</f>
        <v>95</v>
      </c>
      <c r="W83" s="79">
        <f>[2]Districts_Boroughs!BG204</f>
        <v>89</v>
      </c>
      <c r="X83" s="79">
        <f>[2]Districts_Boroughs!BH204</f>
        <v>70</v>
      </c>
      <c r="Y83" s="79">
        <f>[2]Districts_Boroughs!BI204</f>
        <v>101</v>
      </c>
      <c r="Z83" s="79">
        <f>[2]Districts_Boroughs!BJ204</f>
        <v>78</v>
      </c>
      <c r="AA83" s="79">
        <f>[2]Districts_Boroughs!BK204</f>
        <v>105</v>
      </c>
      <c r="AB83" s="79">
        <f>[2]Districts_Boroughs!BL204</f>
        <v>99</v>
      </c>
      <c r="AC83" s="79">
        <f>[2]Districts_Boroughs!BM204</f>
        <v>88</v>
      </c>
      <c r="AD83" s="79">
        <f>[2]Districts_Boroughs!BN204</f>
        <v>89</v>
      </c>
      <c r="AE83" s="79">
        <f>[2]Districts_Boroughs!BO204</f>
        <v>87</v>
      </c>
      <c r="AF83" s="79">
        <f>[2]Districts_Boroughs!BP204</f>
        <v>85</v>
      </c>
      <c r="AG83" s="79">
        <f>[2]Districts_Boroughs!BQ204</f>
        <v>92</v>
      </c>
      <c r="AH83" s="79">
        <f>[2]Districts_Boroughs!BR204</f>
        <v>101</v>
      </c>
      <c r="AI83" s="79">
        <f>[2]Districts_Boroughs!BS204</f>
        <v>74</v>
      </c>
      <c r="AJ83" s="79">
        <f>[2]Districts_Boroughs!BT204</f>
        <v>69</v>
      </c>
      <c r="AK83" s="79">
        <f>[2]Districts_Boroughs!BU204</f>
        <v>83</v>
      </c>
      <c r="AL83" s="79">
        <f>[2]Districts_Boroughs!BV204</f>
        <v>61</v>
      </c>
      <c r="AM83" s="79">
        <f>[2]Districts_Boroughs!BW204</f>
        <v>72</v>
      </c>
      <c r="AN83" s="79">
        <f>[2]Districts_Boroughs!BX204</f>
        <v>92</v>
      </c>
      <c r="AO83" s="79">
        <f>[2]Districts_Boroughs!BY204</f>
        <v>79</v>
      </c>
      <c r="AP83" s="79">
        <f>[2]Districts_Boroughs!BZ204</f>
        <v>100</v>
      </c>
      <c r="AQ83" s="79">
        <f>[2]Districts_Boroughs!CA204</f>
        <v>89</v>
      </c>
      <c r="AR83" s="79">
        <f>[2]Districts_Boroughs!CB204</f>
        <v>65</v>
      </c>
      <c r="AS83" s="79">
        <f>[2]Districts_Boroughs!CC204</f>
        <v>58</v>
      </c>
      <c r="AT83" s="79">
        <f>[2]Districts_Boroughs!CD204</f>
        <v>64</v>
      </c>
      <c r="AU83" s="79">
        <f>[2]Districts_Boroughs!CE204</f>
        <v>61</v>
      </c>
      <c r="AV83" s="79">
        <f>[2]Districts_Boroughs!CF204</f>
        <v>56</v>
      </c>
      <c r="AW83" s="79">
        <f>[2]Districts_Boroughs!CG204</f>
        <v>70</v>
      </c>
      <c r="AX83" s="79">
        <f>[2]Districts_Boroughs!CH204</f>
        <v>50</v>
      </c>
      <c r="AY83" s="79">
        <f>[2]Districts_Boroughs!CI204</f>
        <v>85</v>
      </c>
      <c r="AZ83" s="79">
        <f>[2]Districts_Boroughs!CJ204</f>
        <v>103</v>
      </c>
      <c r="BA83" s="79">
        <f>[2]Districts_Boroughs!CK204</f>
        <v>105</v>
      </c>
      <c r="BB83" s="79">
        <f>[2]Districts_Boroughs!CL204</f>
        <v>110</v>
      </c>
      <c r="BC83" s="79">
        <f>[2]Districts_Boroughs!CM204</f>
        <v>91</v>
      </c>
      <c r="BD83" s="79">
        <f>[2]Districts_Boroughs!CN204</f>
        <v>87</v>
      </c>
      <c r="BE83" s="79">
        <f>[2]Districts_Boroughs!CO204</f>
        <v>86</v>
      </c>
      <c r="BF83" s="79">
        <f>[2]Districts_Boroughs!CP204</f>
        <v>91</v>
      </c>
      <c r="BG83" s="79">
        <f>[2]Districts_Boroughs!CQ204</f>
        <v>88</v>
      </c>
      <c r="BH83" s="79">
        <f>[2]Districts_Boroughs!CR204</f>
        <v>94</v>
      </c>
      <c r="BI83" s="79">
        <f>[2]Districts_Boroughs!CS204</f>
        <v>78</v>
      </c>
      <c r="BJ83" s="79">
        <f>[2]Districts_Boroughs!CT204</f>
        <v>79</v>
      </c>
      <c r="BK83" s="79">
        <f>[2]Districts_Boroughs!CU204</f>
        <v>110</v>
      </c>
      <c r="BL83" s="79">
        <f>[2]Districts_Boroughs!CV204</f>
        <v>105</v>
      </c>
      <c r="BM83" s="79">
        <f>[2]Districts_Boroughs!CW204</f>
        <v>99</v>
      </c>
      <c r="BN83" s="79">
        <f>[2]Districts_Boroughs!CX204</f>
        <v>99</v>
      </c>
      <c r="BO83" s="79">
        <f>[2]Districts_Boroughs!CY204</f>
        <v>91</v>
      </c>
      <c r="BP83" s="79">
        <f>[2]Districts_Boroughs!CZ204</f>
        <v>95</v>
      </c>
      <c r="BQ83" s="79">
        <f>[2]Districts_Boroughs!DA204</f>
        <v>79</v>
      </c>
      <c r="BR83" s="79">
        <f>[2]Districts_Boroughs!DB204</f>
        <v>96</v>
      </c>
      <c r="BS83" s="79">
        <f>[2]Districts_Boroughs!DC204</f>
        <v>87</v>
      </c>
      <c r="BT83" s="79">
        <f>[2]Districts_Boroughs!DD204</f>
        <v>80</v>
      </c>
      <c r="BU83" s="79">
        <f>[2]Districts_Boroughs!DE204</f>
        <v>90</v>
      </c>
      <c r="BV83" s="79">
        <f>[2]Districts_Boroughs!DF204</f>
        <v>87</v>
      </c>
      <c r="BW83" s="79">
        <f>[2]Districts_Boroughs!DG204</f>
        <v>100</v>
      </c>
      <c r="BX83" s="79">
        <f>[2]Districts_Boroughs!DH204</f>
        <v>99</v>
      </c>
      <c r="BY83" s="79">
        <f>[2]Districts_Boroughs!DI204</f>
        <v>85</v>
      </c>
      <c r="BZ83" s="79">
        <f>[2]Districts_Boroughs!DJ204</f>
        <v>66</v>
      </c>
      <c r="CA83" s="79">
        <f>[2]Districts_Boroughs!DK204</f>
        <v>88</v>
      </c>
      <c r="CB83" s="79">
        <f>[2]Districts_Boroughs!DL204</f>
        <v>85</v>
      </c>
      <c r="CC83" s="79">
        <f>[2]Districts_Boroughs!DM204</f>
        <v>71</v>
      </c>
      <c r="CD83" s="79">
        <f>[2]Districts_Boroughs!DN204</f>
        <v>87</v>
      </c>
      <c r="CE83" s="79">
        <f>[2]Districts_Boroughs!DO204</f>
        <v>82</v>
      </c>
      <c r="CF83" s="79">
        <f>[2]Districts_Boroughs!DP204</f>
        <v>68</v>
      </c>
      <c r="CG83" s="79">
        <f>[2]Districts_Boroughs!DQ204</f>
        <v>69</v>
      </c>
      <c r="CH83" s="79">
        <f>[2]Districts_Boroughs!DR204</f>
        <v>88</v>
      </c>
      <c r="CI83" s="79">
        <f>[2]Districts_Boroughs!DS204</f>
        <v>94</v>
      </c>
      <c r="CJ83" s="79">
        <f>[2]Districts_Boroughs!DT204</f>
        <v>93</v>
      </c>
      <c r="CK83" s="79">
        <f>[2]Districts_Boroughs!DU204</f>
        <v>102</v>
      </c>
      <c r="CL83" s="79">
        <f>[2]Districts_Boroughs!DV204</f>
        <v>89</v>
      </c>
      <c r="CM83" s="79">
        <f>[2]Districts_Boroughs!DW204</f>
        <v>81</v>
      </c>
      <c r="CN83" s="79">
        <f>[2]Districts_Boroughs!DX204</f>
        <v>82</v>
      </c>
      <c r="CO83" s="79">
        <f>[2]Districts_Boroughs!DY204</f>
        <v>71</v>
      </c>
      <c r="CP83" s="79">
        <f>[2]Districts_Boroughs!DZ204</f>
        <v>100</v>
      </c>
      <c r="CQ83" s="79">
        <f>[2]Districts_Boroughs!EA204</f>
        <v>81</v>
      </c>
      <c r="CR83" s="79">
        <f>[2]Districts_Boroughs!EB204</f>
        <v>61</v>
      </c>
      <c r="CS83" s="79">
        <f>[2]Districts_Boroughs!EC204</f>
        <v>108</v>
      </c>
    </row>
    <row r="84" spans="1:97" x14ac:dyDescent="0.35">
      <c r="A84" s="78" t="s">
        <v>40</v>
      </c>
      <c r="B84" s="79">
        <f>[2]Districts_Boroughs!AL205</f>
        <v>160</v>
      </c>
      <c r="C84" s="79">
        <f>[2]Districts_Boroughs!AM205</f>
        <v>156</v>
      </c>
      <c r="D84" s="79">
        <f>[2]Districts_Boroughs!AN205</f>
        <v>190</v>
      </c>
      <c r="E84" s="79">
        <f>[2]Districts_Boroughs!AO205</f>
        <v>152</v>
      </c>
      <c r="F84" s="79">
        <f>[2]Districts_Boroughs!AP205</f>
        <v>170</v>
      </c>
      <c r="G84" s="79">
        <f>[2]Districts_Boroughs!AQ205</f>
        <v>154</v>
      </c>
      <c r="H84" s="79">
        <f>[2]Districts_Boroughs!AR205</f>
        <v>157</v>
      </c>
      <c r="I84" s="79">
        <f>[2]Districts_Boroughs!AS205</f>
        <v>151</v>
      </c>
      <c r="J84" s="79">
        <f>[2]Districts_Boroughs!AT205</f>
        <v>122</v>
      </c>
      <c r="K84" s="79">
        <f>[2]Districts_Boroughs!AU205</f>
        <v>143</v>
      </c>
      <c r="L84" s="79">
        <f>[2]Districts_Boroughs!AV205</f>
        <v>121</v>
      </c>
      <c r="M84" s="79">
        <f>[2]Districts_Boroughs!AW205</f>
        <v>134</v>
      </c>
      <c r="N84" s="79">
        <f>[2]Districts_Boroughs!AX205</f>
        <v>171</v>
      </c>
      <c r="O84" s="79">
        <f>[2]Districts_Boroughs!AY205</f>
        <v>154</v>
      </c>
      <c r="P84" s="79">
        <f>[2]Districts_Boroughs!AZ205</f>
        <v>181</v>
      </c>
      <c r="Q84" s="79">
        <f>[2]Districts_Boroughs!BA205</f>
        <v>178</v>
      </c>
      <c r="R84" s="79">
        <f>[2]Districts_Boroughs!BB205</f>
        <v>183</v>
      </c>
      <c r="S84" s="79">
        <f>[2]Districts_Boroughs!BC205</f>
        <v>158</v>
      </c>
      <c r="T84" s="79">
        <f>[2]Districts_Boroughs!BD205</f>
        <v>153</v>
      </c>
      <c r="U84" s="79">
        <f>[2]Districts_Boroughs!BE205</f>
        <v>200</v>
      </c>
      <c r="V84" s="79">
        <f>[2]Districts_Boroughs!BF205</f>
        <v>160</v>
      </c>
      <c r="W84" s="79">
        <f>[2]Districts_Boroughs!BG205</f>
        <v>165</v>
      </c>
      <c r="X84" s="79">
        <f>[2]Districts_Boroughs!BH205</f>
        <v>160</v>
      </c>
      <c r="Y84" s="79">
        <f>[2]Districts_Boroughs!BI205</f>
        <v>197</v>
      </c>
      <c r="Z84" s="79">
        <f>[2]Districts_Boroughs!BJ205</f>
        <v>180</v>
      </c>
      <c r="AA84" s="79">
        <f>[2]Districts_Boroughs!BK205</f>
        <v>160</v>
      </c>
      <c r="AB84" s="79">
        <f>[2]Districts_Boroughs!BL205</f>
        <v>152</v>
      </c>
      <c r="AC84" s="79">
        <f>[2]Districts_Boroughs!BM205</f>
        <v>202</v>
      </c>
      <c r="AD84" s="79">
        <f>[2]Districts_Boroughs!BN205</f>
        <v>186</v>
      </c>
      <c r="AE84" s="79">
        <f>[2]Districts_Boroughs!BO205</f>
        <v>213</v>
      </c>
      <c r="AF84" s="79">
        <f>[2]Districts_Boroughs!BP205</f>
        <v>202</v>
      </c>
      <c r="AG84" s="79">
        <f>[2]Districts_Boroughs!BQ205</f>
        <v>186</v>
      </c>
      <c r="AH84" s="79">
        <f>[2]Districts_Boroughs!BR205</f>
        <v>217</v>
      </c>
      <c r="AI84" s="79">
        <f>[2]Districts_Boroughs!BS205</f>
        <v>194</v>
      </c>
      <c r="AJ84" s="79">
        <f>[2]Districts_Boroughs!BT205</f>
        <v>202</v>
      </c>
      <c r="AK84" s="79">
        <f>[2]Districts_Boroughs!BU205</f>
        <v>187</v>
      </c>
      <c r="AL84" s="79">
        <f>[2]Districts_Boroughs!BV205</f>
        <v>143</v>
      </c>
      <c r="AM84" s="79">
        <f>[2]Districts_Boroughs!BW205</f>
        <v>216</v>
      </c>
      <c r="AN84" s="79">
        <f>[2]Districts_Boroughs!BX205</f>
        <v>254</v>
      </c>
      <c r="AO84" s="79">
        <f>[2]Districts_Boroughs!BY205</f>
        <v>239</v>
      </c>
      <c r="AP84" s="79">
        <f>[2]Districts_Boroughs!BZ205</f>
        <v>246</v>
      </c>
      <c r="AQ84" s="79">
        <f>[2]Districts_Boroughs!CA205</f>
        <v>261</v>
      </c>
      <c r="AR84" s="79">
        <f>[2]Districts_Boroughs!CB205</f>
        <v>240</v>
      </c>
      <c r="AS84" s="79">
        <f>[2]Districts_Boroughs!CC205</f>
        <v>210</v>
      </c>
      <c r="AT84" s="79">
        <f>[2]Districts_Boroughs!CD205</f>
        <v>181</v>
      </c>
      <c r="AU84" s="79">
        <f>[2]Districts_Boroughs!CE205</f>
        <v>183</v>
      </c>
      <c r="AV84" s="79">
        <f>[2]Districts_Boroughs!CF205</f>
        <v>150</v>
      </c>
      <c r="AW84" s="79">
        <f>[2]Districts_Boroughs!CG205</f>
        <v>194</v>
      </c>
      <c r="AX84" s="79">
        <f>[2]Districts_Boroughs!CH205</f>
        <v>189</v>
      </c>
      <c r="AY84" s="79">
        <f>[2]Districts_Boroughs!CI205</f>
        <v>203</v>
      </c>
      <c r="AZ84" s="79">
        <f>[2]Districts_Boroughs!CJ205</f>
        <v>255</v>
      </c>
      <c r="BA84" s="79">
        <f>[2]Districts_Boroughs!CK205</f>
        <v>261</v>
      </c>
      <c r="BB84" s="79">
        <f>[2]Districts_Boroughs!CL205</f>
        <v>265</v>
      </c>
      <c r="BC84" s="79">
        <f>[2]Districts_Boroughs!CM205</f>
        <v>240</v>
      </c>
      <c r="BD84" s="79">
        <f>[2]Districts_Boroughs!CN205</f>
        <v>268</v>
      </c>
      <c r="BE84" s="79">
        <f>[2]Districts_Boroughs!CO205</f>
        <v>236</v>
      </c>
      <c r="BF84" s="79">
        <f>[2]Districts_Boroughs!CP205</f>
        <v>195</v>
      </c>
      <c r="BG84" s="79">
        <f>[2]Districts_Boroughs!CQ205</f>
        <v>227</v>
      </c>
      <c r="BH84" s="79">
        <f>[2]Districts_Boroughs!CR205</f>
        <v>201</v>
      </c>
      <c r="BI84" s="79">
        <f>[2]Districts_Boroughs!CS205</f>
        <v>228</v>
      </c>
      <c r="BJ84" s="79">
        <f>[2]Districts_Boroughs!CT205</f>
        <v>248</v>
      </c>
      <c r="BK84" s="79">
        <f>[2]Districts_Boroughs!CU205</f>
        <v>231</v>
      </c>
      <c r="BL84" s="79">
        <f>[2]Districts_Boroughs!CV205</f>
        <v>242</v>
      </c>
      <c r="BM84" s="79">
        <f>[2]Districts_Boroughs!CW205</f>
        <v>228</v>
      </c>
      <c r="BN84" s="79">
        <f>[2]Districts_Boroughs!CX205</f>
        <v>213</v>
      </c>
      <c r="BO84" s="79">
        <f>[2]Districts_Boroughs!CY205</f>
        <v>233</v>
      </c>
      <c r="BP84" s="79">
        <f>[2]Districts_Boroughs!CZ205</f>
        <v>232</v>
      </c>
      <c r="BQ84" s="79">
        <f>[2]Districts_Boroughs!DA205</f>
        <v>220</v>
      </c>
      <c r="BR84" s="79">
        <f>[2]Districts_Boroughs!DB205</f>
        <v>164</v>
      </c>
      <c r="BS84" s="79">
        <f>[2]Districts_Boroughs!DC205</f>
        <v>216</v>
      </c>
      <c r="BT84" s="79">
        <f>[2]Districts_Boroughs!DD205</f>
        <v>206</v>
      </c>
      <c r="BU84" s="79">
        <f>[2]Districts_Boroughs!DE205</f>
        <v>197</v>
      </c>
      <c r="BV84" s="79">
        <f>[2]Districts_Boroughs!DF205</f>
        <v>178</v>
      </c>
      <c r="BW84" s="79">
        <f>[2]Districts_Boroughs!DG205</f>
        <v>177</v>
      </c>
      <c r="BX84" s="79">
        <f>[2]Districts_Boroughs!DH205</f>
        <v>194</v>
      </c>
      <c r="BY84" s="79">
        <f>[2]Districts_Boroughs!DI205</f>
        <v>200</v>
      </c>
      <c r="BZ84" s="79">
        <f>[2]Districts_Boroughs!DJ205</f>
        <v>185</v>
      </c>
      <c r="CA84" s="79">
        <f>[2]Districts_Boroughs!DK205</f>
        <v>182</v>
      </c>
      <c r="CB84" s="79">
        <f>[2]Districts_Boroughs!DL205</f>
        <v>182</v>
      </c>
      <c r="CC84" s="79">
        <f>[2]Districts_Boroughs!DM205</f>
        <v>175</v>
      </c>
      <c r="CD84" s="79">
        <f>[2]Districts_Boroughs!DN205</f>
        <v>164</v>
      </c>
      <c r="CE84" s="79">
        <f>[2]Districts_Boroughs!DO205</f>
        <v>204</v>
      </c>
      <c r="CF84" s="79">
        <f>[2]Districts_Boroughs!DP205</f>
        <v>179</v>
      </c>
      <c r="CG84" s="79">
        <f>[2]Districts_Boroughs!DQ205</f>
        <v>180</v>
      </c>
      <c r="CH84" s="79">
        <f>[2]Districts_Boroughs!DR205</f>
        <v>160</v>
      </c>
      <c r="CI84" s="79">
        <f>[2]Districts_Boroughs!DS205</f>
        <v>163</v>
      </c>
      <c r="CJ84" s="79">
        <f>[2]Districts_Boroughs!DT205</f>
        <v>182</v>
      </c>
      <c r="CK84" s="79">
        <f>[2]Districts_Boroughs!DU205</f>
        <v>211</v>
      </c>
      <c r="CL84" s="79">
        <f>[2]Districts_Boroughs!DV205</f>
        <v>165</v>
      </c>
      <c r="CM84" s="79">
        <f>[2]Districts_Boroughs!DW205</f>
        <v>177</v>
      </c>
      <c r="CN84" s="79">
        <f>[2]Districts_Boroughs!DX205</f>
        <v>197</v>
      </c>
      <c r="CO84" s="79">
        <f>[2]Districts_Boroughs!DY205</f>
        <v>162</v>
      </c>
      <c r="CP84" s="79">
        <f>[2]Districts_Boroughs!DZ205</f>
        <v>160</v>
      </c>
      <c r="CQ84" s="79">
        <f>[2]Districts_Boroughs!EA205</f>
        <v>185</v>
      </c>
      <c r="CR84" s="79">
        <f>[2]Districts_Boroughs!EB205</f>
        <v>173</v>
      </c>
      <c r="CS84" s="79">
        <f>[2]Districts_Boroughs!EC205</f>
        <v>180</v>
      </c>
    </row>
    <row r="85" spans="1:97" x14ac:dyDescent="0.35">
      <c r="A85" s="78" t="s">
        <v>5</v>
      </c>
      <c r="B85" s="79">
        <f>[2]Districts_Boroughs!AL206</f>
        <v>9</v>
      </c>
      <c r="C85" s="79">
        <f>[2]Districts_Boroughs!AM206</f>
        <v>13</v>
      </c>
      <c r="D85" s="79">
        <f>[2]Districts_Boroughs!AN206</f>
        <v>14</v>
      </c>
      <c r="E85" s="79">
        <f>[2]Districts_Boroughs!AO206</f>
        <v>7</v>
      </c>
      <c r="F85" s="79">
        <f>[2]Districts_Boroughs!AP206</f>
        <v>21</v>
      </c>
      <c r="G85" s="79">
        <f>[2]Districts_Boroughs!AQ206</f>
        <v>13</v>
      </c>
      <c r="H85" s="79">
        <f>[2]Districts_Boroughs!AR206</f>
        <v>9</v>
      </c>
      <c r="I85" s="79">
        <f>[2]Districts_Boroughs!AS206</f>
        <v>8</v>
      </c>
      <c r="J85" s="79">
        <f>[2]Districts_Boroughs!AT206</f>
        <v>16</v>
      </c>
      <c r="K85" s="79">
        <f>[2]Districts_Boroughs!AU206</f>
        <v>8</v>
      </c>
      <c r="L85" s="79">
        <f>[2]Districts_Boroughs!AV206</f>
        <v>9</v>
      </c>
      <c r="M85" s="79">
        <f>[2]Districts_Boroughs!AW206</f>
        <v>8</v>
      </c>
      <c r="N85" s="79">
        <f>[2]Districts_Boroughs!AX206</f>
        <v>8</v>
      </c>
      <c r="O85" s="79">
        <f>[2]Districts_Boroughs!AY206</f>
        <v>7</v>
      </c>
      <c r="P85" s="79">
        <f>[2]Districts_Boroughs!AZ206</f>
        <v>12</v>
      </c>
      <c r="Q85" s="79">
        <f>[2]Districts_Boroughs!BA206</f>
        <v>14</v>
      </c>
      <c r="R85" s="79">
        <f>[2]Districts_Boroughs!BB206</f>
        <v>9</v>
      </c>
      <c r="S85" s="79">
        <f>[2]Districts_Boroughs!BC206</f>
        <v>5</v>
      </c>
      <c r="T85" s="79">
        <f>[2]Districts_Boroughs!BD206</f>
        <v>9</v>
      </c>
      <c r="U85" s="79">
        <f>[2]Districts_Boroughs!BE206</f>
        <v>9</v>
      </c>
      <c r="V85" s="79">
        <f>[2]Districts_Boroughs!BF206</f>
        <v>8</v>
      </c>
      <c r="W85" s="79">
        <f>[2]Districts_Boroughs!BG206</f>
        <v>7</v>
      </c>
      <c r="X85" s="79">
        <f>[2]Districts_Boroughs!BH206</f>
        <v>8</v>
      </c>
      <c r="Y85" s="79">
        <f>[2]Districts_Boroughs!BI206</f>
        <v>10</v>
      </c>
      <c r="Z85" s="79">
        <f>[2]Districts_Boroughs!BJ206</f>
        <v>6</v>
      </c>
      <c r="AA85" s="79">
        <f>[2]Districts_Boroughs!BK206</f>
        <v>17</v>
      </c>
      <c r="AB85" s="79">
        <f>[2]Districts_Boroughs!BL206</f>
        <v>8</v>
      </c>
      <c r="AC85" s="79">
        <f>[2]Districts_Boroughs!BM206</f>
        <v>9</v>
      </c>
      <c r="AD85" s="79">
        <f>[2]Districts_Boroughs!BN206</f>
        <v>14</v>
      </c>
      <c r="AE85" s="79">
        <f>[2]Districts_Boroughs!BO206</f>
        <v>15</v>
      </c>
      <c r="AF85" s="79">
        <f>[2]Districts_Boroughs!BP206</f>
        <v>12</v>
      </c>
      <c r="AG85" s="79">
        <f>[2]Districts_Boroughs!BQ206</f>
        <v>11</v>
      </c>
      <c r="AH85" s="79">
        <f>[2]Districts_Boroughs!BR206</f>
        <v>14</v>
      </c>
      <c r="AI85" s="79">
        <f>[2]Districts_Boroughs!BS206</f>
        <v>9</v>
      </c>
      <c r="AJ85" s="79">
        <f>[2]Districts_Boroughs!BT206</f>
        <v>5</v>
      </c>
      <c r="AK85" s="79">
        <f>[2]Districts_Boroughs!BU206</f>
        <v>14</v>
      </c>
      <c r="AL85" s="79">
        <f>[2]Districts_Boroughs!BV206</f>
        <v>7</v>
      </c>
      <c r="AM85" s="79">
        <f>[2]Districts_Boroughs!BW206</f>
        <v>9</v>
      </c>
      <c r="AN85" s="79">
        <f>[2]Districts_Boroughs!BX206</f>
        <v>10</v>
      </c>
      <c r="AO85" s="79">
        <f>[2]Districts_Boroughs!BY206</f>
        <v>11</v>
      </c>
      <c r="AP85" s="79">
        <f>[2]Districts_Boroughs!BZ206</f>
        <v>5</v>
      </c>
      <c r="AQ85" s="79">
        <f>[2]Districts_Boroughs!CA206</f>
        <v>11</v>
      </c>
      <c r="AR85" s="79">
        <f>[2]Districts_Boroughs!CB206</f>
        <v>5</v>
      </c>
      <c r="AS85" s="79">
        <f>[2]Districts_Boroughs!CC206</f>
        <v>10</v>
      </c>
      <c r="AT85" s="79">
        <f>[2]Districts_Boroughs!CD206</f>
        <v>9</v>
      </c>
      <c r="AU85" s="79">
        <f>[2]Districts_Boroughs!CE206</f>
        <v>7</v>
      </c>
      <c r="AV85" s="79">
        <f>[2]Districts_Boroughs!CF206</f>
        <v>6</v>
      </c>
      <c r="AW85" s="79">
        <f>[2]Districts_Boroughs!CG206</f>
        <v>11</v>
      </c>
      <c r="AX85" s="79">
        <f>[2]Districts_Boroughs!CH206</f>
        <v>13</v>
      </c>
      <c r="AY85" s="79">
        <f>[2]Districts_Boroughs!CI206</f>
        <v>8</v>
      </c>
      <c r="AZ85" s="79">
        <f>[2]Districts_Boroughs!CJ206</f>
        <v>12</v>
      </c>
      <c r="BA85" s="79">
        <f>[2]Districts_Boroughs!CK206</f>
        <v>11</v>
      </c>
      <c r="BB85" s="79">
        <f>[2]Districts_Boroughs!CL206</f>
        <v>12</v>
      </c>
      <c r="BC85" s="79">
        <f>[2]Districts_Boroughs!CM206</f>
        <v>10</v>
      </c>
      <c r="BD85" s="79">
        <f>[2]Districts_Boroughs!CN206</f>
        <v>8</v>
      </c>
      <c r="BE85" s="79">
        <f>[2]Districts_Boroughs!CO206</f>
        <v>16</v>
      </c>
      <c r="BF85" s="79">
        <f>[2]Districts_Boroughs!CP206</f>
        <v>8</v>
      </c>
      <c r="BG85" s="79">
        <f>[2]Districts_Boroughs!CQ206</f>
        <v>12</v>
      </c>
      <c r="BH85" s="79">
        <f>[2]Districts_Boroughs!CR206</f>
        <v>11</v>
      </c>
      <c r="BI85" s="79">
        <f>[2]Districts_Boroughs!CS206</f>
        <v>7</v>
      </c>
      <c r="BJ85" s="79">
        <f>[2]Districts_Boroughs!CT206</f>
        <v>9</v>
      </c>
      <c r="BK85" s="79">
        <f>[2]Districts_Boroughs!CU206</f>
        <v>9</v>
      </c>
      <c r="BL85" s="79">
        <f>[2]Districts_Boroughs!CV206</f>
        <v>7</v>
      </c>
      <c r="BM85" s="79">
        <f>[2]Districts_Boroughs!CW206</f>
        <v>14</v>
      </c>
      <c r="BN85" s="79">
        <f>[2]Districts_Boroughs!CX206</f>
        <v>19</v>
      </c>
      <c r="BO85" s="79">
        <f>[2]Districts_Boroughs!CY206</f>
        <v>11</v>
      </c>
      <c r="BP85" s="79">
        <f>[2]Districts_Boroughs!CZ206</f>
        <v>13</v>
      </c>
      <c r="BQ85" s="79">
        <f>[2]Districts_Boroughs!DA206</f>
        <v>6</v>
      </c>
      <c r="BR85" s="79">
        <f>[2]Districts_Boroughs!DB206</f>
        <v>11</v>
      </c>
      <c r="BS85" s="79">
        <f>[2]Districts_Boroughs!DC206</f>
        <v>10</v>
      </c>
      <c r="BT85" s="79">
        <f>[2]Districts_Boroughs!DD206</f>
        <v>14</v>
      </c>
      <c r="BU85" s="79">
        <f>[2]Districts_Boroughs!DE206</f>
        <v>6</v>
      </c>
      <c r="BV85" s="79">
        <f>[2]Districts_Boroughs!DF206</f>
        <v>7</v>
      </c>
      <c r="BW85" s="79">
        <f>[2]Districts_Boroughs!DG206</f>
        <v>12</v>
      </c>
      <c r="BX85" s="79">
        <f>[2]Districts_Boroughs!DH206</f>
        <v>8</v>
      </c>
      <c r="BY85" s="79">
        <f>[2]Districts_Boroughs!DI206</f>
        <v>12</v>
      </c>
      <c r="BZ85" s="79">
        <f>[2]Districts_Boroughs!DJ206</f>
        <v>17</v>
      </c>
      <c r="CA85" s="79">
        <f>[2]Districts_Boroughs!DK206</f>
        <v>13</v>
      </c>
      <c r="CB85" s="79">
        <f>[2]Districts_Boroughs!DL206</f>
        <v>15</v>
      </c>
      <c r="CC85" s="79">
        <f>[2]Districts_Boroughs!DM206</f>
        <v>11</v>
      </c>
      <c r="CD85" s="79">
        <f>[2]Districts_Boroughs!DN206</f>
        <v>8</v>
      </c>
      <c r="CE85" s="79">
        <f>[2]Districts_Boroughs!DO206</f>
        <v>13</v>
      </c>
      <c r="CF85" s="79">
        <f>[2]Districts_Boroughs!DP206</f>
        <v>9</v>
      </c>
      <c r="CG85" s="79">
        <f>[2]Districts_Boroughs!DQ206</f>
        <v>14</v>
      </c>
      <c r="CH85" s="79">
        <f>[2]Districts_Boroughs!DR206</f>
        <v>16</v>
      </c>
      <c r="CI85" s="79">
        <f>[2]Districts_Boroughs!DS206</f>
        <v>8</v>
      </c>
      <c r="CJ85" s="79">
        <f>[2]Districts_Boroughs!DT206</f>
        <v>8</v>
      </c>
      <c r="CK85" s="79">
        <f>[2]Districts_Boroughs!DU206</f>
        <v>13</v>
      </c>
      <c r="CL85" s="79">
        <f>[2]Districts_Boroughs!DV206</f>
        <v>11</v>
      </c>
      <c r="CM85" s="79">
        <f>[2]Districts_Boroughs!DW206</f>
        <v>13</v>
      </c>
      <c r="CN85" s="79">
        <f>[2]Districts_Boroughs!DX206</f>
        <v>18</v>
      </c>
      <c r="CO85" s="79">
        <f>[2]Districts_Boroughs!DY206</f>
        <v>12</v>
      </c>
      <c r="CP85" s="79">
        <f>[2]Districts_Boroughs!DZ206</f>
        <v>17</v>
      </c>
      <c r="CQ85" s="79">
        <f>[2]Districts_Boroughs!EA206</f>
        <v>16</v>
      </c>
      <c r="CR85" s="79">
        <f>[2]Districts_Boroughs!EB206</f>
        <v>9</v>
      </c>
      <c r="CS85" s="79">
        <f>[2]Districts_Boroughs!EC206</f>
        <v>6</v>
      </c>
    </row>
    <row r="86" spans="1:97" x14ac:dyDescent="0.35">
      <c r="A86" s="78" t="s">
        <v>35</v>
      </c>
      <c r="B86" s="79">
        <f>[2]Districts_Boroughs!AL207</f>
        <v>7</v>
      </c>
      <c r="C86" s="79">
        <f>[2]Districts_Boroughs!AM207</f>
        <v>24</v>
      </c>
      <c r="D86" s="79">
        <f>[2]Districts_Boroughs!AN207</f>
        <v>23</v>
      </c>
      <c r="E86" s="79">
        <f>[2]Districts_Boroughs!AO207</f>
        <v>16</v>
      </c>
      <c r="F86" s="79">
        <f>[2]Districts_Boroughs!AP207</f>
        <v>24</v>
      </c>
      <c r="G86" s="79">
        <f>[2]Districts_Boroughs!AQ207</f>
        <v>16</v>
      </c>
      <c r="H86" s="79">
        <f>[2]Districts_Boroughs!AR207</f>
        <v>17</v>
      </c>
      <c r="I86" s="79">
        <f>[2]Districts_Boroughs!AS207</f>
        <v>19</v>
      </c>
      <c r="J86" s="79">
        <f>[2]Districts_Boroughs!AT207</f>
        <v>25</v>
      </c>
      <c r="K86" s="79">
        <f>[2]Districts_Boroughs!AU207</f>
        <v>17</v>
      </c>
      <c r="L86" s="79">
        <f>[2]Districts_Boroughs!AV207</f>
        <v>14</v>
      </c>
      <c r="M86" s="79">
        <f>[2]Districts_Boroughs!AW207</f>
        <v>27</v>
      </c>
      <c r="N86" s="79">
        <f>[2]Districts_Boroughs!AX207</f>
        <v>21</v>
      </c>
      <c r="O86" s="79">
        <f>[2]Districts_Boroughs!AY207</f>
        <v>17</v>
      </c>
      <c r="P86" s="79">
        <f>[2]Districts_Boroughs!AZ207</f>
        <v>20</v>
      </c>
      <c r="Q86" s="79">
        <f>[2]Districts_Boroughs!BA207</f>
        <v>21</v>
      </c>
      <c r="R86" s="79">
        <f>[2]Districts_Boroughs!BB207</f>
        <v>19</v>
      </c>
      <c r="S86" s="79">
        <f>[2]Districts_Boroughs!BC207</f>
        <v>15</v>
      </c>
      <c r="T86" s="79">
        <f>[2]Districts_Boroughs!BD207</f>
        <v>14</v>
      </c>
      <c r="U86" s="79">
        <f>[2]Districts_Boroughs!BE207</f>
        <v>21</v>
      </c>
      <c r="V86" s="79">
        <f>[2]Districts_Boroughs!BF207</f>
        <v>12</v>
      </c>
      <c r="W86" s="79">
        <f>[2]Districts_Boroughs!BG207</f>
        <v>16</v>
      </c>
      <c r="X86" s="79">
        <f>[2]Districts_Boroughs!BH207</f>
        <v>10</v>
      </c>
      <c r="Y86" s="79">
        <f>[2]Districts_Boroughs!BI207</f>
        <v>12</v>
      </c>
      <c r="Z86" s="79">
        <f>[2]Districts_Boroughs!BJ207</f>
        <v>12</v>
      </c>
      <c r="AA86" s="79">
        <f>[2]Districts_Boroughs!BK207</f>
        <v>16</v>
      </c>
      <c r="AB86" s="79">
        <f>[2]Districts_Boroughs!BL207</f>
        <v>16</v>
      </c>
      <c r="AC86" s="79">
        <f>[2]Districts_Boroughs!BM207</f>
        <v>25</v>
      </c>
      <c r="AD86" s="79">
        <f>[2]Districts_Boroughs!BN207</f>
        <v>14</v>
      </c>
      <c r="AE86" s="79">
        <f>[2]Districts_Boroughs!BO207</f>
        <v>24</v>
      </c>
      <c r="AF86" s="79">
        <f>[2]Districts_Boroughs!BP207</f>
        <v>25</v>
      </c>
      <c r="AG86" s="79">
        <f>[2]Districts_Boroughs!BQ207</f>
        <v>21</v>
      </c>
      <c r="AH86" s="79">
        <f>[2]Districts_Boroughs!BR207</f>
        <v>24</v>
      </c>
      <c r="AI86" s="79">
        <f>[2]Districts_Boroughs!BS207</f>
        <v>13</v>
      </c>
      <c r="AJ86" s="79">
        <f>[2]Districts_Boroughs!BT207</f>
        <v>35</v>
      </c>
      <c r="AK86" s="79">
        <f>[2]Districts_Boroughs!BU207</f>
        <v>17</v>
      </c>
      <c r="AL86" s="79">
        <f>[2]Districts_Boroughs!BV207</f>
        <v>22</v>
      </c>
      <c r="AM86" s="79">
        <f>[2]Districts_Boroughs!BW207</f>
        <v>17</v>
      </c>
      <c r="AN86" s="79">
        <f>[2]Districts_Boroughs!BX207</f>
        <v>22</v>
      </c>
      <c r="AO86" s="79">
        <f>[2]Districts_Boroughs!BY207</f>
        <v>16</v>
      </c>
      <c r="AP86" s="79">
        <f>[2]Districts_Boroughs!BZ207</f>
        <v>14</v>
      </c>
      <c r="AQ86" s="79">
        <f>[2]Districts_Boroughs!CA207</f>
        <v>19</v>
      </c>
      <c r="AR86" s="79">
        <f>[2]Districts_Boroughs!CB207</f>
        <v>11</v>
      </c>
      <c r="AS86" s="79">
        <f>[2]Districts_Boroughs!CC207</f>
        <v>17</v>
      </c>
      <c r="AT86" s="79">
        <f>[2]Districts_Boroughs!CD207</f>
        <v>19</v>
      </c>
      <c r="AU86" s="79">
        <f>[2]Districts_Boroughs!CE207</f>
        <v>10</v>
      </c>
      <c r="AV86" s="79">
        <f>[2]Districts_Boroughs!CF207</f>
        <v>18</v>
      </c>
      <c r="AW86" s="79">
        <f>[2]Districts_Boroughs!CG207</f>
        <v>21</v>
      </c>
      <c r="AX86" s="79">
        <f>[2]Districts_Boroughs!CH207</f>
        <v>13</v>
      </c>
      <c r="AY86" s="79">
        <f>[2]Districts_Boroughs!CI207</f>
        <v>27</v>
      </c>
      <c r="AZ86" s="79">
        <f>[2]Districts_Boroughs!CJ207</f>
        <v>28</v>
      </c>
      <c r="BA86" s="79">
        <f>[2]Districts_Boroughs!CK207</f>
        <v>18</v>
      </c>
      <c r="BB86" s="79">
        <f>[2]Districts_Boroughs!CL207</f>
        <v>18</v>
      </c>
      <c r="BC86" s="79">
        <f>[2]Districts_Boroughs!CM207</f>
        <v>22</v>
      </c>
      <c r="BD86" s="79">
        <f>[2]Districts_Boroughs!CN207</f>
        <v>23</v>
      </c>
      <c r="BE86" s="79">
        <f>[2]Districts_Boroughs!CO207</f>
        <v>27</v>
      </c>
      <c r="BF86" s="79">
        <f>[2]Districts_Boroughs!CP207</f>
        <v>10</v>
      </c>
      <c r="BG86" s="79">
        <f>[2]Districts_Boroughs!CQ207</f>
        <v>14</v>
      </c>
      <c r="BH86" s="79">
        <f>[2]Districts_Boroughs!CR207</f>
        <v>10</v>
      </c>
      <c r="BI86" s="79">
        <f>[2]Districts_Boroughs!CS207</f>
        <v>22</v>
      </c>
      <c r="BJ86" s="79">
        <f>[2]Districts_Boroughs!CT207</f>
        <v>26</v>
      </c>
      <c r="BK86" s="79">
        <f>[2]Districts_Boroughs!CU207</f>
        <v>18</v>
      </c>
      <c r="BL86" s="79">
        <f>[2]Districts_Boroughs!CV207</f>
        <v>30</v>
      </c>
      <c r="BM86" s="79">
        <f>[2]Districts_Boroughs!CW207</f>
        <v>31</v>
      </c>
      <c r="BN86" s="79">
        <f>[2]Districts_Boroughs!CX207</f>
        <v>21</v>
      </c>
      <c r="BO86" s="79">
        <f>[2]Districts_Boroughs!CY207</f>
        <v>17</v>
      </c>
      <c r="BP86" s="79">
        <f>[2]Districts_Boroughs!CZ207</f>
        <v>31</v>
      </c>
      <c r="BQ86" s="79">
        <f>[2]Districts_Boroughs!DA207</f>
        <v>26</v>
      </c>
      <c r="BR86" s="79">
        <f>[2]Districts_Boroughs!DB207</f>
        <v>10</v>
      </c>
      <c r="BS86" s="79">
        <f>[2]Districts_Boroughs!DC207</f>
        <v>30</v>
      </c>
      <c r="BT86" s="79">
        <f>[2]Districts_Boroughs!DD207</f>
        <v>26</v>
      </c>
      <c r="BU86" s="79">
        <f>[2]Districts_Boroughs!DE207</f>
        <v>23</v>
      </c>
      <c r="BV86" s="79">
        <f>[2]Districts_Boroughs!DF207</f>
        <v>9</v>
      </c>
      <c r="BW86" s="79">
        <f>[2]Districts_Boroughs!DG207</f>
        <v>10</v>
      </c>
      <c r="BX86" s="79">
        <f>[2]Districts_Boroughs!DH207</f>
        <v>28</v>
      </c>
      <c r="BY86" s="79">
        <f>[2]Districts_Boroughs!DI207</f>
        <v>23</v>
      </c>
      <c r="BZ86" s="79">
        <f>[2]Districts_Boroughs!DJ207</f>
        <v>15</v>
      </c>
      <c r="CA86" s="79">
        <f>[2]Districts_Boroughs!DK207</f>
        <v>19</v>
      </c>
      <c r="CB86" s="79">
        <f>[2]Districts_Boroughs!DL207</f>
        <v>26</v>
      </c>
      <c r="CC86" s="79">
        <f>[2]Districts_Boroughs!DM207</f>
        <v>15</v>
      </c>
      <c r="CD86" s="79">
        <f>[2]Districts_Boroughs!DN207</f>
        <v>36</v>
      </c>
      <c r="CE86" s="79">
        <f>[2]Districts_Boroughs!DO207</f>
        <v>16</v>
      </c>
      <c r="CF86" s="79">
        <f>[2]Districts_Boroughs!DP207</f>
        <v>39</v>
      </c>
      <c r="CG86" s="79">
        <f>[2]Districts_Boroughs!DQ207</f>
        <v>22</v>
      </c>
      <c r="CH86" s="79">
        <f>[2]Districts_Boroughs!DR207</f>
        <v>19</v>
      </c>
      <c r="CI86" s="79">
        <f>[2]Districts_Boroughs!DS207</f>
        <v>39</v>
      </c>
      <c r="CJ86" s="79">
        <f>[2]Districts_Boroughs!DT207</f>
        <v>27</v>
      </c>
      <c r="CK86" s="79">
        <f>[2]Districts_Boroughs!DU207</f>
        <v>24</v>
      </c>
      <c r="CL86" s="79">
        <f>[2]Districts_Boroughs!DV207</f>
        <v>15</v>
      </c>
      <c r="CM86" s="79">
        <f>[2]Districts_Boroughs!DW207</f>
        <v>19</v>
      </c>
      <c r="CN86" s="79">
        <f>[2]Districts_Boroughs!DX207</f>
        <v>22</v>
      </c>
      <c r="CO86" s="79">
        <f>[2]Districts_Boroughs!DY207</f>
        <v>27</v>
      </c>
      <c r="CP86" s="79">
        <f>[2]Districts_Boroughs!DZ207</f>
        <v>15</v>
      </c>
      <c r="CQ86" s="79">
        <f>[2]Districts_Boroughs!EA207</f>
        <v>23</v>
      </c>
      <c r="CR86" s="79">
        <f>[2]Districts_Boroughs!EB207</f>
        <v>26</v>
      </c>
      <c r="CS86" s="79">
        <f>[2]Districts_Boroughs!EC207</f>
        <v>27</v>
      </c>
    </row>
    <row r="87" spans="1:97" x14ac:dyDescent="0.35">
      <c r="A87" s="80" t="s">
        <v>46</v>
      </c>
      <c r="B87" s="81">
        <f>[2]Districts_Boroughs!AL228</f>
        <v>0</v>
      </c>
      <c r="C87" s="81">
        <f>[2]Districts_Boroughs!AM228</f>
        <v>2</v>
      </c>
      <c r="D87" s="81">
        <f>[2]Districts_Boroughs!AN228</f>
        <v>2</v>
      </c>
      <c r="E87" s="81">
        <f>[2]Districts_Boroughs!AO228</f>
        <v>0</v>
      </c>
      <c r="F87" s="81">
        <f>[2]Districts_Boroughs!AP228</f>
        <v>0</v>
      </c>
      <c r="G87" s="81">
        <f>[2]Districts_Boroughs!AQ228</f>
        <v>0</v>
      </c>
      <c r="H87" s="81">
        <f>[2]Districts_Boroughs!AR228</f>
        <v>1</v>
      </c>
      <c r="I87" s="81">
        <f>[2]Districts_Boroughs!AS228</f>
        <v>2</v>
      </c>
      <c r="J87" s="81">
        <f>[2]Districts_Boroughs!AT228</f>
        <v>0</v>
      </c>
      <c r="K87" s="81">
        <f>[2]Districts_Boroughs!AU228</f>
        <v>1</v>
      </c>
      <c r="L87" s="81">
        <f>[2]Districts_Boroughs!AV228</f>
        <v>1</v>
      </c>
      <c r="M87" s="81">
        <f>[2]Districts_Boroughs!AW228</f>
        <v>1</v>
      </c>
      <c r="N87" s="81">
        <f>[2]Districts_Boroughs!AX228</f>
        <v>1</v>
      </c>
      <c r="O87" s="81">
        <f>[2]Districts_Boroughs!AY228</f>
        <v>1</v>
      </c>
      <c r="P87" s="81">
        <f>[2]Districts_Boroughs!AZ228</f>
        <v>1</v>
      </c>
      <c r="Q87" s="81">
        <f>[2]Districts_Boroughs!BA228</f>
        <v>0</v>
      </c>
      <c r="R87" s="81">
        <f>[2]Districts_Boroughs!BB228</f>
        <v>0</v>
      </c>
      <c r="S87" s="81">
        <f>[2]Districts_Boroughs!BC228</f>
        <v>2</v>
      </c>
      <c r="T87" s="81">
        <f>[2]Districts_Boroughs!BD228</f>
        <v>1</v>
      </c>
      <c r="U87" s="81">
        <f>[2]Districts_Boroughs!BE228</f>
        <v>0</v>
      </c>
      <c r="V87" s="81">
        <f>[2]Districts_Boroughs!BF228</f>
        <v>0</v>
      </c>
      <c r="W87" s="81">
        <f>[2]Districts_Boroughs!BG228</f>
        <v>1</v>
      </c>
      <c r="X87" s="81">
        <f>[2]Districts_Boroughs!BH228</f>
        <v>0</v>
      </c>
      <c r="Y87" s="81">
        <f>[2]Districts_Boroughs!BI228</f>
        <v>0</v>
      </c>
      <c r="Z87" s="81">
        <f>[2]Districts_Boroughs!BJ228</f>
        <v>2</v>
      </c>
      <c r="AA87" s="81">
        <f>[2]Districts_Boroughs!BK228</f>
        <v>1</v>
      </c>
      <c r="AB87" s="81">
        <f>[2]Districts_Boroughs!BL228</f>
        <v>2</v>
      </c>
      <c r="AC87" s="81">
        <f>[2]Districts_Boroughs!BM228</f>
        <v>0</v>
      </c>
      <c r="AD87" s="81">
        <f>[2]Districts_Boroughs!BN228</f>
        <v>2</v>
      </c>
      <c r="AE87" s="81">
        <f>[2]Districts_Boroughs!BO228</f>
        <v>0</v>
      </c>
      <c r="AF87" s="81">
        <f>[2]Districts_Boroughs!BP228</f>
        <v>0</v>
      </c>
      <c r="AG87" s="81">
        <f>[2]Districts_Boroughs!BQ228</f>
        <v>1</v>
      </c>
      <c r="AH87" s="81">
        <f>[2]Districts_Boroughs!BR228</f>
        <v>0</v>
      </c>
      <c r="AI87" s="81">
        <f>[2]Districts_Boroughs!BS228</f>
        <v>0</v>
      </c>
      <c r="AJ87" s="81">
        <f>[2]Districts_Boroughs!BT228</f>
        <v>0</v>
      </c>
      <c r="AK87" s="81">
        <f>[2]Districts_Boroughs!BU228</f>
        <v>1</v>
      </c>
      <c r="AL87" s="81">
        <f>[2]Districts_Boroughs!BV228</f>
        <v>0</v>
      </c>
      <c r="AM87" s="81">
        <f>[2]Districts_Boroughs!BW228</f>
        <v>0</v>
      </c>
      <c r="AN87" s="81">
        <f>[2]Districts_Boroughs!BX228</f>
        <v>0</v>
      </c>
      <c r="AO87" s="81">
        <f>[2]Districts_Boroughs!BY228</f>
        <v>0</v>
      </c>
      <c r="AP87" s="81">
        <f>[2]Districts_Boroughs!BZ228</f>
        <v>0</v>
      </c>
      <c r="AQ87" s="81">
        <f>[2]Districts_Boroughs!CA228</f>
        <v>0</v>
      </c>
      <c r="AR87" s="81">
        <f>[2]Districts_Boroughs!CB228</f>
        <v>1</v>
      </c>
      <c r="AS87" s="81">
        <f>[2]Districts_Boroughs!CC228</f>
        <v>2</v>
      </c>
      <c r="AT87" s="81">
        <f>[2]Districts_Boroughs!CD228</f>
        <v>0</v>
      </c>
      <c r="AU87" s="81">
        <f>[2]Districts_Boroughs!CE228</f>
        <v>1</v>
      </c>
      <c r="AV87" s="81">
        <f>[2]Districts_Boroughs!CF228</f>
        <v>1</v>
      </c>
      <c r="AW87" s="81">
        <f>[2]Districts_Boroughs!CG228</f>
        <v>2</v>
      </c>
      <c r="AX87" s="81">
        <f>[2]Districts_Boroughs!CH228</f>
        <v>0</v>
      </c>
      <c r="AY87" s="81">
        <f>[2]Districts_Boroughs!CI228</f>
        <v>2</v>
      </c>
      <c r="AZ87" s="81">
        <f>[2]Districts_Boroughs!CJ228</f>
        <v>1</v>
      </c>
      <c r="BA87" s="81">
        <f>[2]Districts_Boroughs!CK228</f>
        <v>1</v>
      </c>
      <c r="BB87" s="81">
        <f>[2]Districts_Boroughs!CL228</f>
        <v>0</v>
      </c>
      <c r="BC87" s="81">
        <f>[2]Districts_Boroughs!CM228</f>
        <v>0</v>
      </c>
      <c r="BD87" s="81">
        <f>[2]Districts_Boroughs!CN228</f>
        <v>1</v>
      </c>
      <c r="BE87" s="81">
        <f>[2]Districts_Boroughs!CO228</f>
        <v>1</v>
      </c>
      <c r="BF87" s="81">
        <f>[2]Districts_Boroughs!CP228</f>
        <v>2</v>
      </c>
      <c r="BG87" s="81">
        <f>[2]Districts_Boroughs!CQ228</f>
        <v>0</v>
      </c>
      <c r="BH87" s="81">
        <f>[2]Districts_Boroughs!CR228</f>
        <v>0</v>
      </c>
      <c r="BI87" s="81">
        <f>[2]Districts_Boroughs!CS228</f>
        <v>1</v>
      </c>
      <c r="BJ87" s="81">
        <f>[2]Districts_Boroughs!CT228</f>
        <v>1</v>
      </c>
      <c r="BK87" s="81">
        <f>[2]Districts_Boroughs!CU228</f>
        <v>1</v>
      </c>
      <c r="BL87" s="81">
        <f>[2]Districts_Boroughs!CV228</f>
        <v>1</v>
      </c>
      <c r="BM87" s="81">
        <f>[2]Districts_Boroughs!CW228</f>
        <v>1</v>
      </c>
      <c r="BN87" s="81">
        <f>[2]Districts_Boroughs!CX228</f>
        <v>0</v>
      </c>
      <c r="BO87" s="81">
        <f>[2]Districts_Boroughs!CY228</f>
        <v>1</v>
      </c>
      <c r="BP87" s="81">
        <f>[2]Districts_Boroughs!CZ228</f>
        <v>1</v>
      </c>
      <c r="BQ87" s="81">
        <f>[2]Districts_Boroughs!DA228</f>
        <v>0</v>
      </c>
      <c r="BR87" s="81">
        <f>[2]Districts_Boroughs!DB228</f>
        <v>0</v>
      </c>
      <c r="BS87" s="81">
        <f>[2]Districts_Boroughs!DC228</f>
        <v>1</v>
      </c>
      <c r="BT87" s="81">
        <f>[2]Districts_Boroughs!DD228</f>
        <v>0</v>
      </c>
      <c r="BU87" s="81">
        <f>[2]Districts_Boroughs!DE228</f>
        <v>0</v>
      </c>
      <c r="BV87" s="81">
        <f>[2]Districts_Boroughs!DF228</f>
        <v>1</v>
      </c>
      <c r="BW87" s="81">
        <f>[2]Districts_Boroughs!DG228</f>
        <v>1</v>
      </c>
      <c r="BX87" s="81">
        <f>[2]Districts_Boroughs!DH228</f>
        <v>1</v>
      </c>
      <c r="BY87" s="81">
        <f>[2]Districts_Boroughs!DI228</f>
        <v>0</v>
      </c>
      <c r="BZ87" s="81">
        <f>[2]Districts_Boroughs!DJ228</f>
        <v>2</v>
      </c>
      <c r="CA87" s="81">
        <f>[2]Districts_Boroughs!DK228</f>
        <v>1</v>
      </c>
      <c r="CB87" s="81">
        <f>[2]Districts_Boroughs!DL228</f>
        <v>2</v>
      </c>
      <c r="CC87" s="81">
        <f>[2]Districts_Boroughs!DM228</f>
        <v>0</v>
      </c>
      <c r="CD87" s="81">
        <f>[2]Districts_Boroughs!DN228</f>
        <v>3</v>
      </c>
      <c r="CE87" s="81">
        <f>[2]Districts_Boroughs!DO228</f>
        <v>3</v>
      </c>
      <c r="CF87" s="81">
        <f>[2]Districts_Boroughs!DP228</f>
        <v>0</v>
      </c>
      <c r="CG87" s="81">
        <f>[2]Districts_Boroughs!DQ228</f>
        <v>1</v>
      </c>
      <c r="CH87" s="81">
        <f>[2]Districts_Boroughs!DR228</f>
        <v>0</v>
      </c>
      <c r="CI87" s="81">
        <f>[2]Districts_Boroughs!DS228</f>
        <v>0</v>
      </c>
      <c r="CJ87" s="81">
        <f>[2]Districts_Boroughs!DT228</f>
        <v>0</v>
      </c>
      <c r="CK87" s="81">
        <f>[2]Districts_Boroughs!DU228</f>
        <v>1</v>
      </c>
      <c r="CL87" s="81">
        <f>[2]Districts_Boroughs!DV228</f>
        <v>1</v>
      </c>
      <c r="CM87" s="81">
        <f>[2]Districts_Boroughs!DW228</f>
        <v>0</v>
      </c>
      <c r="CN87" s="81">
        <f>[2]Districts_Boroughs!DX228</f>
        <v>0</v>
      </c>
      <c r="CO87" s="81">
        <f>[2]Districts_Boroughs!DY228</f>
        <v>0</v>
      </c>
      <c r="CP87" s="81">
        <f>[2]Districts_Boroughs!DZ228</f>
        <v>0</v>
      </c>
      <c r="CQ87" s="81">
        <f>[2]Districts_Boroughs!EA228</f>
        <v>0</v>
      </c>
      <c r="CR87" s="81">
        <f>[2]Districts_Boroughs!EB228</f>
        <v>1</v>
      </c>
      <c r="CS87" s="81">
        <f>[2]Districts_Boroughs!EC228</f>
        <v>1</v>
      </c>
    </row>
    <row r="88" spans="1:97" x14ac:dyDescent="0.35">
      <c r="A88" s="80" t="s">
        <v>48</v>
      </c>
      <c r="B88" s="81">
        <f>[2]Districts_Boroughs!AL230</f>
        <v>60</v>
      </c>
      <c r="C88" s="81">
        <f>[2]Districts_Boroughs!AM230</f>
        <v>56</v>
      </c>
      <c r="D88" s="81">
        <f>[2]Districts_Boroughs!AN230</f>
        <v>55</v>
      </c>
      <c r="E88" s="81">
        <f>[2]Districts_Boroughs!AO230</f>
        <v>74</v>
      </c>
      <c r="F88" s="81">
        <f>[2]Districts_Boroughs!AP230</f>
        <v>86</v>
      </c>
      <c r="G88" s="81">
        <f>[2]Districts_Boroughs!AQ230</f>
        <v>87</v>
      </c>
      <c r="H88" s="81">
        <f>[2]Districts_Boroughs!AR230</f>
        <v>105</v>
      </c>
      <c r="I88" s="81">
        <f>[2]Districts_Boroughs!AS230</f>
        <v>48</v>
      </c>
      <c r="J88" s="81">
        <f>[2]Districts_Boroughs!AT230</f>
        <v>52</v>
      </c>
      <c r="K88" s="81">
        <f>[2]Districts_Boroughs!AU230</f>
        <v>43</v>
      </c>
      <c r="L88" s="81">
        <f>[2]Districts_Boroughs!AV230</f>
        <v>34</v>
      </c>
      <c r="M88" s="81">
        <f>[2]Districts_Boroughs!AW230</f>
        <v>72</v>
      </c>
      <c r="N88" s="81">
        <f>[2]Districts_Boroughs!AX230</f>
        <v>51</v>
      </c>
      <c r="O88" s="81">
        <f>[2]Districts_Boroughs!AY230</f>
        <v>47</v>
      </c>
      <c r="P88" s="81">
        <f>[2]Districts_Boroughs!AZ230</f>
        <v>40</v>
      </c>
      <c r="Q88" s="81">
        <f>[2]Districts_Boroughs!BA230</f>
        <v>41</v>
      </c>
      <c r="R88" s="81">
        <f>[2]Districts_Boroughs!BB230</f>
        <v>67</v>
      </c>
      <c r="S88" s="81">
        <f>[2]Districts_Boroughs!BC230</f>
        <v>120</v>
      </c>
      <c r="T88" s="81">
        <f>[2]Districts_Boroughs!BD230</f>
        <v>89</v>
      </c>
      <c r="U88" s="81">
        <f>[2]Districts_Boroughs!BE230</f>
        <v>120</v>
      </c>
      <c r="V88" s="81">
        <f>[2]Districts_Boroughs!BF230</f>
        <v>65</v>
      </c>
      <c r="W88" s="81">
        <f>[2]Districts_Boroughs!BG230</f>
        <v>64</v>
      </c>
      <c r="X88" s="81">
        <f>[2]Districts_Boroughs!BH230</f>
        <v>59</v>
      </c>
      <c r="Y88" s="81">
        <f>[2]Districts_Boroughs!BI230</f>
        <v>57</v>
      </c>
      <c r="Z88" s="81">
        <f>[2]Districts_Boroughs!BJ230</f>
        <v>47</v>
      </c>
      <c r="AA88" s="81">
        <f>[2]Districts_Boroughs!BK230</f>
        <v>64</v>
      </c>
      <c r="AB88" s="81">
        <f>[2]Districts_Boroughs!BL230</f>
        <v>80</v>
      </c>
      <c r="AC88" s="81">
        <f>[2]Districts_Boroughs!BM230</f>
        <v>36</v>
      </c>
      <c r="AD88" s="81">
        <f>[2]Districts_Boroughs!BN230</f>
        <v>49</v>
      </c>
      <c r="AE88" s="81">
        <f>[2]Districts_Boroughs!BO230</f>
        <v>63</v>
      </c>
      <c r="AF88" s="81">
        <f>[2]Districts_Boroughs!BP230</f>
        <v>95</v>
      </c>
      <c r="AG88" s="81">
        <f>[2]Districts_Boroughs!BQ230</f>
        <v>69</v>
      </c>
      <c r="AH88" s="81">
        <f>[2]Districts_Boroughs!BR230</f>
        <v>66</v>
      </c>
      <c r="AI88" s="81">
        <f>[2]Districts_Boroughs!BS230</f>
        <v>95</v>
      </c>
      <c r="AJ88" s="81">
        <f>[2]Districts_Boroughs!BT230</f>
        <v>77</v>
      </c>
      <c r="AK88" s="81">
        <f>[2]Districts_Boroughs!BU230</f>
        <v>47</v>
      </c>
      <c r="AL88" s="81">
        <f>[2]Districts_Boroughs!BV230</f>
        <v>31</v>
      </c>
      <c r="AM88" s="81">
        <f>[2]Districts_Boroughs!BW230</f>
        <v>17</v>
      </c>
      <c r="AN88" s="81">
        <f>[2]Districts_Boroughs!BX230</f>
        <v>43</v>
      </c>
      <c r="AO88" s="81">
        <f>[2]Districts_Boroughs!BY230</f>
        <v>54</v>
      </c>
      <c r="AP88" s="81">
        <f>[2]Districts_Boroughs!BZ230</f>
        <v>49</v>
      </c>
      <c r="AQ88" s="81">
        <f>[2]Districts_Boroughs!CA230</f>
        <v>21</v>
      </c>
      <c r="AR88" s="81">
        <f>[2]Districts_Boroughs!CB230</f>
        <v>48</v>
      </c>
      <c r="AS88" s="81">
        <f>[2]Districts_Boroughs!CC230</f>
        <v>39</v>
      </c>
      <c r="AT88" s="81">
        <f>[2]Districts_Boroughs!CD230</f>
        <v>46</v>
      </c>
      <c r="AU88" s="81">
        <f>[2]Districts_Boroughs!CE230</f>
        <v>43</v>
      </c>
      <c r="AV88" s="81">
        <f>[2]Districts_Boroughs!CF230</f>
        <v>32</v>
      </c>
      <c r="AW88" s="81">
        <f>[2]Districts_Boroughs!CG230</f>
        <v>37</v>
      </c>
      <c r="AX88" s="81">
        <f>[2]Districts_Boroughs!CH230</f>
        <v>35</v>
      </c>
      <c r="AY88" s="81">
        <f>[2]Districts_Boroughs!CI230</f>
        <v>34</v>
      </c>
      <c r="AZ88" s="81">
        <f>[2]Districts_Boroughs!CJ230</f>
        <v>35</v>
      </c>
      <c r="BA88" s="81">
        <f>[2]Districts_Boroughs!CK230</f>
        <v>67</v>
      </c>
      <c r="BB88" s="81">
        <f>[2]Districts_Boroughs!CL230</f>
        <v>48</v>
      </c>
      <c r="BC88" s="81">
        <f>[2]Districts_Boroughs!CM230</f>
        <v>41</v>
      </c>
      <c r="BD88" s="81">
        <f>[2]Districts_Boroughs!CN230</f>
        <v>31</v>
      </c>
      <c r="BE88" s="81">
        <f>[2]Districts_Boroughs!CO230</f>
        <v>66</v>
      </c>
      <c r="BF88" s="81">
        <f>[2]Districts_Boroughs!CP230</f>
        <v>40</v>
      </c>
      <c r="BG88" s="81">
        <f>[2]Districts_Boroughs!CQ230</f>
        <v>47</v>
      </c>
      <c r="BH88" s="81">
        <f>[2]Districts_Boroughs!CR230</f>
        <v>39</v>
      </c>
      <c r="BI88" s="81">
        <f>[2]Districts_Boroughs!CS230</f>
        <v>75</v>
      </c>
      <c r="BJ88" s="81">
        <f>[2]Districts_Boroughs!CT230</f>
        <v>55</v>
      </c>
      <c r="BK88" s="81">
        <f>[2]Districts_Boroughs!CU230</f>
        <v>62</v>
      </c>
      <c r="BL88" s="81">
        <f>[2]Districts_Boroughs!CV230</f>
        <v>55</v>
      </c>
      <c r="BM88" s="81">
        <f>[2]Districts_Boroughs!CW230</f>
        <v>62</v>
      </c>
      <c r="BN88" s="81">
        <f>[2]Districts_Boroughs!CX230</f>
        <v>48</v>
      </c>
      <c r="BO88" s="81">
        <f>[2]Districts_Boroughs!CY230</f>
        <v>69</v>
      </c>
      <c r="BP88" s="81">
        <f>[2]Districts_Boroughs!CZ230</f>
        <v>68</v>
      </c>
      <c r="BQ88" s="81">
        <f>[2]Districts_Boroughs!DA230</f>
        <v>60</v>
      </c>
      <c r="BR88" s="81">
        <f>[2]Districts_Boroughs!DB230</f>
        <v>43</v>
      </c>
      <c r="BS88" s="81">
        <f>[2]Districts_Boroughs!DC230</f>
        <v>59</v>
      </c>
      <c r="BT88" s="81">
        <f>[2]Districts_Boroughs!DD230</f>
        <v>37</v>
      </c>
      <c r="BU88" s="81">
        <f>[2]Districts_Boroughs!DE230</f>
        <v>25</v>
      </c>
      <c r="BV88" s="81">
        <f>[2]Districts_Boroughs!DF230</f>
        <v>58</v>
      </c>
      <c r="BW88" s="81">
        <f>[2]Districts_Boroughs!DG230</f>
        <v>34</v>
      </c>
      <c r="BX88" s="81">
        <f>[2]Districts_Boroughs!DH230</f>
        <v>55</v>
      </c>
      <c r="BY88" s="81">
        <f>[2]Districts_Boroughs!DI230</f>
        <v>73</v>
      </c>
      <c r="BZ88" s="81">
        <f>[2]Districts_Boroughs!DJ230</f>
        <v>49</v>
      </c>
      <c r="CA88" s="81">
        <f>[2]Districts_Boroughs!DK230</f>
        <v>33</v>
      </c>
      <c r="CB88" s="81">
        <f>[2]Districts_Boroughs!DL230</f>
        <v>51</v>
      </c>
      <c r="CC88" s="81">
        <f>[2]Districts_Boroughs!DM230</f>
        <v>59</v>
      </c>
      <c r="CD88" s="81">
        <f>[2]Districts_Boroughs!DN230</f>
        <v>65</v>
      </c>
      <c r="CE88" s="81">
        <f>[2]Districts_Boroughs!DO230</f>
        <v>41</v>
      </c>
      <c r="CF88" s="81">
        <f>[2]Districts_Boroughs!DP230</f>
        <v>29</v>
      </c>
      <c r="CG88" s="81">
        <f>[2]Districts_Boroughs!DQ230</f>
        <v>22</v>
      </c>
      <c r="CH88" s="81">
        <f>[2]Districts_Boroughs!DR230</f>
        <v>48</v>
      </c>
      <c r="CI88" s="81">
        <f>[2]Districts_Boroughs!DS230</f>
        <v>40</v>
      </c>
      <c r="CJ88" s="81">
        <f>[2]Districts_Boroughs!DT230</f>
        <v>33</v>
      </c>
      <c r="CK88" s="81">
        <f>[2]Districts_Boroughs!DU230</f>
        <v>46</v>
      </c>
      <c r="CL88" s="81">
        <f>[2]Districts_Boroughs!DV230</f>
        <v>44</v>
      </c>
      <c r="CM88" s="81">
        <f>[2]Districts_Boroughs!DW230</f>
        <v>49</v>
      </c>
      <c r="CN88" s="81">
        <f>[2]Districts_Boroughs!DX230</f>
        <v>40</v>
      </c>
      <c r="CO88" s="81">
        <f>[2]Districts_Boroughs!DY230</f>
        <v>19</v>
      </c>
      <c r="CP88" s="81">
        <f>[2]Districts_Boroughs!DZ230</f>
        <v>25</v>
      </c>
      <c r="CQ88" s="81">
        <f>[2]Districts_Boroughs!EA230</f>
        <v>43</v>
      </c>
      <c r="CR88" s="81">
        <f>[2]Districts_Boroughs!EB230</f>
        <v>26</v>
      </c>
      <c r="CS88" s="81">
        <f>[2]Districts_Boroughs!EC230</f>
        <v>27</v>
      </c>
    </row>
    <row r="89" spans="1:97" ht="23" x14ac:dyDescent="0.35">
      <c r="A89" s="80" t="s">
        <v>49</v>
      </c>
      <c r="B89" s="81">
        <f>[2]Districts_Boroughs!AL231</f>
        <v>11</v>
      </c>
      <c r="C89" s="81">
        <f>[2]Districts_Boroughs!AM231</f>
        <v>19</v>
      </c>
      <c r="D89" s="81">
        <f>[2]Districts_Boroughs!AN231</f>
        <v>22</v>
      </c>
      <c r="E89" s="81">
        <f>[2]Districts_Boroughs!AO231</f>
        <v>28</v>
      </c>
      <c r="F89" s="81">
        <f>[2]Districts_Boroughs!AP231</f>
        <v>20</v>
      </c>
      <c r="G89" s="81">
        <f>[2]Districts_Boroughs!AQ231</f>
        <v>18</v>
      </c>
      <c r="H89" s="81">
        <f>[2]Districts_Boroughs!AR231</f>
        <v>11</v>
      </c>
      <c r="I89" s="81">
        <f>[2]Districts_Boroughs!AS231</f>
        <v>18</v>
      </c>
      <c r="J89" s="81">
        <f>[2]Districts_Boroughs!AT231</f>
        <v>21</v>
      </c>
      <c r="K89" s="81">
        <f>[2]Districts_Boroughs!AU231</f>
        <v>13</v>
      </c>
      <c r="L89" s="81">
        <f>[2]Districts_Boroughs!AV231</f>
        <v>6</v>
      </c>
      <c r="M89" s="81">
        <f>[2]Districts_Boroughs!AW231</f>
        <v>14</v>
      </c>
      <c r="N89" s="81">
        <f>[2]Districts_Boroughs!AX231</f>
        <v>17</v>
      </c>
      <c r="O89" s="81">
        <f>[2]Districts_Boroughs!AY231</f>
        <v>13</v>
      </c>
      <c r="P89" s="81">
        <f>[2]Districts_Boroughs!AZ231</f>
        <v>16</v>
      </c>
      <c r="Q89" s="81">
        <f>[2]Districts_Boroughs!BA231</f>
        <v>15</v>
      </c>
      <c r="R89" s="81">
        <f>[2]Districts_Boroughs!BB231</f>
        <v>26</v>
      </c>
      <c r="S89" s="81">
        <f>[2]Districts_Boroughs!BC231</f>
        <v>17</v>
      </c>
      <c r="T89" s="81">
        <f>[2]Districts_Boroughs!BD231</f>
        <v>23</v>
      </c>
      <c r="U89" s="81">
        <f>[2]Districts_Boroughs!BE231</f>
        <v>13</v>
      </c>
      <c r="V89" s="81">
        <f>[2]Districts_Boroughs!BF231</f>
        <v>12</v>
      </c>
      <c r="W89" s="81">
        <f>[2]Districts_Boroughs!BG231</f>
        <v>10</v>
      </c>
      <c r="X89" s="81">
        <f>[2]Districts_Boroughs!BH231</f>
        <v>11</v>
      </c>
      <c r="Y89" s="81">
        <f>[2]Districts_Boroughs!BI231</f>
        <v>12</v>
      </c>
      <c r="Z89" s="81">
        <f>[2]Districts_Boroughs!BJ231</f>
        <v>11</v>
      </c>
      <c r="AA89" s="81">
        <f>[2]Districts_Boroughs!BK231</f>
        <v>13</v>
      </c>
      <c r="AB89" s="81">
        <f>[2]Districts_Boroughs!BL231</f>
        <v>15</v>
      </c>
      <c r="AC89" s="81">
        <f>[2]Districts_Boroughs!BM231</f>
        <v>12</v>
      </c>
      <c r="AD89" s="81">
        <f>[2]Districts_Boroughs!BN231</f>
        <v>13</v>
      </c>
      <c r="AE89" s="81">
        <f>[2]Districts_Boroughs!BO231</f>
        <v>8</v>
      </c>
      <c r="AF89" s="81">
        <f>[2]Districts_Boroughs!BP231</f>
        <v>21</v>
      </c>
      <c r="AG89" s="81">
        <f>[2]Districts_Boroughs!BQ231</f>
        <v>18</v>
      </c>
      <c r="AH89" s="81">
        <f>[2]Districts_Boroughs!BR231</f>
        <v>12</v>
      </c>
      <c r="AI89" s="81">
        <f>[2]Districts_Boroughs!BS231</f>
        <v>10</v>
      </c>
      <c r="AJ89" s="81">
        <f>[2]Districts_Boroughs!BT231</f>
        <v>8</v>
      </c>
      <c r="AK89" s="81">
        <f>[2]Districts_Boroughs!BU231</f>
        <v>11</v>
      </c>
      <c r="AL89" s="81">
        <f>[2]Districts_Boroughs!BV231</f>
        <v>7</v>
      </c>
      <c r="AM89" s="81">
        <f>[2]Districts_Boroughs!BW231</f>
        <v>10</v>
      </c>
      <c r="AN89" s="81">
        <f>[2]Districts_Boroughs!BX231</f>
        <v>10</v>
      </c>
      <c r="AO89" s="81">
        <f>[2]Districts_Boroughs!BY231</f>
        <v>15</v>
      </c>
      <c r="AP89" s="81">
        <f>[2]Districts_Boroughs!BZ231</f>
        <v>7</v>
      </c>
      <c r="AQ89" s="81">
        <f>[2]Districts_Boroughs!CA231</f>
        <v>8</v>
      </c>
      <c r="AR89" s="81">
        <f>[2]Districts_Boroughs!CB231</f>
        <v>8</v>
      </c>
      <c r="AS89" s="81">
        <f>[2]Districts_Boroughs!CC231</f>
        <v>7</v>
      </c>
      <c r="AT89" s="81">
        <f>[2]Districts_Boroughs!CD231</f>
        <v>11</v>
      </c>
      <c r="AU89" s="81">
        <f>[2]Districts_Boroughs!CE231</f>
        <v>14</v>
      </c>
      <c r="AV89" s="81">
        <f>[2]Districts_Boroughs!CF231</f>
        <v>8</v>
      </c>
      <c r="AW89" s="81">
        <f>[2]Districts_Boroughs!CG231</f>
        <v>14</v>
      </c>
      <c r="AX89" s="81">
        <f>[2]Districts_Boroughs!CH231</f>
        <v>11</v>
      </c>
      <c r="AY89" s="81">
        <f>[2]Districts_Boroughs!CI231</f>
        <v>12</v>
      </c>
      <c r="AZ89" s="81">
        <f>[2]Districts_Boroughs!CJ231</f>
        <v>10</v>
      </c>
      <c r="BA89" s="81">
        <f>[2]Districts_Boroughs!CK231</f>
        <v>12</v>
      </c>
      <c r="BB89" s="81">
        <f>[2]Districts_Boroughs!CL231</f>
        <v>14</v>
      </c>
      <c r="BC89" s="81">
        <f>[2]Districts_Boroughs!CM231</f>
        <v>15</v>
      </c>
      <c r="BD89" s="81">
        <f>[2]Districts_Boroughs!CN231</f>
        <v>8</v>
      </c>
      <c r="BE89" s="81">
        <f>[2]Districts_Boroughs!CO231</f>
        <v>19</v>
      </c>
      <c r="BF89" s="81">
        <f>[2]Districts_Boroughs!CP231</f>
        <v>13</v>
      </c>
      <c r="BG89" s="81">
        <f>[2]Districts_Boroughs!CQ231</f>
        <v>14</v>
      </c>
      <c r="BH89" s="81">
        <f>[2]Districts_Boroughs!CR231</f>
        <v>11</v>
      </c>
      <c r="BI89" s="81">
        <f>[2]Districts_Boroughs!CS231</f>
        <v>14</v>
      </c>
      <c r="BJ89" s="81">
        <f>[2]Districts_Boroughs!CT231</f>
        <v>10</v>
      </c>
      <c r="BK89" s="81">
        <f>[2]Districts_Boroughs!CU231</f>
        <v>10</v>
      </c>
      <c r="BL89" s="81">
        <f>[2]Districts_Boroughs!CV231</f>
        <v>14</v>
      </c>
      <c r="BM89" s="81">
        <f>[2]Districts_Boroughs!CW231</f>
        <v>25</v>
      </c>
      <c r="BN89" s="81">
        <f>[2]Districts_Boroughs!CX231</f>
        <v>19</v>
      </c>
      <c r="BO89" s="81">
        <f>[2]Districts_Boroughs!CY231</f>
        <v>15</v>
      </c>
      <c r="BP89" s="81">
        <f>[2]Districts_Boroughs!CZ231</f>
        <v>15</v>
      </c>
      <c r="BQ89" s="81">
        <f>[2]Districts_Boroughs!DA231</f>
        <v>10</v>
      </c>
      <c r="BR89" s="81">
        <f>[2]Districts_Boroughs!DB231</f>
        <v>8</v>
      </c>
      <c r="BS89" s="81">
        <f>[2]Districts_Boroughs!DC231</f>
        <v>13</v>
      </c>
      <c r="BT89" s="81">
        <f>[2]Districts_Boroughs!DD231</f>
        <v>21</v>
      </c>
      <c r="BU89" s="81">
        <f>[2]Districts_Boroughs!DE231</f>
        <v>26</v>
      </c>
      <c r="BV89" s="81">
        <f>[2]Districts_Boroughs!DF231</f>
        <v>26</v>
      </c>
      <c r="BW89" s="81">
        <f>[2]Districts_Boroughs!DG231</f>
        <v>13</v>
      </c>
      <c r="BX89" s="81">
        <f>[2]Districts_Boroughs!DH231</f>
        <v>10</v>
      </c>
      <c r="BY89" s="81">
        <f>[2]Districts_Boroughs!DI231</f>
        <v>17</v>
      </c>
      <c r="BZ89" s="81">
        <f>[2]Districts_Boroughs!DJ231</f>
        <v>18</v>
      </c>
      <c r="CA89" s="81">
        <f>[2]Districts_Boroughs!DK231</f>
        <v>18</v>
      </c>
      <c r="CB89" s="81">
        <f>[2]Districts_Boroughs!DL231</f>
        <v>18</v>
      </c>
      <c r="CC89" s="81">
        <f>[2]Districts_Boroughs!DM231</f>
        <v>13</v>
      </c>
      <c r="CD89" s="81">
        <f>[2]Districts_Boroughs!DN231</f>
        <v>10</v>
      </c>
      <c r="CE89" s="81">
        <f>[2]Districts_Boroughs!DO231</f>
        <v>15</v>
      </c>
      <c r="CF89" s="81">
        <f>[2]Districts_Boroughs!DP231</f>
        <v>15</v>
      </c>
      <c r="CG89" s="81">
        <f>[2]Districts_Boroughs!DQ231</f>
        <v>22</v>
      </c>
      <c r="CH89" s="81">
        <f>[2]Districts_Boroughs!DR231</f>
        <v>18</v>
      </c>
      <c r="CI89" s="81">
        <f>[2]Districts_Boroughs!DS231</f>
        <v>12</v>
      </c>
      <c r="CJ89" s="81">
        <f>[2]Districts_Boroughs!DT231</f>
        <v>19</v>
      </c>
      <c r="CK89" s="81">
        <f>[2]Districts_Boroughs!DU231</f>
        <v>11</v>
      </c>
      <c r="CL89" s="81">
        <f>[2]Districts_Boroughs!DV231</f>
        <v>16</v>
      </c>
      <c r="CM89" s="81">
        <f>[2]Districts_Boroughs!DW231</f>
        <v>16</v>
      </c>
      <c r="CN89" s="81">
        <f>[2]Districts_Boroughs!DX231</f>
        <v>16</v>
      </c>
      <c r="CO89" s="81">
        <f>[2]Districts_Boroughs!DY231</f>
        <v>13</v>
      </c>
      <c r="CP89" s="81">
        <f>[2]Districts_Boroughs!DZ231</f>
        <v>20</v>
      </c>
      <c r="CQ89" s="81">
        <f>[2]Districts_Boroughs!EA231</f>
        <v>19</v>
      </c>
      <c r="CR89" s="81">
        <f>[2]Districts_Boroughs!EB231</f>
        <v>14</v>
      </c>
      <c r="CS89" s="81">
        <f>[2]Districts_Boroughs!EC231</f>
        <v>15</v>
      </c>
    </row>
    <row r="90" spans="1:97" x14ac:dyDescent="0.35">
      <c r="A90" s="82" t="s">
        <v>143</v>
      </c>
      <c r="B90" s="755">
        <f>[2]Districts_Boroughs!AL210</f>
        <v>67</v>
      </c>
      <c r="C90" s="755">
        <f>[2]Districts_Boroughs!AM210</f>
        <v>39</v>
      </c>
      <c r="D90" s="755">
        <f>[2]Districts_Boroughs!AN210</f>
        <v>61</v>
      </c>
      <c r="E90" s="755">
        <f>[2]Districts_Boroughs!AO210</f>
        <v>50</v>
      </c>
      <c r="F90" s="755">
        <f>[2]Districts_Boroughs!AP210</f>
        <v>60</v>
      </c>
      <c r="G90" s="755">
        <f>[2]Districts_Boroughs!AQ210</f>
        <v>100</v>
      </c>
      <c r="H90" s="755">
        <f>[2]Districts_Boroughs!AR210</f>
        <v>89</v>
      </c>
      <c r="I90" s="755">
        <f>[2]Districts_Boroughs!AS210</f>
        <v>121</v>
      </c>
      <c r="J90" s="755">
        <f>[2]Districts_Boroughs!AT210</f>
        <v>69</v>
      </c>
      <c r="K90" s="755">
        <f>[2]Districts_Boroughs!AU210</f>
        <v>76</v>
      </c>
      <c r="L90" s="755">
        <f>[2]Districts_Boroughs!AV210</f>
        <v>59</v>
      </c>
      <c r="M90" s="755">
        <f>[2]Districts_Boroughs!AW210</f>
        <v>55</v>
      </c>
      <c r="N90" s="755">
        <f>[2]Districts_Boroughs!AX210</f>
        <v>48</v>
      </c>
      <c r="O90" s="755">
        <f>[2]Districts_Boroughs!AY210</f>
        <v>55</v>
      </c>
      <c r="P90" s="755">
        <f>[2]Districts_Boroughs!AZ210</f>
        <v>44</v>
      </c>
      <c r="Q90" s="755">
        <f>[2]Districts_Boroughs!BA210</f>
        <v>42</v>
      </c>
      <c r="R90" s="755">
        <f>[2]Districts_Boroughs!BB210</f>
        <v>70</v>
      </c>
      <c r="S90" s="755">
        <f>[2]Districts_Boroughs!BC210</f>
        <v>61</v>
      </c>
      <c r="T90" s="755">
        <f>[2]Districts_Boroughs!BD210</f>
        <v>77</v>
      </c>
      <c r="U90" s="755">
        <f>[2]Districts_Boroughs!BE210</f>
        <v>93</v>
      </c>
      <c r="V90" s="755">
        <f>[2]Districts_Boroughs!BF210</f>
        <v>52</v>
      </c>
      <c r="W90" s="755">
        <f>[2]Districts_Boroughs!BG210</f>
        <v>52</v>
      </c>
      <c r="X90" s="755">
        <f>[2]Districts_Boroughs!BH210</f>
        <v>22</v>
      </c>
      <c r="Y90" s="755">
        <f>[2]Districts_Boroughs!BI210</f>
        <v>53</v>
      </c>
      <c r="Z90" s="755">
        <f>[2]Districts_Boroughs!BJ210</f>
        <v>69</v>
      </c>
      <c r="AA90" s="755">
        <f>[2]Districts_Boroughs!BK210</f>
        <v>35</v>
      </c>
      <c r="AB90" s="755">
        <f>[2]Districts_Boroughs!BL210</f>
        <v>48</v>
      </c>
      <c r="AC90" s="755">
        <f>[2]Districts_Boroughs!BM210</f>
        <v>54</v>
      </c>
      <c r="AD90" s="755">
        <f>[2]Districts_Boroughs!BN210</f>
        <v>57</v>
      </c>
      <c r="AE90" s="755">
        <f>[2]Districts_Boroughs!BO210</f>
        <v>66</v>
      </c>
      <c r="AF90" s="755">
        <f>[2]Districts_Boroughs!BP210</f>
        <v>56</v>
      </c>
      <c r="AG90" s="755">
        <f>[2]Districts_Boroughs!BQ210</f>
        <v>43</v>
      </c>
      <c r="AH90" s="755">
        <f>[2]Districts_Boroughs!BR210</f>
        <v>47</v>
      </c>
      <c r="AI90" s="755">
        <f>[2]Districts_Boroughs!BS210</f>
        <v>49</v>
      </c>
      <c r="AJ90" s="755">
        <f>[2]Districts_Boroughs!BT210</f>
        <v>47</v>
      </c>
      <c r="AK90" s="755">
        <f>[2]Districts_Boroughs!BU210</f>
        <v>36</v>
      </c>
      <c r="AL90" s="755">
        <f>[2]Districts_Boroughs!BV210</f>
        <v>33</v>
      </c>
      <c r="AM90" s="755">
        <f>[2]Districts_Boroughs!BW210</f>
        <v>34</v>
      </c>
      <c r="AN90" s="755">
        <f>[2]Districts_Boroughs!BX210</f>
        <v>27</v>
      </c>
      <c r="AO90" s="755">
        <f>[2]Districts_Boroughs!BY210</f>
        <v>36</v>
      </c>
      <c r="AP90" s="755">
        <f>[2]Districts_Boroughs!BZ210</f>
        <v>60</v>
      </c>
      <c r="AQ90" s="755">
        <f>[2]Districts_Boroughs!CA210</f>
        <v>31</v>
      </c>
      <c r="AR90" s="755">
        <f>[2]Districts_Boroughs!CB210</f>
        <v>31</v>
      </c>
      <c r="AS90" s="755">
        <f>[2]Districts_Boroughs!CC210</f>
        <v>28</v>
      </c>
      <c r="AT90" s="755">
        <f>[2]Districts_Boroughs!CD210</f>
        <v>24</v>
      </c>
      <c r="AU90" s="755">
        <f>[2]Districts_Boroughs!CE210</f>
        <v>15</v>
      </c>
      <c r="AV90" s="755">
        <f>[2]Districts_Boroughs!CF210</f>
        <v>19</v>
      </c>
      <c r="AW90" s="755">
        <f>[2]Districts_Boroughs!CG210</f>
        <v>14</v>
      </c>
      <c r="AX90" s="755">
        <f>[2]Districts_Boroughs!CH210</f>
        <v>17</v>
      </c>
      <c r="AY90" s="755">
        <f>[2]Districts_Boroughs!CI210</f>
        <v>21</v>
      </c>
      <c r="AZ90" s="755">
        <f>[2]Districts_Boroughs!CJ210</f>
        <v>37</v>
      </c>
      <c r="BA90" s="755">
        <f>[2]Districts_Boroughs!CK210</f>
        <v>14</v>
      </c>
      <c r="BB90" s="755">
        <f>[2]Districts_Boroughs!CL210</f>
        <v>28</v>
      </c>
      <c r="BC90" s="755">
        <f>[2]Districts_Boroughs!CM210</f>
        <v>29</v>
      </c>
      <c r="BD90" s="755">
        <f>[2]Districts_Boroughs!CN210</f>
        <v>33</v>
      </c>
      <c r="BE90" s="755">
        <f>[2]Districts_Boroughs!CO210</f>
        <v>26</v>
      </c>
      <c r="BF90" s="755">
        <f>[2]Districts_Boroughs!CP210</f>
        <v>23</v>
      </c>
      <c r="BG90" s="755">
        <f>[2]Districts_Boroughs!CQ210</f>
        <v>29</v>
      </c>
      <c r="BH90" s="755">
        <f>[2]Districts_Boroughs!CR210</f>
        <v>32</v>
      </c>
      <c r="BI90" s="755">
        <f>[2]Districts_Boroughs!CS210</f>
        <v>25</v>
      </c>
      <c r="BJ90" s="755">
        <f>[2]Districts_Boroughs!CT210</f>
        <v>35</v>
      </c>
      <c r="BK90" s="755">
        <f>[2]Districts_Boroughs!CU210</f>
        <v>16</v>
      </c>
      <c r="BL90" s="755">
        <f>[2]Districts_Boroughs!CV210</f>
        <v>26</v>
      </c>
      <c r="BM90" s="755">
        <f>[2]Districts_Boroughs!CW210</f>
        <v>36</v>
      </c>
      <c r="BN90" s="755">
        <f>[2]Districts_Boroughs!CX210</f>
        <v>32</v>
      </c>
      <c r="BO90" s="755">
        <f>[2]Districts_Boroughs!CY210</f>
        <v>30</v>
      </c>
      <c r="BP90" s="755">
        <f>[2]Districts_Boroughs!CZ210</f>
        <v>38</v>
      </c>
      <c r="BQ90" s="755">
        <f>[2]Districts_Boroughs!DA210</f>
        <v>34</v>
      </c>
      <c r="BR90" s="755">
        <f>[2]Districts_Boroughs!DB210</f>
        <v>18</v>
      </c>
      <c r="BS90" s="755">
        <f>[2]Districts_Boroughs!DC210</f>
        <v>26</v>
      </c>
      <c r="BT90" s="755">
        <f>[2]Districts_Boroughs!DD210</f>
        <v>27</v>
      </c>
      <c r="BU90" s="755">
        <f>[2]Districts_Boroughs!DE210</f>
        <v>33</v>
      </c>
      <c r="BV90" s="755">
        <f>[2]Districts_Boroughs!DF210</f>
        <v>31</v>
      </c>
      <c r="BW90" s="755">
        <f>[2]Districts_Boroughs!DG210</f>
        <v>25</v>
      </c>
      <c r="BX90" s="755">
        <f>[2]Districts_Boroughs!DH210</f>
        <v>26</v>
      </c>
      <c r="BY90" s="755">
        <f>[2]Districts_Boroughs!DI210</f>
        <v>21</v>
      </c>
      <c r="BZ90" s="755">
        <f>[2]Districts_Boroughs!DJ210</f>
        <v>17</v>
      </c>
      <c r="CA90" s="755">
        <f>[2]Districts_Boroughs!DK210</f>
        <v>29</v>
      </c>
      <c r="CB90" s="755">
        <f>[2]Districts_Boroughs!DL210</f>
        <v>28</v>
      </c>
      <c r="CC90" s="755">
        <f>[2]Districts_Boroughs!DM210</f>
        <v>24</v>
      </c>
      <c r="CD90" s="755">
        <f>[2]Districts_Boroughs!DN210</f>
        <v>23</v>
      </c>
      <c r="CE90" s="755">
        <f>[2]Districts_Boroughs!DO210</f>
        <v>29</v>
      </c>
      <c r="CF90" s="755">
        <f>[2]Districts_Boroughs!DP210</f>
        <v>26</v>
      </c>
      <c r="CG90" s="755">
        <f>[2]Districts_Boroughs!DQ210</f>
        <v>27</v>
      </c>
      <c r="CH90" s="755">
        <f>[2]Districts_Boroughs!DR210</f>
        <v>21</v>
      </c>
      <c r="CI90" s="755">
        <f>[2]Districts_Boroughs!DS210</f>
        <v>25</v>
      </c>
      <c r="CJ90" s="755">
        <f>[2]Districts_Boroughs!DT210</f>
        <v>25</v>
      </c>
      <c r="CK90" s="755">
        <f>[2]Districts_Boroughs!DU210</f>
        <v>25</v>
      </c>
      <c r="CL90" s="755">
        <f>[2]Districts_Boroughs!DV210</f>
        <v>22</v>
      </c>
      <c r="CM90" s="755">
        <f>[2]Districts_Boroughs!DW210</f>
        <v>19</v>
      </c>
      <c r="CN90" s="755">
        <f>[2]Districts_Boroughs!DX210</f>
        <v>31</v>
      </c>
      <c r="CO90" s="755">
        <f>[2]Districts_Boroughs!DY210</f>
        <v>28</v>
      </c>
      <c r="CP90" s="755">
        <f>[2]Districts_Boroughs!DZ210</f>
        <v>24</v>
      </c>
      <c r="CQ90" s="755">
        <f>[2]Districts_Boroughs!EA210</f>
        <v>34</v>
      </c>
      <c r="CR90" s="755">
        <f>[2]Districts_Boroughs!EB210</f>
        <v>18</v>
      </c>
      <c r="CS90" s="755">
        <f>[2]Districts_Boroughs!EC210</f>
        <v>36</v>
      </c>
    </row>
    <row r="91" spans="1:97" x14ac:dyDescent="0.35">
      <c r="A91" s="82" t="s">
        <v>149</v>
      </c>
      <c r="B91" s="85">
        <f t="shared" ref="B91:M91" si="619">B87+B89</f>
        <v>11</v>
      </c>
      <c r="C91" s="85">
        <f t="shared" si="619"/>
        <v>21</v>
      </c>
      <c r="D91" s="85">
        <f t="shared" si="619"/>
        <v>24</v>
      </c>
      <c r="E91" s="85">
        <f t="shared" si="619"/>
        <v>28</v>
      </c>
      <c r="F91" s="85">
        <f t="shared" si="619"/>
        <v>20</v>
      </c>
      <c r="G91" s="85">
        <f t="shared" si="619"/>
        <v>18</v>
      </c>
      <c r="H91" s="85">
        <f t="shared" si="619"/>
        <v>12</v>
      </c>
      <c r="I91" s="85">
        <f t="shared" si="619"/>
        <v>20</v>
      </c>
      <c r="J91" s="85">
        <f t="shared" si="619"/>
        <v>21</v>
      </c>
      <c r="K91" s="85">
        <f t="shared" si="619"/>
        <v>14</v>
      </c>
      <c r="L91" s="85">
        <f t="shared" si="619"/>
        <v>7</v>
      </c>
      <c r="M91" s="85">
        <f t="shared" si="619"/>
        <v>15</v>
      </c>
      <c r="N91" s="85">
        <f>N87+N89</f>
        <v>18</v>
      </c>
      <c r="O91" s="85">
        <f>O87+O89</f>
        <v>14</v>
      </c>
      <c r="P91" s="85">
        <f t="shared" ref="P91:AK91" si="620">P87+P89</f>
        <v>17</v>
      </c>
      <c r="Q91" s="85">
        <f t="shared" si="620"/>
        <v>15</v>
      </c>
      <c r="R91" s="85">
        <f t="shared" si="620"/>
        <v>26</v>
      </c>
      <c r="S91" s="85">
        <f t="shared" si="620"/>
        <v>19</v>
      </c>
      <c r="T91" s="85">
        <f t="shared" si="620"/>
        <v>24</v>
      </c>
      <c r="U91" s="85">
        <f t="shared" si="620"/>
        <v>13</v>
      </c>
      <c r="V91" s="85">
        <f t="shared" si="620"/>
        <v>12</v>
      </c>
      <c r="W91" s="85">
        <f t="shared" si="620"/>
        <v>11</v>
      </c>
      <c r="X91" s="85">
        <f t="shared" si="620"/>
        <v>11</v>
      </c>
      <c r="Y91" s="85">
        <f t="shared" si="620"/>
        <v>12</v>
      </c>
      <c r="Z91" s="85">
        <f t="shared" si="620"/>
        <v>13</v>
      </c>
      <c r="AA91" s="85">
        <f t="shared" si="620"/>
        <v>14</v>
      </c>
      <c r="AB91" s="85">
        <f t="shared" si="620"/>
        <v>17</v>
      </c>
      <c r="AC91" s="85">
        <f t="shared" si="620"/>
        <v>12</v>
      </c>
      <c r="AD91" s="85">
        <f t="shared" si="620"/>
        <v>15</v>
      </c>
      <c r="AE91" s="85">
        <f t="shared" si="620"/>
        <v>8</v>
      </c>
      <c r="AF91" s="85">
        <f t="shared" si="620"/>
        <v>21</v>
      </c>
      <c r="AG91" s="85">
        <f t="shared" si="620"/>
        <v>19</v>
      </c>
      <c r="AH91" s="85">
        <f t="shared" si="620"/>
        <v>12</v>
      </c>
      <c r="AI91" s="85">
        <f t="shared" si="620"/>
        <v>10</v>
      </c>
      <c r="AJ91" s="85">
        <f t="shared" si="620"/>
        <v>8</v>
      </c>
      <c r="AK91" s="85">
        <f t="shared" si="620"/>
        <v>12</v>
      </c>
      <c r="AL91" s="85">
        <f t="shared" ref="AL91:AW91" si="621">AL87+AL89</f>
        <v>7</v>
      </c>
      <c r="AM91" s="85">
        <f t="shared" si="621"/>
        <v>10</v>
      </c>
      <c r="AN91" s="85">
        <f t="shared" si="621"/>
        <v>10</v>
      </c>
      <c r="AO91" s="85">
        <f t="shared" si="621"/>
        <v>15</v>
      </c>
      <c r="AP91" s="85">
        <f t="shared" si="621"/>
        <v>7</v>
      </c>
      <c r="AQ91" s="85">
        <f t="shared" si="621"/>
        <v>8</v>
      </c>
      <c r="AR91" s="85">
        <f t="shared" si="621"/>
        <v>9</v>
      </c>
      <c r="AS91" s="85">
        <f t="shared" si="621"/>
        <v>9</v>
      </c>
      <c r="AT91" s="85">
        <f t="shared" si="621"/>
        <v>11</v>
      </c>
      <c r="AU91" s="85">
        <f t="shared" si="621"/>
        <v>15</v>
      </c>
      <c r="AV91" s="85">
        <f t="shared" si="621"/>
        <v>9</v>
      </c>
      <c r="AW91" s="85">
        <f t="shared" si="621"/>
        <v>16</v>
      </c>
      <c r="AX91" s="85">
        <f t="shared" ref="AX91:BI91" si="622">AX87+AX89</f>
        <v>11</v>
      </c>
      <c r="AY91" s="85">
        <f t="shared" si="622"/>
        <v>14</v>
      </c>
      <c r="AZ91" s="85">
        <f t="shared" si="622"/>
        <v>11</v>
      </c>
      <c r="BA91" s="85">
        <f t="shared" si="622"/>
        <v>13</v>
      </c>
      <c r="BB91" s="85">
        <f t="shared" si="622"/>
        <v>14</v>
      </c>
      <c r="BC91" s="85">
        <f t="shared" si="622"/>
        <v>15</v>
      </c>
      <c r="BD91" s="85">
        <f t="shared" si="622"/>
        <v>9</v>
      </c>
      <c r="BE91" s="85">
        <f t="shared" si="622"/>
        <v>20</v>
      </c>
      <c r="BF91" s="85">
        <f t="shared" si="622"/>
        <v>15</v>
      </c>
      <c r="BG91" s="85">
        <f t="shared" si="622"/>
        <v>14</v>
      </c>
      <c r="BH91" s="85">
        <f t="shared" si="622"/>
        <v>11</v>
      </c>
      <c r="BI91" s="85">
        <f t="shared" si="622"/>
        <v>15</v>
      </c>
      <c r="BJ91" s="85">
        <f t="shared" ref="BJ91:BW91" si="623">BJ87+BJ89</f>
        <v>11</v>
      </c>
      <c r="BK91" s="85">
        <f t="shared" si="623"/>
        <v>11</v>
      </c>
      <c r="BL91" s="85">
        <f t="shared" si="623"/>
        <v>15</v>
      </c>
      <c r="BM91" s="85">
        <f t="shared" si="623"/>
        <v>26</v>
      </c>
      <c r="BN91" s="85">
        <f t="shared" si="623"/>
        <v>19</v>
      </c>
      <c r="BO91" s="85">
        <f t="shared" si="623"/>
        <v>16</v>
      </c>
      <c r="BP91" s="85">
        <f t="shared" si="623"/>
        <v>16</v>
      </c>
      <c r="BQ91" s="85">
        <f t="shared" si="623"/>
        <v>10</v>
      </c>
      <c r="BR91" s="85">
        <f t="shared" si="623"/>
        <v>8</v>
      </c>
      <c r="BS91" s="85">
        <f t="shared" si="623"/>
        <v>14</v>
      </c>
      <c r="BT91" s="85">
        <f t="shared" si="623"/>
        <v>21</v>
      </c>
      <c r="BU91" s="85">
        <f t="shared" si="623"/>
        <v>26</v>
      </c>
      <c r="BV91" s="85">
        <f t="shared" si="623"/>
        <v>27</v>
      </c>
      <c r="BW91" s="85">
        <f t="shared" si="623"/>
        <v>14</v>
      </c>
      <c r="BX91" s="85">
        <f t="shared" ref="BX91:CG91" si="624">BX87+BX89</f>
        <v>11</v>
      </c>
      <c r="BY91" s="85">
        <f t="shared" si="624"/>
        <v>17</v>
      </c>
      <c r="BZ91" s="85">
        <f t="shared" si="624"/>
        <v>20</v>
      </c>
      <c r="CA91" s="85">
        <f t="shared" si="624"/>
        <v>19</v>
      </c>
      <c r="CB91" s="85">
        <f t="shared" si="624"/>
        <v>20</v>
      </c>
      <c r="CC91" s="85">
        <f t="shared" si="624"/>
        <v>13</v>
      </c>
      <c r="CD91" s="85">
        <f t="shared" si="624"/>
        <v>13</v>
      </c>
      <c r="CE91" s="85">
        <f t="shared" si="624"/>
        <v>18</v>
      </c>
      <c r="CF91" s="85">
        <f t="shared" si="624"/>
        <v>15</v>
      </c>
      <c r="CG91" s="85">
        <f t="shared" si="624"/>
        <v>23</v>
      </c>
      <c r="CH91" s="85">
        <f t="shared" ref="CH91:CS91" si="625">CH87+CH89</f>
        <v>18</v>
      </c>
      <c r="CI91" s="85">
        <f t="shared" si="625"/>
        <v>12</v>
      </c>
      <c r="CJ91" s="85">
        <f t="shared" si="625"/>
        <v>19</v>
      </c>
      <c r="CK91" s="85">
        <f t="shared" si="625"/>
        <v>12</v>
      </c>
      <c r="CL91" s="85">
        <f t="shared" si="625"/>
        <v>17</v>
      </c>
      <c r="CM91" s="85">
        <f t="shared" si="625"/>
        <v>16</v>
      </c>
      <c r="CN91" s="85">
        <f t="shared" si="625"/>
        <v>16</v>
      </c>
      <c r="CO91" s="85">
        <f t="shared" si="625"/>
        <v>13</v>
      </c>
      <c r="CP91" s="85">
        <f t="shared" si="625"/>
        <v>20</v>
      </c>
      <c r="CQ91" s="85">
        <f t="shared" si="625"/>
        <v>19</v>
      </c>
      <c r="CR91" s="85">
        <f t="shared" si="625"/>
        <v>15</v>
      </c>
      <c r="CS91" s="85">
        <f t="shared" si="625"/>
        <v>16</v>
      </c>
    </row>
    <row r="92" spans="1:97" s="64" customFormat="1" x14ac:dyDescent="0.35">
      <c r="A92" s="93" t="s">
        <v>68</v>
      </c>
      <c r="B92" s="89">
        <f>[2]ASB!AL46</f>
        <v>53</v>
      </c>
      <c r="C92" s="89">
        <f>[2]ASB!AM46</f>
        <v>60</v>
      </c>
      <c r="D92" s="89">
        <f>[2]ASB!AN46</f>
        <v>57</v>
      </c>
      <c r="E92" s="89">
        <f>[2]ASB!AO46</f>
        <v>51</v>
      </c>
      <c r="F92" s="89">
        <f>[2]ASB!AP46</f>
        <v>43</v>
      </c>
      <c r="G92" s="89">
        <f>[2]ASB!AQ46</f>
        <v>49</v>
      </c>
      <c r="H92" s="89">
        <f>[2]ASB!AR46</f>
        <v>39</v>
      </c>
      <c r="I92" s="89">
        <f>[2]ASB!AS46</f>
        <v>39</v>
      </c>
      <c r="J92" s="89">
        <f>[2]ASB!AT46</f>
        <v>40</v>
      </c>
      <c r="K92" s="89">
        <f>[2]ASB!AU46</f>
        <v>39</v>
      </c>
      <c r="L92" s="89">
        <f>[2]ASB!AV46</f>
        <v>33</v>
      </c>
      <c r="M92" s="89">
        <f>[2]ASB!AW46</f>
        <v>30</v>
      </c>
      <c r="N92" s="89">
        <f>[2]ASB!AX46</f>
        <v>46</v>
      </c>
      <c r="O92" s="89">
        <f>[2]ASB!AY46</f>
        <v>59</v>
      </c>
      <c r="P92" s="89">
        <f>[2]ASB!AZ46</f>
        <v>44</v>
      </c>
      <c r="Q92" s="89">
        <f>[2]ASB!BA46</f>
        <v>57</v>
      </c>
      <c r="R92" s="89">
        <f>[2]ASB!BB46</f>
        <v>44</v>
      </c>
      <c r="S92" s="89">
        <f>[2]ASB!BC46</f>
        <v>53</v>
      </c>
      <c r="T92" s="89">
        <f>[2]ASB!BD46</f>
        <v>47</v>
      </c>
      <c r="U92" s="89">
        <f>[2]ASB!BE46</f>
        <v>35</v>
      </c>
      <c r="V92" s="89">
        <f>[2]ASB!BF46</f>
        <v>28</v>
      </c>
      <c r="W92" s="89">
        <f>[2]ASB!BG46</f>
        <v>26</v>
      </c>
      <c r="X92" s="89">
        <f>[2]ASB!BH46</f>
        <v>44</v>
      </c>
      <c r="Y92" s="89">
        <f>[2]ASB!BI46</f>
        <v>48</v>
      </c>
      <c r="Z92" s="89">
        <f>[2]ASB!BJ46</f>
        <v>30</v>
      </c>
      <c r="AA92" s="89">
        <f>[2]ASB!BK46</f>
        <v>45</v>
      </c>
      <c r="AB92" s="89">
        <f>[2]ASB!BL46</f>
        <v>51</v>
      </c>
      <c r="AC92" s="89">
        <f>[2]ASB!BM46</f>
        <v>33</v>
      </c>
      <c r="AD92" s="89">
        <f>[2]ASB!BN46</f>
        <v>30</v>
      </c>
      <c r="AE92" s="89">
        <f>[2]ASB!BO46</f>
        <v>34</v>
      </c>
      <c r="AF92" s="89">
        <f>[2]ASB!BP46</f>
        <v>34</v>
      </c>
      <c r="AG92" s="89">
        <f>[2]ASB!BQ46</f>
        <v>26</v>
      </c>
      <c r="AH92" s="89">
        <f>[2]ASB!BR46</f>
        <v>28</v>
      </c>
      <c r="AI92" s="89">
        <f>[2]ASB!BS46</f>
        <v>36</v>
      </c>
      <c r="AJ92" s="89">
        <f>[2]ASB!BT46</f>
        <v>22</v>
      </c>
      <c r="AK92" s="89">
        <f>[2]ASB!BU46</f>
        <v>38</v>
      </c>
      <c r="AL92" s="89">
        <f>[2]ASB!BV46</f>
        <v>79</v>
      </c>
      <c r="AM92" s="89">
        <f>[2]ASB!BW46</f>
        <v>57</v>
      </c>
      <c r="AN92" s="89">
        <f>[2]ASB!BX46</f>
        <v>52</v>
      </c>
      <c r="AO92" s="89">
        <f>[2]ASB!BY46</f>
        <v>46</v>
      </c>
      <c r="AP92" s="89">
        <f>[2]ASB!BZ46</f>
        <v>44</v>
      </c>
      <c r="AQ92" s="89">
        <f>[2]ASB!CA46</f>
        <v>37</v>
      </c>
      <c r="AR92" s="89">
        <f>[2]ASB!CB46</f>
        <v>22</v>
      </c>
      <c r="AS92" s="89">
        <f>[2]ASB!CC46</f>
        <v>35</v>
      </c>
      <c r="AT92" s="89">
        <f>[2]ASB!CD46</f>
        <v>19</v>
      </c>
      <c r="AU92" s="89">
        <f>[2]ASB!CE46</f>
        <v>30</v>
      </c>
      <c r="AV92" s="89">
        <f>[2]ASB!CF46</f>
        <v>42</v>
      </c>
      <c r="AW92" s="89">
        <f>[2]ASB!CG46</f>
        <v>37</v>
      </c>
      <c r="AX92" s="89">
        <f>[2]ASB!CH46</f>
        <v>52</v>
      </c>
      <c r="AY92" s="89">
        <f>[2]ASB!CI46</f>
        <v>32</v>
      </c>
      <c r="AZ92" s="89">
        <f>[2]ASB!CJ46</f>
        <v>41</v>
      </c>
      <c r="BA92" s="89">
        <f>[2]ASB!CK46</f>
        <v>45</v>
      </c>
      <c r="BB92" s="89">
        <f>[2]ASB!CL46</f>
        <v>36</v>
      </c>
      <c r="BC92" s="89">
        <f>[2]ASB!CM46</f>
        <v>33</v>
      </c>
      <c r="BD92" s="89">
        <f>[2]ASB!CN46</f>
        <v>30</v>
      </c>
      <c r="BE92" s="89">
        <f>[2]ASB!CO46</f>
        <v>40</v>
      </c>
      <c r="BF92" s="89">
        <f>[2]ASB!CP46</f>
        <v>43</v>
      </c>
      <c r="BG92" s="89">
        <f>[2]ASB!CQ46</f>
        <v>27</v>
      </c>
      <c r="BH92" s="89">
        <f>[2]ASB!CR46</f>
        <v>27</v>
      </c>
      <c r="BI92" s="89">
        <f>[2]ASB!CS46</f>
        <v>31</v>
      </c>
      <c r="BJ92" s="89">
        <f>[2]ASB!CT46</f>
        <v>23</v>
      </c>
      <c r="BK92" s="89">
        <f>[2]ASB!CU46</f>
        <v>35</v>
      </c>
      <c r="BL92" s="89">
        <f>[2]ASB!CV46</f>
        <v>34</v>
      </c>
      <c r="BM92" s="89">
        <f>[2]ASB!CW46</f>
        <v>29</v>
      </c>
      <c r="BN92" s="89">
        <f>[2]ASB!CX46</f>
        <v>44</v>
      </c>
      <c r="BO92" s="89">
        <f>[2]ASB!CY46</f>
        <v>38</v>
      </c>
      <c r="BP92" s="89">
        <f>[2]ASB!CZ46</f>
        <v>19</v>
      </c>
      <c r="BQ92" s="89">
        <f>[2]ASB!DA46</f>
        <v>23</v>
      </c>
      <c r="BR92" s="89">
        <f>[2]ASB!DB46</f>
        <v>24</v>
      </c>
      <c r="BS92" s="89">
        <f>[2]ASB!DC46</f>
        <v>22</v>
      </c>
      <c r="BT92" s="89">
        <f>[2]ASB!DD46</f>
        <v>27</v>
      </c>
      <c r="BU92" s="89">
        <f>[2]ASB!DE46</f>
        <v>29</v>
      </c>
      <c r="BV92" s="89">
        <f>[2]ASB!DF46</f>
        <v>21</v>
      </c>
      <c r="BW92" s="89">
        <f>[2]ASB!DG46</f>
        <v>23</v>
      </c>
      <c r="BX92" s="89">
        <f>[2]ASB!DH46</f>
        <v>28</v>
      </c>
      <c r="BY92" s="89">
        <f>[2]ASB!DI46</f>
        <v>26</v>
      </c>
      <c r="BZ92" s="89">
        <f>[2]ASB!DJ46</f>
        <v>40</v>
      </c>
      <c r="CA92" s="89">
        <f>[2]ASB!DK46</f>
        <v>49</v>
      </c>
      <c r="CB92" s="89">
        <f>[2]ASB!DL46</f>
        <v>39</v>
      </c>
      <c r="CC92" s="89">
        <f>[2]ASB!DM46</f>
        <v>44</v>
      </c>
      <c r="CD92" s="89">
        <f>[2]ASB!DN46</f>
        <v>36</v>
      </c>
      <c r="CE92" s="89">
        <f>[2]ASB!DO46</f>
        <v>38</v>
      </c>
      <c r="CF92" s="89">
        <f>[2]ASB!DP46</f>
        <v>46</v>
      </c>
      <c r="CG92" s="89">
        <f>[2]ASB!DQ46</f>
        <v>38</v>
      </c>
      <c r="CH92" s="89">
        <f>[2]ASB!DR46</f>
        <v>47</v>
      </c>
      <c r="CI92" s="89">
        <f>[2]ASB!DS46</f>
        <v>54</v>
      </c>
      <c r="CJ92" s="89">
        <f>[2]ASB!DT46</f>
        <v>42</v>
      </c>
      <c r="CK92" s="89">
        <f>[2]ASB!DU46</f>
        <v>49</v>
      </c>
      <c r="CL92" s="89">
        <f>[2]ASB!DV46</f>
        <v>52</v>
      </c>
      <c r="CM92" s="89">
        <f>[2]ASB!DW46</f>
        <v>48</v>
      </c>
      <c r="CN92" s="89">
        <f>[2]ASB!DX46</f>
        <v>43</v>
      </c>
      <c r="CO92" s="89">
        <f>[2]ASB!DY46</f>
        <v>48</v>
      </c>
      <c r="CP92" s="89">
        <f>[2]ASB!DZ46</f>
        <v>32</v>
      </c>
      <c r="CQ92" s="89">
        <f>[2]ASB!EA46</f>
        <v>39</v>
      </c>
      <c r="CR92" s="89">
        <f>[2]ASB!EB46</f>
        <v>31</v>
      </c>
      <c r="CS92" s="89">
        <f>[2]ASB!EC46</f>
        <v>50</v>
      </c>
    </row>
    <row r="93" spans="1:97" s="33" customFormat="1" x14ac:dyDescent="0.35"/>
    <row r="94" spans="1:97" s="64" customFormat="1" x14ac:dyDescent="0.35">
      <c r="A94" s="74" t="s">
        <v>62</v>
      </c>
      <c r="B94" s="64">
        <f t="shared" ref="B94" si="626">IF(AND(B95=1,C95=0)=TRUE,1,IF(AND(B95=0,C95=0,C94=0)=TRUE,0,C94+1))</f>
        <v>96</v>
      </c>
      <c r="C94" s="64">
        <f t="shared" ref="C94" si="627">IF(AND(C95=1,D95=0)=TRUE,1,IF(AND(C95=0,D95=0,D94=0)=TRUE,0,D94+1))</f>
        <v>95</v>
      </c>
      <c r="D94" s="64">
        <f t="shared" ref="D94" si="628">IF(AND(D95=1,E95=0)=TRUE,1,IF(AND(D95=0,E95=0,E94=0)=TRUE,0,E94+1))</f>
        <v>94</v>
      </c>
      <c r="E94" s="64">
        <f t="shared" ref="E94" si="629">IF(AND(E95=1,F95=0)=TRUE,1,IF(AND(E95=0,F95=0,F94=0)=TRUE,0,F94+1))</f>
        <v>93</v>
      </c>
      <c r="F94" s="64">
        <f t="shared" ref="F94" si="630">IF(AND(F95=1,G95=0)=TRUE,1,IF(AND(F95=0,G95=0,G94=0)=TRUE,0,G94+1))</f>
        <v>92</v>
      </c>
      <c r="G94" s="64">
        <f t="shared" ref="G94" si="631">IF(AND(G95=1,H95=0)=TRUE,1,IF(AND(G95=0,H95=0,H94=0)=TRUE,0,H94+1))</f>
        <v>91</v>
      </c>
      <c r="H94" s="64">
        <f t="shared" ref="H94" si="632">IF(AND(H95=1,I95=0)=TRUE,1,IF(AND(H95=0,I95=0,I94=0)=TRUE,0,I94+1))</f>
        <v>90</v>
      </c>
      <c r="I94" s="64">
        <f t="shared" ref="I94" si="633">IF(AND(I95=1,J95=0)=TRUE,1,IF(AND(I95=0,J95=0,J94=0)=TRUE,0,J94+1))</f>
        <v>89</v>
      </c>
      <c r="J94" s="64">
        <f t="shared" ref="J94" si="634">IF(AND(J95=1,K95=0)=TRUE,1,IF(AND(J95=0,K95=0,K94=0)=TRUE,0,K94+1))</f>
        <v>88</v>
      </c>
      <c r="K94" s="64">
        <f t="shared" ref="K94" si="635">IF(AND(K95=1,L95=0)=TRUE,1,IF(AND(K95=0,L95=0,L94=0)=TRUE,0,L94+1))</f>
        <v>87</v>
      </c>
      <c r="L94" s="64">
        <f t="shared" ref="L94" si="636">IF(AND(L95=1,M95=0)=TRUE,1,IF(AND(L95=0,M95=0,M94=0)=TRUE,0,M94+1))</f>
        <v>86</v>
      </c>
      <c r="M94" s="64">
        <f t="shared" ref="M94" si="637">IF(AND(M95=1,N95=0)=TRUE,1,IF(AND(M95=0,N95=0,N94=0)=TRUE,0,N94+1))</f>
        <v>85</v>
      </c>
      <c r="N94" s="64">
        <f t="shared" ref="N94" si="638">IF(AND(N95=1,O95=0)=TRUE,1,IF(AND(N95=0,O95=0,O94=0)=TRUE,0,O94+1))</f>
        <v>84</v>
      </c>
      <c r="O94" s="64">
        <f t="shared" ref="O94" si="639">IF(AND(O95=1,P95=0)=TRUE,1,IF(AND(O95=0,P95=0,P94=0)=TRUE,0,P94+1))</f>
        <v>83</v>
      </c>
      <c r="P94" s="64">
        <f t="shared" ref="P94" si="640">IF(AND(P95=1,Q95=0)=TRUE,1,IF(AND(P95=0,Q95=0,Q94=0)=TRUE,0,Q94+1))</f>
        <v>82</v>
      </c>
      <c r="Q94" s="64">
        <f t="shared" ref="Q94" si="641">IF(AND(Q95=1,R95=0)=TRUE,1,IF(AND(Q95=0,R95=0,R94=0)=TRUE,0,R94+1))</f>
        <v>81</v>
      </c>
      <c r="R94" s="64">
        <f t="shared" ref="R94" si="642">IF(AND(R95=1,S95=0)=TRUE,1,IF(AND(R95=0,S95=0,S94=0)=TRUE,0,S94+1))</f>
        <v>80</v>
      </c>
      <c r="S94" s="64">
        <f t="shared" ref="S94" si="643">IF(AND(S95=1,T95=0)=TRUE,1,IF(AND(S95=0,T95=0,T94=0)=TRUE,0,T94+1))</f>
        <v>79</v>
      </c>
      <c r="T94" s="64">
        <f t="shared" ref="T94" si="644">IF(AND(T95=1,U95=0)=TRUE,1,IF(AND(T95=0,U95=0,U94=0)=TRUE,0,U94+1))</f>
        <v>78</v>
      </c>
      <c r="U94" s="64">
        <f t="shared" ref="U94" si="645">IF(AND(U95=1,V95=0)=TRUE,1,IF(AND(U95=0,V95=0,V94=0)=TRUE,0,V94+1))</f>
        <v>77</v>
      </c>
      <c r="V94" s="64">
        <f t="shared" ref="V94" si="646">IF(AND(V95=1,W95=0)=TRUE,1,IF(AND(V95=0,W95=0,W94=0)=TRUE,0,W94+1))</f>
        <v>76</v>
      </c>
      <c r="W94" s="64">
        <f t="shared" ref="W94" si="647">IF(AND(W95=1,X95=0)=TRUE,1,IF(AND(W95=0,X95=0,X94=0)=TRUE,0,X94+1))</f>
        <v>75</v>
      </c>
      <c r="X94" s="64">
        <f t="shared" ref="X94" si="648">IF(AND(X95=1,Y95=0)=TRUE,1,IF(AND(X95=0,Y95=0,Y94=0)=TRUE,0,Y94+1))</f>
        <v>74</v>
      </c>
      <c r="Y94" s="64">
        <f t="shared" ref="Y94" si="649">IF(AND(Y95=1,Z95=0)=TRUE,1,IF(AND(Y95=0,Z95=0,Z94=0)=TRUE,0,Z94+1))</f>
        <v>73</v>
      </c>
      <c r="Z94" s="64">
        <f t="shared" ref="Z94" si="650">IF(AND(Z95=1,AA95=0)=TRUE,1,IF(AND(Z95=0,AA95=0,AA94=0)=TRUE,0,AA94+1))</f>
        <v>72</v>
      </c>
      <c r="AA94" s="64">
        <f t="shared" ref="AA94" si="651">IF(AND(AA95=1,AB95=0)=TRUE,1,IF(AND(AA95=0,AB95=0,AB94=0)=TRUE,0,AB94+1))</f>
        <v>71</v>
      </c>
      <c r="AB94" s="64">
        <f t="shared" ref="AB94" si="652">IF(AND(AB95=1,AC95=0)=TRUE,1,IF(AND(AB95=0,AC95=0,AC94=0)=TRUE,0,AC94+1))</f>
        <v>70</v>
      </c>
      <c r="AC94" s="64">
        <f t="shared" ref="AC94" si="653">IF(AND(AC95=1,AD95=0)=TRUE,1,IF(AND(AC95=0,AD95=0,AD94=0)=TRUE,0,AD94+1))</f>
        <v>69</v>
      </c>
      <c r="AD94" s="64">
        <f t="shared" ref="AD94" si="654">IF(AND(AD95=1,AE95=0)=TRUE,1,IF(AND(AD95=0,AE95=0,AE94=0)=TRUE,0,AE94+1))</f>
        <v>68</v>
      </c>
      <c r="AE94" s="64">
        <f t="shared" ref="AE94" si="655">IF(AND(AE95=1,AF95=0)=TRUE,1,IF(AND(AE95=0,AF95=0,AF94=0)=TRUE,0,AF94+1))</f>
        <v>67</v>
      </c>
      <c r="AF94" s="64">
        <f t="shared" ref="AF94" si="656">IF(AND(AF95=1,AG95=0)=TRUE,1,IF(AND(AF95=0,AG95=0,AG94=0)=TRUE,0,AG94+1))</f>
        <v>66</v>
      </c>
      <c r="AG94" s="64">
        <f t="shared" ref="AG94" si="657">IF(AND(AG95=1,AH95=0)=TRUE,1,IF(AND(AG95=0,AH95=0,AH94=0)=TRUE,0,AH94+1))</f>
        <v>65</v>
      </c>
      <c r="AH94" s="64">
        <f t="shared" ref="AH94" si="658">IF(AND(AH95=1,AI95=0)=TRUE,1,IF(AND(AH95=0,AI95=0,AI94=0)=TRUE,0,AI94+1))</f>
        <v>64</v>
      </c>
      <c r="AI94" s="64">
        <f t="shared" ref="AI94" si="659">IF(AND(AI95=1,AJ95=0)=TRUE,1,IF(AND(AI95=0,AJ95=0,AJ94=0)=TRUE,0,AJ94+1))</f>
        <v>63</v>
      </c>
      <c r="AJ94" s="64">
        <f t="shared" ref="AJ94" si="660">IF(AND(AJ95=1,AK95=0)=TRUE,1,IF(AND(AJ95=0,AK95=0,AK94=0)=TRUE,0,AK94+1))</f>
        <v>62</v>
      </c>
      <c r="AK94" s="64">
        <f t="shared" ref="AK94" si="661">IF(AND(AK95=1,AL95=0)=TRUE,1,IF(AND(AK95=0,AL95=0,AL94=0)=TRUE,0,AL94+1))</f>
        <v>61</v>
      </c>
      <c r="AL94" s="64">
        <f t="shared" ref="AL94" si="662">IF(AND(AL95=1,AM95=0)=TRUE,1,IF(AND(AL95=0,AM95=0,AM94=0)=TRUE,0,AM94+1))</f>
        <v>60</v>
      </c>
      <c r="AM94" s="64">
        <f t="shared" ref="AM94" si="663">IF(AND(AM95=1,AN95=0)=TRUE,1,IF(AND(AM95=0,AN95=0,AN94=0)=TRUE,0,AN94+1))</f>
        <v>59</v>
      </c>
      <c r="AN94" s="64">
        <f t="shared" ref="AN94" si="664">IF(AND(AN95=1,AO95=0)=TRUE,1,IF(AND(AN95=0,AO95=0,AO94=0)=TRUE,0,AO94+1))</f>
        <v>58</v>
      </c>
      <c r="AO94" s="64">
        <f t="shared" ref="AO94" si="665">IF(AND(AO95=1,AP95=0)=TRUE,1,IF(AND(AO95=0,AP95=0,AP94=0)=TRUE,0,AP94+1))</f>
        <v>57</v>
      </c>
      <c r="AP94" s="64">
        <f t="shared" ref="AP94" si="666">IF(AND(AP95=1,AQ95=0)=TRUE,1,IF(AND(AP95=0,AQ95=0,AQ94=0)=TRUE,0,AQ94+1))</f>
        <v>56</v>
      </c>
      <c r="AQ94" s="64">
        <f t="shared" ref="AQ94" si="667">IF(AND(AQ95=1,AR95=0)=TRUE,1,IF(AND(AQ95=0,AR95=0,AR94=0)=TRUE,0,AR94+1))</f>
        <v>55</v>
      </c>
      <c r="AR94" s="64">
        <f t="shared" ref="AR94" si="668">IF(AND(AR95=1,AS95=0)=TRUE,1,IF(AND(AR95=0,AS95=0,AS94=0)=TRUE,0,AS94+1))</f>
        <v>54</v>
      </c>
      <c r="AS94" s="64">
        <f t="shared" ref="AS94" si="669">IF(AND(AS95=1,AT95=0)=TRUE,1,IF(AND(AS95=0,AT95=0,AT94=0)=TRUE,0,AT94+1))</f>
        <v>53</v>
      </c>
      <c r="AT94" s="64">
        <f t="shared" ref="AT94" si="670">IF(AND(AT95=1,AU95=0)=TRUE,1,IF(AND(AT95=0,AU95=0,AU94=0)=TRUE,0,AU94+1))</f>
        <v>52</v>
      </c>
      <c r="AU94" s="64">
        <f t="shared" ref="AU94" si="671">IF(AND(AU95=1,AV95=0)=TRUE,1,IF(AND(AU95=0,AV95=0,AV94=0)=TRUE,0,AV94+1))</f>
        <v>51</v>
      </c>
      <c r="AV94" s="64">
        <f t="shared" ref="AV94" si="672">IF(AND(AV95=1,AW95=0)=TRUE,1,IF(AND(AV95=0,AW95=0,AW94=0)=TRUE,0,AW94+1))</f>
        <v>50</v>
      </c>
      <c r="AW94" s="64">
        <f t="shared" ref="AW94" si="673">IF(AND(AW95=1,AX95=0)=TRUE,1,IF(AND(AW95=0,AX95=0,AX94=0)=TRUE,0,AX94+1))</f>
        <v>49</v>
      </c>
      <c r="AX94" s="64">
        <f t="shared" ref="AX94" si="674">IF(AND(AX95=1,AY95=0)=TRUE,1,IF(AND(AX95=0,AY95=0,AY94=0)=TRUE,0,AY94+1))</f>
        <v>48</v>
      </c>
      <c r="AY94" s="64">
        <f t="shared" ref="AY94" si="675">IF(AND(AY95=1,AZ95=0)=TRUE,1,IF(AND(AY95=0,AZ95=0,AZ94=0)=TRUE,0,AZ94+1))</f>
        <v>47</v>
      </c>
      <c r="AZ94" s="64">
        <f t="shared" ref="AZ94" si="676">IF(AND(AZ95=1,BA95=0)=TRUE,1,IF(AND(AZ95=0,BA95=0,BA94=0)=TRUE,0,BA94+1))</f>
        <v>46</v>
      </c>
      <c r="BA94" s="64">
        <f t="shared" ref="BA94" si="677">IF(AND(BA95=1,BB95=0)=TRUE,1,IF(AND(BA95=0,BB95=0,BB94=0)=TRUE,0,BB94+1))</f>
        <v>45</v>
      </c>
      <c r="BB94" s="64">
        <f t="shared" ref="BB94" si="678">IF(AND(BB95=1,BC95=0)=TRUE,1,IF(AND(BB95=0,BC95=0,BC94=0)=TRUE,0,BC94+1))</f>
        <v>44</v>
      </c>
      <c r="BC94" s="64">
        <f t="shared" ref="BC94" si="679">IF(AND(BC95=1,BD95=0)=TRUE,1,IF(AND(BC95=0,BD95=0,BD94=0)=TRUE,0,BD94+1))</f>
        <v>43</v>
      </c>
      <c r="BD94" s="64">
        <f t="shared" ref="BD94" si="680">IF(AND(BD95=1,BE95=0)=TRUE,1,IF(AND(BD95=0,BE95=0,BE94=0)=TRUE,0,BE94+1))</f>
        <v>42</v>
      </c>
      <c r="BE94" s="64">
        <f t="shared" ref="BE94" si="681">IF(AND(BE95=1,BF95=0)=TRUE,1,IF(AND(BE95=0,BF95=0,BF94=0)=TRUE,0,BF94+1))</f>
        <v>41</v>
      </c>
      <c r="BF94" s="64">
        <f t="shared" ref="BF94" si="682">IF(AND(BF95=1,BG95=0)=TRUE,1,IF(AND(BF95=0,BG95=0,BG94=0)=TRUE,0,BG94+1))</f>
        <v>40</v>
      </c>
      <c r="BG94" s="64">
        <f t="shared" ref="BG94" si="683">IF(AND(BG95=1,BH95=0)=TRUE,1,IF(AND(BG95=0,BH95=0,BH94=0)=TRUE,0,BH94+1))</f>
        <v>39</v>
      </c>
      <c r="BH94" s="64">
        <f t="shared" ref="BH94" si="684">IF(AND(BH95=1,BI95=0)=TRUE,1,IF(AND(BH95=0,BI95=0,BI94=0)=TRUE,0,BI94+1))</f>
        <v>38</v>
      </c>
      <c r="BI94" s="64">
        <f t="shared" ref="BI94" si="685">IF(AND(BI95=1,BJ95=0)=TRUE,1,IF(AND(BI95=0,BJ95=0,BJ94=0)=TRUE,0,BJ94+1))</f>
        <v>37</v>
      </c>
      <c r="BJ94" s="64">
        <f t="shared" ref="BJ94" si="686">IF(AND(BJ95=1,BK95=0)=TRUE,1,IF(AND(BJ95=0,BK95=0,BK94=0)=TRUE,0,BK94+1))</f>
        <v>36</v>
      </c>
      <c r="BK94" s="64">
        <f t="shared" ref="BK94" si="687">IF(AND(BK95=1,BL95=0)=TRUE,1,IF(AND(BK95=0,BL95=0,BL94=0)=TRUE,0,BL94+1))</f>
        <v>35</v>
      </c>
      <c r="BL94" s="64">
        <f t="shared" ref="BL94" si="688">IF(AND(BL95=1,BM95=0)=TRUE,1,IF(AND(BL95=0,BM95=0,BM94=0)=TRUE,0,BM94+1))</f>
        <v>34</v>
      </c>
      <c r="BM94" s="64">
        <f t="shared" ref="BM94" si="689">IF(AND(BM95=1,BN95=0)=TRUE,1,IF(AND(BM95=0,BN95=0,BN94=0)=TRUE,0,BN94+1))</f>
        <v>33</v>
      </c>
      <c r="BN94" s="64">
        <f t="shared" ref="BN94" si="690">IF(AND(BN95=1,BO95=0)=TRUE,1,IF(AND(BN95=0,BO95=0,BO94=0)=TRUE,0,BO94+1))</f>
        <v>32</v>
      </c>
      <c r="BO94" s="64">
        <f t="shared" ref="BO94" si="691">IF(AND(BO95=1,BP95=0)=TRUE,1,IF(AND(BO95=0,BP95=0,BP94=0)=TRUE,0,BP94+1))</f>
        <v>31</v>
      </c>
      <c r="BP94" s="64">
        <f t="shared" ref="BP94" si="692">IF(AND(BP95=1,BQ95=0)=TRUE,1,IF(AND(BP95=0,BQ95=0,BQ94=0)=TRUE,0,BQ94+1))</f>
        <v>30</v>
      </c>
      <c r="BQ94" s="64">
        <f t="shared" ref="BQ94" si="693">IF(AND(BQ95=1,BR95=0)=TRUE,1,IF(AND(BQ95=0,BR95=0,BR94=0)=TRUE,0,BR94+1))</f>
        <v>29</v>
      </c>
      <c r="BR94" s="64">
        <f t="shared" ref="BR94" si="694">IF(AND(BR95=1,BS95=0)=TRUE,1,IF(AND(BR95=0,BS95=0,BS94=0)=TRUE,0,BS94+1))</f>
        <v>28</v>
      </c>
      <c r="BS94" s="64">
        <f t="shared" ref="BS94" si="695">IF(AND(BS95=1,BT95=0)=TRUE,1,IF(AND(BS95=0,BT95=0,BT94=0)=TRUE,0,BT94+1))</f>
        <v>27</v>
      </c>
      <c r="BT94" s="64">
        <f t="shared" ref="BT94" si="696">IF(AND(BT95=1,BU95=0)=TRUE,1,IF(AND(BT95=0,BU95=0,BU94=0)=TRUE,0,BU94+1))</f>
        <v>26</v>
      </c>
      <c r="BU94" s="64">
        <f t="shared" ref="BU94" si="697">IF(AND(BU95=1,BV95=0)=TRUE,1,IF(AND(BU95=0,BV95=0,BV94=0)=TRUE,0,BV94+1))</f>
        <v>25</v>
      </c>
      <c r="BV94" s="64">
        <f t="shared" ref="BV94" si="698">IF(AND(BV95=1,BW95=0)=TRUE,1,IF(AND(BV95=0,BW95=0,BW94=0)=TRUE,0,BW94+1))</f>
        <v>24</v>
      </c>
      <c r="BW94" s="64">
        <f t="shared" ref="BW94" si="699">IF(AND(BW95=1,BX95=0)=TRUE,1,IF(AND(BW95=0,BX95=0,BX94=0)=TRUE,0,BX94+1))</f>
        <v>23</v>
      </c>
      <c r="BX94" s="64">
        <f t="shared" ref="BX94" si="700">IF(AND(BX95=1,BY95=0)=TRUE,1,IF(AND(BX95=0,BY95=0,BY94=0)=TRUE,0,BY94+1))</f>
        <v>22</v>
      </c>
      <c r="BY94" s="64">
        <f t="shared" ref="BY94" si="701">IF(AND(BY95=1,BZ95=0)=TRUE,1,IF(AND(BY95=0,BZ95=0,BZ94=0)=TRUE,0,BZ94+1))</f>
        <v>21</v>
      </c>
      <c r="BZ94" s="64">
        <f t="shared" ref="BZ94" si="702">IF(AND(BZ95=1,CA95=0)=TRUE,1,IF(AND(BZ95=0,CA95=0,CA94=0)=TRUE,0,CA94+1))</f>
        <v>20</v>
      </c>
      <c r="CA94" s="64">
        <f t="shared" ref="CA94" si="703">IF(AND(CA95=1,CB95=0)=TRUE,1,IF(AND(CA95=0,CB95=0,CB94=0)=TRUE,0,CB94+1))</f>
        <v>19</v>
      </c>
      <c r="CB94" s="64">
        <f t="shared" ref="CB94" si="704">IF(AND(CB95=1,CC95=0)=TRUE,1,IF(AND(CB95=0,CC95=0,CC94=0)=TRUE,0,CC94+1))</f>
        <v>18</v>
      </c>
      <c r="CC94" s="64">
        <f t="shared" ref="CC94" si="705">IF(AND(CC95=1,CD95=0)=TRUE,1,IF(AND(CC95=0,CD95=0,CD94=0)=TRUE,0,CD94+1))</f>
        <v>17</v>
      </c>
      <c r="CD94" s="64">
        <f t="shared" ref="CD94" si="706">IF(AND(CD95=1,CE95=0)=TRUE,1,IF(AND(CD95=0,CE95=0,CE94=0)=TRUE,0,CE94+1))</f>
        <v>16</v>
      </c>
      <c r="CE94" s="64">
        <f t="shared" ref="CE94" si="707">IF(AND(CE95=1,CF95=0)=TRUE,1,IF(AND(CE95=0,CF95=0,CF94=0)=TRUE,0,CF94+1))</f>
        <v>15</v>
      </c>
      <c r="CF94" s="64">
        <f t="shared" ref="CF94" si="708">IF(AND(CF95=1,CG95=0)=TRUE,1,IF(AND(CF95=0,CG95=0,CG94=0)=TRUE,0,CG94+1))</f>
        <v>14</v>
      </c>
      <c r="CG94" s="64">
        <f t="shared" ref="CG94" si="709">IF(AND(CG95=1,CH95=0)=TRUE,1,IF(AND(CG95=0,CH95=0,CH94=0)=TRUE,0,CH94+1))</f>
        <v>13</v>
      </c>
      <c r="CH94" s="64">
        <f t="shared" ref="CH94" si="710">IF(AND(CH95=1,CI95=0)=TRUE,1,IF(AND(CH95=0,CI95=0,CI94=0)=TRUE,0,CI94+1))</f>
        <v>12</v>
      </c>
      <c r="CI94" s="64">
        <f t="shared" ref="CI94" si="711">IF(AND(CI95=1,CJ95=0)=TRUE,1,IF(AND(CI95=0,CJ95=0,CJ94=0)=TRUE,0,CJ94+1))</f>
        <v>11</v>
      </c>
      <c r="CJ94" s="64">
        <f t="shared" ref="CJ94" si="712">IF(AND(CJ95=1,CK95=0)=TRUE,1,IF(AND(CJ95=0,CK95=0,CK94=0)=TRUE,0,CK94+1))</f>
        <v>10</v>
      </c>
      <c r="CK94" s="64">
        <f t="shared" ref="CK94" si="713">IF(AND(CK95=1,CL95=0)=TRUE,1,IF(AND(CK95=0,CL95=0,CL94=0)=TRUE,0,CL94+1))</f>
        <v>9</v>
      </c>
      <c r="CL94" s="64">
        <f t="shared" ref="CL94" si="714">IF(AND(CL95=1,CM95=0)=TRUE,1,IF(AND(CL95=0,CM95=0,CM94=0)=TRUE,0,CM94+1))</f>
        <v>8</v>
      </c>
      <c r="CM94" s="64">
        <f t="shared" ref="CM94" si="715">IF(AND(CM95=1,CN95=0)=TRUE,1,IF(AND(CM95=0,CN95=0,CN94=0)=TRUE,0,CN94+1))</f>
        <v>7</v>
      </c>
      <c r="CN94" s="64">
        <f t="shared" ref="CN94" si="716">IF(AND(CN95=1,CO95=0)=TRUE,1,IF(AND(CN95=0,CO95=0,CO94=0)=TRUE,0,CO94+1))</f>
        <v>6</v>
      </c>
      <c r="CO94" s="64">
        <f t="shared" ref="CO94" si="717">IF(AND(CO95=1,CP95=0)=TRUE,1,IF(AND(CO95=0,CP95=0,CP94=0)=TRUE,0,CP94+1))</f>
        <v>5</v>
      </c>
      <c r="CP94" s="64">
        <f t="shared" ref="CP94" si="718">IF(AND(CP95=1,CQ95=0)=TRUE,1,IF(AND(CP95=0,CQ95=0,CQ94=0)=TRUE,0,CQ94+1))</f>
        <v>4</v>
      </c>
      <c r="CQ94" s="64">
        <f t="shared" ref="CQ94" si="719">IF(AND(CQ95=1,CR95=0)=TRUE,1,IF(AND(CQ95=0,CR95=0,CR94=0)=TRUE,0,CR94+1))</f>
        <v>3</v>
      </c>
      <c r="CR94" s="64">
        <f t="shared" ref="CR94:CS94" si="720">IF(AND(CR95=1,CS95=0)=TRUE,1,IF(AND(CR95=0,CS95=0,CS94=0)=TRUE,0,CS94+1))</f>
        <v>2</v>
      </c>
      <c r="CS94" s="64">
        <f t="shared" si="720"/>
        <v>1</v>
      </c>
    </row>
    <row r="95" spans="1:97" s="64" customFormat="1" x14ac:dyDescent="0.35">
      <c r="A95" s="74"/>
      <c r="B95" s="64">
        <f>IF(SUM(B99:B106)&gt;1,1,0)</f>
        <v>1</v>
      </c>
      <c r="C95" s="64">
        <f t="shared" ref="C95:Z95" si="721">IF(SUM(C99:C106)&gt;1,1,0)</f>
        <v>1</v>
      </c>
      <c r="D95" s="64">
        <f t="shared" si="721"/>
        <v>1</v>
      </c>
      <c r="E95" s="64">
        <f t="shared" si="721"/>
        <v>1</v>
      </c>
      <c r="F95" s="64">
        <f t="shared" si="721"/>
        <v>1</v>
      </c>
      <c r="G95" s="64">
        <f t="shared" si="721"/>
        <v>1</v>
      </c>
      <c r="H95" s="64">
        <f t="shared" si="721"/>
        <v>1</v>
      </c>
      <c r="I95" s="64">
        <f t="shared" si="721"/>
        <v>1</v>
      </c>
      <c r="J95" s="64">
        <f t="shared" si="721"/>
        <v>1</v>
      </c>
      <c r="K95" s="64">
        <f t="shared" si="721"/>
        <v>1</v>
      </c>
      <c r="L95" s="64">
        <f t="shared" si="721"/>
        <v>1</v>
      </c>
      <c r="M95" s="64">
        <f t="shared" si="721"/>
        <v>1</v>
      </c>
      <c r="N95" s="64">
        <f t="shared" si="721"/>
        <v>1</v>
      </c>
      <c r="O95" s="64">
        <f t="shared" si="721"/>
        <v>1</v>
      </c>
      <c r="P95" s="64">
        <f t="shared" si="721"/>
        <v>1</v>
      </c>
      <c r="Q95" s="64">
        <f t="shared" si="721"/>
        <v>1</v>
      </c>
      <c r="R95" s="64">
        <f t="shared" si="721"/>
        <v>1</v>
      </c>
      <c r="S95" s="64">
        <f t="shared" si="721"/>
        <v>1</v>
      </c>
      <c r="T95" s="64">
        <f t="shared" si="721"/>
        <v>1</v>
      </c>
      <c r="U95" s="64">
        <f t="shared" si="721"/>
        <v>1</v>
      </c>
      <c r="V95" s="64">
        <f t="shared" si="721"/>
        <v>1</v>
      </c>
      <c r="W95" s="64">
        <f t="shared" si="721"/>
        <v>1</v>
      </c>
      <c r="X95" s="64">
        <f t="shared" si="721"/>
        <v>1</v>
      </c>
      <c r="Y95" s="64">
        <f t="shared" si="721"/>
        <v>1</v>
      </c>
      <c r="Z95" s="64">
        <f t="shared" si="721"/>
        <v>1</v>
      </c>
      <c r="AA95" s="64">
        <f t="shared" ref="AA95:AW95" si="722">IF(SUM(AA99:AA106)&gt;1,1,0)</f>
        <v>1</v>
      </c>
      <c r="AB95" s="64">
        <f t="shared" si="722"/>
        <v>1</v>
      </c>
      <c r="AC95" s="64">
        <f t="shared" si="722"/>
        <v>1</v>
      </c>
      <c r="AD95" s="64">
        <f t="shared" si="722"/>
        <v>1</v>
      </c>
      <c r="AE95" s="64">
        <f t="shared" si="722"/>
        <v>1</v>
      </c>
      <c r="AF95" s="64">
        <f t="shared" si="722"/>
        <v>1</v>
      </c>
      <c r="AG95" s="64">
        <f t="shared" si="722"/>
        <v>1</v>
      </c>
      <c r="AH95" s="64">
        <f t="shared" si="722"/>
        <v>1</v>
      </c>
      <c r="AI95" s="64">
        <f t="shared" si="722"/>
        <v>1</v>
      </c>
      <c r="AJ95" s="64">
        <f t="shared" si="722"/>
        <v>1</v>
      </c>
      <c r="AK95" s="64">
        <f t="shared" si="722"/>
        <v>1</v>
      </c>
      <c r="AL95" s="64">
        <f t="shared" si="722"/>
        <v>1</v>
      </c>
      <c r="AM95" s="64">
        <f t="shared" si="722"/>
        <v>1</v>
      </c>
      <c r="AN95" s="64">
        <f t="shared" si="722"/>
        <v>1</v>
      </c>
      <c r="AO95" s="64">
        <f t="shared" si="722"/>
        <v>1</v>
      </c>
      <c r="AP95" s="64">
        <f t="shared" si="722"/>
        <v>1</v>
      </c>
      <c r="AQ95" s="64">
        <f t="shared" si="722"/>
        <v>1</v>
      </c>
      <c r="AR95" s="64">
        <f t="shared" si="722"/>
        <v>1</v>
      </c>
      <c r="AS95" s="64">
        <f t="shared" si="722"/>
        <v>1</v>
      </c>
      <c r="AT95" s="64">
        <f t="shared" si="722"/>
        <v>1</v>
      </c>
      <c r="AU95" s="64">
        <f t="shared" si="722"/>
        <v>1</v>
      </c>
      <c r="AV95" s="64">
        <f t="shared" si="722"/>
        <v>1</v>
      </c>
      <c r="AW95" s="64">
        <f t="shared" si="722"/>
        <v>1</v>
      </c>
      <c r="AX95" s="64">
        <f t="shared" ref="AX95:BI95" si="723">IF(SUM(AX99:AX106)&gt;1,1,0)</f>
        <v>1</v>
      </c>
      <c r="AY95" s="64">
        <f t="shared" si="723"/>
        <v>1</v>
      </c>
      <c r="AZ95" s="64">
        <f t="shared" si="723"/>
        <v>1</v>
      </c>
      <c r="BA95" s="64">
        <f t="shared" si="723"/>
        <v>1</v>
      </c>
      <c r="BB95" s="64">
        <f t="shared" si="723"/>
        <v>1</v>
      </c>
      <c r="BC95" s="64">
        <f t="shared" si="723"/>
        <v>1</v>
      </c>
      <c r="BD95" s="64">
        <f t="shared" si="723"/>
        <v>1</v>
      </c>
      <c r="BE95" s="64">
        <f t="shared" si="723"/>
        <v>1</v>
      </c>
      <c r="BF95" s="64">
        <f t="shared" si="723"/>
        <v>1</v>
      </c>
      <c r="BG95" s="64">
        <f t="shared" si="723"/>
        <v>1</v>
      </c>
      <c r="BH95" s="64">
        <f t="shared" si="723"/>
        <v>1</v>
      </c>
      <c r="BI95" s="64">
        <f t="shared" si="723"/>
        <v>1</v>
      </c>
      <c r="BJ95" s="64">
        <f t="shared" ref="BJ95:BW95" si="724">IF(SUM(BJ99:BJ106)&gt;1,1,0)</f>
        <v>1</v>
      </c>
      <c r="BK95" s="64">
        <f t="shared" si="724"/>
        <v>1</v>
      </c>
      <c r="BL95" s="64">
        <f t="shared" si="724"/>
        <v>1</v>
      </c>
      <c r="BM95" s="64">
        <f t="shared" si="724"/>
        <v>1</v>
      </c>
      <c r="BN95" s="64">
        <f t="shared" si="724"/>
        <v>1</v>
      </c>
      <c r="BO95" s="64">
        <f t="shared" si="724"/>
        <v>1</v>
      </c>
      <c r="BP95" s="64">
        <f t="shared" si="724"/>
        <v>1</v>
      </c>
      <c r="BQ95" s="64">
        <f t="shared" si="724"/>
        <v>1</v>
      </c>
      <c r="BR95" s="64">
        <f t="shared" si="724"/>
        <v>1</v>
      </c>
      <c r="BS95" s="64">
        <f t="shared" si="724"/>
        <v>1</v>
      </c>
      <c r="BT95" s="64">
        <f t="shared" si="724"/>
        <v>1</v>
      </c>
      <c r="BU95" s="64">
        <f t="shared" si="724"/>
        <v>1</v>
      </c>
      <c r="BV95" s="64">
        <f t="shared" si="724"/>
        <v>1</v>
      </c>
      <c r="BW95" s="64">
        <f t="shared" si="724"/>
        <v>1</v>
      </c>
      <c r="BX95" s="64">
        <f t="shared" ref="BX95:CG95" si="725">IF(SUM(BX99:BX106)&gt;1,1,0)</f>
        <v>1</v>
      </c>
      <c r="BY95" s="64">
        <f t="shared" si="725"/>
        <v>1</v>
      </c>
      <c r="BZ95" s="64">
        <f t="shared" si="725"/>
        <v>1</v>
      </c>
      <c r="CA95" s="64">
        <f t="shared" si="725"/>
        <v>1</v>
      </c>
      <c r="CB95" s="64">
        <f t="shared" si="725"/>
        <v>1</v>
      </c>
      <c r="CC95" s="64">
        <f t="shared" si="725"/>
        <v>1</v>
      </c>
      <c r="CD95" s="64">
        <f t="shared" si="725"/>
        <v>1</v>
      </c>
      <c r="CE95" s="64">
        <f t="shared" si="725"/>
        <v>1</v>
      </c>
      <c r="CF95" s="64">
        <f t="shared" si="725"/>
        <v>1</v>
      </c>
      <c r="CG95" s="64">
        <f t="shared" si="725"/>
        <v>1</v>
      </c>
      <c r="CH95" s="64">
        <f t="shared" ref="CH95:CS95" si="726">IF(SUM(CH99:CH106)&gt;1,1,0)</f>
        <v>1</v>
      </c>
      <c r="CI95" s="64">
        <f t="shared" si="726"/>
        <v>1</v>
      </c>
      <c r="CJ95" s="64">
        <f t="shared" si="726"/>
        <v>1</v>
      </c>
      <c r="CK95" s="64">
        <f t="shared" si="726"/>
        <v>1</v>
      </c>
      <c r="CL95" s="64">
        <f t="shared" si="726"/>
        <v>1</v>
      </c>
      <c r="CM95" s="64">
        <f t="shared" si="726"/>
        <v>1</v>
      </c>
      <c r="CN95" s="64">
        <f t="shared" si="726"/>
        <v>1</v>
      </c>
      <c r="CO95" s="64">
        <f t="shared" si="726"/>
        <v>1</v>
      </c>
      <c r="CP95" s="64">
        <f t="shared" si="726"/>
        <v>1</v>
      </c>
      <c r="CQ95" s="64">
        <f t="shared" si="726"/>
        <v>1</v>
      </c>
      <c r="CR95" s="64">
        <f t="shared" si="726"/>
        <v>1</v>
      </c>
      <c r="CS95" s="64">
        <f t="shared" si="726"/>
        <v>1</v>
      </c>
    </row>
    <row r="96" spans="1:97" s="64" customFormat="1" x14ac:dyDescent="0.35">
      <c r="A96" s="74"/>
      <c r="B96" s="64" t="s">
        <v>136</v>
      </c>
      <c r="C96" s="64" t="s">
        <v>136</v>
      </c>
      <c r="D96" s="64" t="s">
        <v>136</v>
      </c>
      <c r="E96" s="64" t="s">
        <v>136</v>
      </c>
      <c r="F96" s="64" t="s">
        <v>136</v>
      </c>
      <c r="G96" s="64" t="s">
        <v>136</v>
      </c>
      <c r="H96" s="64" t="s">
        <v>136</v>
      </c>
      <c r="I96" s="64" t="s">
        <v>136</v>
      </c>
      <c r="J96" s="64" t="s">
        <v>136</v>
      </c>
      <c r="K96" s="64" t="s">
        <v>136</v>
      </c>
      <c r="L96" s="64" t="s">
        <v>136</v>
      </c>
      <c r="M96" s="64" t="s">
        <v>136</v>
      </c>
      <c r="N96" s="64" t="s">
        <v>135</v>
      </c>
      <c r="O96" s="64" t="s">
        <v>135</v>
      </c>
      <c r="P96" s="64" t="s">
        <v>135</v>
      </c>
      <c r="Q96" s="64" t="s">
        <v>135</v>
      </c>
      <c r="R96" s="64" t="s">
        <v>135</v>
      </c>
      <c r="S96" s="64" t="s">
        <v>135</v>
      </c>
      <c r="T96" s="64" t="s">
        <v>135</v>
      </c>
      <c r="U96" s="64" t="s">
        <v>135</v>
      </c>
      <c r="V96" s="64" t="s">
        <v>135</v>
      </c>
      <c r="W96" s="64" t="s">
        <v>135</v>
      </c>
      <c r="X96" s="64" t="s">
        <v>135</v>
      </c>
      <c r="Y96" s="64" t="s">
        <v>135</v>
      </c>
      <c r="Z96" s="64" t="s">
        <v>207</v>
      </c>
      <c r="AA96" s="64" t="s">
        <v>207</v>
      </c>
      <c r="AB96" s="64" t="s">
        <v>207</v>
      </c>
      <c r="AC96" s="64" t="s">
        <v>207</v>
      </c>
      <c r="AD96" s="64" t="s">
        <v>207</v>
      </c>
      <c r="AE96" s="64" t="s">
        <v>207</v>
      </c>
      <c r="AF96" s="64" t="s">
        <v>207</v>
      </c>
      <c r="AG96" s="64" t="s">
        <v>207</v>
      </c>
      <c r="AH96" s="64" t="s">
        <v>207</v>
      </c>
      <c r="AI96" s="64" t="s">
        <v>207</v>
      </c>
      <c r="AJ96" s="64" t="s">
        <v>207</v>
      </c>
      <c r="AK96" s="64" t="s">
        <v>207</v>
      </c>
      <c r="AL96" s="64" t="s">
        <v>251</v>
      </c>
      <c r="AM96" s="64" t="s">
        <v>251</v>
      </c>
      <c r="AN96" s="64" t="s">
        <v>251</v>
      </c>
      <c r="AO96" s="64" t="s">
        <v>251</v>
      </c>
      <c r="AP96" s="64" t="s">
        <v>251</v>
      </c>
      <c r="AQ96" s="64" t="s">
        <v>251</v>
      </c>
      <c r="AR96" s="64" t="s">
        <v>251</v>
      </c>
      <c r="AS96" s="64" t="s">
        <v>251</v>
      </c>
      <c r="AT96" s="64" t="s">
        <v>251</v>
      </c>
      <c r="AU96" s="64" t="s">
        <v>251</v>
      </c>
      <c r="AV96" s="64" t="s">
        <v>251</v>
      </c>
      <c r="AW96" s="64" t="s">
        <v>251</v>
      </c>
      <c r="AX96" s="64" t="s">
        <v>259</v>
      </c>
      <c r="AY96" s="64" t="s">
        <v>259</v>
      </c>
      <c r="AZ96" s="64" t="s">
        <v>259</v>
      </c>
      <c r="BA96" s="64" t="s">
        <v>259</v>
      </c>
      <c r="BB96" s="64" t="s">
        <v>259</v>
      </c>
      <c r="BC96" s="64" t="s">
        <v>259</v>
      </c>
      <c r="BD96" s="64" t="s">
        <v>259</v>
      </c>
      <c r="BE96" s="64" t="s">
        <v>259</v>
      </c>
      <c r="BF96" s="64" t="s">
        <v>259</v>
      </c>
      <c r="BG96" s="64" t="s">
        <v>259</v>
      </c>
      <c r="BH96" s="64" t="s">
        <v>259</v>
      </c>
      <c r="BI96" s="64" t="s">
        <v>259</v>
      </c>
      <c r="BJ96" s="64" t="s">
        <v>406</v>
      </c>
      <c r="BK96" s="64" t="s">
        <v>407</v>
      </c>
      <c r="BL96" s="64" t="s">
        <v>408</v>
      </c>
      <c r="BM96" s="64" t="s">
        <v>409</v>
      </c>
      <c r="BN96" s="64" t="s">
        <v>410</v>
      </c>
      <c r="BO96" s="64" t="s">
        <v>411</v>
      </c>
      <c r="BP96" s="64" t="s">
        <v>412</v>
      </c>
      <c r="BQ96" s="64" t="s">
        <v>413</v>
      </c>
      <c r="BR96" s="64" t="s">
        <v>414</v>
      </c>
      <c r="BS96" s="64" t="s">
        <v>415</v>
      </c>
      <c r="BT96" s="64" t="s">
        <v>416</v>
      </c>
      <c r="BU96" s="64" t="s">
        <v>417</v>
      </c>
      <c r="BV96" s="64" t="s">
        <v>418</v>
      </c>
      <c r="BW96" s="64" t="s">
        <v>419</v>
      </c>
      <c r="BX96" s="64" t="s">
        <v>472</v>
      </c>
      <c r="BY96" s="64" t="s">
        <v>473</v>
      </c>
      <c r="BZ96" s="64" t="s">
        <v>474</v>
      </c>
      <c r="CA96" s="64" t="s">
        <v>475</v>
      </c>
      <c r="CB96" s="64" t="s">
        <v>476</v>
      </c>
      <c r="CC96" s="64" t="s">
        <v>477</v>
      </c>
      <c r="CD96" s="64" t="s">
        <v>484</v>
      </c>
      <c r="CE96" s="64" t="s">
        <v>485</v>
      </c>
      <c r="CF96" s="64" t="s">
        <v>486</v>
      </c>
      <c r="CG96" s="64" t="s">
        <v>487</v>
      </c>
      <c r="CH96" s="64" t="s">
        <v>506</v>
      </c>
      <c r="CI96" s="64" t="s">
        <v>507</v>
      </c>
      <c r="CJ96" s="64" t="s">
        <v>508</v>
      </c>
      <c r="CK96" s="64" t="s">
        <v>509</v>
      </c>
      <c r="CL96" s="64" t="s">
        <v>510</v>
      </c>
      <c r="CM96" s="64" t="s">
        <v>511</v>
      </c>
      <c r="CN96" s="64" t="s">
        <v>512</v>
      </c>
      <c r="CO96" s="64" t="s">
        <v>513</v>
      </c>
      <c r="CP96" s="64" t="s">
        <v>514</v>
      </c>
      <c r="CQ96" s="64" t="s">
        <v>515</v>
      </c>
      <c r="CR96" s="64" t="s">
        <v>516</v>
      </c>
      <c r="CS96" s="64" t="s">
        <v>517</v>
      </c>
    </row>
    <row r="97" spans="1:97" x14ac:dyDescent="0.35">
      <c r="A97" s="75"/>
      <c r="B97" s="64" t="s">
        <v>19</v>
      </c>
      <c r="C97" s="64" t="s">
        <v>20</v>
      </c>
      <c r="D97" s="64" t="s">
        <v>21</v>
      </c>
      <c r="E97" s="64" t="s">
        <v>22</v>
      </c>
      <c r="F97" s="64" t="s">
        <v>23</v>
      </c>
      <c r="G97" s="64" t="s">
        <v>24</v>
      </c>
      <c r="H97" s="64" t="s">
        <v>25</v>
      </c>
      <c r="I97" s="64" t="s">
        <v>26</v>
      </c>
      <c r="J97" s="64" t="s">
        <v>27</v>
      </c>
      <c r="K97" s="64" t="s">
        <v>28</v>
      </c>
      <c r="L97" s="64" t="s">
        <v>29</v>
      </c>
      <c r="M97" s="64" t="s">
        <v>30</v>
      </c>
      <c r="N97" s="64" t="s">
        <v>19</v>
      </c>
      <c r="O97" s="64" t="s">
        <v>20</v>
      </c>
      <c r="P97" s="64" t="s">
        <v>21</v>
      </c>
      <c r="Q97" s="64" t="s">
        <v>22</v>
      </c>
      <c r="R97" s="64" t="s">
        <v>23</v>
      </c>
      <c r="S97" s="64" t="s">
        <v>24</v>
      </c>
      <c r="T97" s="64" t="s">
        <v>25</v>
      </c>
      <c r="U97" s="64" t="s">
        <v>26</v>
      </c>
      <c r="V97" s="64" t="s">
        <v>27</v>
      </c>
      <c r="W97" s="64" t="s">
        <v>28</v>
      </c>
      <c r="X97" s="64" t="s">
        <v>29</v>
      </c>
      <c r="Y97" s="64" t="s">
        <v>30</v>
      </c>
      <c r="Z97" s="64" t="s">
        <v>19</v>
      </c>
      <c r="AA97" s="64" t="s">
        <v>20</v>
      </c>
      <c r="AB97" s="64" t="s">
        <v>21</v>
      </c>
      <c r="AC97" s="64" t="s">
        <v>22</v>
      </c>
      <c r="AD97" s="64" t="s">
        <v>23</v>
      </c>
      <c r="AE97" s="64" t="s">
        <v>24</v>
      </c>
      <c r="AF97" s="64" t="s">
        <v>25</v>
      </c>
      <c r="AG97" s="64" t="s">
        <v>26</v>
      </c>
      <c r="AH97" s="64" t="s">
        <v>27</v>
      </c>
      <c r="AI97" s="64" t="s">
        <v>28</v>
      </c>
      <c r="AJ97" s="64" t="s">
        <v>29</v>
      </c>
      <c r="AK97" s="64" t="s">
        <v>30</v>
      </c>
      <c r="AL97" s="64" t="s">
        <v>19</v>
      </c>
      <c r="AM97" s="64" t="s">
        <v>20</v>
      </c>
      <c r="AN97" s="64" t="s">
        <v>21</v>
      </c>
      <c r="AO97" s="64" t="s">
        <v>22</v>
      </c>
      <c r="AP97" s="64" t="s">
        <v>23</v>
      </c>
      <c r="AQ97" s="64" t="s">
        <v>24</v>
      </c>
      <c r="AR97" s="64" t="s">
        <v>25</v>
      </c>
      <c r="AS97" s="64" t="s">
        <v>26</v>
      </c>
      <c r="AT97" s="64" t="s">
        <v>27</v>
      </c>
      <c r="AU97" s="64" t="s">
        <v>28</v>
      </c>
      <c r="AV97" s="64" t="s">
        <v>29</v>
      </c>
      <c r="AW97" s="64" t="s">
        <v>30</v>
      </c>
      <c r="AX97" s="64" t="s">
        <v>19</v>
      </c>
      <c r="AY97" s="64" t="s">
        <v>20</v>
      </c>
      <c r="AZ97" s="64" t="s">
        <v>21</v>
      </c>
      <c r="BA97" s="64" t="s">
        <v>22</v>
      </c>
      <c r="BB97" s="64" t="s">
        <v>23</v>
      </c>
      <c r="BC97" s="64" t="s">
        <v>24</v>
      </c>
      <c r="BD97" s="64" t="s">
        <v>25</v>
      </c>
      <c r="BE97" s="64" t="s">
        <v>26</v>
      </c>
      <c r="BF97" s="64" t="s">
        <v>27</v>
      </c>
      <c r="BG97" s="64" t="s">
        <v>28</v>
      </c>
      <c r="BH97" s="64" t="s">
        <v>29</v>
      </c>
      <c r="BI97" s="64" t="s">
        <v>30</v>
      </c>
      <c r="BJ97" s="64" t="s">
        <v>19</v>
      </c>
      <c r="BK97" s="64" t="s">
        <v>20</v>
      </c>
      <c r="BL97" s="64" t="s">
        <v>21</v>
      </c>
      <c r="BM97" s="64" t="s">
        <v>22</v>
      </c>
      <c r="BN97" s="64" t="s">
        <v>23</v>
      </c>
      <c r="BO97" s="64" t="s">
        <v>24</v>
      </c>
      <c r="BP97" s="64" t="s">
        <v>25</v>
      </c>
      <c r="BQ97" s="64" t="s">
        <v>26</v>
      </c>
      <c r="BR97" s="64" t="s">
        <v>27</v>
      </c>
      <c r="BS97" s="64" t="s">
        <v>28</v>
      </c>
      <c r="BT97" s="64" t="s">
        <v>29</v>
      </c>
      <c r="BU97" s="64" t="s">
        <v>30</v>
      </c>
      <c r="BV97" s="64" t="s">
        <v>19</v>
      </c>
      <c r="BW97" s="64" t="s">
        <v>20</v>
      </c>
      <c r="BX97" s="64" t="s">
        <v>478</v>
      </c>
      <c r="BY97" s="64" t="s">
        <v>479</v>
      </c>
      <c r="BZ97" s="64" t="s">
        <v>480</v>
      </c>
      <c r="CA97" s="64" t="s">
        <v>481</v>
      </c>
      <c r="CB97" s="64" t="s">
        <v>482</v>
      </c>
      <c r="CC97" s="64" t="s">
        <v>483</v>
      </c>
      <c r="CD97" s="64" t="s">
        <v>488</v>
      </c>
      <c r="CE97" s="64" t="s">
        <v>489</v>
      </c>
      <c r="CF97" s="64" t="s">
        <v>490</v>
      </c>
      <c r="CG97" s="64" t="s">
        <v>491</v>
      </c>
      <c r="CH97" s="64" t="s">
        <v>132</v>
      </c>
      <c r="CI97" s="64" t="s">
        <v>20</v>
      </c>
      <c r="CJ97" s="64" t="s">
        <v>478</v>
      </c>
      <c r="CK97" s="64" t="s">
        <v>479</v>
      </c>
      <c r="CL97" s="64" t="s">
        <v>480</v>
      </c>
      <c r="CM97" s="64" t="s">
        <v>481</v>
      </c>
      <c r="CN97" s="64" t="s">
        <v>482</v>
      </c>
      <c r="CO97" s="64" t="s">
        <v>483</v>
      </c>
      <c r="CP97" s="64" t="s">
        <v>488</v>
      </c>
      <c r="CQ97" s="64" t="s">
        <v>489</v>
      </c>
      <c r="CR97" s="64" t="s">
        <v>490</v>
      </c>
      <c r="CS97" s="64" t="s">
        <v>491</v>
      </c>
    </row>
    <row r="98" spans="1:97" x14ac:dyDescent="0.35">
      <c r="A98" s="76"/>
      <c r="B98" s="77">
        <v>42826</v>
      </c>
      <c r="C98" s="77">
        <v>42856</v>
      </c>
      <c r="D98" s="77">
        <v>42887</v>
      </c>
      <c r="E98" s="77">
        <v>42917</v>
      </c>
      <c r="F98" s="77">
        <v>42948</v>
      </c>
      <c r="G98" s="77">
        <v>42979</v>
      </c>
      <c r="H98" s="77">
        <v>43009</v>
      </c>
      <c r="I98" s="77">
        <v>43040</v>
      </c>
      <c r="J98" s="77">
        <v>43070</v>
      </c>
      <c r="K98" s="77">
        <v>43101</v>
      </c>
      <c r="L98" s="77">
        <v>43132</v>
      </c>
      <c r="M98" s="77">
        <v>43160</v>
      </c>
      <c r="N98" s="77">
        <v>43191</v>
      </c>
      <c r="O98" s="77">
        <v>43221</v>
      </c>
      <c r="P98" s="77">
        <v>43252</v>
      </c>
      <c r="Q98" s="77">
        <v>43282</v>
      </c>
      <c r="R98" s="77">
        <v>43313</v>
      </c>
      <c r="S98" s="77">
        <v>43344</v>
      </c>
      <c r="T98" s="77">
        <v>43374</v>
      </c>
      <c r="U98" s="77">
        <v>43405</v>
      </c>
      <c r="V98" s="77">
        <v>43435</v>
      </c>
      <c r="W98" s="77">
        <v>43466</v>
      </c>
      <c r="X98" s="77">
        <v>43497</v>
      </c>
      <c r="Y98" s="77">
        <v>43525</v>
      </c>
      <c r="Z98" s="77">
        <v>43556</v>
      </c>
      <c r="AA98" s="77">
        <v>43586</v>
      </c>
      <c r="AB98" s="77">
        <v>43617</v>
      </c>
      <c r="AC98" s="77">
        <v>43647</v>
      </c>
      <c r="AD98" s="77">
        <v>43678</v>
      </c>
      <c r="AE98" s="77">
        <v>43709</v>
      </c>
      <c r="AF98" s="77">
        <v>43739</v>
      </c>
      <c r="AG98" s="77">
        <v>43770</v>
      </c>
      <c r="AH98" s="77">
        <v>43800</v>
      </c>
      <c r="AI98" s="77">
        <v>43831</v>
      </c>
      <c r="AJ98" s="77">
        <v>43862</v>
      </c>
      <c r="AK98" s="77">
        <v>43891</v>
      </c>
      <c r="AL98" s="77">
        <v>43922</v>
      </c>
      <c r="AM98" s="77">
        <v>43952</v>
      </c>
      <c r="AN98" s="77">
        <v>43983</v>
      </c>
      <c r="AO98" s="77">
        <v>44013</v>
      </c>
      <c r="AP98" s="77">
        <v>44044</v>
      </c>
      <c r="AQ98" s="77">
        <v>44075</v>
      </c>
      <c r="AR98" s="77">
        <v>44105</v>
      </c>
      <c r="AS98" s="77">
        <v>44136</v>
      </c>
      <c r="AT98" s="77">
        <v>44166</v>
      </c>
      <c r="AU98" s="77">
        <v>44197</v>
      </c>
      <c r="AV98" s="77">
        <v>44228</v>
      </c>
      <c r="AW98" s="77">
        <v>44256</v>
      </c>
      <c r="AX98" s="77">
        <v>44287</v>
      </c>
      <c r="AY98" s="77">
        <v>44317</v>
      </c>
      <c r="AZ98" s="77">
        <v>44348</v>
      </c>
      <c r="BA98" s="77">
        <v>44378</v>
      </c>
      <c r="BB98" s="77">
        <v>44409</v>
      </c>
      <c r="BC98" s="77">
        <v>44440</v>
      </c>
      <c r="BD98" s="77">
        <v>44470</v>
      </c>
      <c r="BE98" s="77">
        <v>44501</v>
      </c>
      <c r="BF98" s="77">
        <v>44531</v>
      </c>
      <c r="BG98" s="77">
        <v>44562</v>
      </c>
      <c r="BH98" s="77">
        <v>44593</v>
      </c>
      <c r="BI98" s="77">
        <v>44621</v>
      </c>
      <c r="BJ98" s="77">
        <v>44652</v>
      </c>
      <c r="BK98" s="77">
        <v>44682</v>
      </c>
      <c r="BL98" s="77">
        <v>44713</v>
      </c>
      <c r="BM98" s="77">
        <v>44743</v>
      </c>
      <c r="BN98" s="77">
        <v>44774</v>
      </c>
      <c r="BO98" s="77">
        <v>44805</v>
      </c>
      <c r="BP98" s="77">
        <v>44835</v>
      </c>
      <c r="BQ98" s="77">
        <v>44866</v>
      </c>
      <c r="BR98" s="77">
        <v>44896</v>
      </c>
      <c r="BS98" s="77">
        <v>44927</v>
      </c>
      <c r="BT98" s="77">
        <v>44958</v>
      </c>
      <c r="BU98" s="77">
        <v>44986</v>
      </c>
      <c r="BV98" s="77">
        <v>45017</v>
      </c>
      <c r="BW98" s="77">
        <v>45047</v>
      </c>
      <c r="BX98" s="77">
        <v>45078</v>
      </c>
      <c r="BY98" s="77">
        <v>45108</v>
      </c>
      <c r="BZ98" s="77">
        <v>45139</v>
      </c>
      <c r="CA98" s="77">
        <v>45170</v>
      </c>
      <c r="CB98" s="77">
        <v>45200</v>
      </c>
      <c r="CC98" s="77">
        <v>45231</v>
      </c>
      <c r="CD98" s="77">
        <v>45261</v>
      </c>
      <c r="CE98" s="77">
        <v>45292</v>
      </c>
      <c r="CF98" s="77">
        <v>45323</v>
      </c>
      <c r="CG98" s="77">
        <v>45352</v>
      </c>
      <c r="CH98" s="77">
        <v>45383</v>
      </c>
      <c r="CI98" s="77">
        <v>45413</v>
      </c>
      <c r="CJ98" s="77">
        <v>45444</v>
      </c>
      <c r="CK98" s="77">
        <v>45474</v>
      </c>
      <c r="CL98" s="77">
        <v>45505</v>
      </c>
      <c r="CM98" s="77">
        <v>45536</v>
      </c>
      <c r="CN98" s="77">
        <v>45566</v>
      </c>
      <c r="CO98" s="77">
        <v>45597</v>
      </c>
      <c r="CP98" s="77">
        <v>45627</v>
      </c>
      <c r="CQ98" s="77">
        <v>45658</v>
      </c>
      <c r="CR98" s="77">
        <v>45689</v>
      </c>
      <c r="CS98" s="77">
        <v>45717</v>
      </c>
    </row>
    <row r="99" spans="1:97" x14ac:dyDescent="0.35">
      <c r="A99" s="78" t="s">
        <v>39</v>
      </c>
      <c r="B99" s="45">
        <f>[2]Districts_Boroughs!AL254</f>
        <v>153</v>
      </c>
      <c r="C99" s="45">
        <f>[2]Districts_Boroughs!AM254</f>
        <v>140</v>
      </c>
      <c r="D99" s="45">
        <f>[2]Districts_Boroughs!AN254</f>
        <v>134</v>
      </c>
      <c r="E99" s="45">
        <f>[2]Districts_Boroughs!AO254</f>
        <v>175</v>
      </c>
      <c r="F99" s="45">
        <f>[2]Districts_Boroughs!AP254</f>
        <v>168</v>
      </c>
      <c r="G99" s="45">
        <f>[2]Districts_Boroughs!AQ254</f>
        <v>155</v>
      </c>
      <c r="H99" s="45">
        <f>[2]Districts_Boroughs!AR254</f>
        <v>136</v>
      </c>
      <c r="I99" s="45">
        <f>[2]Districts_Boroughs!AS254</f>
        <v>130</v>
      </c>
      <c r="J99" s="45">
        <f>[2]Districts_Boroughs!AT254</f>
        <v>153</v>
      </c>
      <c r="K99" s="45">
        <f>[2]Districts_Boroughs!AU254</f>
        <v>125</v>
      </c>
      <c r="L99" s="45">
        <f>[2]Districts_Boroughs!AV254</f>
        <v>105</v>
      </c>
      <c r="M99" s="45">
        <f>[2]Districts_Boroughs!AW254</f>
        <v>102</v>
      </c>
      <c r="N99" s="45">
        <f>[2]Districts_Boroughs!AX254</f>
        <v>109</v>
      </c>
      <c r="O99" s="45">
        <f>[2]Districts_Boroughs!AY254</f>
        <v>157</v>
      </c>
      <c r="P99" s="45">
        <f>[2]Districts_Boroughs!AZ254</f>
        <v>138</v>
      </c>
      <c r="Q99" s="45">
        <f>[2]Districts_Boroughs!BA254</f>
        <v>159</v>
      </c>
      <c r="R99" s="45">
        <f>[2]Districts_Boroughs!BB254</f>
        <v>154</v>
      </c>
      <c r="S99" s="45">
        <f>[2]Districts_Boroughs!BC254</f>
        <v>125</v>
      </c>
      <c r="T99" s="45">
        <f>[2]Districts_Boroughs!BD254</f>
        <v>154</v>
      </c>
      <c r="U99" s="45">
        <f>[2]Districts_Boroughs!BE254</f>
        <v>128</v>
      </c>
      <c r="V99" s="45">
        <f>[2]Districts_Boroughs!BF254</f>
        <v>162</v>
      </c>
      <c r="W99" s="45">
        <f>[2]Districts_Boroughs!BG254</f>
        <v>138</v>
      </c>
      <c r="X99" s="45">
        <f>[2]Districts_Boroughs!BH254</f>
        <v>105</v>
      </c>
      <c r="Y99" s="45">
        <f>[2]Districts_Boroughs!BI254</f>
        <v>143</v>
      </c>
      <c r="Z99" s="45">
        <f>[2]Districts_Boroughs!BJ254</f>
        <v>145</v>
      </c>
      <c r="AA99" s="45">
        <f>[2]Districts_Boroughs!BK254</f>
        <v>164</v>
      </c>
      <c r="AB99" s="45">
        <f>[2]Districts_Boroughs!BL254</f>
        <v>167</v>
      </c>
      <c r="AC99" s="45">
        <f>[2]Districts_Boroughs!BM254</f>
        <v>159</v>
      </c>
      <c r="AD99" s="45">
        <f>[2]Districts_Boroughs!BN254</f>
        <v>148</v>
      </c>
      <c r="AE99" s="45">
        <f>[2]Districts_Boroughs!BO254</f>
        <v>142</v>
      </c>
      <c r="AF99" s="45">
        <f>[2]Districts_Boroughs!BP254</f>
        <v>144</v>
      </c>
      <c r="AG99" s="45">
        <f>[2]Districts_Boroughs!BQ254</f>
        <v>151</v>
      </c>
      <c r="AH99" s="45">
        <f>[2]Districts_Boroughs!BR254</f>
        <v>183</v>
      </c>
      <c r="AI99" s="45">
        <f>[2]Districts_Boroughs!BS254</f>
        <v>122</v>
      </c>
      <c r="AJ99" s="45">
        <f>[2]Districts_Boroughs!BT254</f>
        <v>111</v>
      </c>
      <c r="AK99" s="45">
        <f>[2]Districts_Boroughs!BU254</f>
        <v>137</v>
      </c>
      <c r="AL99" s="45">
        <f>[2]Districts_Boroughs!BV254</f>
        <v>105</v>
      </c>
      <c r="AM99" s="45">
        <f>[2]Districts_Boroughs!BW254</f>
        <v>136</v>
      </c>
      <c r="AN99" s="45">
        <f>[2]Districts_Boroughs!BX254</f>
        <v>156</v>
      </c>
      <c r="AO99" s="45">
        <f>[2]Districts_Boroughs!BY254</f>
        <v>147</v>
      </c>
      <c r="AP99" s="45">
        <f>[2]Districts_Boroughs!BZ254</f>
        <v>144</v>
      </c>
      <c r="AQ99" s="45">
        <f>[2]Districts_Boroughs!CA254</f>
        <v>147</v>
      </c>
      <c r="AR99" s="45">
        <f>[2]Districts_Boroughs!CB254</f>
        <v>135</v>
      </c>
      <c r="AS99" s="45">
        <f>[2]Districts_Boroughs!CC254</f>
        <v>95</v>
      </c>
      <c r="AT99" s="45">
        <f>[2]Districts_Boroughs!CD254</f>
        <v>106</v>
      </c>
      <c r="AU99" s="45">
        <f>[2]Districts_Boroughs!CE254</f>
        <v>97</v>
      </c>
      <c r="AV99" s="45">
        <f>[2]Districts_Boroughs!CF254</f>
        <v>113</v>
      </c>
      <c r="AW99" s="45">
        <f>[2]Districts_Boroughs!CG254</f>
        <v>121</v>
      </c>
      <c r="AX99" s="45">
        <f>[2]Districts_Boroughs!CH254</f>
        <v>106</v>
      </c>
      <c r="AY99" s="45">
        <f>[2]Districts_Boroughs!CI254</f>
        <v>128</v>
      </c>
      <c r="AZ99" s="45">
        <f>[2]Districts_Boroughs!CJ254</f>
        <v>170</v>
      </c>
      <c r="BA99" s="45">
        <f>[2]Districts_Boroughs!CK254</f>
        <v>168</v>
      </c>
      <c r="BB99" s="45">
        <f>[2]Districts_Boroughs!CL254</f>
        <v>180</v>
      </c>
      <c r="BC99" s="45">
        <f>[2]Districts_Boroughs!CM254</f>
        <v>153</v>
      </c>
      <c r="BD99" s="45">
        <f>[2]Districts_Boroughs!CN254</f>
        <v>148</v>
      </c>
      <c r="BE99" s="45">
        <f>[2]Districts_Boroughs!CO254</f>
        <v>137</v>
      </c>
      <c r="BF99" s="45">
        <f>[2]Districts_Boroughs!CP254</f>
        <v>151</v>
      </c>
      <c r="BG99" s="45">
        <f>[2]Districts_Boroughs!CQ254</f>
        <v>146</v>
      </c>
      <c r="BH99" s="45">
        <f>[2]Districts_Boroughs!CR254</f>
        <v>138</v>
      </c>
      <c r="BI99" s="45">
        <f>[2]Districts_Boroughs!CS254</f>
        <v>132</v>
      </c>
      <c r="BJ99" s="45">
        <f>[2]Districts_Boroughs!CT254</f>
        <v>148</v>
      </c>
      <c r="BK99" s="45">
        <f>[2]Districts_Boroughs!CU254</f>
        <v>174</v>
      </c>
      <c r="BL99" s="45">
        <f>[2]Districts_Boroughs!CV254</f>
        <v>169</v>
      </c>
      <c r="BM99" s="45">
        <f>[2]Districts_Boroughs!CW254</f>
        <v>168</v>
      </c>
      <c r="BN99" s="45">
        <f>[2]Districts_Boroughs!CX254</f>
        <v>193</v>
      </c>
      <c r="BO99" s="45">
        <f>[2]Districts_Boroughs!CY254</f>
        <v>157</v>
      </c>
      <c r="BP99" s="45">
        <f>[2]Districts_Boroughs!CZ254</f>
        <v>151</v>
      </c>
      <c r="BQ99" s="45">
        <f>[2]Districts_Boroughs!DA254</f>
        <v>137</v>
      </c>
      <c r="BR99" s="45">
        <f>[2]Districts_Boroughs!DB254</f>
        <v>157</v>
      </c>
      <c r="BS99" s="45">
        <f>[2]Districts_Boroughs!DC254</f>
        <v>145</v>
      </c>
      <c r="BT99" s="45">
        <f>[2]Districts_Boroughs!DD254</f>
        <v>148</v>
      </c>
      <c r="BU99" s="45">
        <f>[2]Districts_Boroughs!DE254</f>
        <v>148</v>
      </c>
      <c r="BV99" s="45">
        <f>[2]Districts_Boroughs!DF254</f>
        <v>164</v>
      </c>
      <c r="BW99" s="45">
        <f>[2]Districts_Boroughs!DG254</f>
        <v>174</v>
      </c>
      <c r="BX99" s="45">
        <f>[2]Districts_Boroughs!DH254</f>
        <v>196</v>
      </c>
      <c r="BY99" s="45">
        <f>[2]Districts_Boroughs!DI254</f>
        <v>166</v>
      </c>
      <c r="BZ99" s="45">
        <f>[2]Districts_Boroughs!DJ254</f>
        <v>145</v>
      </c>
      <c r="CA99" s="45">
        <f>[2]Districts_Boroughs!DK254</f>
        <v>158</v>
      </c>
      <c r="CB99" s="45">
        <f>[2]Districts_Boroughs!DL254</f>
        <v>157</v>
      </c>
      <c r="CC99" s="45">
        <f>[2]Districts_Boroughs!DM254</f>
        <v>141</v>
      </c>
      <c r="CD99" s="45">
        <f>[2]Districts_Boroughs!DN254</f>
        <v>156</v>
      </c>
      <c r="CE99" s="45">
        <f>[2]Districts_Boroughs!DO254</f>
        <v>140</v>
      </c>
      <c r="CF99" s="45">
        <f>[2]Districts_Boroughs!DP254</f>
        <v>151</v>
      </c>
      <c r="CG99" s="45">
        <f>[2]Districts_Boroughs!DQ254</f>
        <v>138</v>
      </c>
      <c r="CH99" s="45">
        <f>[2]Districts_Boroughs!DR254</f>
        <v>160</v>
      </c>
      <c r="CI99" s="45">
        <f>[2]Districts_Boroughs!DS254</f>
        <v>175</v>
      </c>
      <c r="CJ99" s="45">
        <f>[2]Districts_Boroughs!DT254</f>
        <v>169</v>
      </c>
      <c r="CK99" s="45">
        <f>[2]Districts_Boroughs!DU254</f>
        <v>197</v>
      </c>
      <c r="CL99" s="45">
        <f>[2]Districts_Boroughs!DV254</f>
        <v>160</v>
      </c>
      <c r="CM99" s="45">
        <f>[2]Districts_Boroughs!DW254</f>
        <v>146</v>
      </c>
      <c r="CN99" s="45">
        <f>[2]Districts_Boroughs!DX254</f>
        <v>165</v>
      </c>
      <c r="CO99" s="45">
        <f>[2]Districts_Boroughs!DY254</f>
        <v>140</v>
      </c>
      <c r="CP99" s="45">
        <f>[2]Districts_Boroughs!DZ254</f>
        <v>165</v>
      </c>
      <c r="CQ99" s="45">
        <f>[2]Districts_Boroughs!EA254</f>
        <v>163</v>
      </c>
      <c r="CR99" s="45">
        <f>[2]Districts_Boroughs!EB254</f>
        <v>116</v>
      </c>
      <c r="CS99" s="45">
        <f>[2]Districts_Boroughs!EC254</f>
        <v>163</v>
      </c>
    </row>
    <row r="100" spans="1:97" x14ac:dyDescent="0.35">
      <c r="A100" s="78" t="s">
        <v>40</v>
      </c>
      <c r="B100" s="45">
        <f>[2]Districts_Boroughs!AL255</f>
        <v>258</v>
      </c>
      <c r="C100" s="45">
        <f>[2]Districts_Boroughs!AM255</f>
        <v>264</v>
      </c>
      <c r="D100" s="45">
        <f>[2]Districts_Boroughs!AN255</f>
        <v>301</v>
      </c>
      <c r="E100" s="45">
        <f>[2]Districts_Boroughs!AO255</f>
        <v>260</v>
      </c>
      <c r="F100" s="45">
        <f>[2]Districts_Boroughs!AP255</f>
        <v>268</v>
      </c>
      <c r="G100" s="45">
        <f>[2]Districts_Boroughs!AQ255</f>
        <v>250</v>
      </c>
      <c r="H100" s="45">
        <f>[2]Districts_Boroughs!AR255</f>
        <v>243</v>
      </c>
      <c r="I100" s="45">
        <f>[2]Districts_Boroughs!AS255</f>
        <v>253</v>
      </c>
      <c r="J100" s="45">
        <f>[2]Districts_Boroughs!AT255</f>
        <v>227</v>
      </c>
      <c r="K100" s="45">
        <f>[2]Districts_Boroughs!AU255</f>
        <v>239</v>
      </c>
      <c r="L100" s="45">
        <f>[2]Districts_Boroughs!AV255</f>
        <v>215</v>
      </c>
      <c r="M100" s="45">
        <f>[2]Districts_Boroughs!AW255</f>
        <v>241</v>
      </c>
      <c r="N100" s="45">
        <f>[2]Districts_Boroughs!AX255</f>
        <v>276</v>
      </c>
      <c r="O100" s="45">
        <f>[2]Districts_Boroughs!AY255</f>
        <v>255</v>
      </c>
      <c r="P100" s="45">
        <f>[2]Districts_Boroughs!AZ255</f>
        <v>287</v>
      </c>
      <c r="Q100" s="45">
        <f>[2]Districts_Boroughs!BA255</f>
        <v>332</v>
      </c>
      <c r="R100" s="45">
        <f>[2]Districts_Boroughs!BB255</f>
        <v>305</v>
      </c>
      <c r="S100" s="45">
        <f>[2]Districts_Boroughs!BC255</f>
        <v>272</v>
      </c>
      <c r="T100" s="45">
        <f>[2]Districts_Boroughs!BD255</f>
        <v>249</v>
      </c>
      <c r="U100" s="45">
        <f>[2]Districts_Boroughs!BE255</f>
        <v>329</v>
      </c>
      <c r="V100" s="45">
        <f>[2]Districts_Boroughs!BF255</f>
        <v>277</v>
      </c>
      <c r="W100" s="45">
        <f>[2]Districts_Boroughs!BG255</f>
        <v>277</v>
      </c>
      <c r="X100" s="45">
        <f>[2]Districts_Boroughs!BH255</f>
        <v>260</v>
      </c>
      <c r="Y100" s="45">
        <f>[2]Districts_Boroughs!BI255</f>
        <v>333</v>
      </c>
      <c r="Z100" s="45">
        <f>[2]Districts_Boroughs!BJ255</f>
        <v>310</v>
      </c>
      <c r="AA100" s="45">
        <f>[2]Districts_Boroughs!BK255</f>
        <v>278</v>
      </c>
      <c r="AB100" s="45">
        <f>[2]Districts_Boroughs!BL255</f>
        <v>301</v>
      </c>
      <c r="AC100" s="45">
        <f>[2]Districts_Boroughs!BM255</f>
        <v>345</v>
      </c>
      <c r="AD100" s="45">
        <f>[2]Districts_Boroughs!BN255</f>
        <v>326</v>
      </c>
      <c r="AE100" s="45">
        <f>[2]Districts_Boroughs!BO255</f>
        <v>349</v>
      </c>
      <c r="AF100" s="45">
        <f>[2]Districts_Boroughs!BP255</f>
        <v>332</v>
      </c>
      <c r="AG100" s="45">
        <f>[2]Districts_Boroughs!BQ255</f>
        <v>321</v>
      </c>
      <c r="AH100" s="45">
        <f>[2]Districts_Boroughs!BR255</f>
        <v>354</v>
      </c>
      <c r="AI100" s="45">
        <f>[2]Districts_Boroughs!BS255</f>
        <v>326</v>
      </c>
      <c r="AJ100" s="45">
        <f>[2]Districts_Boroughs!BT255</f>
        <v>331</v>
      </c>
      <c r="AK100" s="45">
        <f>[2]Districts_Boroughs!BU255</f>
        <v>344</v>
      </c>
      <c r="AL100" s="45">
        <f>[2]Districts_Boroughs!BV255</f>
        <v>263</v>
      </c>
      <c r="AM100" s="45">
        <f>[2]Districts_Boroughs!BW255</f>
        <v>354</v>
      </c>
      <c r="AN100" s="45">
        <f>[2]Districts_Boroughs!BX255</f>
        <v>432</v>
      </c>
      <c r="AO100" s="45">
        <f>[2]Districts_Boroughs!BY255</f>
        <v>383</v>
      </c>
      <c r="AP100" s="45">
        <f>[2]Districts_Boroughs!BZ255</f>
        <v>406</v>
      </c>
      <c r="AQ100" s="45">
        <f>[2]Districts_Boroughs!CA255</f>
        <v>414</v>
      </c>
      <c r="AR100" s="45">
        <f>[2]Districts_Boroughs!CB255</f>
        <v>428</v>
      </c>
      <c r="AS100" s="45">
        <f>[2]Districts_Boroughs!CC255</f>
        <v>368</v>
      </c>
      <c r="AT100" s="45">
        <f>[2]Districts_Boroughs!CD255</f>
        <v>301</v>
      </c>
      <c r="AU100" s="45">
        <f>[2]Districts_Boroughs!CE255</f>
        <v>307</v>
      </c>
      <c r="AV100" s="45">
        <f>[2]Districts_Boroughs!CF255</f>
        <v>294</v>
      </c>
      <c r="AW100" s="45">
        <f>[2]Districts_Boroughs!CG255</f>
        <v>331</v>
      </c>
      <c r="AX100" s="45">
        <f>[2]Districts_Boroughs!CH255</f>
        <v>351</v>
      </c>
      <c r="AY100" s="45">
        <f>[2]Districts_Boroughs!CI255</f>
        <v>368</v>
      </c>
      <c r="AZ100" s="45">
        <f>[2]Districts_Boroughs!CJ255</f>
        <v>415</v>
      </c>
      <c r="BA100" s="45">
        <f>[2]Districts_Boroughs!CK255</f>
        <v>466</v>
      </c>
      <c r="BB100" s="45">
        <f>[2]Districts_Boroughs!CL255</f>
        <v>437</v>
      </c>
      <c r="BC100" s="45">
        <f>[2]Districts_Boroughs!CM255</f>
        <v>393</v>
      </c>
      <c r="BD100" s="45">
        <f>[2]Districts_Boroughs!CN255</f>
        <v>438</v>
      </c>
      <c r="BE100" s="45">
        <f>[2]Districts_Boroughs!CO255</f>
        <v>378</v>
      </c>
      <c r="BF100" s="45">
        <f>[2]Districts_Boroughs!CP255</f>
        <v>357</v>
      </c>
      <c r="BG100" s="45">
        <f>[2]Districts_Boroughs!CQ255</f>
        <v>367</v>
      </c>
      <c r="BH100" s="45">
        <f>[2]Districts_Boroughs!CR255</f>
        <v>334</v>
      </c>
      <c r="BI100" s="45">
        <f>[2]Districts_Boroughs!CS255</f>
        <v>404</v>
      </c>
      <c r="BJ100" s="45">
        <f>[2]Districts_Boroughs!CT255</f>
        <v>383</v>
      </c>
      <c r="BK100" s="45">
        <f>[2]Districts_Boroughs!CU255</f>
        <v>393</v>
      </c>
      <c r="BL100" s="45">
        <f>[2]Districts_Boroughs!CV255</f>
        <v>396</v>
      </c>
      <c r="BM100" s="45">
        <f>[2]Districts_Boroughs!CW255</f>
        <v>416</v>
      </c>
      <c r="BN100" s="45">
        <f>[2]Districts_Boroughs!CX255</f>
        <v>347</v>
      </c>
      <c r="BO100" s="45">
        <f>[2]Districts_Boroughs!CY255</f>
        <v>380</v>
      </c>
      <c r="BP100" s="45">
        <f>[2]Districts_Boroughs!CZ255</f>
        <v>405</v>
      </c>
      <c r="BQ100" s="45">
        <f>[2]Districts_Boroughs!DA255</f>
        <v>372</v>
      </c>
      <c r="BR100" s="45">
        <f>[2]Districts_Boroughs!DB255</f>
        <v>309</v>
      </c>
      <c r="BS100" s="45">
        <f>[2]Districts_Boroughs!DC255</f>
        <v>355</v>
      </c>
      <c r="BT100" s="45">
        <f>[2]Districts_Boroughs!DD255</f>
        <v>342</v>
      </c>
      <c r="BU100" s="45">
        <f>[2]Districts_Boroughs!DE255</f>
        <v>384</v>
      </c>
      <c r="BV100" s="45">
        <f>[2]Districts_Boroughs!DF255</f>
        <v>326</v>
      </c>
      <c r="BW100" s="45">
        <f>[2]Districts_Boroughs!DG255</f>
        <v>302</v>
      </c>
      <c r="BX100" s="45">
        <f>[2]Districts_Boroughs!DH255</f>
        <v>367</v>
      </c>
      <c r="BY100" s="45">
        <f>[2]Districts_Boroughs!DI255</f>
        <v>345</v>
      </c>
      <c r="BZ100" s="45">
        <f>[2]Districts_Boroughs!DJ255</f>
        <v>333</v>
      </c>
      <c r="CA100" s="45">
        <f>[2]Districts_Boroughs!DK255</f>
        <v>357</v>
      </c>
      <c r="CB100" s="45">
        <f>[2]Districts_Boroughs!DL255</f>
        <v>354</v>
      </c>
      <c r="CC100" s="45">
        <f>[2]Districts_Boroughs!DM255</f>
        <v>334</v>
      </c>
      <c r="CD100" s="45">
        <f>[2]Districts_Boroughs!DN255</f>
        <v>326</v>
      </c>
      <c r="CE100" s="45">
        <f>[2]Districts_Boroughs!DO255</f>
        <v>361</v>
      </c>
      <c r="CF100" s="45">
        <f>[2]Districts_Boroughs!DP255</f>
        <v>336</v>
      </c>
      <c r="CG100" s="45">
        <f>[2]Districts_Boroughs!DQ255</f>
        <v>323</v>
      </c>
      <c r="CH100" s="45">
        <f>[2]Districts_Boroughs!DR255</f>
        <v>313</v>
      </c>
      <c r="CI100" s="45">
        <f>[2]Districts_Boroughs!DS255</f>
        <v>323</v>
      </c>
      <c r="CJ100" s="45">
        <f>[2]Districts_Boroughs!DT255</f>
        <v>345</v>
      </c>
      <c r="CK100" s="45">
        <f>[2]Districts_Boroughs!DU255</f>
        <v>375</v>
      </c>
      <c r="CL100" s="45">
        <f>[2]Districts_Boroughs!DV255</f>
        <v>312</v>
      </c>
      <c r="CM100" s="45">
        <f>[2]Districts_Boroughs!DW255</f>
        <v>312</v>
      </c>
      <c r="CN100" s="45">
        <f>[2]Districts_Boroughs!DX255</f>
        <v>353</v>
      </c>
      <c r="CO100" s="45">
        <f>[2]Districts_Boroughs!DY255</f>
        <v>314</v>
      </c>
      <c r="CP100" s="45">
        <f>[2]Districts_Boroughs!DZ255</f>
        <v>298</v>
      </c>
      <c r="CQ100" s="45">
        <f>[2]Districts_Boroughs!EA255</f>
        <v>312</v>
      </c>
      <c r="CR100" s="45">
        <f>[2]Districts_Boroughs!EB255</f>
        <v>343</v>
      </c>
      <c r="CS100" s="45">
        <f>[2]Districts_Boroughs!EC255</f>
        <v>338</v>
      </c>
    </row>
    <row r="101" spans="1:97" x14ac:dyDescent="0.35">
      <c r="A101" s="78" t="s">
        <v>5</v>
      </c>
      <c r="B101" s="45">
        <f>[2]Districts_Boroughs!AL256</f>
        <v>15</v>
      </c>
      <c r="C101" s="45">
        <f>[2]Districts_Boroughs!AM256</f>
        <v>31</v>
      </c>
      <c r="D101" s="45">
        <f>[2]Districts_Boroughs!AN256</f>
        <v>22</v>
      </c>
      <c r="E101" s="45">
        <f>[2]Districts_Boroughs!AO256</f>
        <v>17</v>
      </c>
      <c r="F101" s="45">
        <f>[2]Districts_Boroughs!AP256</f>
        <v>28</v>
      </c>
      <c r="G101" s="45">
        <f>[2]Districts_Boroughs!AQ256</f>
        <v>19</v>
      </c>
      <c r="H101" s="45">
        <f>[2]Districts_Boroughs!AR256</f>
        <v>16</v>
      </c>
      <c r="I101" s="45">
        <f>[2]Districts_Boroughs!AS256</f>
        <v>17</v>
      </c>
      <c r="J101" s="45">
        <f>[2]Districts_Boroughs!AT256</f>
        <v>20</v>
      </c>
      <c r="K101" s="45">
        <f>[2]Districts_Boroughs!AU256</f>
        <v>13</v>
      </c>
      <c r="L101" s="45">
        <f>[2]Districts_Boroughs!AV256</f>
        <v>15</v>
      </c>
      <c r="M101" s="45">
        <f>[2]Districts_Boroughs!AW256</f>
        <v>16</v>
      </c>
      <c r="N101" s="45">
        <f>[2]Districts_Boroughs!AX256</f>
        <v>13</v>
      </c>
      <c r="O101" s="45">
        <f>[2]Districts_Boroughs!AY256</f>
        <v>16</v>
      </c>
      <c r="P101" s="45">
        <f>[2]Districts_Boroughs!AZ256</f>
        <v>22</v>
      </c>
      <c r="Q101" s="45">
        <f>[2]Districts_Boroughs!BA256</f>
        <v>19</v>
      </c>
      <c r="R101" s="45">
        <f>[2]Districts_Boroughs!BB256</f>
        <v>15</v>
      </c>
      <c r="S101" s="45">
        <f>[2]Districts_Boroughs!BC256</f>
        <v>9</v>
      </c>
      <c r="T101" s="45">
        <f>[2]Districts_Boroughs!BD256</f>
        <v>12</v>
      </c>
      <c r="U101" s="45">
        <f>[2]Districts_Boroughs!BE256</f>
        <v>10</v>
      </c>
      <c r="V101" s="45">
        <f>[2]Districts_Boroughs!BF256</f>
        <v>13</v>
      </c>
      <c r="W101" s="45">
        <f>[2]Districts_Boroughs!BG256</f>
        <v>11</v>
      </c>
      <c r="X101" s="45">
        <f>[2]Districts_Boroughs!BH256</f>
        <v>12</v>
      </c>
      <c r="Y101" s="45">
        <f>[2]Districts_Boroughs!BI256</f>
        <v>17</v>
      </c>
      <c r="Z101" s="45">
        <f>[2]Districts_Boroughs!BJ256</f>
        <v>13</v>
      </c>
      <c r="AA101" s="45">
        <f>[2]Districts_Boroughs!BK256</f>
        <v>26</v>
      </c>
      <c r="AB101" s="45">
        <f>[2]Districts_Boroughs!BL256</f>
        <v>15</v>
      </c>
      <c r="AC101" s="45">
        <f>[2]Districts_Boroughs!BM256</f>
        <v>17</v>
      </c>
      <c r="AD101" s="45">
        <f>[2]Districts_Boroughs!BN256</f>
        <v>28</v>
      </c>
      <c r="AE101" s="45">
        <f>[2]Districts_Boroughs!BO256</f>
        <v>26</v>
      </c>
      <c r="AF101" s="45">
        <f>[2]Districts_Boroughs!BP256</f>
        <v>22</v>
      </c>
      <c r="AG101" s="45">
        <f>[2]Districts_Boroughs!BQ256</f>
        <v>15</v>
      </c>
      <c r="AH101" s="45">
        <f>[2]Districts_Boroughs!BR256</f>
        <v>21</v>
      </c>
      <c r="AI101" s="45">
        <f>[2]Districts_Boroughs!BS256</f>
        <v>13</v>
      </c>
      <c r="AJ101" s="45">
        <f>[2]Districts_Boroughs!BT256</f>
        <v>14</v>
      </c>
      <c r="AK101" s="45">
        <f>[2]Districts_Boroughs!BU256</f>
        <v>17</v>
      </c>
      <c r="AL101" s="45">
        <f>[2]Districts_Boroughs!BV256</f>
        <v>9</v>
      </c>
      <c r="AM101" s="45">
        <f>[2]Districts_Boroughs!BW256</f>
        <v>11</v>
      </c>
      <c r="AN101" s="45">
        <f>[2]Districts_Boroughs!BX256</f>
        <v>15</v>
      </c>
      <c r="AO101" s="45">
        <f>[2]Districts_Boroughs!BY256</f>
        <v>16</v>
      </c>
      <c r="AP101" s="45">
        <f>[2]Districts_Boroughs!BZ256</f>
        <v>12</v>
      </c>
      <c r="AQ101" s="45">
        <f>[2]Districts_Boroughs!CA256</f>
        <v>13</v>
      </c>
      <c r="AR101" s="45">
        <f>[2]Districts_Boroughs!CB256</f>
        <v>12</v>
      </c>
      <c r="AS101" s="45">
        <f>[2]Districts_Boroughs!CC256</f>
        <v>17</v>
      </c>
      <c r="AT101" s="45">
        <f>[2]Districts_Boroughs!CD256</f>
        <v>15</v>
      </c>
      <c r="AU101" s="45">
        <f>[2]Districts_Boroughs!CE256</f>
        <v>13</v>
      </c>
      <c r="AV101" s="45">
        <f>[2]Districts_Boroughs!CF256</f>
        <v>10</v>
      </c>
      <c r="AW101" s="45">
        <f>[2]Districts_Boroughs!CG256</f>
        <v>18</v>
      </c>
      <c r="AX101" s="45">
        <f>[2]Districts_Boroughs!CH256</f>
        <v>22</v>
      </c>
      <c r="AY101" s="45">
        <f>[2]Districts_Boroughs!CI256</f>
        <v>10</v>
      </c>
      <c r="AZ101" s="45">
        <f>[2]Districts_Boroughs!CJ256</f>
        <v>18</v>
      </c>
      <c r="BA101" s="45">
        <f>[2]Districts_Boroughs!CK256</f>
        <v>25</v>
      </c>
      <c r="BB101" s="45">
        <f>[2]Districts_Boroughs!CL256</f>
        <v>25</v>
      </c>
      <c r="BC101" s="45">
        <f>[2]Districts_Boroughs!CM256</f>
        <v>17</v>
      </c>
      <c r="BD101" s="45">
        <f>[2]Districts_Boroughs!CN256</f>
        <v>11</v>
      </c>
      <c r="BE101" s="45">
        <f>[2]Districts_Boroughs!CO256</f>
        <v>23</v>
      </c>
      <c r="BF101" s="45">
        <f>[2]Districts_Boroughs!CP256</f>
        <v>13</v>
      </c>
      <c r="BG101" s="45">
        <f>[2]Districts_Boroughs!CQ256</f>
        <v>21</v>
      </c>
      <c r="BH101" s="45">
        <f>[2]Districts_Boroughs!CR256</f>
        <v>18</v>
      </c>
      <c r="BI101" s="45">
        <f>[2]Districts_Boroughs!CS256</f>
        <v>17</v>
      </c>
      <c r="BJ101" s="45">
        <f>[2]Districts_Boroughs!CT256</f>
        <v>15</v>
      </c>
      <c r="BK101" s="45">
        <f>[2]Districts_Boroughs!CU256</f>
        <v>14</v>
      </c>
      <c r="BL101" s="45">
        <f>[2]Districts_Boroughs!CV256</f>
        <v>14</v>
      </c>
      <c r="BM101" s="45">
        <f>[2]Districts_Boroughs!CW256</f>
        <v>15</v>
      </c>
      <c r="BN101" s="45">
        <f>[2]Districts_Boroughs!CX256</f>
        <v>23</v>
      </c>
      <c r="BO101" s="45">
        <f>[2]Districts_Boroughs!CY256</f>
        <v>16</v>
      </c>
      <c r="BP101" s="45">
        <f>[2]Districts_Boroughs!CZ256</f>
        <v>21</v>
      </c>
      <c r="BQ101" s="45">
        <f>[2]Districts_Boroughs!DA256</f>
        <v>15</v>
      </c>
      <c r="BR101" s="45">
        <f>[2]Districts_Boroughs!DB256</f>
        <v>29</v>
      </c>
      <c r="BS101" s="45">
        <f>[2]Districts_Boroughs!DC256</f>
        <v>16</v>
      </c>
      <c r="BT101" s="45">
        <f>[2]Districts_Boroughs!DD256</f>
        <v>22</v>
      </c>
      <c r="BU101" s="45">
        <f>[2]Districts_Boroughs!DE256</f>
        <v>23</v>
      </c>
      <c r="BV101" s="45">
        <f>[2]Districts_Boroughs!DF256</f>
        <v>11</v>
      </c>
      <c r="BW101" s="45">
        <f>[2]Districts_Boroughs!DG256</f>
        <v>16</v>
      </c>
      <c r="BX101" s="45">
        <f>[2]Districts_Boroughs!DH256</f>
        <v>16</v>
      </c>
      <c r="BY101" s="45">
        <f>[2]Districts_Boroughs!DI256</f>
        <v>18</v>
      </c>
      <c r="BZ101" s="45">
        <f>[2]Districts_Boroughs!DJ256</f>
        <v>29</v>
      </c>
      <c r="CA101" s="45">
        <f>[2]Districts_Boroughs!DK256</f>
        <v>26</v>
      </c>
      <c r="CB101" s="45">
        <f>[2]Districts_Boroughs!DL256</f>
        <v>23</v>
      </c>
      <c r="CC101" s="45">
        <f>[2]Districts_Boroughs!DM256</f>
        <v>23</v>
      </c>
      <c r="CD101" s="45">
        <f>[2]Districts_Boroughs!DN256</f>
        <v>15</v>
      </c>
      <c r="CE101" s="45">
        <f>[2]Districts_Boroughs!DO256</f>
        <v>21</v>
      </c>
      <c r="CF101" s="45">
        <f>[2]Districts_Boroughs!DP256</f>
        <v>17</v>
      </c>
      <c r="CG101" s="45">
        <f>[2]Districts_Boroughs!DQ256</f>
        <v>22</v>
      </c>
      <c r="CH101" s="45">
        <f>[2]Districts_Boroughs!DR256</f>
        <v>22</v>
      </c>
      <c r="CI101" s="45">
        <f>[2]Districts_Boroughs!DS256</f>
        <v>17</v>
      </c>
      <c r="CJ101" s="45">
        <f>[2]Districts_Boroughs!DT256</f>
        <v>16</v>
      </c>
      <c r="CK101" s="45">
        <f>[2]Districts_Boroughs!DU256</f>
        <v>19</v>
      </c>
      <c r="CL101" s="45">
        <f>[2]Districts_Boroughs!DV256</f>
        <v>19</v>
      </c>
      <c r="CM101" s="45">
        <f>[2]Districts_Boroughs!DW256</f>
        <v>15</v>
      </c>
      <c r="CN101" s="45">
        <f>[2]Districts_Boroughs!DX256</f>
        <v>33</v>
      </c>
      <c r="CO101" s="45">
        <f>[2]Districts_Boroughs!DY256</f>
        <v>21</v>
      </c>
      <c r="CP101" s="45">
        <f>[2]Districts_Boroughs!DZ256</f>
        <v>26</v>
      </c>
      <c r="CQ101" s="45">
        <f>[2]Districts_Boroughs!EA256</f>
        <v>27</v>
      </c>
      <c r="CR101" s="45">
        <f>[2]Districts_Boroughs!EB256</f>
        <v>14</v>
      </c>
      <c r="CS101" s="45">
        <f>[2]Districts_Boroughs!EC256</f>
        <v>11</v>
      </c>
    </row>
    <row r="102" spans="1:97" x14ac:dyDescent="0.35">
      <c r="A102" s="78" t="s">
        <v>35</v>
      </c>
      <c r="B102" s="45">
        <f>[2]Districts_Boroughs!AL257</f>
        <v>27</v>
      </c>
      <c r="C102" s="45">
        <f>[2]Districts_Boroughs!AM257</f>
        <v>44</v>
      </c>
      <c r="D102" s="45">
        <f>[2]Districts_Boroughs!AN257</f>
        <v>37</v>
      </c>
      <c r="E102" s="45">
        <f>[2]Districts_Boroughs!AO257</f>
        <v>33</v>
      </c>
      <c r="F102" s="45">
        <f>[2]Districts_Boroughs!AP257</f>
        <v>39</v>
      </c>
      <c r="G102" s="45">
        <f>[2]Districts_Boroughs!AQ257</f>
        <v>31</v>
      </c>
      <c r="H102" s="45">
        <f>[2]Districts_Boroughs!AR257</f>
        <v>34</v>
      </c>
      <c r="I102" s="45">
        <f>[2]Districts_Boroughs!AS257</f>
        <v>38</v>
      </c>
      <c r="J102" s="45">
        <f>[2]Districts_Boroughs!AT257</f>
        <v>36</v>
      </c>
      <c r="K102" s="45">
        <f>[2]Districts_Boroughs!AU257</f>
        <v>35</v>
      </c>
      <c r="L102" s="45">
        <f>[2]Districts_Boroughs!AV257</f>
        <v>27</v>
      </c>
      <c r="M102" s="45">
        <f>[2]Districts_Boroughs!AW257</f>
        <v>44</v>
      </c>
      <c r="N102" s="45">
        <f>[2]Districts_Boroughs!AX257</f>
        <v>35</v>
      </c>
      <c r="O102" s="45">
        <f>[2]Districts_Boroughs!AY257</f>
        <v>27</v>
      </c>
      <c r="P102" s="45">
        <f>[2]Districts_Boroughs!AZ257</f>
        <v>32</v>
      </c>
      <c r="Q102" s="45">
        <f>[2]Districts_Boroughs!BA257</f>
        <v>37</v>
      </c>
      <c r="R102" s="45">
        <f>[2]Districts_Boroughs!BB257</f>
        <v>36</v>
      </c>
      <c r="S102" s="45">
        <f>[2]Districts_Boroughs!BC257</f>
        <v>37</v>
      </c>
      <c r="T102" s="45">
        <f>[2]Districts_Boroughs!BD257</f>
        <v>30</v>
      </c>
      <c r="U102" s="45">
        <f>[2]Districts_Boroughs!BE257</f>
        <v>30</v>
      </c>
      <c r="V102" s="45">
        <f>[2]Districts_Boroughs!BF257</f>
        <v>27</v>
      </c>
      <c r="W102" s="45">
        <f>[2]Districts_Boroughs!BG257</f>
        <v>28</v>
      </c>
      <c r="X102" s="45">
        <f>[2]Districts_Boroughs!BH257</f>
        <v>22</v>
      </c>
      <c r="Y102" s="45">
        <f>[2]Districts_Boroughs!BI257</f>
        <v>21</v>
      </c>
      <c r="Z102" s="45">
        <f>[2]Districts_Boroughs!BJ257</f>
        <v>27</v>
      </c>
      <c r="AA102" s="45">
        <f>[2]Districts_Boroughs!BK257</f>
        <v>31</v>
      </c>
      <c r="AB102" s="45">
        <f>[2]Districts_Boroughs!BL257</f>
        <v>23</v>
      </c>
      <c r="AC102" s="45">
        <f>[2]Districts_Boroughs!BM257</f>
        <v>45</v>
      </c>
      <c r="AD102" s="45">
        <f>[2]Districts_Boroughs!BN257</f>
        <v>26</v>
      </c>
      <c r="AE102" s="45">
        <f>[2]Districts_Boroughs!BO257</f>
        <v>36</v>
      </c>
      <c r="AF102" s="45">
        <f>[2]Districts_Boroughs!BP257</f>
        <v>34</v>
      </c>
      <c r="AG102" s="45">
        <f>[2]Districts_Boroughs!BQ257</f>
        <v>33</v>
      </c>
      <c r="AH102" s="45">
        <f>[2]Districts_Boroughs!BR257</f>
        <v>30</v>
      </c>
      <c r="AI102" s="45">
        <f>[2]Districts_Boroughs!BS257</f>
        <v>28</v>
      </c>
      <c r="AJ102" s="45">
        <f>[2]Districts_Boroughs!BT257</f>
        <v>53</v>
      </c>
      <c r="AK102" s="45">
        <f>[2]Districts_Boroughs!BU257</f>
        <v>29</v>
      </c>
      <c r="AL102" s="45">
        <f>[2]Districts_Boroughs!BV257</f>
        <v>29</v>
      </c>
      <c r="AM102" s="45">
        <f>[2]Districts_Boroughs!BW257</f>
        <v>32</v>
      </c>
      <c r="AN102" s="45">
        <f>[2]Districts_Boroughs!BX257</f>
        <v>34</v>
      </c>
      <c r="AO102" s="45">
        <f>[2]Districts_Boroughs!BY257</f>
        <v>27</v>
      </c>
      <c r="AP102" s="45">
        <f>[2]Districts_Boroughs!BZ257</f>
        <v>28</v>
      </c>
      <c r="AQ102" s="45">
        <f>[2]Districts_Boroughs!CA257</f>
        <v>33</v>
      </c>
      <c r="AR102" s="45">
        <f>[2]Districts_Boroughs!CB257</f>
        <v>21</v>
      </c>
      <c r="AS102" s="45">
        <f>[2]Districts_Boroughs!CC257</f>
        <v>29</v>
      </c>
      <c r="AT102" s="45">
        <f>[2]Districts_Boroughs!CD257</f>
        <v>29</v>
      </c>
      <c r="AU102" s="45">
        <f>[2]Districts_Boroughs!CE257</f>
        <v>21</v>
      </c>
      <c r="AV102" s="45">
        <f>[2]Districts_Boroughs!CF257</f>
        <v>24</v>
      </c>
      <c r="AW102" s="45">
        <f>[2]Districts_Boroughs!CG257</f>
        <v>35</v>
      </c>
      <c r="AX102" s="45">
        <f>[2]Districts_Boroughs!CH257</f>
        <v>24</v>
      </c>
      <c r="AY102" s="45">
        <f>[2]Districts_Boroughs!CI257</f>
        <v>39</v>
      </c>
      <c r="AZ102" s="45">
        <f>[2]Districts_Boroughs!CJ257</f>
        <v>39</v>
      </c>
      <c r="BA102" s="45">
        <f>[2]Districts_Boroughs!CK257</f>
        <v>31</v>
      </c>
      <c r="BB102" s="45">
        <f>[2]Districts_Boroughs!CL257</f>
        <v>30</v>
      </c>
      <c r="BC102" s="45">
        <f>[2]Districts_Boroughs!CM257</f>
        <v>32</v>
      </c>
      <c r="BD102" s="45">
        <f>[2]Districts_Boroughs!CN257</f>
        <v>32</v>
      </c>
      <c r="BE102" s="45">
        <f>[2]Districts_Boroughs!CO257</f>
        <v>41</v>
      </c>
      <c r="BF102" s="45">
        <f>[2]Districts_Boroughs!CP257</f>
        <v>18</v>
      </c>
      <c r="BG102" s="45">
        <f>[2]Districts_Boroughs!CQ257</f>
        <v>32</v>
      </c>
      <c r="BH102" s="45">
        <f>[2]Districts_Boroughs!CR257</f>
        <v>25</v>
      </c>
      <c r="BI102" s="45">
        <f>[2]Districts_Boroughs!CS257</f>
        <v>41</v>
      </c>
      <c r="BJ102" s="45">
        <f>[2]Districts_Boroughs!CT257</f>
        <v>36</v>
      </c>
      <c r="BK102" s="45">
        <f>[2]Districts_Boroughs!CU257</f>
        <v>40</v>
      </c>
      <c r="BL102" s="45">
        <f>[2]Districts_Boroughs!CV257</f>
        <v>42</v>
      </c>
      <c r="BM102" s="45">
        <f>[2]Districts_Boroughs!CW257</f>
        <v>51</v>
      </c>
      <c r="BN102" s="45">
        <f>[2]Districts_Boroughs!CX257</f>
        <v>38</v>
      </c>
      <c r="BO102" s="45">
        <f>[2]Districts_Boroughs!CY257</f>
        <v>29</v>
      </c>
      <c r="BP102" s="45">
        <f>[2]Districts_Boroughs!CZ257</f>
        <v>46</v>
      </c>
      <c r="BQ102" s="45">
        <f>[2]Districts_Boroughs!DA257</f>
        <v>41</v>
      </c>
      <c r="BR102" s="45">
        <f>[2]Districts_Boroughs!DB257</f>
        <v>28</v>
      </c>
      <c r="BS102" s="45">
        <f>[2]Districts_Boroughs!DC257</f>
        <v>47</v>
      </c>
      <c r="BT102" s="45">
        <f>[2]Districts_Boroughs!DD257</f>
        <v>45</v>
      </c>
      <c r="BU102" s="45">
        <f>[2]Districts_Boroughs!DE257</f>
        <v>43</v>
      </c>
      <c r="BV102" s="45">
        <f>[2]Districts_Boroughs!DF257</f>
        <v>23</v>
      </c>
      <c r="BW102" s="45">
        <f>[2]Districts_Boroughs!DG257</f>
        <v>27</v>
      </c>
      <c r="BX102" s="45">
        <f>[2]Districts_Boroughs!DH257</f>
        <v>43</v>
      </c>
      <c r="BY102" s="45">
        <f>[2]Districts_Boroughs!DI257</f>
        <v>37</v>
      </c>
      <c r="BZ102" s="45">
        <f>[2]Districts_Boroughs!DJ257</f>
        <v>33</v>
      </c>
      <c r="CA102" s="45">
        <f>[2]Districts_Boroughs!DK257</f>
        <v>39</v>
      </c>
      <c r="CB102" s="45">
        <f>[2]Districts_Boroughs!DL257</f>
        <v>49</v>
      </c>
      <c r="CC102" s="45">
        <f>[2]Districts_Boroughs!DM257</f>
        <v>34</v>
      </c>
      <c r="CD102" s="45">
        <f>[2]Districts_Boroughs!DN257</f>
        <v>54</v>
      </c>
      <c r="CE102" s="45">
        <f>[2]Districts_Boroughs!DO257</f>
        <v>31</v>
      </c>
      <c r="CF102" s="45">
        <f>[2]Districts_Boroughs!DP257</f>
        <v>55</v>
      </c>
      <c r="CG102" s="45">
        <f>[2]Districts_Boroughs!DQ257</f>
        <v>41</v>
      </c>
      <c r="CH102" s="45">
        <f>[2]Districts_Boroughs!DR257</f>
        <v>35</v>
      </c>
      <c r="CI102" s="45">
        <f>[2]Districts_Boroughs!DS257</f>
        <v>54</v>
      </c>
      <c r="CJ102" s="45">
        <f>[2]Districts_Boroughs!DT257</f>
        <v>49</v>
      </c>
      <c r="CK102" s="45">
        <f>[2]Districts_Boroughs!DU257</f>
        <v>38</v>
      </c>
      <c r="CL102" s="45">
        <f>[2]Districts_Boroughs!DV257</f>
        <v>34</v>
      </c>
      <c r="CM102" s="45">
        <f>[2]Districts_Boroughs!DW257</f>
        <v>32</v>
      </c>
      <c r="CN102" s="45">
        <f>[2]Districts_Boroughs!DX257</f>
        <v>43</v>
      </c>
      <c r="CO102" s="45">
        <f>[2]Districts_Boroughs!DY257</f>
        <v>44</v>
      </c>
      <c r="CP102" s="45">
        <f>[2]Districts_Boroughs!DZ257</f>
        <v>40</v>
      </c>
      <c r="CQ102" s="45">
        <f>[2]Districts_Boroughs!EA257</f>
        <v>44</v>
      </c>
      <c r="CR102" s="45">
        <f>[2]Districts_Boroughs!EB257</f>
        <v>41</v>
      </c>
      <c r="CS102" s="45">
        <f>[2]Districts_Boroughs!EC257</f>
        <v>56</v>
      </c>
    </row>
    <row r="103" spans="1:97" x14ac:dyDescent="0.35">
      <c r="A103" s="80" t="s">
        <v>46</v>
      </c>
      <c r="B103" s="45">
        <f>[2]Districts_Boroughs!AL278</f>
        <v>0</v>
      </c>
      <c r="C103" s="45">
        <f>[2]Districts_Boroughs!AM278</f>
        <v>3</v>
      </c>
      <c r="D103" s="45">
        <f>[2]Districts_Boroughs!AN278</f>
        <v>3</v>
      </c>
      <c r="E103" s="45">
        <f>[2]Districts_Boroughs!AO278</f>
        <v>3</v>
      </c>
      <c r="F103" s="45">
        <f>[2]Districts_Boroughs!AP278</f>
        <v>2</v>
      </c>
      <c r="G103" s="45">
        <f>[2]Districts_Boroughs!AQ278</f>
        <v>0</v>
      </c>
      <c r="H103" s="45">
        <f>[2]Districts_Boroughs!AR278</f>
        <v>1</v>
      </c>
      <c r="I103" s="45">
        <f>[2]Districts_Boroughs!AS278</f>
        <v>2</v>
      </c>
      <c r="J103" s="45">
        <f>[2]Districts_Boroughs!AT278</f>
        <v>0</v>
      </c>
      <c r="K103" s="45">
        <f>[2]Districts_Boroughs!AU278</f>
        <v>3</v>
      </c>
      <c r="L103" s="45">
        <f>[2]Districts_Boroughs!AV278</f>
        <v>2</v>
      </c>
      <c r="M103" s="45">
        <f>[2]Districts_Boroughs!AW278</f>
        <v>3</v>
      </c>
      <c r="N103" s="45">
        <f>[2]Districts_Boroughs!AX278</f>
        <v>2</v>
      </c>
      <c r="O103" s="45">
        <f>[2]Districts_Boroughs!AY278</f>
        <v>1</v>
      </c>
      <c r="P103" s="45">
        <f>[2]Districts_Boroughs!AZ278</f>
        <v>1</v>
      </c>
      <c r="Q103" s="45">
        <f>[2]Districts_Boroughs!BA278</f>
        <v>0</v>
      </c>
      <c r="R103" s="45">
        <f>[2]Districts_Boroughs!BB278</f>
        <v>1</v>
      </c>
      <c r="S103" s="45">
        <f>[2]Districts_Boroughs!BC278</f>
        <v>2</v>
      </c>
      <c r="T103" s="45">
        <f>[2]Districts_Boroughs!BD278</f>
        <v>1</v>
      </c>
      <c r="U103" s="45">
        <f>[2]Districts_Boroughs!BE278</f>
        <v>1</v>
      </c>
      <c r="V103" s="45">
        <f>[2]Districts_Boroughs!BF278</f>
        <v>0</v>
      </c>
      <c r="W103" s="45">
        <f>[2]Districts_Boroughs!BG278</f>
        <v>1</v>
      </c>
      <c r="X103" s="45">
        <f>[2]Districts_Boroughs!BH278</f>
        <v>0</v>
      </c>
      <c r="Y103" s="45">
        <f>[2]Districts_Boroughs!BI278</f>
        <v>0</v>
      </c>
      <c r="Z103" s="45">
        <f>[2]Districts_Boroughs!BJ278</f>
        <v>2</v>
      </c>
      <c r="AA103" s="45">
        <f>[2]Districts_Boroughs!BK278</f>
        <v>1</v>
      </c>
      <c r="AB103" s="45">
        <f>[2]Districts_Boroughs!BL278</f>
        <v>4</v>
      </c>
      <c r="AC103" s="45">
        <f>[2]Districts_Boroughs!BM278</f>
        <v>1</v>
      </c>
      <c r="AD103" s="45">
        <f>[2]Districts_Boroughs!BN278</f>
        <v>2</v>
      </c>
      <c r="AE103" s="45">
        <f>[2]Districts_Boroughs!BO278</f>
        <v>0</v>
      </c>
      <c r="AF103" s="45">
        <f>[2]Districts_Boroughs!BP278</f>
        <v>0</v>
      </c>
      <c r="AG103" s="45">
        <f>[2]Districts_Boroughs!BQ278</f>
        <v>4</v>
      </c>
      <c r="AH103" s="45">
        <f>[2]Districts_Boroughs!BR278</f>
        <v>1</v>
      </c>
      <c r="AI103" s="45">
        <f>[2]Districts_Boroughs!BS278</f>
        <v>1</v>
      </c>
      <c r="AJ103" s="45">
        <f>[2]Districts_Boroughs!BT278</f>
        <v>1</v>
      </c>
      <c r="AK103" s="45">
        <f>[2]Districts_Boroughs!BU278</f>
        <v>4</v>
      </c>
      <c r="AL103" s="45">
        <f>[2]Districts_Boroughs!BV278</f>
        <v>1</v>
      </c>
      <c r="AM103" s="45">
        <f>[2]Districts_Boroughs!BW278</f>
        <v>1</v>
      </c>
      <c r="AN103" s="45">
        <f>[2]Districts_Boroughs!BX278</f>
        <v>0</v>
      </c>
      <c r="AO103" s="45">
        <f>[2]Districts_Boroughs!BY278</f>
        <v>0</v>
      </c>
      <c r="AP103" s="45">
        <f>[2]Districts_Boroughs!BZ278</f>
        <v>2</v>
      </c>
      <c r="AQ103" s="45">
        <f>[2]Districts_Boroughs!CA278</f>
        <v>0</v>
      </c>
      <c r="AR103" s="45">
        <f>[2]Districts_Boroughs!CB278</f>
        <v>1</v>
      </c>
      <c r="AS103" s="45">
        <f>[2]Districts_Boroughs!CC278</f>
        <v>2</v>
      </c>
      <c r="AT103" s="45">
        <f>[2]Districts_Boroughs!CD278</f>
        <v>0</v>
      </c>
      <c r="AU103" s="45">
        <f>[2]Districts_Boroughs!CE278</f>
        <v>1</v>
      </c>
      <c r="AV103" s="45">
        <f>[2]Districts_Boroughs!CF278</f>
        <v>2</v>
      </c>
      <c r="AW103" s="45">
        <f>[2]Districts_Boroughs!CG278</f>
        <v>2</v>
      </c>
      <c r="AX103" s="45">
        <f>[2]Districts_Boroughs!CH278</f>
        <v>0</v>
      </c>
      <c r="AY103" s="45">
        <f>[2]Districts_Boroughs!CI278</f>
        <v>2</v>
      </c>
      <c r="AZ103" s="45">
        <f>[2]Districts_Boroughs!CJ278</f>
        <v>1</v>
      </c>
      <c r="BA103" s="45">
        <f>[2]Districts_Boroughs!CK278</f>
        <v>2</v>
      </c>
      <c r="BB103" s="45">
        <f>[2]Districts_Boroughs!CL278</f>
        <v>0</v>
      </c>
      <c r="BC103" s="45">
        <f>[2]Districts_Boroughs!CM278</f>
        <v>0</v>
      </c>
      <c r="BD103" s="45">
        <f>[2]Districts_Boroughs!CN278</f>
        <v>2</v>
      </c>
      <c r="BE103" s="45">
        <f>[2]Districts_Boroughs!CO278</f>
        <v>2</v>
      </c>
      <c r="BF103" s="45">
        <f>[2]Districts_Boroughs!CP278</f>
        <v>4</v>
      </c>
      <c r="BG103" s="45">
        <f>[2]Districts_Boroughs!CQ278</f>
        <v>1</v>
      </c>
      <c r="BH103" s="45">
        <f>[2]Districts_Boroughs!CR278</f>
        <v>1</v>
      </c>
      <c r="BI103" s="45">
        <f>[2]Districts_Boroughs!CS278</f>
        <v>1</v>
      </c>
      <c r="BJ103" s="45">
        <f>[2]Districts_Boroughs!CT278</f>
        <v>3</v>
      </c>
      <c r="BK103" s="45">
        <f>[2]Districts_Boroughs!CU278</f>
        <v>1</v>
      </c>
      <c r="BL103" s="45">
        <f>[2]Districts_Boroughs!CV278</f>
        <v>2</v>
      </c>
      <c r="BM103" s="45">
        <f>[2]Districts_Boroughs!CW278</f>
        <v>1</v>
      </c>
      <c r="BN103" s="45">
        <f>[2]Districts_Boroughs!CX278</f>
        <v>1</v>
      </c>
      <c r="BO103" s="45">
        <f>[2]Districts_Boroughs!CY278</f>
        <v>2</v>
      </c>
      <c r="BP103" s="45">
        <f>[2]Districts_Boroughs!CZ278</f>
        <v>2</v>
      </c>
      <c r="BQ103" s="45">
        <f>[2]Districts_Boroughs!DA278</f>
        <v>1</v>
      </c>
      <c r="BR103" s="45">
        <f>[2]Districts_Boroughs!DB278</f>
        <v>0</v>
      </c>
      <c r="BS103" s="45">
        <f>[2]Districts_Boroughs!DC278</f>
        <v>1</v>
      </c>
      <c r="BT103" s="45">
        <f>[2]Districts_Boroughs!DD278</f>
        <v>1</v>
      </c>
      <c r="BU103" s="45">
        <f>[2]Districts_Boroughs!DE278</f>
        <v>2</v>
      </c>
      <c r="BV103" s="45">
        <f>[2]Districts_Boroughs!DF278</f>
        <v>2</v>
      </c>
      <c r="BW103" s="45">
        <f>[2]Districts_Boroughs!DG278</f>
        <v>3</v>
      </c>
      <c r="BX103" s="45">
        <f>[2]Districts_Boroughs!DH278</f>
        <v>2</v>
      </c>
      <c r="BY103" s="45">
        <f>[2]Districts_Boroughs!DI278</f>
        <v>1</v>
      </c>
      <c r="BZ103" s="45">
        <f>[2]Districts_Boroughs!DJ278</f>
        <v>2</v>
      </c>
      <c r="CA103" s="45">
        <f>[2]Districts_Boroughs!DK278</f>
        <v>1</v>
      </c>
      <c r="CB103" s="45">
        <f>[2]Districts_Boroughs!DL278</f>
        <v>3</v>
      </c>
      <c r="CC103" s="45">
        <f>[2]Districts_Boroughs!DM278</f>
        <v>1</v>
      </c>
      <c r="CD103" s="45">
        <f>[2]Districts_Boroughs!DN278</f>
        <v>4</v>
      </c>
      <c r="CE103" s="45">
        <f>[2]Districts_Boroughs!DO278</f>
        <v>4</v>
      </c>
      <c r="CF103" s="45">
        <f>[2]Districts_Boroughs!DP278</f>
        <v>1</v>
      </c>
      <c r="CG103" s="45">
        <f>[2]Districts_Boroughs!DQ278</f>
        <v>1</v>
      </c>
      <c r="CH103" s="45">
        <f>[2]Districts_Boroughs!DR278</f>
        <v>3</v>
      </c>
      <c r="CI103" s="45">
        <f>[2]Districts_Boroughs!DS278</f>
        <v>2</v>
      </c>
      <c r="CJ103" s="45">
        <f>[2]Districts_Boroughs!DT278</f>
        <v>1</v>
      </c>
      <c r="CK103" s="45">
        <f>[2]Districts_Boroughs!DU278</f>
        <v>1</v>
      </c>
      <c r="CL103" s="45">
        <f>[2]Districts_Boroughs!DV278</f>
        <v>1</v>
      </c>
      <c r="CM103" s="45">
        <f>[2]Districts_Boroughs!DW278</f>
        <v>0</v>
      </c>
      <c r="CN103" s="45">
        <f>[2]Districts_Boroughs!DX278</f>
        <v>1</v>
      </c>
      <c r="CO103" s="45">
        <f>[2]Districts_Boroughs!DY278</f>
        <v>2</v>
      </c>
      <c r="CP103" s="45">
        <f>[2]Districts_Boroughs!DZ278</f>
        <v>0</v>
      </c>
      <c r="CQ103" s="45">
        <f>[2]Districts_Boroughs!EA278</f>
        <v>0</v>
      </c>
      <c r="CR103" s="45">
        <f>[2]Districts_Boroughs!EB278</f>
        <v>1</v>
      </c>
      <c r="CS103" s="45">
        <f>[2]Districts_Boroughs!EC278</f>
        <v>2</v>
      </c>
    </row>
    <row r="104" spans="1:97" x14ac:dyDescent="0.35">
      <c r="A104" s="80" t="s">
        <v>48</v>
      </c>
      <c r="B104" s="45">
        <f>[2]Districts_Boroughs!AL280</f>
        <v>96</v>
      </c>
      <c r="C104" s="45">
        <f>[2]Districts_Boroughs!AM280</f>
        <v>96</v>
      </c>
      <c r="D104" s="45">
        <f>[2]Districts_Boroughs!AN280</f>
        <v>118</v>
      </c>
      <c r="E104" s="45">
        <f>[2]Districts_Boroughs!AO280</f>
        <v>146</v>
      </c>
      <c r="F104" s="45">
        <f>[2]Districts_Boroughs!AP280</f>
        <v>136</v>
      </c>
      <c r="G104" s="45">
        <f>[2]Districts_Boroughs!AQ280</f>
        <v>132</v>
      </c>
      <c r="H104" s="45">
        <f>[2]Districts_Boroughs!AR280</f>
        <v>132</v>
      </c>
      <c r="I104" s="45">
        <f>[2]Districts_Boroughs!AS280</f>
        <v>99</v>
      </c>
      <c r="J104" s="45">
        <f>[2]Districts_Boroughs!AT280</f>
        <v>79</v>
      </c>
      <c r="K104" s="45">
        <f>[2]Districts_Boroughs!AU280</f>
        <v>82</v>
      </c>
      <c r="L104" s="45">
        <f>[2]Districts_Boroughs!AV280</f>
        <v>70</v>
      </c>
      <c r="M104" s="45">
        <f>[2]Districts_Boroughs!AW280</f>
        <v>107</v>
      </c>
      <c r="N104" s="45">
        <f>[2]Districts_Boroughs!AX280</f>
        <v>92</v>
      </c>
      <c r="O104" s="45">
        <f>[2]Districts_Boroughs!AY280</f>
        <v>84</v>
      </c>
      <c r="P104" s="45">
        <f>[2]Districts_Boroughs!AZ280</f>
        <v>78</v>
      </c>
      <c r="Q104" s="45">
        <f>[2]Districts_Boroughs!BA280</f>
        <v>78</v>
      </c>
      <c r="R104" s="45">
        <f>[2]Districts_Boroughs!BB280</f>
        <v>99</v>
      </c>
      <c r="S104" s="45">
        <f>[2]Districts_Boroughs!BC280</f>
        <v>177</v>
      </c>
      <c r="T104" s="45">
        <f>[2]Districts_Boroughs!BD280</f>
        <v>134</v>
      </c>
      <c r="U104" s="45">
        <f>[2]Districts_Boroughs!BE280</f>
        <v>164</v>
      </c>
      <c r="V104" s="45">
        <f>[2]Districts_Boroughs!BF280</f>
        <v>113</v>
      </c>
      <c r="W104" s="45">
        <f>[2]Districts_Boroughs!BG280</f>
        <v>122</v>
      </c>
      <c r="X104" s="45">
        <f>[2]Districts_Boroughs!BH280</f>
        <v>109</v>
      </c>
      <c r="Y104" s="45">
        <f>[2]Districts_Boroughs!BI280</f>
        <v>89</v>
      </c>
      <c r="Z104" s="45">
        <f>[2]Districts_Boroughs!BJ280</f>
        <v>111</v>
      </c>
      <c r="AA104" s="45">
        <f>[2]Districts_Boroughs!BK280</f>
        <v>132</v>
      </c>
      <c r="AB104" s="45">
        <f>[2]Districts_Boroughs!BL280</f>
        <v>131</v>
      </c>
      <c r="AC104" s="45">
        <f>[2]Districts_Boroughs!BM280</f>
        <v>83</v>
      </c>
      <c r="AD104" s="45">
        <f>[2]Districts_Boroughs!BN280</f>
        <v>81</v>
      </c>
      <c r="AE104" s="45">
        <f>[2]Districts_Boroughs!BO280</f>
        <v>128</v>
      </c>
      <c r="AF104" s="45">
        <f>[2]Districts_Boroughs!BP280</f>
        <v>163</v>
      </c>
      <c r="AG104" s="45">
        <f>[2]Districts_Boroughs!BQ280</f>
        <v>114</v>
      </c>
      <c r="AH104" s="45">
        <f>[2]Districts_Boroughs!BR280</f>
        <v>107</v>
      </c>
      <c r="AI104" s="45">
        <f>[2]Districts_Boroughs!BS280</f>
        <v>160</v>
      </c>
      <c r="AJ104" s="45">
        <f>[2]Districts_Boroughs!BT280</f>
        <v>154</v>
      </c>
      <c r="AK104" s="45">
        <f>[2]Districts_Boroughs!BU280</f>
        <v>90</v>
      </c>
      <c r="AL104" s="45">
        <f>[2]Districts_Boroughs!BV280</f>
        <v>54</v>
      </c>
      <c r="AM104" s="45">
        <f>[2]Districts_Boroughs!BW280</f>
        <v>42</v>
      </c>
      <c r="AN104" s="45">
        <f>[2]Districts_Boroughs!BX280</f>
        <v>61</v>
      </c>
      <c r="AO104" s="45">
        <f>[2]Districts_Boroughs!BY280</f>
        <v>88</v>
      </c>
      <c r="AP104" s="45">
        <f>[2]Districts_Boroughs!BZ280</f>
        <v>73</v>
      </c>
      <c r="AQ104" s="45">
        <f>[2]Districts_Boroughs!CA280</f>
        <v>54</v>
      </c>
      <c r="AR104" s="45">
        <f>[2]Districts_Boroughs!CB280</f>
        <v>99</v>
      </c>
      <c r="AS104" s="45">
        <f>[2]Districts_Boroughs!CC280</f>
        <v>84</v>
      </c>
      <c r="AT104" s="45">
        <f>[2]Districts_Boroughs!CD280</f>
        <v>71</v>
      </c>
      <c r="AU104" s="45">
        <f>[2]Districts_Boroughs!CE280</f>
        <v>65</v>
      </c>
      <c r="AV104" s="45">
        <f>[2]Districts_Boroughs!CF280</f>
        <v>52</v>
      </c>
      <c r="AW104" s="45">
        <f>[2]Districts_Boroughs!CG280</f>
        <v>68</v>
      </c>
      <c r="AX104" s="45">
        <f>[2]Districts_Boroughs!CH280</f>
        <v>62</v>
      </c>
      <c r="AY104" s="45">
        <f>[2]Districts_Boroughs!CI280</f>
        <v>64</v>
      </c>
      <c r="AZ104" s="45">
        <f>[2]Districts_Boroughs!CJ280</f>
        <v>58</v>
      </c>
      <c r="BA104" s="45">
        <f>[2]Districts_Boroughs!CK280</f>
        <v>104</v>
      </c>
      <c r="BB104" s="45">
        <f>[2]Districts_Boroughs!CL280</f>
        <v>101</v>
      </c>
      <c r="BC104" s="45">
        <f>[2]Districts_Boroughs!CM280</f>
        <v>79</v>
      </c>
      <c r="BD104" s="45">
        <f>[2]Districts_Boroughs!CN280</f>
        <v>72</v>
      </c>
      <c r="BE104" s="45">
        <f>[2]Districts_Boroughs!CO280</f>
        <v>115</v>
      </c>
      <c r="BF104" s="45">
        <f>[2]Districts_Boroughs!CP280</f>
        <v>66</v>
      </c>
      <c r="BG104" s="45">
        <f>[2]Districts_Boroughs!CQ280</f>
        <v>85</v>
      </c>
      <c r="BH104" s="45">
        <f>[2]Districts_Boroughs!CR280</f>
        <v>66</v>
      </c>
      <c r="BI104" s="45">
        <f>[2]Districts_Boroughs!CS280</f>
        <v>135</v>
      </c>
      <c r="BJ104" s="45">
        <f>[2]Districts_Boroughs!CT280</f>
        <v>101</v>
      </c>
      <c r="BK104" s="45">
        <f>[2]Districts_Boroughs!CU280</f>
        <v>114</v>
      </c>
      <c r="BL104" s="45">
        <f>[2]Districts_Boroughs!CV280</f>
        <v>92</v>
      </c>
      <c r="BM104" s="45">
        <f>[2]Districts_Boroughs!CW280</f>
        <v>114</v>
      </c>
      <c r="BN104" s="45">
        <f>[2]Districts_Boroughs!CX280</f>
        <v>116</v>
      </c>
      <c r="BO104" s="45">
        <f>[2]Districts_Boroughs!CY280</f>
        <v>150</v>
      </c>
      <c r="BP104" s="45">
        <f>[2]Districts_Boroughs!CZ280</f>
        <v>119</v>
      </c>
      <c r="BQ104" s="45">
        <f>[2]Districts_Boroughs!DA280</f>
        <v>121</v>
      </c>
      <c r="BR104" s="45">
        <f>[2]Districts_Boroughs!DB280</f>
        <v>78</v>
      </c>
      <c r="BS104" s="45">
        <f>[2]Districts_Boroughs!DC280</f>
        <v>128</v>
      </c>
      <c r="BT104" s="45">
        <f>[2]Districts_Boroughs!DD280</f>
        <v>106</v>
      </c>
      <c r="BU104" s="45">
        <f>[2]Districts_Boroughs!DE280</f>
        <v>73</v>
      </c>
      <c r="BV104" s="45">
        <f>[2]Districts_Boroughs!DF280</f>
        <v>123</v>
      </c>
      <c r="BW104" s="45">
        <f>[2]Districts_Boroughs!DG280</f>
        <v>97</v>
      </c>
      <c r="BX104" s="45">
        <f>[2]Districts_Boroughs!DH280</f>
        <v>108</v>
      </c>
      <c r="BY104" s="45">
        <f>[2]Districts_Boroughs!DI280</f>
        <v>132</v>
      </c>
      <c r="BZ104" s="45">
        <f>[2]Districts_Boroughs!DJ280</f>
        <v>94</v>
      </c>
      <c r="CA104" s="45">
        <f>[2]Districts_Boroughs!DK280</f>
        <v>68</v>
      </c>
      <c r="CB104" s="45">
        <f>[2]Districts_Boroughs!DL280</f>
        <v>106</v>
      </c>
      <c r="CC104" s="45">
        <f>[2]Districts_Boroughs!DM280</f>
        <v>105</v>
      </c>
      <c r="CD104" s="45">
        <f>[2]Districts_Boroughs!DN280</f>
        <v>101</v>
      </c>
      <c r="CE104" s="45">
        <f>[2]Districts_Boroughs!DO280</f>
        <v>70</v>
      </c>
      <c r="CF104" s="45">
        <f>[2]Districts_Boroughs!DP280</f>
        <v>48</v>
      </c>
      <c r="CG104" s="45">
        <f>[2]Districts_Boroughs!DQ280</f>
        <v>47</v>
      </c>
      <c r="CH104" s="45">
        <f>[2]Districts_Boroughs!DR280</f>
        <v>78</v>
      </c>
      <c r="CI104" s="45">
        <f>[2]Districts_Boroughs!DS280</f>
        <v>97</v>
      </c>
      <c r="CJ104" s="45">
        <f>[2]Districts_Boroughs!DT280</f>
        <v>85</v>
      </c>
      <c r="CK104" s="45">
        <f>[2]Districts_Boroughs!DU280</f>
        <v>86</v>
      </c>
      <c r="CL104" s="45">
        <f>[2]Districts_Boroughs!DV280</f>
        <v>72</v>
      </c>
      <c r="CM104" s="45">
        <f>[2]Districts_Boroughs!DW280</f>
        <v>65</v>
      </c>
      <c r="CN104" s="45">
        <f>[2]Districts_Boroughs!DX280</f>
        <v>96</v>
      </c>
      <c r="CO104" s="45">
        <f>[2]Districts_Boroughs!DY280</f>
        <v>73</v>
      </c>
      <c r="CP104" s="45">
        <f>[2]Districts_Boroughs!DZ280</f>
        <v>57</v>
      </c>
      <c r="CQ104" s="45">
        <f>[2]Districts_Boroughs!EA280</f>
        <v>73</v>
      </c>
      <c r="CR104" s="45">
        <f>[2]Districts_Boroughs!EB280</f>
        <v>48</v>
      </c>
      <c r="CS104" s="45">
        <f>[2]Districts_Boroughs!EC280</f>
        <v>60</v>
      </c>
    </row>
    <row r="105" spans="1:97" ht="23" x14ac:dyDescent="0.35">
      <c r="A105" s="80" t="s">
        <v>49</v>
      </c>
      <c r="B105" s="45">
        <f>[2]Districts_Boroughs!AL281</f>
        <v>16</v>
      </c>
      <c r="C105" s="45">
        <f>[2]Districts_Boroughs!AM281</f>
        <v>33</v>
      </c>
      <c r="D105" s="45">
        <f>[2]Districts_Boroughs!AN281</f>
        <v>32</v>
      </c>
      <c r="E105" s="45">
        <f>[2]Districts_Boroughs!AO281</f>
        <v>44</v>
      </c>
      <c r="F105" s="45">
        <f>[2]Districts_Boroughs!AP281</f>
        <v>37</v>
      </c>
      <c r="G105" s="45">
        <f>[2]Districts_Boroughs!AQ281</f>
        <v>30</v>
      </c>
      <c r="H105" s="45">
        <f>[2]Districts_Boroughs!AR281</f>
        <v>24</v>
      </c>
      <c r="I105" s="45">
        <f>[2]Districts_Boroughs!AS281</f>
        <v>37</v>
      </c>
      <c r="J105" s="45">
        <f>[2]Districts_Boroughs!AT281</f>
        <v>30</v>
      </c>
      <c r="K105" s="45">
        <f>[2]Districts_Boroughs!AU281</f>
        <v>25</v>
      </c>
      <c r="L105" s="45">
        <f>[2]Districts_Boroughs!AV281</f>
        <v>24</v>
      </c>
      <c r="M105" s="45">
        <f>[2]Districts_Boroughs!AW281</f>
        <v>32</v>
      </c>
      <c r="N105" s="45">
        <f>[2]Districts_Boroughs!AX281</f>
        <v>22</v>
      </c>
      <c r="O105" s="45">
        <f>[2]Districts_Boroughs!AY281</f>
        <v>29</v>
      </c>
      <c r="P105" s="45">
        <f>[2]Districts_Boroughs!AZ281</f>
        <v>23</v>
      </c>
      <c r="Q105" s="45">
        <f>[2]Districts_Boroughs!BA281</f>
        <v>34</v>
      </c>
      <c r="R105" s="45">
        <f>[2]Districts_Boroughs!BB281</f>
        <v>42</v>
      </c>
      <c r="S105" s="45">
        <f>[2]Districts_Boroughs!BC281</f>
        <v>32</v>
      </c>
      <c r="T105" s="45">
        <f>[2]Districts_Boroughs!BD281</f>
        <v>34</v>
      </c>
      <c r="U105" s="45">
        <f>[2]Districts_Boroughs!BE281</f>
        <v>23</v>
      </c>
      <c r="V105" s="45">
        <f>[2]Districts_Boroughs!BF281</f>
        <v>31</v>
      </c>
      <c r="W105" s="45">
        <f>[2]Districts_Boroughs!BG281</f>
        <v>23</v>
      </c>
      <c r="X105" s="45">
        <f>[2]Districts_Boroughs!BH281</f>
        <v>20</v>
      </c>
      <c r="Y105" s="45">
        <f>[2]Districts_Boroughs!BI281</f>
        <v>26</v>
      </c>
      <c r="Z105" s="45">
        <f>[2]Districts_Boroughs!BJ281</f>
        <v>25</v>
      </c>
      <c r="AA105" s="45">
        <f>[2]Districts_Boroughs!BK281</f>
        <v>21</v>
      </c>
      <c r="AB105" s="45">
        <f>[2]Districts_Boroughs!BL281</f>
        <v>33</v>
      </c>
      <c r="AC105" s="45">
        <f>[2]Districts_Boroughs!BM281</f>
        <v>25</v>
      </c>
      <c r="AD105" s="45">
        <f>[2]Districts_Boroughs!BN281</f>
        <v>24</v>
      </c>
      <c r="AE105" s="45">
        <f>[2]Districts_Boroughs!BO281</f>
        <v>30</v>
      </c>
      <c r="AF105" s="45">
        <f>[2]Districts_Boroughs!BP281</f>
        <v>30</v>
      </c>
      <c r="AG105" s="45">
        <f>[2]Districts_Boroughs!BQ281</f>
        <v>26</v>
      </c>
      <c r="AH105" s="45">
        <f>[2]Districts_Boroughs!BR281</f>
        <v>19</v>
      </c>
      <c r="AI105" s="45">
        <f>[2]Districts_Boroughs!BS281</f>
        <v>21</v>
      </c>
      <c r="AJ105" s="45">
        <f>[2]Districts_Boroughs!BT281</f>
        <v>16</v>
      </c>
      <c r="AK105" s="45">
        <f>[2]Districts_Boroughs!BU281</f>
        <v>18</v>
      </c>
      <c r="AL105" s="45">
        <f>[2]Districts_Boroughs!BV281</f>
        <v>19</v>
      </c>
      <c r="AM105" s="45">
        <f>[2]Districts_Boroughs!BW281</f>
        <v>18</v>
      </c>
      <c r="AN105" s="45">
        <f>[2]Districts_Boroughs!BX281</f>
        <v>22</v>
      </c>
      <c r="AO105" s="45">
        <f>[2]Districts_Boroughs!BY281</f>
        <v>27</v>
      </c>
      <c r="AP105" s="45">
        <f>[2]Districts_Boroughs!BZ281</f>
        <v>15</v>
      </c>
      <c r="AQ105" s="45">
        <f>[2]Districts_Boroughs!CA281</f>
        <v>20</v>
      </c>
      <c r="AR105" s="45">
        <f>[2]Districts_Boroughs!CB281</f>
        <v>15</v>
      </c>
      <c r="AS105" s="45">
        <f>[2]Districts_Boroughs!CC281</f>
        <v>18</v>
      </c>
      <c r="AT105" s="45">
        <f>[2]Districts_Boroughs!CD281</f>
        <v>21</v>
      </c>
      <c r="AU105" s="45">
        <f>[2]Districts_Boroughs!CE281</f>
        <v>24</v>
      </c>
      <c r="AV105" s="45">
        <f>[2]Districts_Boroughs!CF281</f>
        <v>21</v>
      </c>
      <c r="AW105" s="45">
        <f>[2]Districts_Boroughs!CG281</f>
        <v>29</v>
      </c>
      <c r="AX105" s="45">
        <f>[2]Districts_Boroughs!CH281</f>
        <v>14</v>
      </c>
      <c r="AY105" s="45">
        <f>[2]Districts_Boroughs!CI281</f>
        <v>19</v>
      </c>
      <c r="AZ105" s="45">
        <f>[2]Districts_Boroughs!CJ281</f>
        <v>15</v>
      </c>
      <c r="BA105" s="45">
        <f>[2]Districts_Boroughs!CK281</f>
        <v>29</v>
      </c>
      <c r="BB105" s="45">
        <f>[2]Districts_Boroughs!CL281</f>
        <v>25</v>
      </c>
      <c r="BC105" s="45">
        <f>[2]Districts_Boroughs!CM281</f>
        <v>25</v>
      </c>
      <c r="BD105" s="45">
        <f>[2]Districts_Boroughs!CN281</f>
        <v>25</v>
      </c>
      <c r="BE105" s="45">
        <f>[2]Districts_Boroughs!CO281</f>
        <v>30</v>
      </c>
      <c r="BF105" s="45">
        <f>[2]Districts_Boroughs!CP281</f>
        <v>29</v>
      </c>
      <c r="BG105" s="45">
        <f>[2]Districts_Boroughs!CQ281</f>
        <v>30</v>
      </c>
      <c r="BH105" s="45">
        <f>[2]Districts_Boroughs!CR281</f>
        <v>28</v>
      </c>
      <c r="BI105" s="45">
        <f>[2]Districts_Boroughs!CS281</f>
        <v>33</v>
      </c>
      <c r="BJ105" s="45">
        <f>[2]Districts_Boroughs!CT281</f>
        <v>23</v>
      </c>
      <c r="BK105" s="45">
        <f>[2]Districts_Boroughs!CU281</f>
        <v>15</v>
      </c>
      <c r="BL105" s="45">
        <f>[2]Districts_Boroughs!CV281</f>
        <v>26</v>
      </c>
      <c r="BM105" s="45">
        <f>[2]Districts_Boroughs!CW281</f>
        <v>45</v>
      </c>
      <c r="BN105" s="45">
        <f>[2]Districts_Boroughs!CX281</f>
        <v>40</v>
      </c>
      <c r="BO105" s="45">
        <f>[2]Districts_Boroughs!CY281</f>
        <v>37</v>
      </c>
      <c r="BP105" s="45">
        <f>[2]Districts_Boroughs!CZ281</f>
        <v>31</v>
      </c>
      <c r="BQ105" s="45">
        <f>[2]Districts_Boroughs!DA281</f>
        <v>25</v>
      </c>
      <c r="BR105" s="45">
        <f>[2]Districts_Boroughs!DB281</f>
        <v>28</v>
      </c>
      <c r="BS105" s="45">
        <f>[2]Districts_Boroughs!DC281</f>
        <v>28</v>
      </c>
      <c r="BT105" s="45">
        <f>[2]Districts_Boroughs!DD281</f>
        <v>33</v>
      </c>
      <c r="BU105" s="45">
        <f>[2]Districts_Boroughs!DE281</f>
        <v>43</v>
      </c>
      <c r="BV105" s="45">
        <f>[2]Districts_Boroughs!DF281</f>
        <v>47</v>
      </c>
      <c r="BW105" s="45">
        <f>[2]Districts_Boroughs!DG281</f>
        <v>35</v>
      </c>
      <c r="BX105" s="45">
        <f>[2]Districts_Boroughs!DH281</f>
        <v>27</v>
      </c>
      <c r="BY105" s="45">
        <f>[2]Districts_Boroughs!DI281</f>
        <v>29</v>
      </c>
      <c r="BZ105" s="45">
        <f>[2]Districts_Boroughs!DJ281</f>
        <v>30</v>
      </c>
      <c r="CA105" s="45">
        <f>[2]Districts_Boroughs!DK281</f>
        <v>30</v>
      </c>
      <c r="CB105" s="45">
        <f>[2]Districts_Boroughs!DL281</f>
        <v>31</v>
      </c>
      <c r="CC105" s="45">
        <f>[2]Districts_Boroughs!DM281</f>
        <v>25</v>
      </c>
      <c r="CD105" s="45">
        <f>[2]Districts_Boroughs!DN281</f>
        <v>16</v>
      </c>
      <c r="CE105" s="45">
        <f>[2]Districts_Boroughs!DO281</f>
        <v>34</v>
      </c>
      <c r="CF105" s="45">
        <f>[2]Districts_Boroughs!DP281</f>
        <v>27</v>
      </c>
      <c r="CG105" s="45">
        <f>[2]Districts_Boroughs!DQ281</f>
        <v>42</v>
      </c>
      <c r="CH105" s="45">
        <f>[2]Districts_Boroughs!DR281</f>
        <v>28</v>
      </c>
      <c r="CI105" s="45">
        <f>[2]Districts_Boroughs!DS281</f>
        <v>38</v>
      </c>
      <c r="CJ105" s="45">
        <f>[2]Districts_Boroughs!DT281</f>
        <v>35</v>
      </c>
      <c r="CK105" s="45">
        <f>[2]Districts_Boroughs!DU281</f>
        <v>23</v>
      </c>
      <c r="CL105" s="45">
        <f>[2]Districts_Boroughs!DV281</f>
        <v>28</v>
      </c>
      <c r="CM105" s="45">
        <f>[2]Districts_Boroughs!DW281</f>
        <v>33</v>
      </c>
      <c r="CN105" s="45">
        <f>[2]Districts_Boroughs!DX281</f>
        <v>35</v>
      </c>
      <c r="CO105" s="45">
        <f>[2]Districts_Boroughs!DY281</f>
        <v>32</v>
      </c>
      <c r="CP105" s="45">
        <f>[2]Districts_Boroughs!DZ281</f>
        <v>46</v>
      </c>
      <c r="CQ105" s="45">
        <f>[2]Districts_Boroughs!EA281</f>
        <v>50</v>
      </c>
      <c r="CR105" s="45">
        <f>[2]Districts_Boroughs!EB281</f>
        <v>31</v>
      </c>
      <c r="CS105" s="45">
        <f>[2]Districts_Boroughs!EC281</f>
        <v>39</v>
      </c>
    </row>
    <row r="106" spans="1:97" x14ac:dyDescent="0.35">
      <c r="A106" s="82" t="s">
        <v>143</v>
      </c>
      <c r="B106" s="45">
        <f>[2]Districts_Boroughs!AL260</f>
        <v>118</v>
      </c>
      <c r="C106" s="45">
        <f>[2]Districts_Boroughs!AM260</f>
        <v>104</v>
      </c>
      <c r="D106" s="45">
        <f>[2]Districts_Boroughs!AN260</f>
        <v>120</v>
      </c>
      <c r="E106" s="45">
        <f>[2]Districts_Boroughs!AO260</f>
        <v>108</v>
      </c>
      <c r="F106" s="45">
        <f>[2]Districts_Boroughs!AP260</f>
        <v>108</v>
      </c>
      <c r="G106" s="45">
        <f>[2]Districts_Boroughs!AQ260</f>
        <v>168</v>
      </c>
      <c r="H106" s="45">
        <f>[2]Districts_Boroughs!AR260</f>
        <v>184</v>
      </c>
      <c r="I106" s="45">
        <f>[2]Districts_Boroughs!AS260</f>
        <v>179</v>
      </c>
      <c r="J106" s="45">
        <f>[2]Districts_Boroughs!AT260</f>
        <v>118</v>
      </c>
      <c r="K106" s="45">
        <f>[2]Districts_Boroughs!AU260</f>
        <v>145</v>
      </c>
      <c r="L106" s="45">
        <f>[2]Districts_Boroughs!AV260</f>
        <v>89</v>
      </c>
      <c r="M106" s="45">
        <f>[2]Districts_Boroughs!AW260</f>
        <v>91</v>
      </c>
      <c r="N106" s="45">
        <f>[2]Districts_Boroughs!AX260</f>
        <v>110</v>
      </c>
      <c r="O106" s="45">
        <f>[2]Districts_Boroughs!AY260</f>
        <v>119</v>
      </c>
      <c r="P106" s="45">
        <f>[2]Districts_Boroughs!AZ260</f>
        <v>93</v>
      </c>
      <c r="Q106" s="45">
        <f>[2]Districts_Boroughs!BA260</f>
        <v>92</v>
      </c>
      <c r="R106" s="45">
        <f>[2]Districts_Boroughs!BB260</f>
        <v>157</v>
      </c>
      <c r="S106" s="45">
        <f>[2]Districts_Boroughs!BC260</f>
        <v>102</v>
      </c>
      <c r="T106" s="45">
        <f>[2]Districts_Boroughs!BD260</f>
        <v>134</v>
      </c>
      <c r="U106" s="45">
        <f>[2]Districts_Boroughs!BE260</f>
        <v>165</v>
      </c>
      <c r="V106" s="45">
        <f>[2]Districts_Boroughs!BF260</f>
        <v>121</v>
      </c>
      <c r="W106" s="45">
        <f>[2]Districts_Boroughs!BG260</f>
        <v>114</v>
      </c>
      <c r="X106" s="45">
        <f>[2]Districts_Boroughs!BH260</f>
        <v>62</v>
      </c>
      <c r="Y106" s="45">
        <f>[2]Districts_Boroughs!BI260</f>
        <v>105</v>
      </c>
      <c r="Z106" s="45">
        <f>[2]Districts_Boroughs!BJ260</f>
        <v>120</v>
      </c>
      <c r="AA106" s="45">
        <f>[2]Districts_Boroughs!BK260</f>
        <v>79</v>
      </c>
      <c r="AB106" s="45">
        <f>[2]Districts_Boroughs!BL260</f>
        <v>110</v>
      </c>
      <c r="AC106" s="45">
        <f>[2]Districts_Boroughs!BM260</f>
        <v>125</v>
      </c>
      <c r="AD106" s="45">
        <f>[2]Districts_Boroughs!BN260</f>
        <v>110</v>
      </c>
      <c r="AE106" s="45">
        <f>[2]Districts_Boroughs!BO260</f>
        <v>107</v>
      </c>
      <c r="AF106" s="45">
        <f>[2]Districts_Boroughs!BP260</f>
        <v>123</v>
      </c>
      <c r="AG106" s="45">
        <f>[2]Districts_Boroughs!BQ260</f>
        <v>88</v>
      </c>
      <c r="AH106" s="45">
        <f>[2]Districts_Boroughs!BR260</f>
        <v>98</v>
      </c>
      <c r="AI106" s="45">
        <f>[2]Districts_Boroughs!BS260</f>
        <v>112</v>
      </c>
      <c r="AJ106" s="45">
        <f>[2]Districts_Boroughs!BT260</f>
        <v>91</v>
      </c>
      <c r="AK106" s="45">
        <f>[2]Districts_Boroughs!BU260</f>
        <v>77</v>
      </c>
      <c r="AL106" s="45">
        <f>[2]Districts_Boroughs!BV260</f>
        <v>72</v>
      </c>
      <c r="AM106" s="45">
        <f>[2]Districts_Boroughs!BW260</f>
        <v>57</v>
      </c>
      <c r="AN106" s="45">
        <f>[2]Districts_Boroughs!BX260</f>
        <v>54</v>
      </c>
      <c r="AO106" s="45">
        <f>[2]Districts_Boroughs!BY260</f>
        <v>63</v>
      </c>
      <c r="AP106" s="45">
        <f>[2]Districts_Boroughs!BZ260</f>
        <v>100</v>
      </c>
      <c r="AQ106" s="45">
        <f>[2]Districts_Boroughs!CA260</f>
        <v>60</v>
      </c>
      <c r="AR106" s="45">
        <f>[2]Districts_Boroughs!CB260</f>
        <v>52</v>
      </c>
      <c r="AS106" s="45">
        <f>[2]Districts_Boroughs!CC260</f>
        <v>59</v>
      </c>
      <c r="AT106" s="45">
        <f>[2]Districts_Boroughs!CD260</f>
        <v>59</v>
      </c>
      <c r="AU106" s="45">
        <f>[2]Districts_Boroughs!CE260</f>
        <v>34</v>
      </c>
      <c r="AV106" s="45">
        <f>[2]Districts_Boroughs!CF260</f>
        <v>36</v>
      </c>
      <c r="AW106" s="45">
        <f>[2]Districts_Boroughs!CG260</f>
        <v>40</v>
      </c>
      <c r="AX106" s="45">
        <f>[2]Districts_Boroughs!CH260</f>
        <v>37</v>
      </c>
      <c r="AY106" s="45">
        <f>[2]Districts_Boroughs!CI260</f>
        <v>46</v>
      </c>
      <c r="AZ106" s="45">
        <f>[2]Districts_Boroughs!CJ260</f>
        <v>63</v>
      </c>
      <c r="BA106" s="45">
        <f>[2]Districts_Boroughs!CK260</f>
        <v>43</v>
      </c>
      <c r="BB106" s="45">
        <f>[2]Districts_Boroughs!CL260</f>
        <v>55</v>
      </c>
      <c r="BC106" s="45">
        <f>[2]Districts_Boroughs!CM260</f>
        <v>61</v>
      </c>
      <c r="BD106" s="45">
        <f>[2]Districts_Boroughs!CN260</f>
        <v>77</v>
      </c>
      <c r="BE106" s="45">
        <f>[2]Districts_Boroughs!CO260</f>
        <v>75</v>
      </c>
      <c r="BF106" s="45">
        <f>[2]Districts_Boroughs!CP260</f>
        <v>61</v>
      </c>
      <c r="BG106" s="45">
        <f>[2]Districts_Boroughs!CQ260</f>
        <v>65</v>
      </c>
      <c r="BH106" s="45">
        <f>[2]Districts_Boroughs!CR260</f>
        <v>65</v>
      </c>
      <c r="BI106" s="45">
        <f>[2]Districts_Boroughs!CS260</f>
        <v>70</v>
      </c>
      <c r="BJ106" s="45">
        <f>[2]Districts_Boroughs!CT260</f>
        <v>78</v>
      </c>
      <c r="BK106" s="45">
        <f>[2]Districts_Boroughs!CU260</f>
        <v>43</v>
      </c>
      <c r="BL106" s="45">
        <f>[2]Districts_Boroughs!CV260</f>
        <v>60</v>
      </c>
      <c r="BM106" s="45">
        <f>[2]Districts_Boroughs!CW260</f>
        <v>64</v>
      </c>
      <c r="BN106" s="45">
        <f>[2]Districts_Boroughs!CX260</f>
        <v>58</v>
      </c>
      <c r="BO106" s="45">
        <f>[2]Districts_Boroughs!CY260</f>
        <v>73</v>
      </c>
      <c r="BP106" s="45">
        <f>[2]Districts_Boroughs!CZ260</f>
        <v>79</v>
      </c>
      <c r="BQ106" s="45">
        <f>[2]Districts_Boroughs!DA260</f>
        <v>82</v>
      </c>
      <c r="BR106" s="45">
        <f>[2]Districts_Boroughs!DB260</f>
        <v>47</v>
      </c>
      <c r="BS106" s="45">
        <f>[2]Districts_Boroughs!DC260</f>
        <v>67</v>
      </c>
      <c r="BT106" s="45">
        <f>[2]Districts_Boroughs!DD260</f>
        <v>52</v>
      </c>
      <c r="BU106" s="45">
        <f>[2]Districts_Boroughs!DE260</f>
        <v>66</v>
      </c>
      <c r="BV106" s="45">
        <f>[2]Districts_Boroughs!DF260</f>
        <v>75</v>
      </c>
      <c r="BW106" s="45">
        <f>[2]Districts_Boroughs!DG260</f>
        <v>48</v>
      </c>
      <c r="BX106" s="45">
        <f>[2]Districts_Boroughs!DH260</f>
        <v>64</v>
      </c>
      <c r="BY106" s="45">
        <f>[2]Districts_Boroughs!DI260</f>
        <v>56</v>
      </c>
      <c r="BZ106" s="45">
        <f>[2]Districts_Boroughs!DJ260</f>
        <v>37</v>
      </c>
      <c r="CA106" s="45">
        <f>[2]Districts_Boroughs!DK260</f>
        <v>55</v>
      </c>
      <c r="CB106" s="45">
        <f>[2]Districts_Boroughs!DL260</f>
        <v>66</v>
      </c>
      <c r="CC106" s="45">
        <f>[2]Districts_Boroughs!DM260</f>
        <v>65</v>
      </c>
      <c r="CD106" s="45">
        <f>[2]Districts_Boroughs!DN260</f>
        <v>66</v>
      </c>
      <c r="CE106" s="45">
        <f>[2]Districts_Boroughs!DO260</f>
        <v>63</v>
      </c>
      <c r="CF106" s="45">
        <f>[2]Districts_Boroughs!DP260</f>
        <v>55</v>
      </c>
      <c r="CG106" s="45">
        <f>[2]Districts_Boroughs!DQ260</f>
        <v>48</v>
      </c>
      <c r="CH106" s="45">
        <f>[2]Districts_Boroughs!DR260</f>
        <v>56</v>
      </c>
      <c r="CI106" s="45">
        <f>[2]Districts_Boroughs!DS260</f>
        <v>74</v>
      </c>
      <c r="CJ106" s="45">
        <f>[2]Districts_Boroughs!DT260</f>
        <v>60</v>
      </c>
      <c r="CK106" s="45">
        <f>[2]Districts_Boroughs!DU260</f>
        <v>73</v>
      </c>
      <c r="CL106" s="45">
        <f>[2]Districts_Boroughs!DV260</f>
        <v>45</v>
      </c>
      <c r="CM106" s="45">
        <f>[2]Districts_Boroughs!DW260</f>
        <v>63</v>
      </c>
      <c r="CN106" s="45">
        <f>[2]Districts_Boroughs!DX260</f>
        <v>63</v>
      </c>
      <c r="CO106" s="45">
        <f>[2]Districts_Boroughs!DY260</f>
        <v>59</v>
      </c>
      <c r="CP106" s="45">
        <f>[2]Districts_Boroughs!DZ260</f>
        <v>59</v>
      </c>
      <c r="CQ106" s="45">
        <f>[2]Districts_Boroughs!EA260</f>
        <v>80</v>
      </c>
      <c r="CR106" s="45">
        <f>[2]Districts_Boroughs!EB260</f>
        <v>59</v>
      </c>
      <c r="CS106" s="45">
        <f>[2]Districts_Boroughs!EC260</f>
        <v>86</v>
      </c>
    </row>
    <row r="107" spans="1:97" x14ac:dyDescent="0.35">
      <c r="A107" s="93" t="s">
        <v>149</v>
      </c>
      <c r="B107" s="64">
        <f t="shared" ref="B107:M107" si="727">B103+B105</f>
        <v>16</v>
      </c>
      <c r="C107" s="64">
        <f t="shared" si="727"/>
        <v>36</v>
      </c>
      <c r="D107" s="64">
        <f t="shared" si="727"/>
        <v>35</v>
      </c>
      <c r="E107" s="64">
        <f t="shared" si="727"/>
        <v>47</v>
      </c>
      <c r="F107" s="64">
        <f t="shared" si="727"/>
        <v>39</v>
      </c>
      <c r="G107" s="64">
        <f t="shared" si="727"/>
        <v>30</v>
      </c>
      <c r="H107" s="64">
        <f t="shared" si="727"/>
        <v>25</v>
      </c>
      <c r="I107" s="64">
        <f t="shared" si="727"/>
        <v>39</v>
      </c>
      <c r="J107" s="64">
        <f t="shared" si="727"/>
        <v>30</v>
      </c>
      <c r="K107" s="64">
        <f t="shared" si="727"/>
        <v>28</v>
      </c>
      <c r="L107" s="64">
        <f t="shared" si="727"/>
        <v>26</v>
      </c>
      <c r="M107" s="64">
        <f t="shared" si="727"/>
        <v>35</v>
      </c>
      <c r="N107" s="64">
        <f>N103+N105</f>
        <v>24</v>
      </c>
      <c r="O107">
        <f>O103+O105</f>
        <v>30</v>
      </c>
      <c r="P107" s="64">
        <f t="shared" ref="P107:AK107" si="728">P103+P105</f>
        <v>24</v>
      </c>
      <c r="Q107" s="64">
        <f t="shared" si="728"/>
        <v>34</v>
      </c>
      <c r="R107" s="64">
        <f t="shared" si="728"/>
        <v>43</v>
      </c>
      <c r="S107" s="64">
        <f t="shared" si="728"/>
        <v>34</v>
      </c>
      <c r="T107" s="64">
        <f t="shared" si="728"/>
        <v>35</v>
      </c>
      <c r="U107" s="64">
        <f t="shared" si="728"/>
        <v>24</v>
      </c>
      <c r="V107" s="64">
        <f t="shared" si="728"/>
        <v>31</v>
      </c>
      <c r="W107" s="64">
        <f t="shared" si="728"/>
        <v>24</v>
      </c>
      <c r="X107" s="64">
        <f t="shared" si="728"/>
        <v>20</v>
      </c>
      <c r="Y107" s="64">
        <f t="shared" si="728"/>
        <v>26</v>
      </c>
      <c r="Z107" s="64">
        <f t="shared" si="728"/>
        <v>27</v>
      </c>
      <c r="AA107" s="64">
        <f t="shared" si="728"/>
        <v>22</v>
      </c>
      <c r="AB107" s="64">
        <f t="shared" si="728"/>
        <v>37</v>
      </c>
      <c r="AC107" s="64">
        <f t="shared" si="728"/>
        <v>26</v>
      </c>
      <c r="AD107" s="64">
        <f t="shared" si="728"/>
        <v>26</v>
      </c>
      <c r="AE107" s="64">
        <f t="shared" si="728"/>
        <v>30</v>
      </c>
      <c r="AF107" s="64">
        <f t="shared" si="728"/>
        <v>30</v>
      </c>
      <c r="AG107" s="64">
        <f t="shared" si="728"/>
        <v>30</v>
      </c>
      <c r="AH107" s="64">
        <f t="shared" si="728"/>
        <v>20</v>
      </c>
      <c r="AI107" s="64">
        <f t="shared" si="728"/>
        <v>22</v>
      </c>
      <c r="AJ107" s="64">
        <f t="shared" si="728"/>
        <v>17</v>
      </c>
      <c r="AK107" s="64">
        <f t="shared" si="728"/>
        <v>22</v>
      </c>
      <c r="AL107" s="64">
        <f t="shared" ref="AL107:AW107" si="729">AL103+AL105</f>
        <v>20</v>
      </c>
      <c r="AM107" s="64">
        <f t="shared" si="729"/>
        <v>19</v>
      </c>
      <c r="AN107" s="64">
        <f t="shared" si="729"/>
        <v>22</v>
      </c>
      <c r="AO107" s="64">
        <f t="shared" si="729"/>
        <v>27</v>
      </c>
      <c r="AP107" s="64">
        <f t="shared" si="729"/>
        <v>17</v>
      </c>
      <c r="AQ107" s="64">
        <f t="shared" si="729"/>
        <v>20</v>
      </c>
      <c r="AR107" s="64">
        <f t="shared" si="729"/>
        <v>16</v>
      </c>
      <c r="AS107" s="64">
        <f t="shared" si="729"/>
        <v>20</v>
      </c>
      <c r="AT107" s="64">
        <f t="shared" si="729"/>
        <v>21</v>
      </c>
      <c r="AU107" s="64">
        <f t="shared" si="729"/>
        <v>25</v>
      </c>
      <c r="AV107" s="64">
        <f t="shared" si="729"/>
        <v>23</v>
      </c>
      <c r="AW107" s="64">
        <f t="shared" si="729"/>
        <v>31</v>
      </c>
      <c r="AX107" s="64">
        <f t="shared" ref="AX107:BI107" si="730">AX103+AX105</f>
        <v>14</v>
      </c>
      <c r="AY107" s="64">
        <f t="shared" si="730"/>
        <v>21</v>
      </c>
      <c r="AZ107" s="64">
        <f t="shared" si="730"/>
        <v>16</v>
      </c>
      <c r="BA107" s="64">
        <f t="shared" si="730"/>
        <v>31</v>
      </c>
      <c r="BB107" s="64">
        <f t="shared" si="730"/>
        <v>25</v>
      </c>
      <c r="BC107" s="64">
        <f t="shared" si="730"/>
        <v>25</v>
      </c>
      <c r="BD107" s="64">
        <f t="shared" si="730"/>
        <v>27</v>
      </c>
      <c r="BE107" s="64">
        <f t="shared" si="730"/>
        <v>32</v>
      </c>
      <c r="BF107" s="64">
        <f t="shared" si="730"/>
        <v>33</v>
      </c>
      <c r="BG107" s="64">
        <f t="shared" si="730"/>
        <v>31</v>
      </c>
      <c r="BH107" s="64">
        <f t="shared" si="730"/>
        <v>29</v>
      </c>
      <c r="BI107" s="64">
        <f t="shared" si="730"/>
        <v>34</v>
      </c>
      <c r="BJ107" s="64">
        <f t="shared" ref="BJ107:BW107" si="731">BJ103+BJ105</f>
        <v>26</v>
      </c>
      <c r="BK107" s="64">
        <f t="shared" si="731"/>
        <v>16</v>
      </c>
      <c r="BL107" s="64">
        <f t="shared" si="731"/>
        <v>28</v>
      </c>
      <c r="BM107" s="64">
        <f t="shared" si="731"/>
        <v>46</v>
      </c>
      <c r="BN107" s="64">
        <f t="shared" si="731"/>
        <v>41</v>
      </c>
      <c r="BO107" s="64">
        <f t="shared" si="731"/>
        <v>39</v>
      </c>
      <c r="BP107" s="64">
        <f t="shared" si="731"/>
        <v>33</v>
      </c>
      <c r="BQ107" s="64">
        <f t="shared" si="731"/>
        <v>26</v>
      </c>
      <c r="BR107" s="64">
        <f t="shared" si="731"/>
        <v>28</v>
      </c>
      <c r="BS107" s="64">
        <f t="shared" si="731"/>
        <v>29</v>
      </c>
      <c r="BT107" s="64">
        <f t="shared" si="731"/>
        <v>34</v>
      </c>
      <c r="BU107" s="64">
        <f t="shared" si="731"/>
        <v>45</v>
      </c>
      <c r="BV107" s="64">
        <f t="shared" si="731"/>
        <v>49</v>
      </c>
      <c r="BW107" s="64">
        <f t="shared" si="731"/>
        <v>38</v>
      </c>
      <c r="BX107" s="64">
        <f t="shared" ref="BX107:CG107" si="732">BX103+BX105</f>
        <v>29</v>
      </c>
      <c r="BY107" s="64">
        <f t="shared" si="732"/>
        <v>30</v>
      </c>
      <c r="BZ107" s="64">
        <f t="shared" si="732"/>
        <v>32</v>
      </c>
      <c r="CA107" s="64">
        <f t="shared" si="732"/>
        <v>31</v>
      </c>
      <c r="CB107" s="64">
        <f t="shared" si="732"/>
        <v>34</v>
      </c>
      <c r="CC107" s="64">
        <f t="shared" si="732"/>
        <v>26</v>
      </c>
      <c r="CD107" s="64">
        <f t="shared" si="732"/>
        <v>20</v>
      </c>
      <c r="CE107" s="64">
        <f t="shared" si="732"/>
        <v>38</v>
      </c>
      <c r="CF107" s="64">
        <f t="shared" si="732"/>
        <v>28</v>
      </c>
      <c r="CG107" s="64">
        <f t="shared" si="732"/>
        <v>43</v>
      </c>
      <c r="CH107" s="64">
        <f t="shared" ref="CH107:CS107" si="733">CH103+CH105</f>
        <v>31</v>
      </c>
      <c r="CI107" s="64">
        <f t="shared" si="733"/>
        <v>40</v>
      </c>
      <c r="CJ107" s="64">
        <f t="shared" si="733"/>
        <v>36</v>
      </c>
      <c r="CK107" s="64">
        <f t="shared" si="733"/>
        <v>24</v>
      </c>
      <c r="CL107" s="64">
        <f t="shared" si="733"/>
        <v>29</v>
      </c>
      <c r="CM107" s="64">
        <f t="shared" si="733"/>
        <v>33</v>
      </c>
      <c r="CN107" s="64">
        <f t="shared" si="733"/>
        <v>36</v>
      </c>
      <c r="CO107" s="64">
        <f t="shared" si="733"/>
        <v>34</v>
      </c>
      <c r="CP107" s="64">
        <f t="shared" si="733"/>
        <v>46</v>
      </c>
      <c r="CQ107" s="64">
        <f t="shared" si="733"/>
        <v>50</v>
      </c>
      <c r="CR107" s="64">
        <f t="shared" si="733"/>
        <v>32</v>
      </c>
      <c r="CS107" s="64">
        <f t="shared" si="733"/>
        <v>41</v>
      </c>
    </row>
    <row r="108" spans="1:97" x14ac:dyDescent="0.35">
      <c r="A108" s="93" t="s">
        <v>68</v>
      </c>
      <c r="B108">
        <f>[2]ASB!AL54</f>
        <v>82</v>
      </c>
      <c r="C108" s="64">
        <f>[2]ASB!AM54</f>
        <v>85</v>
      </c>
      <c r="D108" s="64">
        <f>[2]ASB!AN54</f>
        <v>89</v>
      </c>
      <c r="E108" s="64">
        <f>[2]ASB!AO54</f>
        <v>98</v>
      </c>
      <c r="F108" s="64">
        <f>[2]ASB!AP54</f>
        <v>74</v>
      </c>
      <c r="G108" s="64">
        <f>[2]ASB!AQ54</f>
        <v>80</v>
      </c>
      <c r="H108" s="64">
        <f>[2]ASB!AR54</f>
        <v>72</v>
      </c>
      <c r="I108" s="64">
        <f>[2]ASB!AS54</f>
        <v>71</v>
      </c>
      <c r="J108" s="64">
        <f>[2]ASB!AT54</f>
        <v>69</v>
      </c>
      <c r="K108" s="64">
        <f>[2]ASB!AU54</f>
        <v>74</v>
      </c>
      <c r="L108" s="64">
        <f>[2]ASB!AV54</f>
        <v>59</v>
      </c>
      <c r="M108" s="64">
        <f>[2]ASB!AW54</f>
        <v>67</v>
      </c>
      <c r="N108" s="64">
        <f>[2]ASB!AX54</f>
        <v>79</v>
      </c>
      <c r="O108" s="64">
        <f>[2]ASB!AY54</f>
        <v>106</v>
      </c>
      <c r="P108" s="64">
        <f>[2]ASB!AZ54</f>
        <v>98</v>
      </c>
      <c r="Q108" s="64">
        <f>[2]ASB!BA54</f>
        <v>93</v>
      </c>
      <c r="R108" s="64">
        <f>[2]ASB!BB54</f>
        <v>85</v>
      </c>
      <c r="S108" s="64">
        <f>[2]ASB!BC54</f>
        <v>100</v>
      </c>
      <c r="T108" s="64">
        <f>[2]ASB!BD54</f>
        <v>82</v>
      </c>
      <c r="U108" s="64">
        <f>[2]ASB!BE54</f>
        <v>59</v>
      </c>
      <c r="V108" s="64">
        <f>[2]ASB!BF54</f>
        <v>45</v>
      </c>
      <c r="W108" s="64">
        <f>[2]ASB!BG54</f>
        <v>42</v>
      </c>
      <c r="X108" s="64">
        <f>[2]ASB!BH54</f>
        <v>58</v>
      </c>
      <c r="Y108" s="64">
        <f>[2]ASB!BI54</f>
        <v>72</v>
      </c>
      <c r="Z108" s="64">
        <f>[2]ASB!BJ54</f>
        <v>68</v>
      </c>
      <c r="AA108" s="64">
        <f>[2]ASB!BK54</f>
        <v>81</v>
      </c>
      <c r="AB108" s="64">
        <f>[2]ASB!BL54</f>
        <v>76</v>
      </c>
      <c r="AC108" s="64">
        <f>[2]ASB!BM54</f>
        <v>57</v>
      </c>
      <c r="AD108" s="64">
        <f>[2]ASB!BN54</f>
        <v>55</v>
      </c>
      <c r="AE108" s="64">
        <f>[2]ASB!BO54</f>
        <v>63</v>
      </c>
      <c r="AF108" s="64">
        <f>[2]ASB!BP54</f>
        <v>53</v>
      </c>
      <c r="AG108" s="64">
        <f>[2]ASB!BQ54</f>
        <v>38</v>
      </c>
      <c r="AH108" s="64">
        <f>[2]ASB!BR54</f>
        <v>45</v>
      </c>
      <c r="AI108" s="64">
        <f>[2]ASB!BS54</f>
        <v>58</v>
      </c>
      <c r="AJ108" s="64">
        <f>[2]ASB!BT54</f>
        <v>39</v>
      </c>
      <c r="AK108" s="64">
        <f>[2]ASB!BU54</f>
        <v>60</v>
      </c>
      <c r="AL108" s="64">
        <f>[2]ASB!BV54</f>
        <v>149</v>
      </c>
      <c r="AM108" s="64">
        <f>[2]ASB!BW54</f>
        <v>116</v>
      </c>
      <c r="AN108" s="64">
        <f>[2]ASB!BX54</f>
        <v>82</v>
      </c>
      <c r="AO108" s="64">
        <f>[2]ASB!BY54</f>
        <v>88</v>
      </c>
      <c r="AP108" s="64">
        <f>[2]ASB!BZ54</f>
        <v>81</v>
      </c>
      <c r="AQ108" s="64">
        <f>[2]ASB!CA54</f>
        <v>75</v>
      </c>
      <c r="AR108" s="64">
        <f>[2]ASB!CB54</f>
        <v>52</v>
      </c>
      <c r="AS108" s="64">
        <f>[2]ASB!CC54</f>
        <v>65</v>
      </c>
      <c r="AT108" s="64">
        <f>[2]ASB!CD54</f>
        <v>39</v>
      </c>
      <c r="AU108" s="64">
        <f>[2]ASB!CE54</f>
        <v>56</v>
      </c>
      <c r="AV108" s="64">
        <f>[2]ASB!CF54</f>
        <v>63</v>
      </c>
      <c r="AW108" s="64">
        <f>[2]ASB!CG54</f>
        <v>58</v>
      </c>
      <c r="AX108" s="64">
        <f>[2]ASB!CH54</f>
        <v>89</v>
      </c>
      <c r="AY108" s="64">
        <f>[2]ASB!CI54</f>
        <v>61</v>
      </c>
      <c r="AZ108" s="64">
        <f>[2]ASB!CJ54</f>
        <v>68</v>
      </c>
      <c r="BA108" s="64">
        <f>[2]ASB!CK54</f>
        <v>81</v>
      </c>
      <c r="BB108" s="64">
        <f>[2]ASB!CL54</f>
        <v>61</v>
      </c>
      <c r="BC108" s="64">
        <f>[2]ASB!CM54</f>
        <v>78</v>
      </c>
      <c r="BD108" s="64">
        <f>[2]ASB!CN54</f>
        <v>77</v>
      </c>
      <c r="BE108" s="64">
        <f>[2]ASB!CO54</f>
        <v>85</v>
      </c>
      <c r="BF108" s="64">
        <f>[2]ASB!CP54</f>
        <v>68</v>
      </c>
      <c r="BG108" s="64">
        <f>[2]ASB!CQ54</f>
        <v>50</v>
      </c>
      <c r="BH108" s="64">
        <f>[2]ASB!CR54</f>
        <v>50</v>
      </c>
      <c r="BI108" s="64">
        <f>[2]ASB!CS54</f>
        <v>54</v>
      </c>
      <c r="BJ108" s="64">
        <f>[2]ASB!CT54</f>
        <v>38</v>
      </c>
      <c r="BK108" s="64">
        <f>[2]ASB!CU54</f>
        <v>59</v>
      </c>
      <c r="BL108" s="64">
        <f>[2]ASB!CV54</f>
        <v>61</v>
      </c>
      <c r="BM108" s="64">
        <f>[2]ASB!CW54</f>
        <v>58</v>
      </c>
      <c r="BN108" s="64">
        <f>[2]ASB!CX54</f>
        <v>81</v>
      </c>
      <c r="BO108" s="64">
        <f>[2]ASB!CY54</f>
        <v>70</v>
      </c>
      <c r="BP108" s="64">
        <f>[2]ASB!CZ54</f>
        <v>52</v>
      </c>
      <c r="BQ108" s="64">
        <f>[2]ASB!DA54</f>
        <v>51</v>
      </c>
      <c r="BR108" s="64">
        <f>[2]ASB!DB54</f>
        <v>47</v>
      </c>
      <c r="BS108" s="64">
        <f>[2]ASB!DC54</f>
        <v>42</v>
      </c>
      <c r="BT108" s="64">
        <f>[2]ASB!DD54</f>
        <v>50</v>
      </c>
      <c r="BU108" s="64">
        <f>[2]ASB!DE54</f>
        <v>47</v>
      </c>
      <c r="BV108" s="64">
        <f>[2]ASB!DF54</f>
        <v>40</v>
      </c>
      <c r="BW108" s="64">
        <f>[2]ASB!DG54</f>
        <v>54</v>
      </c>
      <c r="BX108" s="64">
        <f>[2]ASB!DH54</f>
        <v>56</v>
      </c>
      <c r="BY108" s="64">
        <f>[2]ASB!DI54</f>
        <v>49</v>
      </c>
      <c r="BZ108" s="64">
        <f>[2]ASB!DJ54</f>
        <v>71</v>
      </c>
      <c r="CA108" s="64">
        <f>[2]ASB!DK54</f>
        <v>86</v>
      </c>
      <c r="CB108" s="64">
        <f>[2]ASB!DL54</f>
        <v>67</v>
      </c>
      <c r="CC108" s="64">
        <f>[2]ASB!DM54</f>
        <v>79</v>
      </c>
      <c r="CD108" s="64">
        <f>[2]ASB!DN54</f>
        <v>56</v>
      </c>
      <c r="CE108" s="64">
        <f>[2]ASB!DO54</f>
        <v>72</v>
      </c>
      <c r="CF108" s="64">
        <f>[2]ASB!DP54</f>
        <v>79</v>
      </c>
      <c r="CG108" s="64">
        <f>[2]ASB!DQ54</f>
        <v>86</v>
      </c>
      <c r="CH108" s="64">
        <f>[2]ASB!DR54</f>
        <v>108</v>
      </c>
      <c r="CI108" s="64">
        <f>[2]ASB!DS54</f>
        <v>105</v>
      </c>
      <c r="CJ108" s="64">
        <f>[2]ASB!DT54</f>
        <v>93</v>
      </c>
      <c r="CK108" s="64">
        <f>[2]ASB!DU54</f>
        <v>94</v>
      </c>
      <c r="CL108" s="64">
        <f>[2]ASB!DV54</f>
        <v>84</v>
      </c>
      <c r="CM108" s="64">
        <f>[2]ASB!DW54</f>
        <v>107</v>
      </c>
      <c r="CN108" s="64">
        <f>[2]ASB!DX54</f>
        <v>87</v>
      </c>
      <c r="CO108" s="64">
        <f>[2]ASB!DY54</f>
        <v>91</v>
      </c>
      <c r="CP108" s="64">
        <f>[2]ASB!DZ54</f>
        <v>57</v>
      </c>
      <c r="CQ108" s="64">
        <f>[2]ASB!EA54</f>
        <v>75</v>
      </c>
      <c r="CR108" s="64">
        <f>[2]ASB!EB54</f>
        <v>61</v>
      </c>
      <c r="CS108" s="64">
        <f>[2]ASB!EC54</f>
        <v>0</v>
      </c>
    </row>
  </sheetData>
  <phoneticPr fontId="88" type="noConversion"/>
  <pageMargins left="0.7" right="0.7" top="0.75" bottom="0.75" header="0.3" footer="0.3"/>
  <pageSetup paperSize="9" orientation="portrait" r:id="rId1"/>
  <headerFooter>
    <oddFooter>&amp;C&amp;1#&amp;"Calibri"&amp;10&amp;K000000OFFICIAL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29"/>
  <sheetViews>
    <sheetView showGridLines="0" topLeftCell="A31" zoomScale="90" zoomScaleNormal="90" workbookViewId="0">
      <selection activeCell="L59" sqref="L59"/>
    </sheetView>
  </sheetViews>
  <sheetFormatPr defaultColWidth="8.84375" defaultRowHeight="15.5" x14ac:dyDescent="0.35"/>
  <cols>
    <col min="1" max="1" width="18.4609375" style="130" customWidth="1"/>
    <col min="2" max="2" width="13" style="130" customWidth="1"/>
    <col min="3" max="3" width="62.07421875" style="815" customWidth="1"/>
    <col min="4" max="4" width="8.84375" style="640"/>
    <col min="5" max="5" width="5.84375" style="640"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130"/>
    <col min="18" max="18" width="11.23046875" style="641" customWidth="1"/>
    <col min="19" max="19" width="10.6914062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9" t="s">
        <v>79</v>
      </c>
      <c r="B1" s="9"/>
      <c r="C1" s="808"/>
      <c r="D1" s="760" t="s">
        <v>30</v>
      </c>
      <c r="E1" s="102"/>
      <c r="F1" s="930"/>
      <c r="G1" s="930"/>
      <c r="H1" s="95"/>
      <c r="I1" s="930"/>
      <c r="J1" s="95"/>
      <c r="K1" s="95"/>
      <c r="L1" s="95"/>
      <c r="M1" s="95"/>
      <c r="N1" s="930"/>
      <c r="O1" s="95"/>
      <c r="P1" s="930"/>
      <c r="Q1" s="1"/>
      <c r="R1" s="7"/>
      <c r="S1" s="1"/>
      <c r="T1" s="510"/>
      <c r="U1" s="1"/>
      <c r="V1" s="1"/>
      <c r="W1" s="1"/>
      <c r="X1" s="1"/>
    </row>
    <row r="2" spans="1:24" ht="26" x14ac:dyDescent="0.6">
      <c r="A2" s="925" t="s">
        <v>499</v>
      </c>
      <c r="B2" s="6"/>
      <c r="C2" s="809"/>
      <c r="D2" s="54"/>
      <c r="E2" s="54"/>
      <c r="F2" s="465"/>
      <c r="G2" s="465"/>
      <c r="H2" s="96"/>
      <c r="I2" s="465"/>
      <c r="J2" s="96"/>
      <c r="K2" s="96"/>
      <c r="L2" s="96"/>
      <c r="M2" s="96"/>
      <c r="N2" s="465"/>
      <c r="O2" s="96"/>
      <c r="P2" s="465"/>
      <c r="Q2" s="2"/>
      <c r="R2" s="293"/>
      <c r="S2" s="2"/>
      <c r="T2" s="510"/>
      <c r="U2" s="7" t="s">
        <v>69</v>
      </c>
      <c r="V2" s="1"/>
      <c r="W2" s="1"/>
      <c r="X2" s="1"/>
    </row>
    <row r="3" spans="1:24" x14ac:dyDescent="0.35">
      <c r="A3" s="2"/>
      <c r="B3" s="2"/>
      <c r="C3" s="809"/>
      <c r="D3" s="54"/>
      <c r="E3" s="54"/>
      <c r="F3" s="465"/>
      <c r="G3" s="465"/>
      <c r="H3" s="96"/>
      <c r="I3" s="465"/>
      <c r="J3" s="96"/>
      <c r="K3" s="96"/>
      <c r="L3" s="96"/>
      <c r="M3" s="96"/>
      <c r="N3" s="465"/>
      <c r="O3" s="96"/>
      <c r="P3" s="465"/>
      <c r="Q3" s="2"/>
      <c r="R3" s="293"/>
      <c r="S3" s="2"/>
      <c r="T3" s="510"/>
      <c r="U3" s="1"/>
      <c r="V3" s="1"/>
      <c r="W3" s="1"/>
      <c r="X3" s="1"/>
    </row>
    <row r="4" spans="1:24" ht="54" customHeight="1" x14ac:dyDescent="0.35">
      <c r="A4" s="1066" t="s">
        <v>492</v>
      </c>
      <c r="B4" s="791" t="s">
        <v>437</v>
      </c>
      <c r="C4" s="14" t="s">
        <v>1</v>
      </c>
      <c r="D4" s="996" t="s">
        <v>497</v>
      </c>
      <c r="E4" s="922" t="s">
        <v>132</v>
      </c>
      <c r="F4" s="922" t="s">
        <v>20</v>
      </c>
      <c r="G4" s="922" t="s">
        <v>21</v>
      </c>
      <c r="H4" s="922" t="s">
        <v>22</v>
      </c>
      <c r="I4" s="922" t="s">
        <v>23</v>
      </c>
      <c r="J4" s="922" t="s">
        <v>24</v>
      </c>
      <c r="K4" s="922" t="s">
        <v>25</v>
      </c>
      <c r="L4" s="922" t="s">
        <v>26</v>
      </c>
      <c r="M4" s="922" t="s">
        <v>27</v>
      </c>
      <c r="N4" s="922" t="s">
        <v>28</v>
      </c>
      <c r="O4" s="922" t="s">
        <v>29</v>
      </c>
      <c r="P4" s="922" t="s">
        <v>30</v>
      </c>
      <c r="Q4" s="923" t="s">
        <v>32</v>
      </c>
      <c r="R4" s="997" t="s">
        <v>498</v>
      </c>
      <c r="S4" s="924" t="s">
        <v>351</v>
      </c>
      <c r="T4" s="510"/>
      <c r="U4" s="1"/>
      <c r="V4" s="1"/>
      <c r="W4" s="1"/>
      <c r="X4" s="1"/>
    </row>
    <row r="5" spans="1:24" ht="26.25" customHeight="1" x14ac:dyDescent="0.35">
      <c r="A5" s="1198" t="s">
        <v>428</v>
      </c>
      <c r="B5" s="1195" t="s">
        <v>438</v>
      </c>
      <c r="C5" s="792" t="s">
        <v>2</v>
      </c>
      <c r="D5" s="843">
        <f>'year end'!AD5</f>
        <v>4858</v>
      </c>
      <c r="E5" s="844">
        <f>Masterlist!AN6</f>
        <v>408</v>
      </c>
      <c r="F5" s="1105">
        <f>Masterlist!AO6</f>
        <v>429</v>
      </c>
      <c r="G5" s="1105">
        <f>Masterlist!AP6</f>
        <v>432</v>
      </c>
      <c r="H5" s="1105">
        <f>Masterlist!AQ6</f>
        <v>479</v>
      </c>
      <c r="I5" s="1105">
        <f>Masterlist!AR6</f>
        <v>435</v>
      </c>
      <c r="J5" s="1105">
        <f>Masterlist!AS6</f>
        <v>351</v>
      </c>
      <c r="K5" s="1105">
        <f>Masterlist!AT6</f>
        <v>387</v>
      </c>
      <c r="L5" s="1105">
        <f>Masterlist!AU6</f>
        <v>346</v>
      </c>
      <c r="M5" s="1105">
        <f>Masterlist!AV6</f>
        <v>424</v>
      </c>
      <c r="N5" s="1105">
        <f>Masterlist!AW6</f>
        <v>369</v>
      </c>
      <c r="O5" s="1105">
        <f>Masterlist!AX6</f>
        <v>332</v>
      </c>
      <c r="P5" s="1105">
        <f>Masterlist!AY6</f>
        <v>418</v>
      </c>
      <c r="Q5" s="854">
        <f t="shared" ref="Q5:Q39" si="0">SUM(E5:P5)</f>
        <v>4810</v>
      </c>
      <c r="R5" s="845">
        <f>(Q5-(HLOOKUP($D$1,yearendcumulative,4,FALSE)))/(HLOOKUP($D$1,yearendcumulative,4,FALSE))</f>
        <v>-9.8806093042404283E-3</v>
      </c>
      <c r="S5" s="846">
        <f>(Q5-(HLOOKUP($D$1,Monthlyaveragecumulative,4,FALSE)))/(HLOOKUP($D$1,Monthlyaveragecumulative,4,FALSE))</f>
        <v>9.1693145710394913E-2</v>
      </c>
      <c r="T5" s="510"/>
      <c r="U5" s="1"/>
      <c r="V5" s="1"/>
      <c r="W5" s="1"/>
      <c r="X5" s="1"/>
    </row>
    <row r="6" spans="1:24" x14ac:dyDescent="0.35">
      <c r="A6" s="1198"/>
      <c r="B6" s="1195"/>
      <c r="C6" s="793" t="s">
        <v>3</v>
      </c>
      <c r="D6" s="847">
        <f>'year end'!AD25</f>
        <v>1641</v>
      </c>
      <c r="E6" s="848">
        <f>Masterlist!AN24</f>
        <v>133</v>
      </c>
      <c r="F6" s="849">
        <f>Masterlist!AO24</f>
        <v>142</v>
      </c>
      <c r="G6" s="849">
        <f>Masterlist!AP24</f>
        <v>143</v>
      </c>
      <c r="H6" s="849">
        <f>Masterlist!AQ24</f>
        <v>154</v>
      </c>
      <c r="I6" s="849">
        <f>Masterlist!AR24</f>
        <v>145</v>
      </c>
      <c r="J6" s="849">
        <f>Masterlist!AS24</f>
        <v>100</v>
      </c>
      <c r="K6" s="849">
        <f>Masterlist!AT24</f>
        <v>108</v>
      </c>
      <c r="L6" s="849">
        <f>Masterlist!AU24</f>
        <v>119</v>
      </c>
      <c r="M6" s="849">
        <f>Masterlist!AV24</f>
        <v>139</v>
      </c>
      <c r="N6" s="849">
        <f>Masterlist!AW24</f>
        <v>127</v>
      </c>
      <c r="O6" s="849">
        <f>Masterlist!AX24</f>
        <v>134</v>
      </c>
      <c r="P6" s="849">
        <f>Masterlist!AY24</f>
        <v>128</v>
      </c>
      <c r="Q6" s="858">
        <f>SUM(E6:P6)</f>
        <v>1572</v>
      </c>
      <c r="R6" s="850">
        <f>(Q6-(HLOOKUP($D$1,yearendcumulative,24,FALSE)))/(HLOOKUP($D$1,yearendcumulative,24,FALSE))</f>
        <v>-4.2047531992687383E-2</v>
      </c>
      <c r="S6" s="846">
        <f>(Q6-(HLOOKUP($D$1,Monthlyaveragecumulative,24,FALSE)))/(HLOOKUP($D$1,Monthlyaveragecumulative,24,FALSE))</f>
        <v>-5.4720384846662661E-2</v>
      </c>
      <c r="T6" s="510"/>
      <c r="U6" s="1"/>
      <c r="V6" s="1"/>
      <c r="W6" s="1"/>
      <c r="X6" s="1"/>
    </row>
    <row r="7" spans="1:24" x14ac:dyDescent="0.35">
      <c r="A7" s="1198"/>
      <c r="B7" s="1195"/>
      <c r="C7" s="806" t="s">
        <v>235</v>
      </c>
      <c r="D7" s="851">
        <f>D6/D5</f>
        <v>0.33779333058871963</v>
      </c>
      <c r="E7" s="852">
        <f>E6/E5</f>
        <v>0.32598039215686275</v>
      </c>
      <c r="F7" s="1106">
        <f t="shared" ref="F7" si="1">F6/F5</f>
        <v>0.33100233100233101</v>
      </c>
      <c r="G7" s="1106">
        <f t="shared" ref="G7:P7" si="2">G6/G5</f>
        <v>0.33101851851851855</v>
      </c>
      <c r="H7" s="1106">
        <f t="shared" si="2"/>
        <v>0.32150313152400833</v>
      </c>
      <c r="I7" s="1106">
        <f t="shared" si="2"/>
        <v>0.33333333333333331</v>
      </c>
      <c r="J7" s="1106">
        <f t="shared" si="2"/>
        <v>0.28490028490028491</v>
      </c>
      <c r="K7" s="1106">
        <f t="shared" si="2"/>
        <v>0.27906976744186046</v>
      </c>
      <c r="L7" s="1106">
        <f t="shared" si="2"/>
        <v>0.34393063583815031</v>
      </c>
      <c r="M7" s="1106">
        <f t="shared" si="2"/>
        <v>0.32783018867924529</v>
      </c>
      <c r="N7" s="1106">
        <f t="shared" si="2"/>
        <v>0.34417344173441733</v>
      </c>
      <c r="O7" s="1106">
        <f t="shared" si="2"/>
        <v>0.40361445783132532</v>
      </c>
      <c r="P7" s="1106">
        <f t="shared" si="2"/>
        <v>0.30622009569377989</v>
      </c>
      <c r="Q7" s="943">
        <f t="shared" ref="Q7" si="3">Q6/Q5</f>
        <v>0.32681912681912684</v>
      </c>
      <c r="R7" s="850">
        <f>Q7-(HLOOKUP($D$1,yearendcumulative,387,FALSE))</f>
        <v>-1.0974203769592794E-2</v>
      </c>
      <c r="S7" s="846">
        <f>(Q7-(HLOOKUP($D$1,Monthlyaveragecumulative,387,FALSE)))</f>
        <v>-5.0620727924404696E-2</v>
      </c>
      <c r="T7" s="510"/>
      <c r="U7" s="1"/>
      <c r="V7" s="1"/>
      <c r="W7" s="1"/>
      <c r="X7" s="1"/>
    </row>
    <row r="8" spans="1:24" x14ac:dyDescent="0.35">
      <c r="A8" s="1198"/>
      <c r="B8" s="1195"/>
      <c r="C8" s="792" t="s">
        <v>4</v>
      </c>
      <c r="D8" s="847">
        <f>'year end'!AD6</f>
        <v>10022</v>
      </c>
      <c r="E8" s="848">
        <f>Masterlist!AN7</f>
        <v>801</v>
      </c>
      <c r="F8" s="849">
        <f>Masterlist!AO7</f>
        <v>819</v>
      </c>
      <c r="G8" s="849">
        <f>Masterlist!AP7</f>
        <v>820</v>
      </c>
      <c r="H8" s="849">
        <f>Masterlist!AQ7</f>
        <v>902</v>
      </c>
      <c r="I8" s="849">
        <f>Masterlist!AR7</f>
        <v>733</v>
      </c>
      <c r="J8" s="849">
        <f>Masterlist!AS7</f>
        <v>771</v>
      </c>
      <c r="K8" s="849">
        <f>Masterlist!AT7</f>
        <v>773</v>
      </c>
      <c r="L8" s="849">
        <f>Masterlist!AU7</f>
        <v>742</v>
      </c>
      <c r="M8" s="849">
        <f>Masterlist!AV7</f>
        <v>803</v>
      </c>
      <c r="N8" s="849">
        <f>Masterlist!AW7</f>
        <v>785</v>
      </c>
      <c r="O8" s="849">
        <f>Masterlist!AX7</f>
        <v>764</v>
      </c>
      <c r="P8" s="849">
        <f>Masterlist!AY7</f>
        <v>792</v>
      </c>
      <c r="Q8" s="858">
        <f t="shared" si="0"/>
        <v>9505</v>
      </c>
      <c r="R8" s="850">
        <f>(Q8-(HLOOKUP($D$1,yearendcumulative,5,FALSE)))/(HLOOKUP($D$1,yearendcumulative,5,FALSE))</f>
        <v>-5.1586509678706843E-2</v>
      </c>
      <c r="S8" s="846">
        <f>(Q8-(HLOOKUP($D$1,Monthlyaveragecumulative,5,FALSE)))/(HLOOKUP($D$1,Monthlyaveragecumulative,5,FALSE))</f>
        <v>-3.1584309730005096E-2</v>
      </c>
      <c r="T8" s="510"/>
      <c r="U8" s="1"/>
      <c r="V8" s="1"/>
      <c r="W8" s="1"/>
      <c r="X8" s="1"/>
    </row>
    <row r="9" spans="1:24" x14ac:dyDescent="0.35">
      <c r="A9" s="1198"/>
      <c r="B9" s="1195"/>
      <c r="C9" s="793" t="s">
        <v>158</v>
      </c>
      <c r="D9" s="847">
        <f>'year end'!AD26</f>
        <v>3590</v>
      </c>
      <c r="E9" s="848">
        <f>Masterlist!AN25</f>
        <v>313</v>
      </c>
      <c r="F9" s="849">
        <f>Masterlist!AO25</f>
        <v>280</v>
      </c>
      <c r="G9" s="849">
        <f>Masterlist!AP25</f>
        <v>289</v>
      </c>
      <c r="H9" s="849">
        <f>Masterlist!AQ25</f>
        <v>320</v>
      </c>
      <c r="I9" s="849">
        <f>Masterlist!AR25</f>
        <v>318</v>
      </c>
      <c r="J9" s="849">
        <f>Masterlist!AS25</f>
        <v>279</v>
      </c>
      <c r="K9" s="849">
        <f>Masterlist!AT25</f>
        <v>269</v>
      </c>
      <c r="L9" s="849">
        <f>Masterlist!AU25</f>
        <v>268</v>
      </c>
      <c r="M9" s="849">
        <f>Masterlist!AV25</f>
        <v>325</v>
      </c>
      <c r="N9" s="849">
        <f>Masterlist!AW25</f>
        <v>293</v>
      </c>
      <c r="O9" s="849">
        <f>Masterlist!AX25</f>
        <v>311</v>
      </c>
      <c r="P9" s="849">
        <f>Masterlist!AY25</f>
        <v>306</v>
      </c>
      <c r="Q9" s="858">
        <f t="shared" si="0"/>
        <v>3571</v>
      </c>
      <c r="R9" s="850">
        <f>(Q9-(HLOOKUP($D$1,yearendcumulative,25,FALSE)))/(HLOOKUP($D$1,yearendcumulative,25,FALSE))</f>
        <v>-5.2924791086350976E-3</v>
      </c>
      <c r="S9" s="846">
        <f>(Q9-(HLOOKUP($D$1,Monthlyaveragecumulative,25,FALSE)))/(HLOOKUP($D$1,Monthlyaveragecumulative,25,FALSE))</f>
        <v>-0.11080677290836653</v>
      </c>
      <c r="T9" s="510"/>
      <c r="U9" s="1"/>
      <c r="V9" s="1"/>
      <c r="W9" s="1"/>
      <c r="X9" s="1"/>
    </row>
    <row r="10" spans="1:24" x14ac:dyDescent="0.35">
      <c r="A10" s="1198"/>
      <c r="B10" s="1195"/>
      <c r="C10" s="806" t="s">
        <v>236</v>
      </c>
      <c r="D10" s="851">
        <f>D9/D8</f>
        <v>0.35821193374575933</v>
      </c>
      <c r="E10" s="852">
        <f>E9/E8</f>
        <v>0.39076154806491886</v>
      </c>
      <c r="F10" s="1106">
        <f t="shared" ref="F10" si="4">F9/F8</f>
        <v>0.34188034188034189</v>
      </c>
      <c r="G10" s="1106">
        <f t="shared" ref="G10:P10" si="5">G9/G8</f>
        <v>0.35243902439024388</v>
      </c>
      <c r="H10" s="1106">
        <f t="shared" si="5"/>
        <v>0.35476718403547675</v>
      </c>
      <c r="I10" s="1106">
        <f t="shared" si="5"/>
        <v>0.43383356070941337</v>
      </c>
      <c r="J10" s="1106">
        <f t="shared" si="5"/>
        <v>0.36186770428015563</v>
      </c>
      <c r="K10" s="1106">
        <f t="shared" si="5"/>
        <v>0.34799482535575677</v>
      </c>
      <c r="L10" s="1106">
        <f t="shared" si="5"/>
        <v>0.36118598382749328</v>
      </c>
      <c r="M10" s="1106">
        <f t="shared" si="5"/>
        <v>0.40473225404732255</v>
      </c>
      <c r="N10" s="1106">
        <f t="shared" si="5"/>
        <v>0.37324840764331207</v>
      </c>
      <c r="O10" s="1106">
        <f t="shared" si="5"/>
        <v>0.40706806282722513</v>
      </c>
      <c r="P10" s="1106">
        <f t="shared" si="5"/>
        <v>0.38636363636363635</v>
      </c>
      <c r="Q10" s="943">
        <f t="shared" ref="Q10" si="6">Q9/Q8</f>
        <v>0.37569700157811681</v>
      </c>
      <c r="R10" s="850">
        <f>(Q10-HLOOKUP($D$1,yearendcumulative,394,FALSE))</f>
        <v>1.7485067832357482E-2</v>
      </c>
      <c r="S10" s="846">
        <f>(Q10-(HLOOKUP($D$1,Monthlyaveragecumulative,394,FALSE)))</f>
        <v>-3.3472636730594363E-2</v>
      </c>
      <c r="T10" s="510"/>
      <c r="U10" s="1"/>
      <c r="V10" s="1"/>
      <c r="W10" s="1"/>
      <c r="X10" s="1"/>
    </row>
    <row r="11" spans="1:24" x14ac:dyDescent="0.35">
      <c r="A11" s="1198"/>
      <c r="B11" s="1195"/>
      <c r="C11" s="794" t="s">
        <v>174</v>
      </c>
      <c r="D11" s="853">
        <f>'year end'!AD20</f>
        <v>1086</v>
      </c>
      <c r="E11" s="940">
        <f>Masterlist!AN20+Masterlist!AN21</f>
        <v>78</v>
      </c>
      <c r="F11" s="1107">
        <f>Masterlist!AO20+Masterlist!AO21</f>
        <v>111</v>
      </c>
      <c r="G11" s="1107">
        <f>Masterlist!AP20+Masterlist!AP21</f>
        <v>85</v>
      </c>
      <c r="H11" s="1107">
        <f>Masterlist!AQ20+Masterlist!AQ21</f>
        <v>83</v>
      </c>
      <c r="I11" s="1107">
        <f>Masterlist!AR20+Masterlist!AR21</f>
        <v>53</v>
      </c>
      <c r="J11" s="1107">
        <f>Masterlist!AS20+Masterlist!AS21</f>
        <v>49</v>
      </c>
      <c r="K11" s="1107">
        <f>Masterlist!AT20+Masterlist!AT21</f>
        <v>73</v>
      </c>
      <c r="L11" s="1107">
        <f>Masterlist!AU20+Masterlist!AU21</f>
        <v>71</v>
      </c>
      <c r="M11" s="1107">
        <f>Masterlist!AV20+Masterlist!AV21</f>
        <v>63</v>
      </c>
      <c r="N11" s="1107">
        <f>Masterlist!AW20+Masterlist!AW21</f>
        <v>70</v>
      </c>
      <c r="O11" s="1107">
        <f>Masterlist!AX20+Masterlist!AX21</f>
        <v>60</v>
      </c>
      <c r="P11" s="1107">
        <f>Masterlist!AY20+Masterlist!AY21</f>
        <v>53</v>
      </c>
      <c r="Q11" s="854">
        <f>SUM(E11:P11)</f>
        <v>849</v>
      </c>
      <c r="R11" s="855">
        <f>(Q11-(HLOOKUP($D$1,yearendcumulative,19,FALSE)))/(HLOOKUP($D$1,yearendcumulative,19,FALSE))</f>
        <v>-0.21823204419889503</v>
      </c>
      <c r="S11" s="855">
        <f>(Q11-(HLOOKUP($D$1,Monthlyaveragecumulative,19,FALSE)))/(HLOOKUP($D$1,Monthlyaveragecumulative,19,FALSE))</f>
        <v>-0.41488628532046862</v>
      </c>
      <c r="T11" s="510"/>
      <c r="U11" s="1"/>
      <c r="V11" s="1"/>
      <c r="W11" s="1"/>
      <c r="X11" s="1"/>
    </row>
    <row r="12" spans="1:24" ht="15" customHeight="1" x14ac:dyDescent="0.35">
      <c r="A12" s="1198"/>
      <c r="B12" s="1195"/>
      <c r="C12" s="795" t="s">
        <v>173</v>
      </c>
      <c r="D12" s="856">
        <f>'year end'!AD23</f>
        <v>79</v>
      </c>
      <c r="E12" s="941">
        <f>Masterlist!AN22+Masterlist!AN23</f>
        <v>8</v>
      </c>
      <c r="F12" s="1108">
        <f>Masterlist!AO22+Masterlist!AO23</f>
        <v>11</v>
      </c>
      <c r="G12" s="1108">
        <f>Masterlist!AP22+Masterlist!AP23</f>
        <v>8</v>
      </c>
      <c r="H12" s="1108">
        <f>Masterlist!AQ22+Masterlist!AQ23</f>
        <v>11</v>
      </c>
      <c r="I12" s="1108">
        <f>Masterlist!AR22+Masterlist!AR23</f>
        <v>4</v>
      </c>
      <c r="J12" s="1108">
        <f>Masterlist!AS22+Masterlist!AS23</f>
        <v>4</v>
      </c>
      <c r="K12" s="1108">
        <f>Masterlist!AT22+Masterlist!AT23</f>
        <v>2</v>
      </c>
      <c r="L12" s="1108">
        <f>Masterlist!AU22+Masterlist!AU23</f>
        <v>4</v>
      </c>
      <c r="M12" s="1108">
        <f>Masterlist!AV22+Masterlist!AV23</f>
        <v>6</v>
      </c>
      <c r="N12" s="1108">
        <f>Masterlist!AW22+Masterlist!AW23</f>
        <v>4</v>
      </c>
      <c r="O12" s="1108">
        <f>Masterlist!AX22+Masterlist!AX23</f>
        <v>3</v>
      </c>
      <c r="P12" s="1108">
        <f>Masterlist!AY22+Masterlist!AY23</f>
        <v>2</v>
      </c>
      <c r="Q12" s="858">
        <f>SUM(E12:P12)</f>
        <v>67</v>
      </c>
      <c r="R12" s="860">
        <f>(Q12-(HLOOKUP($D$1,yearendcumulative,22,FALSE)))/(HLOOKUP($D$1,yearendcumulative,22,FALSE))</f>
        <v>-0.15189873417721519</v>
      </c>
      <c r="S12" s="846">
        <f>(Q12-(HLOOKUP($D$1,Monthlyaveragecumulative,22,FALSE)))/(HLOOKUP($D$1,Monthlyaveragecumulative,22,FALSE))</f>
        <v>-0.40707964601769914</v>
      </c>
      <c r="T12" s="510"/>
      <c r="U12" s="1"/>
      <c r="V12" s="1"/>
      <c r="W12" s="1"/>
      <c r="X12" s="1"/>
    </row>
    <row r="13" spans="1:24" x14ac:dyDescent="0.35">
      <c r="A13" s="1198"/>
      <c r="B13" s="1195"/>
      <c r="C13" s="796" t="s">
        <v>237</v>
      </c>
      <c r="D13" s="843">
        <f>'year end'!AD27</f>
        <v>317</v>
      </c>
      <c r="E13" s="848">
        <f>Masterlist!AN27</f>
        <v>21</v>
      </c>
      <c r="F13" s="849">
        <f>Masterlist!AO27</f>
        <v>29</v>
      </c>
      <c r="G13" s="849">
        <f>Masterlist!AP27</f>
        <v>20</v>
      </c>
      <c r="H13" s="849">
        <f>Masterlist!AQ27</f>
        <v>24</v>
      </c>
      <c r="I13" s="849">
        <f>Masterlist!AR27</f>
        <v>35</v>
      </c>
      <c r="J13" s="849">
        <f>Masterlist!AS27</f>
        <v>28</v>
      </c>
      <c r="K13" s="849">
        <f>Masterlist!AT27</f>
        <v>22</v>
      </c>
      <c r="L13" s="849">
        <f>Masterlist!AU27</f>
        <v>29</v>
      </c>
      <c r="M13" s="849">
        <f>Masterlist!AV27</f>
        <v>28</v>
      </c>
      <c r="N13" s="849">
        <f>Masterlist!AW27</f>
        <v>22</v>
      </c>
      <c r="O13" s="849">
        <f>Masterlist!AX27</f>
        <v>17</v>
      </c>
      <c r="P13" s="849">
        <f>Masterlist!AY27</f>
        <v>23</v>
      </c>
      <c r="Q13" s="854">
        <f t="shared" si="0"/>
        <v>298</v>
      </c>
      <c r="R13" s="850">
        <f>(Q13-(HLOOKUP($D$1,yearendcumulative,26,FALSE)))/(HLOOKUP($D$1,yearendcumulative,26,FALSE))</f>
        <v>-5.993690851735016E-2</v>
      </c>
      <c r="S13" s="846">
        <f>(Q13-(HLOOKUP($D$1,Monthlyaveragecumulative,26,FALSE)))/(HLOOKUP($D$1,Monthlyaveragecumulative,26,FALSE))</f>
        <v>6.7567567567567571E-3</v>
      </c>
      <c r="T13" s="510"/>
      <c r="U13" s="1"/>
      <c r="V13" s="1"/>
      <c r="W13" s="1"/>
      <c r="X13" s="1"/>
    </row>
    <row r="14" spans="1:24" ht="15.75" customHeight="1" x14ac:dyDescent="0.35">
      <c r="A14" s="1198"/>
      <c r="B14" s="1195"/>
      <c r="C14" s="795" t="s">
        <v>238</v>
      </c>
      <c r="D14" s="847">
        <f>'year end'!AD28</f>
        <v>179</v>
      </c>
      <c r="E14" s="848">
        <f>Masterlist!AN28</f>
        <v>13</v>
      </c>
      <c r="F14" s="849">
        <f>Masterlist!AO28</f>
        <v>19</v>
      </c>
      <c r="G14" s="849">
        <f>Masterlist!AP28</f>
        <v>23</v>
      </c>
      <c r="H14" s="849">
        <f>Masterlist!AQ28</f>
        <v>14</v>
      </c>
      <c r="I14" s="849">
        <f>Masterlist!AR28</f>
        <v>14</v>
      </c>
      <c r="J14" s="849">
        <f>Masterlist!AS28</f>
        <v>15</v>
      </c>
      <c r="K14" s="849">
        <f>Masterlist!AT28</f>
        <v>25</v>
      </c>
      <c r="L14" s="849">
        <f>Masterlist!AU28</f>
        <v>14</v>
      </c>
      <c r="M14" s="849">
        <f>Masterlist!AV28</f>
        <v>20</v>
      </c>
      <c r="N14" s="849">
        <f>Masterlist!AW28</f>
        <v>8</v>
      </c>
      <c r="O14" s="849">
        <f>Masterlist!AX28</f>
        <v>14</v>
      </c>
      <c r="P14" s="849">
        <f>Masterlist!AY28</f>
        <v>21</v>
      </c>
      <c r="Q14" s="858">
        <f t="shared" si="0"/>
        <v>200</v>
      </c>
      <c r="R14" s="859">
        <f>(Q14-(HLOOKUP($D$1,yearendcumulative,27,FALSE)))/(HLOOKUP($D$1,yearendcumulative,27,FALSE))</f>
        <v>0.11731843575418995</v>
      </c>
      <c r="S14" s="860">
        <f>(Q14-(HLOOKUP($D$1,Monthlyaveragecumulative,27,FALSE)))/(HLOOKUP($D$1,Monthlyaveragecumulative,27,FALSE))</f>
        <v>-5.6603773584905662E-2</v>
      </c>
      <c r="T14" s="510"/>
      <c r="U14" s="1"/>
      <c r="V14" s="1"/>
      <c r="W14" s="1"/>
      <c r="X14" s="1"/>
    </row>
    <row r="15" spans="1:24" ht="15.75" customHeight="1" x14ac:dyDescent="0.35">
      <c r="A15" s="1198"/>
      <c r="B15" s="1195"/>
      <c r="C15" s="797" t="s">
        <v>404</v>
      </c>
      <c r="D15" s="869">
        <f>'year end'!AD347</f>
        <v>277</v>
      </c>
      <c r="E15" s="844">
        <f>Masterlist!AN476</f>
        <v>21</v>
      </c>
      <c r="F15" s="1109">
        <f>Masterlist!AO476</f>
        <v>20</v>
      </c>
      <c r="G15" s="1109">
        <f>Masterlist!AP476</f>
        <v>20</v>
      </c>
      <c r="H15" s="1109">
        <f>Masterlist!AQ476</f>
        <v>29</v>
      </c>
      <c r="I15" s="1109">
        <f>Masterlist!AR476</f>
        <v>19</v>
      </c>
      <c r="J15" s="1109">
        <f>Masterlist!AS476</f>
        <v>20</v>
      </c>
      <c r="K15" s="1109">
        <f>Masterlist!AT476</f>
        <v>19</v>
      </c>
      <c r="L15" s="1109">
        <f>Masterlist!AU476</f>
        <v>20</v>
      </c>
      <c r="M15" s="1109">
        <f>Masterlist!AV476</f>
        <v>19</v>
      </c>
      <c r="N15" s="1109">
        <f>Masterlist!AW476</f>
        <v>24</v>
      </c>
      <c r="O15" s="1109">
        <f>Masterlist!AX476</f>
        <v>16</v>
      </c>
      <c r="P15" s="1173">
        <f>Masterlist!AY476</f>
        <v>15</v>
      </c>
      <c r="Q15" s="854">
        <f t="shared" si="0"/>
        <v>242</v>
      </c>
      <c r="R15" s="1165">
        <f>(Q15-(HLOOKUP($D$1,yearendcumulative,346,FALSE)))/(HLOOKUP($D$1,yearendcumulative,346,FALSE))</f>
        <v>-0.1263537906137184</v>
      </c>
      <c r="S15" s="846">
        <f>(Q15-(HLOOKUP($D$1,Monthlyaveragecumulative,346,FALSE)))/(HLOOKUP($D$1,Monthlyaveragecumulative,346,FALSE))</f>
        <v>0.22222222222222221</v>
      </c>
      <c r="T15" s="510"/>
      <c r="U15" s="1"/>
      <c r="V15" s="1"/>
      <c r="W15" s="1"/>
      <c r="X15" s="1"/>
    </row>
    <row r="16" spans="1:24" s="631" customFormat="1" ht="15.75" customHeight="1" x14ac:dyDescent="0.35">
      <c r="A16" s="1198"/>
      <c r="B16" s="1195"/>
      <c r="C16" s="1150" t="s">
        <v>425</v>
      </c>
      <c r="D16" s="1151">
        <f>'year end'!AD482</f>
        <v>71</v>
      </c>
      <c r="E16" s="864">
        <f>Masterlist!AN580</f>
        <v>6</v>
      </c>
      <c r="F16" s="1112">
        <f>Masterlist!AO580</f>
        <v>6</v>
      </c>
      <c r="G16" s="1112">
        <f>Masterlist!AP580</f>
        <v>7</v>
      </c>
      <c r="H16" s="1112">
        <f>Masterlist!AQ580</f>
        <v>2</v>
      </c>
      <c r="I16" s="1112">
        <f>Masterlist!AR580</f>
        <v>2</v>
      </c>
      <c r="J16" s="1112">
        <f>Masterlist!AS580</f>
        <v>2</v>
      </c>
      <c r="K16" s="1112">
        <f>Masterlist!AT580</f>
        <v>2</v>
      </c>
      <c r="L16" s="1112">
        <f>Masterlist!AU580</f>
        <v>2</v>
      </c>
      <c r="M16" s="1112">
        <f>Masterlist!AV580</f>
        <v>0</v>
      </c>
      <c r="N16" s="1112">
        <f>Masterlist!AW580</f>
        <v>2</v>
      </c>
      <c r="O16" s="1112">
        <f>Masterlist!AX580</f>
        <v>0</v>
      </c>
      <c r="P16" s="1174">
        <f>Masterlist!AY580</f>
        <v>0</v>
      </c>
      <c r="Q16" s="886">
        <f t="shared" ref="Q16" si="7">SUM(E16:P16)</f>
        <v>31</v>
      </c>
      <c r="R16" s="1166">
        <f>(Q16-(HLOOKUP($D$1,yearendcumulative,481,FALSE)))/(HLOOKUP($D$1,yearendcumulative,481,FALSE))</f>
        <v>-0.56338028169014087</v>
      </c>
      <c r="S16" s="1084" t="s">
        <v>206</v>
      </c>
      <c r="T16" s="604"/>
      <c r="U16" s="95"/>
      <c r="V16" s="95"/>
      <c r="W16" s="95"/>
      <c r="X16" s="95"/>
    </row>
    <row r="17" spans="1:24" ht="15" customHeight="1" x14ac:dyDescent="0.35">
      <c r="A17" s="1198"/>
      <c r="B17" s="1195"/>
      <c r="C17" s="798" t="s">
        <v>373</v>
      </c>
      <c r="D17" s="847">
        <f>'year end'!AD411</f>
        <v>229</v>
      </c>
      <c r="E17" s="1085">
        <f>Masterlist!AN498</f>
        <v>10</v>
      </c>
      <c r="F17" s="1110">
        <f>Masterlist!AO498</f>
        <v>8</v>
      </c>
      <c r="G17" s="1110">
        <f>Masterlist!AP498</f>
        <v>10</v>
      </c>
      <c r="H17" s="1110">
        <f>Masterlist!AQ498</f>
        <v>14</v>
      </c>
      <c r="I17" s="1110">
        <f>Masterlist!AR498</f>
        <v>9</v>
      </c>
      <c r="J17" s="1110">
        <f>Masterlist!AS498</f>
        <v>8</v>
      </c>
      <c r="K17" s="1110">
        <f>Masterlist!AT498</f>
        <v>9</v>
      </c>
      <c r="L17" s="1110">
        <f>Masterlist!AU498</f>
        <v>4</v>
      </c>
      <c r="M17" s="1110">
        <f>Masterlist!AV498</f>
        <v>7</v>
      </c>
      <c r="N17" s="1110">
        <f>Masterlist!AW498</f>
        <v>3</v>
      </c>
      <c r="O17" s="1110">
        <f>Masterlist!AX498</f>
        <v>5</v>
      </c>
      <c r="P17" s="1110">
        <f>Masterlist!AY498</f>
        <v>7</v>
      </c>
      <c r="Q17" s="858">
        <f t="shared" ref="Q17" si="8">SUM(E17:P17)</f>
        <v>94</v>
      </c>
      <c r="R17" s="855">
        <f>(Q17-(HLOOKUP($D$1,yearendcumulative,410,FALSE)))/(HLOOKUP($D$1,yearendcumulative,410,FALSE))</f>
        <v>-0.58951965065502188</v>
      </c>
      <c r="S17" s="855">
        <f>(Q17-(HLOOKUP($D$1,Monthlyaveragecumulative,443,FALSE)))/(HLOOKUP($D$1,Monthlyaveragecumulative,443,FALSE))</f>
        <v>-0.53465346534653468</v>
      </c>
      <c r="T17" s="510"/>
      <c r="U17" s="1"/>
      <c r="V17" s="1"/>
      <c r="W17" s="1"/>
      <c r="X17" s="1"/>
    </row>
    <row r="18" spans="1:24" ht="15" customHeight="1" x14ac:dyDescent="0.35">
      <c r="A18" s="1198"/>
      <c r="B18" s="1195"/>
      <c r="C18" s="799" t="s">
        <v>372</v>
      </c>
      <c r="D18" s="862">
        <f>'year end'!AD419</f>
        <v>314</v>
      </c>
      <c r="E18" s="863">
        <f>Masterlist!AN507</f>
        <v>22</v>
      </c>
      <c r="F18" s="1111">
        <f>Masterlist!AO507</f>
        <v>22</v>
      </c>
      <c r="G18" s="1111">
        <f>Masterlist!AP507</f>
        <v>14</v>
      </c>
      <c r="H18" s="1111">
        <f>Masterlist!AQ507</f>
        <v>31</v>
      </c>
      <c r="I18" s="1111">
        <f>Masterlist!AR507</f>
        <v>23</v>
      </c>
      <c r="J18" s="1111">
        <f>Masterlist!AS507</f>
        <v>15</v>
      </c>
      <c r="K18" s="1111">
        <f>Masterlist!AT507</f>
        <v>10</v>
      </c>
      <c r="L18" s="1111">
        <f>Masterlist!AU507</f>
        <v>19</v>
      </c>
      <c r="M18" s="1111">
        <f>Masterlist!AV507</f>
        <v>22</v>
      </c>
      <c r="N18" s="1111">
        <f>Masterlist!AW507</f>
        <v>22</v>
      </c>
      <c r="O18" s="1111">
        <f>Masterlist!AX507</f>
        <v>15</v>
      </c>
      <c r="P18" s="1111">
        <f>Masterlist!AY507</f>
        <v>17</v>
      </c>
      <c r="Q18" s="886">
        <f>SUM(E18:P18)</f>
        <v>232</v>
      </c>
      <c r="R18" s="860">
        <f>(Q18-(HLOOKUP($D$1,yearendcumulative,418,FALSE)))/(HLOOKUP($D$1,yearendcumulative,418,FALSE))</f>
        <v>-0.26114649681528662</v>
      </c>
      <c r="S18" s="855">
        <f>(Q18-(HLOOKUP($D$1,Monthlyaveragecumulative,443,FALSE)))/(HLOOKUP($D$1,Monthlyaveragecumulative,443,FALSE))</f>
        <v>0.14851485148514851</v>
      </c>
      <c r="T18" s="510"/>
      <c r="U18" s="1"/>
      <c r="V18" s="1"/>
      <c r="W18" s="1"/>
      <c r="X18" s="1"/>
    </row>
    <row r="19" spans="1:24" x14ac:dyDescent="0.35">
      <c r="A19" s="1198"/>
      <c r="B19" s="1195"/>
      <c r="C19" s="800" t="s">
        <v>5</v>
      </c>
      <c r="D19" s="847">
        <f>'year end'!AD7</f>
        <v>503</v>
      </c>
      <c r="E19" s="848">
        <f>Masterlist!AN8</f>
        <v>45</v>
      </c>
      <c r="F19" s="849">
        <f>Masterlist!AO8</f>
        <v>39</v>
      </c>
      <c r="G19" s="849">
        <f>Masterlist!AP8</f>
        <v>38</v>
      </c>
      <c r="H19" s="849">
        <f>Masterlist!AQ8</f>
        <v>47</v>
      </c>
      <c r="I19" s="849">
        <f>Masterlist!AR8</f>
        <v>44</v>
      </c>
      <c r="J19" s="849">
        <f>Masterlist!AS8</f>
        <v>41</v>
      </c>
      <c r="K19" s="849">
        <f>Masterlist!AT8</f>
        <v>53</v>
      </c>
      <c r="L19" s="849">
        <f>Masterlist!AU8</f>
        <v>45</v>
      </c>
      <c r="M19" s="849">
        <f>Masterlist!AV8</f>
        <v>48</v>
      </c>
      <c r="N19" s="849">
        <f>Masterlist!AW8</f>
        <v>66</v>
      </c>
      <c r="O19" s="849">
        <f>Masterlist!AX8</f>
        <v>40</v>
      </c>
      <c r="P19" s="849">
        <f>Masterlist!AY8</f>
        <v>44</v>
      </c>
      <c r="Q19" s="858">
        <f>SUM(E19:P19)</f>
        <v>550</v>
      </c>
      <c r="R19" s="850">
        <f>(Q19-(HLOOKUP($D$1,yearendcumulative,6,FALSE)))/(HLOOKUP($D$1,yearendcumulative,6,FALSE))</f>
        <v>9.3439363817097415E-2</v>
      </c>
      <c r="S19" s="846">
        <f>(Q19-(HLOOKUP($D$1,Monthlyaveragecumulative,6,FALSE)))/(HLOOKUP($D$1,Monthlyaveragecumulative,6,FALSE))</f>
        <v>0.20350109409190373</v>
      </c>
      <c r="T19" s="510"/>
      <c r="U19" s="1"/>
      <c r="V19" s="1"/>
      <c r="W19" s="1"/>
      <c r="X19" s="1"/>
    </row>
    <row r="20" spans="1:24" x14ac:dyDescent="0.35">
      <c r="A20" s="1198"/>
      <c r="B20" s="1195"/>
      <c r="C20" s="801" t="s">
        <v>6</v>
      </c>
      <c r="D20" s="862">
        <f>'year end'!AD8</f>
        <v>1126</v>
      </c>
      <c r="E20" s="864">
        <f>Masterlist!AN9</f>
        <v>107</v>
      </c>
      <c r="F20" s="1112">
        <f>Masterlist!AO9</f>
        <v>147</v>
      </c>
      <c r="G20" s="1112">
        <f>Masterlist!AP9</f>
        <v>117</v>
      </c>
      <c r="H20" s="1112">
        <f>Masterlist!AQ9</f>
        <v>94</v>
      </c>
      <c r="I20" s="1112">
        <f>Masterlist!AR9</f>
        <v>90</v>
      </c>
      <c r="J20" s="1112">
        <f>Masterlist!AS9</f>
        <v>82</v>
      </c>
      <c r="K20" s="1112">
        <f>Masterlist!AT9</f>
        <v>127</v>
      </c>
      <c r="L20" s="1112">
        <f>Masterlist!AU9</f>
        <v>102</v>
      </c>
      <c r="M20" s="1112">
        <f>Masterlist!AV9</f>
        <v>106</v>
      </c>
      <c r="N20" s="1112">
        <f>Masterlist!AW9</f>
        <v>93</v>
      </c>
      <c r="O20" s="1112">
        <f>Masterlist!AX9</f>
        <v>108</v>
      </c>
      <c r="P20" s="1112">
        <f>Masterlist!AY9</f>
        <v>129</v>
      </c>
      <c r="Q20" s="886">
        <f>SUM(E20:P20)</f>
        <v>1302</v>
      </c>
      <c r="R20" s="865">
        <f>(Q20-(HLOOKUP($D$1,yearendcumulative,7,FALSE)))/(HLOOKUP($D$1,yearendcumulative,7,FALSE))</f>
        <v>0.15630550621669628</v>
      </c>
      <c r="S20" s="860">
        <f>(Q20-(HLOOKUP($D$1,Monthlyaveragecumulative,7,FALSE)))/(HLOOKUP($D$1,Monthlyaveragecumulative,7,FALSE))</f>
        <v>0.45474860335195533</v>
      </c>
      <c r="T20" s="510"/>
      <c r="U20" s="1"/>
      <c r="V20" s="1"/>
      <c r="W20" s="1"/>
      <c r="X20" s="1"/>
    </row>
    <row r="21" spans="1:24" x14ac:dyDescent="0.35">
      <c r="A21" s="1198"/>
      <c r="B21" s="1195"/>
      <c r="C21" s="802" t="s">
        <v>360</v>
      </c>
      <c r="D21" s="866">
        <f>'year end'!AD36</f>
        <v>10378</v>
      </c>
      <c r="E21" s="942">
        <f>Masterlist!AN37</f>
        <v>856</v>
      </c>
      <c r="F21" s="867">
        <f>Masterlist!AO37</f>
        <v>836</v>
      </c>
      <c r="G21" s="867">
        <f>Masterlist!AP37</f>
        <v>858</v>
      </c>
      <c r="H21" s="867">
        <f>Masterlist!AQ37</f>
        <v>927</v>
      </c>
      <c r="I21" s="867">
        <f>Masterlist!AR37</f>
        <v>892</v>
      </c>
      <c r="J21" s="867">
        <f>Masterlist!AS37</f>
        <v>825</v>
      </c>
      <c r="K21" s="867">
        <f>Masterlist!AT37</f>
        <v>830</v>
      </c>
      <c r="L21" s="867">
        <f>Masterlist!AU37</f>
        <v>774</v>
      </c>
      <c r="M21" s="867">
        <f>Masterlist!AV37</f>
        <v>910</v>
      </c>
      <c r="N21" s="867">
        <f>Masterlist!AW37</f>
        <v>823</v>
      </c>
      <c r="O21" s="867">
        <f>Masterlist!AX37</f>
        <v>821</v>
      </c>
      <c r="P21" s="867">
        <f>Masterlist!AY37</f>
        <v>901</v>
      </c>
      <c r="Q21" s="854">
        <f>SUM(E21:P21)</f>
        <v>10253</v>
      </c>
      <c r="R21" s="855">
        <f>(Q21-(HLOOKUP($D$1,yearendcumulative,35,FALSE)))/(HLOOKUP($D$1,yearendcumulative,35,FALSE))</f>
        <v>-1.2044709963384082E-2</v>
      </c>
      <c r="S21" s="846">
        <f>(Q21-(HLOOKUP($D$1,Monthlyaveragecumulative,35,FALSE)))/(HLOOKUP($D$1,Monthlyaveragecumulative,35,FALSE))</f>
        <v>-7.6139845017120206E-2</v>
      </c>
      <c r="T21" s="510"/>
      <c r="U21" s="1"/>
      <c r="V21" s="1"/>
      <c r="W21" s="1"/>
      <c r="X21" s="1"/>
    </row>
    <row r="22" spans="1:24" ht="56.15" customHeight="1" x14ac:dyDescent="0.35">
      <c r="A22" s="1198"/>
      <c r="B22" s="1195"/>
      <c r="C22" s="1051" t="s">
        <v>521</v>
      </c>
      <c r="D22" s="1153">
        <v>0.95</v>
      </c>
      <c r="E22" s="1082" t="str">
        <f>Masterlist!AN574</f>
        <v xml:space="preserve"> - </v>
      </c>
      <c r="F22" s="1113" t="str">
        <f>Masterlist!AO574</f>
        <v xml:space="preserve"> - </v>
      </c>
      <c r="G22" s="1152">
        <f>Masterlist!AP574</f>
        <v>0.97</v>
      </c>
      <c r="H22" s="1113" t="str">
        <f>Masterlist!AQ574</f>
        <v xml:space="preserve"> - </v>
      </c>
      <c r="I22" s="1113" t="str">
        <f>Masterlist!AR574</f>
        <v xml:space="preserve"> - </v>
      </c>
      <c r="J22" s="1152">
        <f>Masterlist!AS574</f>
        <v>0.97</v>
      </c>
      <c r="K22" s="1113" t="str">
        <f>Masterlist!AT574</f>
        <v xml:space="preserve"> - </v>
      </c>
      <c r="L22" s="1113" t="str">
        <f>Masterlist!AU574</f>
        <v xml:space="preserve"> - </v>
      </c>
      <c r="M22" s="1152">
        <f>Masterlist!AV574</f>
        <v>0.98</v>
      </c>
      <c r="N22" s="1113" t="str">
        <f>Masterlist!AW574</f>
        <v xml:space="preserve"> - </v>
      </c>
      <c r="O22" s="1113" t="str">
        <f>Masterlist!AX574</f>
        <v xml:space="preserve"> - </v>
      </c>
      <c r="P22" s="1175" t="s">
        <v>210</v>
      </c>
      <c r="Q22" s="1171" t="s">
        <v>210</v>
      </c>
      <c r="R22" s="1172" t="s">
        <v>210</v>
      </c>
      <c r="S22" s="860"/>
      <c r="T22" s="510"/>
      <c r="U22" s="1"/>
      <c r="V22" s="1"/>
      <c r="W22" s="1"/>
      <c r="X22" s="1"/>
    </row>
    <row r="23" spans="1:24" x14ac:dyDescent="0.35">
      <c r="A23" s="1198"/>
      <c r="B23" s="1195"/>
      <c r="C23" s="998" t="s">
        <v>361</v>
      </c>
      <c r="D23" s="999">
        <f>'year end'!AD38</f>
        <v>133</v>
      </c>
      <c r="E23" s="942">
        <f>Masterlist!AN39</f>
        <v>26</v>
      </c>
      <c r="F23" s="867">
        <f>Masterlist!AO39</f>
        <v>19</v>
      </c>
      <c r="G23" s="867">
        <f>Masterlist!AP39</f>
        <v>11</v>
      </c>
      <c r="H23" s="867">
        <f>Masterlist!AQ39</f>
        <v>10</v>
      </c>
      <c r="I23" s="867">
        <f>Masterlist!AR39</f>
        <v>21</v>
      </c>
      <c r="J23" s="888">
        <f>Masterlist!AS39</f>
        <v>10</v>
      </c>
      <c r="K23" s="867">
        <f>Masterlist!AT39</f>
        <v>13</v>
      </c>
      <c r="L23" s="867">
        <f>Masterlist!AU39</f>
        <v>11</v>
      </c>
      <c r="M23" s="867">
        <f>Masterlist!AV39</f>
        <v>8</v>
      </c>
      <c r="N23" s="867">
        <f>Masterlist!AW39</f>
        <v>9</v>
      </c>
      <c r="O23" s="867">
        <f>Masterlist!AX39</f>
        <v>26</v>
      </c>
      <c r="P23" s="867">
        <f>Masterlist!AY39</f>
        <v>21</v>
      </c>
      <c r="Q23" s="889">
        <f t="shared" ref="Q23:Q24" si="9">SUM(E23:P23)</f>
        <v>185</v>
      </c>
      <c r="R23" s="846">
        <f>(Q23-(HLOOKUP($D$1,yearendcumulative,37,FALSE)))/(HLOOKUP($D$1,yearendcumulative,37,FALSE))</f>
        <v>0.39097744360902253</v>
      </c>
      <c r="S23" s="846">
        <f>(Q23-(HLOOKUP($D$1,Monthlyaveragecumulative,37,FALSE)))/(HLOOKUP($D$1,Monthlyaveragecumulative,37,FALSE))</f>
        <v>0.52892561983471076</v>
      </c>
      <c r="T23" s="510"/>
      <c r="U23" s="1"/>
      <c r="V23" s="1"/>
      <c r="W23" s="1"/>
      <c r="X23" s="1"/>
    </row>
    <row r="24" spans="1:24" hidden="1" x14ac:dyDescent="0.35">
      <c r="A24" s="1198"/>
      <c r="B24" s="1195"/>
      <c r="C24" s="802" t="s">
        <v>368</v>
      </c>
      <c r="D24" s="866">
        <f>'year end'!AD427</f>
        <v>0</v>
      </c>
      <c r="E24" s="868">
        <f>Masterlist!AN516</f>
        <v>0</v>
      </c>
      <c r="F24" s="868">
        <f>Masterlist!AO516</f>
        <v>0</v>
      </c>
      <c r="G24" s="868">
        <f>Masterlist!AP516</f>
        <v>0</v>
      </c>
      <c r="H24" s="868">
        <f>Masterlist!AQ516</f>
        <v>0</v>
      </c>
      <c r="I24" s="868">
        <f>Masterlist!AR516</f>
        <v>0</v>
      </c>
      <c r="J24" s="868">
        <f>Masterlist!AS516</f>
        <v>0</v>
      </c>
      <c r="K24" s="868">
        <f>Masterlist!AT516</f>
        <v>0</v>
      </c>
      <c r="L24" s="868">
        <f>Masterlist!AU516</f>
        <v>0</v>
      </c>
      <c r="M24" s="868">
        <f>Masterlist!AV516</f>
        <v>0</v>
      </c>
      <c r="N24" s="868">
        <f>Masterlist!AW516</f>
        <v>0</v>
      </c>
      <c r="O24" s="868">
        <f>Masterlist!AX516</f>
        <v>0</v>
      </c>
      <c r="P24" s="868">
        <f>Masterlist!AY516</f>
        <v>0</v>
      </c>
      <c r="Q24" s="886">
        <f t="shared" si="9"/>
        <v>0</v>
      </c>
      <c r="R24" s="846">
        <f>(Q24-(HLOOKUP($D$1,yearendcumulative,37,FALSE)))/(HLOOKUP($D$1,yearendcumulative,37,FALSE))</f>
        <v>-1</v>
      </c>
      <c r="S24" s="846">
        <f>(Q24-(HLOOKUP($D$1,Monthlyaveragecumulative,37,FALSE)))/(HLOOKUP($D$1,Monthlyaveragecumulative,37,FALSE))</f>
        <v>-1</v>
      </c>
      <c r="T24" s="510"/>
      <c r="U24" s="1"/>
      <c r="V24" s="1"/>
      <c r="W24" s="1"/>
      <c r="X24" s="1"/>
    </row>
    <row r="25" spans="1:24" x14ac:dyDescent="0.35">
      <c r="A25" s="1198"/>
      <c r="B25" s="1195"/>
      <c r="C25" s="803" t="s">
        <v>63</v>
      </c>
      <c r="D25" s="869">
        <f>'[3]23-24'!O2</f>
        <v>976</v>
      </c>
      <c r="E25" s="1102">
        <v>98</v>
      </c>
      <c r="F25" s="1102">
        <v>122</v>
      </c>
      <c r="G25" s="1141">
        <f>'[3]24-25'!E2</f>
        <v>80</v>
      </c>
      <c r="H25" s="1141">
        <f>'[3]24-25'!F2</f>
        <v>119</v>
      </c>
      <c r="I25" s="1141">
        <f>'[3]24-25'!G2</f>
        <v>94</v>
      </c>
      <c r="J25" s="1141">
        <f>'[3]24-25'!H2</f>
        <v>79</v>
      </c>
      <c r="K25" s="1141">
        <f>'[3]24-25'!I2</f>
        <v>114</v>
      </c>
      <c r="L25" s="1141">
        <f>'[3]24-25'!J2</f>
        <v>89</v>
      </c>
      <c r="M25" s="1141">
        <f>'[3]24-25'!K2</f>
        <v>86</v>
      </c>
      <c r="N25" s="1141">
        <f>'[3]24-25'!L2</f>
        <v>115</v>
      </c>
      <c r="O25" s="1141">
        <f>'[3]24-25'!M2</f>
        <v>91</v>
      </c>
      <c r="P25" s="1141">
        <f>'[3]24-25'!N2</f>
        <v>89</v>
      </c>
      <c r="Q25" s="1182">
        <f>'[3]24-25'!$O$2</f>
        <v>1176</v>
      </c>
      <c r="R25" s="846">
        <f>(Q25-'[3]24-25'!$R$2)/'[3]24-25'!$R$2</f>
        <v>0.20491803278688525</v>
      </c>
      <c r="S25" s="870" t="s">
        <v>210</v>
      </c>
      <c r="T25" s="510"/>
      <c r="U25" s="1"/>
      <c r="V25" s="1"/>
      <c r="W25" s="1"/>
      <c r="X25" s="1"/>
    </row>
    <row r="26" spans="1:24" x14ac:dyDescent="0.35">
      <c r="A26" s="1198"/>
      <c r="B26" s="1195"/>
      <c r="C26" s="804" t="s">
        <v>451</v>
      </c>
      <c r="D26" s="872">
        <f>'[3]23-24'!O10</f>
        <v>0.31147540983606559</v>
      </c>
      <c r="E26" s="1103">
        <v>0.39</v>
      </c>
      <c r="F26" s="1103">
        <v>0.24</v>
      </c>
      <c r="G26" s="1142">
        <v>0.31</v>
      </c>
      <c r="H26" s="1142">
        <f>'[3]24-25'!F10</f>
        <v>0.25210084033613445</v>
      </c>
      <c r="I26" s="1142">
        <f>'[3]24-25'!G10</f>
        <v>0.32978723404255317</v>
      </c>
      <c r="J26" s="1142">
        <f>'[3]24-25'!H10</f>
        <v>0.34177215189873417</v>
      </c>
      <c r="K26" s="1142">
        <f>'[3]24-25'!I10</f>
        <v>0.26315789473684209</v>
      </c>
      <c r="L26" s="1142">
        <f>'[3]24-25'!J10</f>
        <v>0.23595505617977527</v>
      </c>
      <c r="M26" s="1142">
        <f>'[3]24-25'!K10</f>
        <v>0.19767441860465115</v>
      </c>
      <c r="N26" s="1142">
        <f>'[3]24-25'!L10</f>
        <v>0.21739130434782608</v>
      </c>
      <c r="O26" s="1142">
        <f>'[3]24-25'!M10</f>
        <v>0.37362637362637363</v>
      </c>
      <c r="P26" s="1142">
        <f>'[3]24-25'!N10</f>
        <v>0.34831460674157305</v>
      </c>
      <c r="Q26" s="1139">
        <f>'[3]24-25'!$O$10</f>
        <v>0.28741496598639454</v>
      </c>
      <c r="R26" s="846">
        <f>Q26-'[3]24-25'!$R$10</f>
        <v>-2.3035853685736629E-2</v>
      </c>
      <c r="S26" s="871" t="s">
        <v>210</v>
      </c>
      <c r="T26" s="510"/>
      <c r="U26" s="1"/>
      <c r="V26" s="1"/>
      <c r="W26" s="1"/>
      <c r="X26" s="1"/>
    </row>
    <row r="27" spans="1:24" x14ac:dyDescent="0.35">
      <c r="A27" s="1198"/>
      <c r="B27" s="1195"/>
      <c r="C27" s="805" t="s">
        <v>232</v>
      </c>
      <c r="D27" s="872">
        <f>'[3]23-24'!O7</f>
        <v>0.79405737704918034</v>
      </c>
      <c r="E27" s="1103">
        <v>0.56999999999999995</v>
      </c>
      <c r="F27" s="1103">
        <v>0.47</v>
      </c>
      <c r="G27" s="1142">
        <v>0.39</v>
      </c>
      <c r="H27" s="1142">
        <f>'[3]24-25'!F7</f>
        <v>0.61344537815126055</v>
      </c>
      <c r="I27" s="1142">
        <f>'[3]24-25'!G7</f>
        <v>0.61702127659574468</v>
      </c>
      <c r="J27" s="1142">
        <f>'[3]24-25'!H7</f>
        <v>0.69620253164556967</v>
      </c>
      <c r="K27" s="1142">
        <f>'[3]24-25'!I7</f>
        <v>0.80701754385964908</v>
      </c>
      <c r="L27" s="1142">
        <f>'[3]24-25'!J7</f>
        <v>0.6966292134831461</v>
      </c>
      <c r="M27" s="1142">
        <f>'[3]24-25'!K7</f>
        <v>0.73255813953488369</v>
      </c>
      <c r="N27" s="1142">
        <f>'[3]24-25'!L7</f>
        <v>0.6</v>
      </c>
      <c r="O27" s="1142">
        <f>'[3]24-25'!M7</f>
        <v>0.65934065934065933</v>
      </c>
      <c r="P27" s="1142">
        <f>'[3]24-25'!N7</f>
        <v>0.7752808988764045</v>
      </c>
      <c r="Q27" s="1139">
        <f>'[3]24-25'!$O$7</f>
        <v>0.63350340136054417</v>
      </c>
      <c r="R27" s="846">
        <f>Q27-'[3]24-25'!$R$7</f>
        <v>-0.16055397568863616</v>
      </c>
      <c r="S27" s="871" t="s">
        <v>210</v>
      </c>
      <c r="T27" s="510"/>
      <c r="U27" s="1"/>
      <c r="V27" s="1"/>
      <c r="W27" s="1"/>
      <c r="X27" s="1"/>
    </row>
    <row r="28" spans="1:24" x14ac:dyDescent="0.35">
      <c r="A28" s="1198"/>
      <c r="B28" s="1195"/>
      <c r="C28" s="805" t="s">
        <v>233</v>
      </c>
      <c r="D28" s="872">
        <f>'[3]23-24'!O8</f>
        <v>0.65676229508196726</v>
      </c>
      <c r="E28" s="1103">
        <v>0.49</v>
      </c>
      <c r="F28" s="1103">
        <v>0.64</v>
      </c>
      <c r="G28" s="1142">
        <v>0.59</v>
      </c>
      <c r="H28" s="1142">
        <f>'[3]24-25'!F8</f>
        <v>0.62184873949579833</v>
      </c>
      <c r="I28" s="1142">
        <f>'[3]24-25'!G8</f>
        <v>0.5957446808510638</v>
      </c>
      <c r="J28" s="1142">
        <f>'[3]24-25'!H8</f>
        <v>0.87341772151898733</v>
      </c>
      <c r="K28" s="1142">
        <f>'[3]24-25'!I8</f>
        <v>0.43859649122807015</v>
      </c>
      <c r="L28" s="1142">
        <f>'[3]24-25'!J8</f>
        <v>0.6853932584269663</v>
      </c>
      <c r="M28" s="1142">
        <f>'[3]24-25'!K8</f>
        <v>0.69767441860465118</v>
      </c>
      <c r="N28" s="1142">
        <f>'[3]24-25'!L8</f>
        <v>0.59130434782608698</v>
      </c>
      <c r="O28" s="1142">
        <f>'[3]24-25'!M8</f>
        <v>0.63736263736263732</v>
      </c>
      <c r="P28" s="1142">
        <f>'[3]24-25'!N8</f>
        <v>0.7865168539325843</v>
      </c>
      <c r="Q28" s="1139">
        <f>'[3]24-25'!$O$8</f>
        <v>0.62840136054421769</v>
      </c>
      <c r="R28" s="846">
        <f>Q28-'[3]24-25'!$R$8</f>
        <v>-2.8360934537749571E-2</v>
      </c>
      <c r="S28" s="871" t="s">
        <v>210</v>
      </c>
      <c r="T28" s="510"/>
      <c r="U28" s="1"/>
      <c r="V28" s="1"/>
      <c r="W28" s="1"/>
      <c r="X28" s="1"/>
    </row>
    <row r="29" spans="1:24" x14ac:dyDescent="0.35">
      <c r="A29" s="1198"/>
      <c r="B29" s="1195"/>
      <c r="C29" s="796" t="s">
        <v>234</v>
      </c>
      <c r="D29" s="873">
        <f>'[3]23-24'!O9</f>
        <v>0.57274590163934425</v>
      </c>
      <c r="E29" s="1104">
        <v>0.49</v>
      </c>
      <c r="F29" s="1104">
        <v>0.56000000000000005</v>
      </c>
      <c r="G29" s="1143">
        <v>0.55000000000000004</v>
      </c>
      <c r="H29" s="1143">
        <f>'[3]24-25'!F9</f>
        <v>0.40336134453781514</v>
      </c>
      <c r="I29" s="1143">
        <f>'[3]24-25'!G9</f>
        <v>0.52127659574468088</v>
      </c>
      <c r="J29" s="1143">
        <f>'[3]24-25'!H9</f>
        <v>0.620253164556962</v>
      </c>
      <c r="K29" s="1143">
        <f>'[3]24-25'!I9</f>
        <v>0.43859649122807015</v>
      </c>
      <c r="L29" s="1143">
        <f>'[3]24-25'!J9</f>
        <v>0.7528089887640449</v>
      </c>
      <c r="M29" s="1143">
        <f>'[3]24-25'!K9</f>
        <v>0.58139534883720934</v>
      </c>
      <c r="N29" s="1143">
        <f>'[3]24-25'!L9</f>
        <v>0.46956521739130436</v>
      </c>
      <c r="O29" s="1143">
        <f>'[3]24-25'!M9</f>
        <v>0.63736263736263732</v>
      </c>
      <c r="P29" s="1143">
        <f>'[3]24-25'!N9</f>
        <v>0.5617977528089888</v>
      </c>
      <c r="Q29" s="1140">
        <f>'[3]24-25'!$O$9</f>
        <v>0.53996598639455784</v>
      </c>
      <c r="R29" s="846">
        <f>Q29-'[3]24-25'!$R$9</f>
        <v>-3.2779915244786406E-2</v>
      </c>
      <c r="S29" s="874" t="s">
        <v>210</v>
      </c>
      <c r="T29" s="510"/>
      <c r="U29" s="1"/>
      <c r="V29" s="1"/>
      <c r="W29" s="1"/>
      <c r="X29" s="1"/>
    </row>
    <row r="30" spans="1:24" ht="6" customHeight="1" x14ac:dyDescent="0.35">
      <c r="A30" s="1"/>
      <c r="B30" s="125"/>
      <c r="C30" s="808"/>
      <c r="D30" s="875"/>
      <c r="E30" s="808"/>
      <c r="F30" s="1114"/>
      <c r="G30" s="1114"/>
      <c r="H30" s="1114"/>
      <c r="I30" s="1114"/>
      <c r="J30" s="1114"/>
      <c r="K30" s="1114"/>
      <c r="L30" s="1114"/>
      <c r="M30" s="1114"/>
      <c r="N30" s="1114"/>
      <c r="O30" s="1114"/>
      <c r="P30" s="1114"/>
      <c r="Q30" s="878"/>
      <c r="R30" s="878"/>
      <c r="S30" s="808"/>
      <c r="T30" s="1"/>
      <c r="U30" s="1"/>
      <c r="V30" s="1"/>
      <c r="W30" s="1"/>
      <c r="X30" s="1"/>
    </row>
    <row r="31" spans="1:24" x14ac:dyDescent="0.35">
      <c r="A31" s="3"/>
      <c r="B31" s="820"/>
      <c r="C31" s="810"/>
      <c r="D31" s="876"/>
      <c r="E31" s="877"/>
      <c r="F31" s="1115"/>
      <c r="G31" s="1115"/>
      <c r="H31" s="1115"/>
      <c r="I31" s="1115"/>
      <c r="J31" s="1115"/>
      <c r="K31" s="1115"/>
      <c r="L31" s="1115"/>
      <c r="M31" s="1115"/>
      <c r="N31" s="1115"/>
      <c r="O31" s="1115"/>
      <c r="P31" s="1115"/>
      <c r="Q31" s="878"/>
      <c r="R31" s="878"/>
      <c r="S31" s="879"/>
      <c r="T31" s="510"/>
      <c r="U31" s="1"/>
      <c r="V31" s="1"/>
      <c r="W31" s="1"/>
      <c r="X31" s="1"/>
    </row>
    <row r="32" spans="1:24" ht="15" customHeight="1" x14ac:dyDescent="0.35">
      <c r="A32" s="1196" t="s">
        <v>455</v>
      </c>
      <c r="B32" s="1192" t="s">
        <v>443</v>
      </c>
      <c r="C32" s="812" t="s">
        <v>359</v>
      </c>
      <c r="D32" s="880">
        <f>'year end'!AD35</f>
        <v>995</v>
      </c>
      <c r="E32" s="940">
        <f>Masterlist!AN36</f>
        <v>60</v>
      </c>
      <c r="F32" s="881">
        <f>Masterlist!AO36</f>
        <v>87</v>
      </c>
      <c r="G32" s="881">
        <f>Masterlist!AP36</f>
        <v>93</v>
      </c>
      <c r="H32" s="881">
        <f>Masterlist!AQ36</f>
        <v>110</v>
      </c>
      <c r="I32" s="881">
        <f>Masterlist!AR36</f>
        <v>124</v>
      </c>
      <c r="J32" s="881">
        <f>Masterlist!AS36</f>
        <v>91</v>
      </c>
      <c r="K32" s="881">
        <f>Masterlist!AT36</f>
        <v>76</v>
      </c>
      <c r="L32" s="881">
        <f>Masterlist!AU36</f>
        <v>75</v>
      </c>
      <c r="M32" s="881">
        <f>Masterlist!AV36</f>
        <v>76</v>
      </c>
      <c r="N32" s="881">
        <f>Masterlist!AW36</f>
        <v>78</v>
      </c>
      <c r="O32" s="881">
        <f>Masterlist!AX36</f>
        <v>69</v>
      </c>
      <c r="P32" s="881">
        <f>Masterlist!AY36</f>
        <v>76</v>
      </c>
      <c r="Q32" s="854">
        <f t="shared" si="0"/>
        <v>1015</v>
      </c>
      <c r="R32" s="855">
        <f>(Q32-(HLOOKUP($D$1,yearendcumulative,34,FALSE)))/(HLOOKUP($D$1,yearendcumulative,34,FALSE))</f>
        <v>2.0100502512562814E-2</v>
      </c>
      <c r="S32" s="855">
        <f>(Q32-(HLOOKUP($D$1,Monthlyaveragecumulative,34,FALSE)))/(HLOOKUP($D$1,Monthlyaveragecumulative,34,FALSE))</f>
        <v>0.15209988649262202</v>
      </c>
      <c r="T32" s="510"/>
      <c r="U32" s="1"/>
      <c r="V32" s="1"/>
      <c r="W32" s="1"/>
      <c r="X32" s="1"/>
    </row>
    <row r="33" spans="1:45" ht="15" customHeight="1" x14ac:dyDescent="0.35">
      <c r="A33" s="1197"/>
      <c r="B33" s="1192"/>
      <c r="C33" s="823" t="s">
        <v>429</v>
      </c>
      <c r="D33" s="882">
        <f>'year end'!AD462</f>
        <v>637</v>
      </c>
      <c r="E33" s="883">
        <f>Masterlist!AN558</f>
        <v>37</v>
      </c>
      <c r="F33" s="1116">
        <f>Masterlist!AO558</f>
        <v>51</v>
      </c>
      <c r="G33" s="1116">
        <f>Masterlist!AP558</f>
        <v>66</v>
      </c>
      <c r="H33" s="1116">
        <f>Masterlist!AQ558</f>
        <v>68</v>
      </c>
      <c r="I33" s="1116">
        <f>Masterlist!AR558</f>
        <v>64</v>
      </c>
      <c r="J33" s="1116">
        <f>Masterlist!AS558</f>
        <v>54</v>
      </c>
      <c r="K33" s="1116">
        <f>Masterlist!AT558</f>
        <v>50</v>
      </c>
      <c r="L33" s="1116">
        <f>Masterlist!AU558</f>
        <v>38</v>
      </c>
      <c r="M33" s="1116">
        <f>Masterlist!AV558</f>
        <v>45</v>
      </c>
      <c r="N33" s="1116">
        <f>Masterlist!AW558</f>
        <v>46</v>
      </c>
      <c r="O33" s="1116">
        <f>Masterlist!AX558</f>
        <v>45</v>
      </c>
      <c r="P33" s="1116">
        <f>Masterlist!AY558</f>
        <v>36</v>
      </c>
      <c r="Q33" s="858">
        <f t="shared" si="0"/>
        <v>600</v>
      </c>
      <c r="R33" s="846">
        <f t="shared" ref="R33" si="10">(Q33-(HLOOKUP($D$1,yearendcumulative,461,FALSE)))/(HLOOKUP($D$1,yearendcumulative,461,FALSE))</f>
        <v>-5.8084772370486655E-2</v>
      </c>
      <c r="S33" s="846" t="s">
        <v>449</v>
      </c>
      <c r="T33" s="510"/>
      <c r="U33" s="1"/>
      <c r="V33" s="1"/>
      <c r="W33" s="1"/>
      <c r="X33" s="1"/>
    </row>
    <row r="34" spans="1:45" ht="15" customHeight="1" x14ac:dyDescent="0.35">
      <c r="A34" s="1197"/>
      <c r="B34" s="1192"/>
      <c r="C34" s="823" t="s">
        <v>430</v>
      </c>
      <c r="D34" s="882">
        <f>'year end'!AD463</f>
        <v>165</v>
      </c>
      <c r="E34" s="883">
        <f>Masterlist!AN559</f>
        <v>11</v>
      </c>
      <c r="F34" s="1116">
        <f>Masterlist!AO559</f>
        <v>17</v>
      </c>
      <c r="G34" s="1116">
        <f>Masterlist!AP559</f>
        <v>13</v>
      </c>
      <c r="H34" s="1116">
        <f>Masterlist!AQ559</f>
        <v>19</v>
      </c>
      <c r="I34" s="1116">
        <f>Masterlist!AR559</f>
        <v>27</v>
      </c>
      <c r="J34" s="1116">
        <f>Masterlist!AS559</f>
        <v>14</v>
      </c>
      <c r="K34" s="1116">
        <f>Masterlist!AT559</f>
        <v>12</v>
      </c>
      <c r="L34" s="1116">
        <f>Masterlist!AU559</f>
        <v>14</v>
      </c>
      <c r="M34" s="1116">
        <f>Masterlist!AV559</f>
        <v>14</v>
      </c>
      <c r="N34" s="1116">
        <f>Masterlist!AW559</f>
        <v>15</v>
      </c>
      <c r="O34" s="1116">
        <f>Masterlist!AX559</f>
        <v>12</v>
      </c>
      <c r="P34" s="1116">
        <f>Masterlist!AY559</f>
        <v>16</v>
      </c>
      <c r="Q34" s="858">
        <f t="shared" si="0"/>
        <v>184</v>
      </c>
      <c r="R34" s="846">
        <f>(Q34-(HLOOKUP($D$1,yearendcumulative,462,FALSE)))/(HLOOKUP($D$1,yearendcumulative,462,FALSE))</f>
        <v>0.11515151515151516</v>
      </c>
      <c r="S34" s="846" t="s">
        <v>449</v>
      </c>
      <c r="T34" s="510"/>
      <c r="U34" s="1"/>
      <c r="V34" s="1"/>
      <c r="W34" s="1"/>
      <c r="X34" s="1"/>
    </row>
    <row r="35" spans="1:45" ht="15" customHeight="1" x14ac:dyDescent="0.35">
      <c r="A35" s="1197"/>
      <c r="B35" s="1192"/>
      <c r="C35" s="823" t="s">
        <v>431</v>
      </c>
      <c r="D35" s="882">
        <f>'year end'!AD464</f>
        <v>98</v>
      </c>
      <c r="E35" s="883">
        <f>Masterlist!AN560</f>
        <v>9</v>
      </c>
      <c r="F35" s="1116">
        <f>Masterlist!AO560</f>
        <v>5</v>
      </c>
      <c r="G35" s="1116">
        <f>Masterlist!AP560</f>
        <v>7</v>
      </c>
      <c r="H35" s="1116">
        <f>Masterlist!AQ560</f>
        <v>12</v>
      </c>
      <c r="I35" s="1116">
        <f>Masterlist!AR560</f>
        <v>15</v>
      </c>
      <c r="J35" s="1116">
        <f>Masterlist!AS560</f>
        <v>7</v>
      </c>
      <c r="K35" s="1116">
        <f>Masterlist!AT560</f>
        <v>7</v>
      </c>
      <c r="L35" s="1116">
        <f>Masterlist!AU560</f>
        <v>9</v>
      </c>
      <c r="M35" s="1116">
        <f>Masterlist!AV560</f>
        <v>6</v>
      </c>
      <c r="N35" s="1116">
        <f>Masterlist!AW560</f>
        <v>8</v>
      </c>
      <c r="O35" s="1116">
        <f>Masterlist!AX560</f>
        <v>8</v>
      </c>
      <c r="P35" s="1116">
        <f>Masterlist!AY560</f>
        <v>11</v>
      </c>
      <c r="Q35" s="858">
        <f t="shared" si="0"/>
        <v>104</v>
      </c>
      <c r="R35" s="846">
        <f>(Q35-(HLOOKUP($D$1,yearendcumulative,463,FALSE)))/(HLOOKUP($D$1,yearendcumulative,463,FALSE))</f>
        <v>6.1224489795918366E-2</v>
      </c>
      <c r="S35" s="846" t="s">
        <v>449</v>
      </c>
      <c r="T35" s="510"/>
      <c r="U35" s="1"/>
      <c r="V35" s="1"/>
      <c r="W35" s="1"/>
      <c r="X35" s="1"/>
    </row>
    <row r="36" spans="1:45" ht="15" customHeight="1" x14ac:dyDescent="0.35">
      <c r="A36" s="1197"/>
      <c r="B36" s="1192"/>
      <c r="C36" s="823" t="s">
        <v>432</v>
      </c>
      <c r="D36" s="882">
        <f>'year end'!AD465</f>
        <v>33</v>
      </c>
      <c r="E36" s="883">
        <f>Masterlist!AN561</f>
        <v>2</v>
      </c>
      <c r="F36" s="1116">
        <f>Masterlist!AO561</f>
        <v>3</v>
      </c>
      <c r="G36" s="1116">
        <f>Masterlist!AP561</f>
        <v>2</v>
      </c>
      <c r="H36" s="1116">
        <f>Masterlist!AQ561</f>
        <v>4</v>
      </c>
      <c r="I36" s="1116">
        <f>Masterlist!AR561</f>
        <v>3</v>
      </c>
      <c r="J36" s="1116">
        <f>Masterlist!AS561</f>
        <v>1</v>
      </c>
      <c r="K36" s="1116">
        <f>Masterlist!AT561</f>
        <v>1</v>
      </c>
      <c r="L36" s="1116">
        <f>Masterlist!AU561</f>
        <v>4</v>
      </c>
      <c r="M36" s="1116">
        <f>Masterlist!AV561</f>
        <v>4</v>
      </c>
      <c r="N36" s="1116">
        <f>Masterlist!AW561</f>
        <v>4</v>
      </c>
      <c r="O36" s="1116">
        <f>Masterlist!AX561</f>
        <v>3</v>
      </c>
      <c r="P36" s="1116">
        <f>Masterlist!AY561</f>
        <v>3</v>
      </c>
      <c r="Q36" s="858">
        <f t="shared" si="0"/>
        <v>34</v>
      </c>
      <c r="R36" s="846">
        <f>(Q36-(HLOOKUP($D$1,yearendcumulative,463,FALSE)))/(HLOOKUP($D$1,yearendcumulative,463,FALSE))</f>
        <v>-0.65306122448979587</v>
      </c>
      <c r="S36" s="846" t="s">
        <v>449</v>
      </c>
      <c r="T36" s="510"/>
      <c r="U36" s="1"/>
      <c r="V36" s="1"/>
      <c r="W36" s="1"/>
      <c r="X36" s="1"/>
    </row>
    <row r="37" spans="1:45" ht="15" customHeight="1" x14ac:dyDescent="0.35">
      <c r="A37" s="1197"/>
      <c r="B37" s="1192"/>
      <c r="C37" s="824" t="s">
        <v>433</v>
      </c>
      <c r="D37" s="882">
        <f>'year end'!AD466</f>
        <v>0</v>
      </c>
      <c r="E37" s="883">
        <f>Masterlist!AN562</f>
        <v>0</v>
      </c>
      <c r="F37" s="1116">
        <f>Masterlist!AO562</f>
        <v>0</v>
      </c>
      <c r="G37" s="1116">
        <f>Masterlist!AP562</f>
        <v>0</v>
      </c>
      <c r="H37" s="1116">
        <f>Masterlist!AQ562</f>
        <v>0</v>
      </c>
      <c r="I37" s="1116">
        <f>Masterlist!AR562</f>
        <v>0</v>
      </c>
      <c r="J37" s="1116">
        <f>Masterlist!AS562</f>
        <v>0</v>
      </c>
      <c r="K37" s="1116">
        <f>Masterlist!AT562</f>
        <v>0</v>
      </c>
      <c r="L37" s="1116">
        <f>Masterlist!AU562</f>
        <v>0</v>
      </c>
      <c r="M37" s="1116">
        <f>Masterlist!AV562</f>
        <v>0</v>
      </c>
      <c r="N37" s="1116">
        <f>Masterlist!AW562</f>
        <v>0</v>
      </c>
      <c r="O37" s="1116">
        <f>Masterlist!AX562</f>
        <v>0</v>
      </c>
      <c r="P37" s="1116">
        <f>Masterlist!AY562</f>
        <v>0</v>
      </c>
      <c r="Q37" s="858">
        <f t="shared" si="0"/>
        <v>0</v>
      </c>
      <c r="R37" s="846">
        <f>(Q37-(HLOOKUP($D$1,yearendcumulative,463,FALSE)))/(HLOOKUP($D$1,yearendcumulative,463,FALSE))</f>
        <v>-1</v>
      </c>
      <c r="S37" s="846" t="s">
        <v>449</v>
      </c>
      <c r="T37" s="510"/>
      <c r="U37" s="1"/>
      <c r="V37" s="1"/>
      <c r="W37" s="1"/>
      <c r="X37" s="1"/>
    </row>
    <row r="38" spans="1:45" ht="15" customHeight="1" x14ac:dyDescent="0.35">
      <c r="A38" s="1197"/>
      <c r="B38" s="1192"/>
      <c r="C38" s="824" t="s">
        <v>434</v>
      </c>
      <c r="D38" s="884">
        <f>'year end'!AD467</f>
        <v>41</v>
      </c>
      <c r="E38" s="885">
        <f>Masterlist!AN563</f>
        <v>1</v>
      </c>
      <c r="F38" s="938">
        <f>Masterlist!AO563</f>
        <v>3</v>
      </c>
      <c r="G38" s="938">
        <f>Masterlist!AP563</f>
        <v>4</v>
      </c>
      <c r="H38" s="938">
        <f>Masterlist!AQ563</f>
        <v>2</v>
      </c>
      <c r="I38" s="938">
        <f>Masterlist!AR563</f>
        <v>4</v>
      </c>
      <c r="J38" s="938">
        <f>Masterlist!AS563</f>
        <v>6</v>
      </c>
      <c r="K38" s="938">
        <f>Masterlist!AT563</f>
        <v>3</v>
      </c>
      <c r="L38" s="938">
        <f>Masterlist!AU563</f>
        <v>2</v>
      </c>
      <c r="M38" s="938">
        <f>Masterlist!AV563</f>
        <v>3</v>
      </c>
      <c r="N38" s="938">
        <f>Masterlist!AW563</f>
        <v>0</v>
      </c>
      <c r="O38" s="938">
        <f>Masterlist!AX563</f>
        <v>0</v>
      </c>
      <c r="P38" s="938">
        <f>Masterlist!AY563</f>
        <v>1</v>
      </c>
      <c r="Q38" s="886">
        <f t="shared" si="0"/>
        <v>29</v>
      </c>
      <c r="R38" s="846">
        <f>(Q38-(HLOOKUP($D$1,yearendcumulative,466,FALSE)))/(HLOOKUP($D$1,yearendcumulative,466,FALSE))</f>
        <v>-0.29268292682926828</v>
      </c>
      <c r="S38" s="860" t="s">
        <v>449</v>
      </c>
      <c r="T38" s="510"/>
      <c r="U38" s="1"/>
      <c r="V38" s="1"/>
      <c r="W38" s="1"/>
      <c r="X38" s="1"/>
    </row>
    <row r="39" spans="1:45" ht="15" customHeight="1" x14ac:dyDescent="0.35">
      <c r="A39" s="1197"/>
      <c r="B39" s="1192"/>
      <c r="C39" s="825" t="s">
        <v>435</v>
      </c>
      <c r="D39" s="884">
        <f>'year end'!AD473</f>
        <v>123</v>
      </c>
      <c r="E39" s="938">
        <f>Masterlist!AN572</f>
        <v>13</v>
      </c>
      <c r="F39" s="938">
        <f>Masterlist!AO572</f>
        <v>15</v>
      </c>
      <c r="G39" s="938">
        <f>Masterlist!AP572</f>
        <v>20</v>
      </c>
      <c r="H39" s="938">
        <f>Masterlist!AQ572</f>
        <v>8</v>
      </c>
      <c r="I39" s="938">
        <f>Masterlist!AR572</f>
        <v>0</v>
      </c>
      <c r="J39" s="938">
        <f>Masterlist!AS572</f>
        <v>6</v>
      </c>
      <c r="K39" s="938">
        <f>Masterlist!AT572</f>
        <v>11</v>
      </c>
      <c r="L39" s="938">
        <f>Masterlist!AU572</f>
        <v>18</v>
      </c>
      <c r="M39" s="938">
        <f>Masterlist!AV572</f>
        <v>10</v>
      </c>
      <c r="N39" s="938">
        <f>Masterlist!AW572</f>
        <v>10</v>
      </c>
      <c r="O39" s="938">
        <f>Masterlist!AX572</f>
        <v>17</v>
      </c>
      <c r="P39" s="938">
        <f>Masterlist!AY572</f>
        <v>19</v>
      </c>
      <c r="Q39" s="858">
        <f t="shared" si="0"/>
        <v>147</v>
      </c>
      <c r="R39" s="890">
        <f>(Q39-(HLOOKUP($D$1,yearendcumulative,472,FALSE)))/(HLOOKUP($D$1,yearendcumulative,472,FALSE))</f>
        <v>0.1951219512195122</v>
      </c>
      <c r="S39" s="860" t="s">
        <v>449</v>
      </c>
      <c r="T39" s="510"/>
      <c r="U39" s="1"/>
      <c r="V39" s="1"/>
      <c r="W39" s="1"/>
      <c r="X39" s="1"/>
    </row>
    <row r="40" spans="1:45" ht="29.65" customHeight="1" x14ac:dyDescent="0.35">
      <c r="A40" s="1197"/>
      <c r="B40" s="842" t="s">
        <v>440</v>
      </c>
      <c r="C40" s="841" t="s">
        <v>457</v>
      </c>
      <c r="D40" s="1033">
        <f>'year end'!AD474</f>
        <v>0.99</v>
      </c>
      <c r="E40" s="887" t="str">
        <f>Masterlist!AN566</f>
        <v xml:space="preserve"> - </v>
      </c>
      <c r="F40" s="887" t="str">
        <f>Masterlist!AO566</f>
        <v xml:space="preserve"> - </v>
      </c>
      <c r="G40" s="1144">
        <f>Masterlist!AP566</f>
        <v>1</v>
      </c>
      <c r="H40" s="887" t="str">
        <f>Masterlist!AQ566</f>
        <v xml:space="preserve"> - </v>
      </c>
      <c r="I40" s="887" t="str">
        <f>Masterlist!AR566</f>
        <v xml:space="preserve"> - </v>
      </c>
      <c r="J40" s="1144">
        <f>Masterlist!AS566</f>
        <v>0.98</v>
      </c>
      <c r="K40" s="887" t="str">
        <f>Masterlist!AT566</f>
        <v xml:space="preserve"> - </v>
      </c>
      <c r="L40" s="887" t="str">
        <f>Masterlist!AU566</f>
        <v xml:space="preserve"> - </v>
      </c>
      <c r="M40" s="1144">
        <f>Masterlist!AV566</f>
        <v>0.95</v>
      </c>
      <c r="N40" s="887" t="str">
        <f>Masterlist!AW566</f>
        <v xml:space="preserve"> - </v>
      </c>
      <c r="O40" s="887" t="str">
        <f>Masterlist!AX566</f>
        <v xml:space="preserve"> - </v>
      </c>
      <c r="P40" s="1144">
        <v>0.99</v>
      </c>
      <c r="Q40" s="1163">
        <v>0.98</v>
      </c>
      <c r="R40" s="1170">
        <v>-0.01</v>
      </c>
      <c r="S40" s="860" t="s">
        <v>449</v>
      </c>
      <c r="T40" s="510"/>
      <c r="U40" s="1"/>
      <c r="V40" s="1"/>
      <c r="W40" s="1"/>
      <c r="X40" s="1"/>
    </row>
    <row r="41" spans="1:45" x14ac:dyDescent="0.35">
      <c r="A41" s="790"/>
      <c r="B41" s="821"/>
      <c r="C41" s="811"/>
      <c r="D41" s="891"/>
      <c r="E41" s="892"/>
      <c r="F41" s="1117"/>
      <c r="G41" s="1117"/>
      <c r="H41" s="1117"/>
      <c r="I41" s="1117"/>
      <c r="J41" s="1117"/>
      <c r="K41" s="1117"/>
      <c r="L41" s="1117"/>
      <c r="M41" s="1117"/>
      <c r="N41" s="1117"/>
      <c r="O41" s="1117"/>
      <c r="P41" s="1117"/>
      <c r="Q41" s="893"/>
      <c r="R41" s="893"/>
      <c r="S41" s="894"/>
      <c r="T41" s="510"/>
    </row>
    <row r="42" spans="1:45" ht="15" customHeight="1" x14ac:dyDescent="0.35">
      <c r="A42" s="1191" t="s">
        <v>439</v>
      </c>
      <c r="B42" s="1193" t="s">
        <v>70</v>
      </c>
      <c r="C42" s="837" t="s">
        <v>469</v>
      </c>
      <c r="D42" s="895">
        <f>'year end'!AD40</f>
        <v>1101</v>
      </c>
      <c r="E42" s="896">
        <f>Masterlist!AN43</f>
        <v>99</v>
      </c>
      <c r="F42" s="896">
        <f>Masterlist!AO43</f>
        <v>81</v>
      </c>
      <c r="G42" s="896">
        <f>Masterlist!AP43</f>
        <v>87</v>
      </c>
      <c r="H42" s="896">
        <f>Masterlist!AQ43</f>
        <v>123</v>
      </c>
      <c r="I42" s="896">
        <f>Masterlist!AR43</f>
        <v>111</v>
      </c>
      <c r="J42" s="896">
        <f>Masterlist!AS43</f>
        <v>110</v>
      </c>
      <c r="K42" s="896">
        <f>Masterlist!AT43</f>
        <v>119</v>
      </c>
      <c r="L42" s="896">
        <f>Masterlist!AU43</f>
        <v>99</v>
      </c>
      <c r="M42" s="896">
        <f>Masterlist!AV43</f>
        <v>107</v>
      </c>
      <c r="N42" s="896">
        <f>Masterlist!AW43</f>
        <v>85</v>
      </c>
      <c r="O42" s="896">
        <f>Masterlist!AX43</f>
        <v>94</v>
      </c>
      <c r="P42" s="896">
        <f>Masterlist!AY43</f>
        <v>93</v>
      </c>
      <c r="Q42" s="861">
        <f t="shared" ref="Q42:Q53" si="11">SUM(E42:P42)</f>
        <v>1208</v>
      </c>
      <c r="R42" s="855">
        <f>(Q42-(HLOOKUP($D$1,yearendcumulative,39,FALSE)))/(HLOOKUP($D$1,yearendcumulative,39,FALSE))</f>
        <v>9.7184377838328798E-2</v>
      </c>
      <c r="S42" s="855">
        <f>(Q42-(HLOOKUP($D$1,Monthlyaveragecumulative,10,FALSE)))/(HLOOKUP($D$1,Monthlyaveragecumulative,10,FALSE))</f>
        <v>-0.48176748176748174</v>
      </c>
      <c r="T42" s="510"/>
      <c r="U42" s="1"/>
      <c r="V42" s="1"/>
      <c r="W42" s="1"/>
      <c r="X42" s="1"/>
      <c r="AN42" s="152"/>
      <c r="AO42" s="152"/>
      <c r="AP42" s="152"/>
      <c r="AQ42" s="152"/>
      <c r="AR42" s="152"/>
      <c r="AS42" s="152"/>
    </row>
    <row r="43" spans="1:45" ht="15" customHeight="1" x14ac:dyDescent="0.35">
      <c r="A43" s="1191"/>
      <c r="B43" s="1202"/>
      <c r="C43" s="826" t="s">
        <v>14</v>
      </c>
      <c r="D43" s="897">
        <f>'year end'!AD34</f>
        <v>4074</v>
      </c>
      <c r="E43" s="867">
        <f>Masterlist!AN34</f>
        <v>389</v>
      </c>
      <c r="F43" s="867">
        <f>Masterlist!AO34</f>
        <v>370</v>
      </c>
      <c r="G43" s="867">
        <f>Masterlist!AP34</f>
        <v>353</v>
      </c>
      <c r="H43" s="867">
        <f>Masterlist!AQ34</f>
        <v>306</v>
      </c>
      <c r="I43" s="867">
        <f>Masterlist!AR34</f>
        <v>321</v>
      </c>
      <c r="J43" s="867">
        <f>Masterlist!AS34</f>
        <v>353</v>
      </c>
      <c r="K43" s="867">
        <f>Masterlist!AT34</f>
        <v>425</v>
      </c>
      <c r="L43" s="867">
        <f>Masterlist!AU34</f>
        <v>322</v>
      </c>
      <c r="M43" s="867">
        <f>Masterlist!AV34</f>
        <v>295</v>
      </c>
      <c r="N43" s="867">
        <f>Masterlist!AW34</f>
        <v>320</v>
      </c>
      <c r="O43" s="867">
        <f>Masterlist!AX34</f>
        <v>233</v>
      </c>
      <c r="P43" s="867">
        <f>Masterlist!AY34</f>
        <v>278</v>
      </c>
      <c r="Q43" s="898">
        <f t="shared" si="11"/>
        <v>3965</v>
      </c>
      <c r="R43" s="846">
        <f>(Q43-(HLOOKUP($D$1,yearendcumulative,33,FALSE)))/(HLOOKUP($D$1,yearendcumulative,33,FALSE))</f>
        <v>-2.6755031909671084E-2</v>
      </c>
      <c r="S43" s="846">
        <f>(Q43-(HLOOKUP($D$1,Monthlyaveragecumulative,33,FALSE)))/(HLOOKUP($D$1,Monthlyaveragecumulative,33,FALSE))</f>
        <v>-8.5351787773933097E-2</v>
      </c>
      <c r="T43" s="510"/>
      <c r="U43" s="1"/>
      <c r="V43" s="1"/>
      <c r="W43" s="1"/>
      <c r="X43" s="1"/>
    </row>
    <row r="44" spans="1:45" ht="15.75" customHeight="1" x14ac:dyDescent="0.35">
      <c r="A44" s="1191"/>
      <c r="B44" s="1202"/>
      <c r="C44" s="827" t="s">
        <v>15</v>
      </c>
      <c r="D44" s="897">
        <f>'year end'!AD33</f>
        <v>1150</v>
      </c>
      <c r="E44" s="849">
        <f>Masterlist!AN30+Masterlist!AN33</f>
        <v>117</v>
      </c>
      <c r="F44" s="849">
        <f>Masterlist!AO30+Masterlist!AO33</f>
        <v>99</v>
      </c>
      <c r="G44" s="849">
        <f>Masterlist!AP30+Masterlist!AP33</f>
        <v>109</v>
      </c>
      <c r="H44" s="849">
        <f>Masterlist!AQ30+Masterlist!AQ33</f>
        <v>71</v>
      </c>
      <c r="I44" s="849">
        <f>Masterlist!AR30+Masterlist!AR33</f>
        <v>90</v>
      </c>
      <c r="J44" s="849">
        <f>Masterlist!AS30+Masterlist!AS33</f>
        <v>91</v>
      </c>
      <c r="K44" s="849">
        <f>Masterlist!AT30+Masterlist!AT33</f>
        <v>117</v>
      </c>
      <c r="L44" s="849">
        <f>Masterlist!AU30+Masterlist!AU33</f>
        <v>84</v>
      </c>
      <c r="M44" s="849">
        <f>Masterlist!AV30+Masterlist!AV33</f>
        <v>115</v>
      </c>
      <c r="N44" s="849">
        <f>Masterlist!AW30+Masterlist!AW33</f>
        <v>111</v>
      </c>
      <c r="O44" s="849">
        <f>Masterlist!AX30+Masterlist!AX33</f>
        <v>71</v>
      </c>
      <c r="P44" s="849">
        <f>Masterlist!AY30+Masterlist!AY33</f>
        <v>121</v>
      </c>
      <c r="Q44" s="898">
        <f t="shared" si="11"/>
        <v>1196</v>
      </c>
      <c r="R44" s="846">
        <f>(Q44-(HLOOKUP($D$1,yearendcumulative,32,FALSE)))/(HLOOKUP($D$1,yearendcumulative,32,FALSE))</f>
        <v>0.04</v>
      </c>
      <c r="S44" s="846">
        <f>(Q44-(HLOOKUP($D$1,Monthlyaveragecumulative,32,FALSE)))/(HLOOKUP($D$1,Monthlyaveragecumulative,32,FALSE))</f>
        <v>0.29718004338394793</v>
      </c>
      <c r="T44" s="510"/>
      <c r="U44" s="758"/>
      <c r="V44" s="1"/>
      <c r="W44" s="1"/>
      <c r="X44" s="1"/>
    </row>
    <row r="45" spans="1:45" ht="15" customHeight="1" x14ac:dyDescent="0.35">
      <c r="A45" s="1191"/>
      <c r="B45" s="1202"/>
      <c r="C45" s="827" t="s">
        <v>16</v>
      </c>
      <c r="D45" s="899">
        <f>'year end'!AD31</f>
        <v>2057</v>
      </c>
      <c r="E45" s="849">
        <f>Masterlist!AN32</f>
        <v>179</v>
      </c>
      <c r="F45" s="849">
        <f>Masterlist!AO32</f>
        <v>175</v>
      </c>
      <c r="G45" s="849">
        <f>Masterlist!AP32</f>
        <v>187</v>
      </c>
      <c r="H45" s="849">
        <f>Masterlist!AQ32</f>
        <v>161</v>
      </c>
      <c r="I45" s="849">
        <f>Masterlist!AR32</f>
        <v>165</v>
      </c>
      <c r="J45" s="849">
        <f>Masterlist!AS32</f>
        <v>174</v>
      </c>
      <c r="K45" s="849">
        <f>Masterlist!AT32</f>
        <v>199</v>
      </c>
      <c r="L45" s="849">
        <f>Masterlist!AU32</f>
        <v>171</v>
      </c>
      <c r="M45" s="849">
        <f>Masterlist!AV32</f>
        <v>126</v>
      </c>
      <c r="N45" s="849">
        <f>Masterlist!AW32</f>
        <v>148</v>
      </c>
      <c r="O45" s="849">
        <f>Masterlist!AX32</f>
        <v>117</v>
      </c>
      <c r="P45" s="849">
        <f>Masterlist!AY32</f>
        <v>116</v>
      </c>
      <c r="Q45" s="898">
        <f t="shared" si="11"/>
        <v>1918</v>
      </c>
      <c r="R45" s="846">
        <f>(Q45-(HLOOKUP($D$1,yearendcumulative,30,FALSE)))/(HLOOKUP($D$1,yearendcumulative,30,FALSE))</f>
        <v>-6.7574137092853676E-2</v>
      </c>
      <c r="S45" s="846">
        <f>(Q45-(HLOOKUP($D$1,Monthlyaveragecumulative,30,FALSE)))/(HLOOKUP($D$1,Monthlyaveragecumulative,30,FALSE))</f>
        <v>-0.25311526479750779</v>
      </c>
      <c r="T45" s="510"/>
      <c r="U45" s="1"/>
      <c r="V45" s="1"/>
      <c r="W45" s="1"/>
      <c r="X45" s="1"/>
    </row>
    <row r="46" spans="1:45" ht="15" customHeight="1" x14ac:dyDescent="0.35">
      <c r="A46" s="1191"/>
      <c r="B46" s="1203"/>
      <c r="C46" s="826" t="s">
        <v>37</v>
      </c>
      <c r="D46" s="899">
        <f>'year end'!AD10</f>
        <v>346</v>
      </c>
      <c r="E46" s="900">
        <f>Masterlist!AN11</f>
        <v>30</v>
      </c>
      <c r="F46" s="900">
        <f>Masterlist!AO11</f>
        <v>30</v>
      </c>
      <c r="G46" s="900">
        <f>Masterlist!AP11</f>
        <v>42</v>
      </c>
      <c r="H46" s="900">
        <f>Masterlist!AQ11</f>
        <v>34</v>
      </c>
      <c r="I46" s="900">
        <f>Masterlist!AR11</f>
        <v>34</v>
      </c>
      <c r="J46" s="900">
        <f>Masterlist!AS11</f>
        <v>36</v>
      </c>
      <c r="K46" s="900">
        <f>Masterlist!AT11</f>
        <v>20</v>
      </c>
      <c r="L46" s="900">
        <f>Masterlist!AU11</f>
        <v>22</v>
      </c>
      <c r="M46" s="900">
        <f>Masterlist!AV11</f>
        <v>18</v>
      </c>
      <c r="N46" s="900">
        <f>Masterlist!AW11</f>
        <v>12</v>
      </c>
      <c r="O46" s="900">
        <f>Masterlist!AX11</f>
        <v>21</v>
      </c>
      <c r="P46" s="900">
        <f>Masterlist!AY11</f>
        <v>27</v>
      </c>
      <c r="Q46" s="889">
        <f t="shared" si="11"/>
        <v>326</v>
      </c>
      <c r="R46" s="890">
        <f>(Q46-(HLOOKUP($D$1,yearendcumulative,9,FALSE)))/(HLOOKUP($D$1,yearendcumulative,9,FALSE))</f>
        <v>-5.7803468208092484E-2</v>
      </c>
      <c r="S46" s="890">
        <f>(Q46-(HLOOKUP($D$1,Monthlyaveragecumulative,9,FALSE)))/(HLOOKUP($D$1,Monthlyaveragecumulative,9,FALSE))</f>
        <v>-6.8571428571428575E-2</v>
      </c>
      <c r="T46" s="510"/>
      <c r="U46" s="1"/>
      <c r="V46" s="1"/>
      <c r="W46" s="1"/>
      <c r="X46" s="1"/>
    </row>
    <row r="47" spans="1:45" ht="15" customHeight="1" x14ac:dyDescent="0.35">
      <c r="A47" s="1191"/>
      <c r="B47" s="1193" t="s">
        <v>172</v>
      </c>
      <c r="C47" s="828" t="s">
        <v>64</v>
      </c>
      <c r="D47" s="895">
        <f>'year end'!AD41</f>
        <v>7756</v>
      </c>
      <c r="E47" s="881">
        <f>Masterlist!AN347</f>
        <v>716</v>
      </c>
      <c r="F47" s="881">
        <f>Masterlist!AO347</f>
        <v>816</v>
      </c>
      <c r="G47" s="1145">
        <f>Masterlist!AP347</f>
        <v>772</v>
      </c>
      <c r="H47" s="1145">
        <f>Masterlist!AQ347</f>
        <v>804</v>
      </c>
      <c r="I47" s="1145">
        <f>Masterlist!AR347</f>
        <v>790</v>
      </c>
      <c r="J47" s="1145">
        <f>Masterlist!AS347</f>
        <v>699</v>
      </c>
      <c r="K47" s="1145">
        <f>Masterlist!AT347</f>
        <v>733</v>
      </c>
      <c r="L47" s="1145">
        <f>Masterlist!AU347</f>
        <v>615</v>
      </c>
      <c r="M47" s="1145">
        <f>Masterlist!AV347</f>
        <v>522</v>
      </c>
      <c r="N47" s="1145">
        <f>Masterlist!AW347</f>
        <v>581</v>
      </c>
      <c r="O47" s="1145">
        <f>Masterlist!AX347</f>
        <v>615</v>
      </c>
      <c r="P47" s="1145">
        <f>Masterlist!AY347</f>
        <v>513</v>
      </c>
      <c r="Q47" s="861">
        <f t="shared" si="11"/>
        <v>8176</v>
      </c>
      <c r="R47" s="855">
        <f>(Q47-(HLOOKUP($D$1,yearendcumulative,40,FALSE)))/(HLOOKUP($D$1,yearendcumulative,40,FALSE))</f>
        <v>5.4151624548736461E-2</v>
      </c>
      <c r="S47" s="855">
        <f>(Q47-(HLOOKUP($D$1,Monthlyaveragecumulative,40,FALSE)))/(HLOOKUP($D$1,Monthlyaveragecumulative,40,FALSE))</f>
        <v>-0.41712411777286662</v>
      </c>
      <c r="T47" s="510"/>
      <c r="U47" s="1"/>
      <c r="V47" s="1"/>
      <c r="W47" s="1"/>
      <c r="X47" s="1"/>
    </row>
    <row r="48" spans="1:45" ht="15" customHeight="1" x14ac:dyDescent="0.35">
      <c r="A48" s="1191"/>
      <c r="B48" s="1201"/>
      <c r="C48" s="829" t="s">
        <v>11</v>
      </c>
      <c r="D48" s="897">
        <f>'year end'!AD42</f>
        <v>1786</v>
      </c>
      <c r="E48" s="849">
        <f>Masterlist!AN348</f>
        <v>232</v>
      </c>
      <c r="F48" s="849">
        <f>Masterlist!AO348</f>
        <v>242</v>
      </c>
      <c r="G48" s="849">
        <f>Masterlist!AP348</f>
        <v>231</v>
      </c>
      <c r="H48" s="849">
        <f>Masterlist!AQ348</f>
        <v>232</v>
      </c>
      <c r="I48" s="849">
        <f>Masterlist!AR348</f>
        <v>204</v>
      </c>
      <c r="J48" s="849">
        <f>Masterlist!AS348</f>
        <v>218</v>
      </c>
      <c r="K48" s="849">
        <f>Masterlist!AT348</f>
        <v>212</v>
      </c>
      <c r="L48" s="849">
        <f>Masterlist!AU348</f>
        <v>196</v>
      </c>
      <c r="M48" s="849">
        <f>Masterlist!AV348</f>
        <v>148</v>
      </c>
      <c r="N48" s="849">
        <f>Masterlist!AW348</f>
        <v>161</v>
      </c>
      <c r="O48" s="849">
        <f>Masterlist!AX348</f>
        <v>151</v>
      </c>
      <c r="P48" s="849">
        <f>Masterlist!AY348</f>
        <v>118</v>
      </c>
      <c r="Q48" s="898">
        <f t="shared" si="11"/>
        <v>2345</v>
      </c>
      <c r="R48" s="846">
        <f>(Q48-(HLOOKUP($D$1,yearendcumulative,41,FALSE)))/(HLOOKUP($D$1,yearendcumulative,41,FALSE))</f>
        <v>0.31298992161254197</v>
      </c>
      <c r="S48" s="846">
        <f>(Q48-(HLOOKUP($D$1,Monthlyaveragecumulative,41,FALSE)))/(HLOOKUP($D$1,Monthlyaveragecumulative,41,FALSE))</f>
        <v>0.10874704491725769</v>
      </c>
      <c r="T48" s="510"/>
      <c r="U48" s="1"/>
      <c r="V48" s="1"/>
      <c r="W48" s="1"/>
      <c r="X48" s="1"/>
    </row>
    <row r="49" spans="1:24" ht="15" customHeight="1" x14ac:dyDescent="0.35">
      <c r="A49" s="1191"/>
      <c r="B49" s="1201"/>
      <c r="C49" s="829" t="s">
        <v>12</v>
      </c>
      <c r="D49" s="897">
        <f>'year end'!AD43</f>
        <v>5177</v>
      </c>
      <c r="E49" s="849">
        <f>Masterlist!AN349</f>
        <v>423</v>
      </c>
      <c r="F49" s="849">
        <f>Masterlist!AO349</f>
        <v>500</v>
      </c>
      <c r="G49" s="849">
        <f>Masterlist!AP349</f>
        <v>486</v>
      </c>
      <c r="H49" s="849">
        <f>Masterlist!AQ349</f>
        <v>497</v>
      </c>
      <c r="I49" s="849">
        <f>Masterlist!AR349</f>
        <v>515</v>
      </c>
      <c r="J49" s="849">
        <f>Masterlist!AS349</f>
        <v>445</v>
      </c>
      <c r="K49" s="849">
        <f>Masterlist!AT349</f>
        <v>457</v>
      </c>
      <c r="L49" s="849">
        <f>Masterlist!AU349</f>
        <v>379</v>
      </c>
      <c r="M49" s="849">
        <f>Masterlist!AV349</f>
        <v>338</v>
      </c>
      <c r="N49" s="849">
        <f>Masterlist!AW349</f>
        <v>379</v>
      </c>
      <c r="O49" s="849">
        <f>Masterlist!AX349</f>
        <v>415</v>
      </c>
      <c r="P49" s="849">
        <f>Masterlist!AY349</f>
        <v>361</v>
      </c>
      <c r="Q49" s="898">
        <f t="shared" si="11"/>
        <v>5195</v>
      </c>
      <c r="R49" s="846">
        <f>(Q49-(HLOOKUP($D$1,yearendcumulative,42,FALSE)))/(HLOOKUP($D$1,yearendcumulative,42,FALSE))</f>
        <v>3.4769171334749853E-3</v>
      </c>
      <c r="S49" s="846">
        <f>(Q49-(HLOOKUP($D$1,Monthlyaveragecumulative,42,FALSE)))/(HLOOKUP($D$1,Monthlyaveragecumulative,42,FALSE))</f>
        <v>-0.48091526778577137</v>
      </c>
      <c r="T49" s="510"/>
      <c r="U49" s="1"/>
      <c r="V49" s="1"/>
      <c r="W49" s="1"/>
      <c r="X49" s="1"/>
    </row>
    <row r="50" spans="1:24" ht="15" customHeight="1" x14ac:dyDescent="0.35">
      <c r="A50" s="1191"/>
      <c r="B50" s="1201"/>
      <c r="C50" s="830" t="s">
        <v>13</v>
      </c>
      <c r="D50" s="899">
        <f>'year end'!AD44</f>
        <v>793</v>
      </c>
      <c r="E50" s="849">
        <f>Masterlist!AN350</f>
        <v>61</v>
      </c>
      <c r="F50" s="849">
        <f>Masterlist!AO350</f>
        <v>74</v>
      </c>
      <c r="G50" s="849">
        <f>Masterlist!AP350</f>
        <v>55</v>
      </c>
      <c r="H50" s="849">
        <f>Masterlist!AQ350</f>
        <v>75</v>
      </c>
      <c r="I50" s="849">
        <f>Masterlist!AR350</f>
        <v>71</v>
      </c>
      <c r="J50" s="849">
        <f>Masterlist!AS350</f>
        <v>36</v>
      </c>
      <c r="K50" s="849">
        <f>Masterlist!AT350</f>
        <v>64</v>
      </c>
      <c r="L50" s="849">
        <f>Masterlist!AU350</f>
        <v>40</v>
      </c>
      <c r="M50" s="849">
        <f>Masterlist!AV350</f>
        <v>36</v>
      </c>
      <c r="N50" s="849">
        <f>Masterlist!AW350</f>
        <v>41</v>
      </c>
      <c r="O50" s="849">
        <f>Masterlist!AX350</f>
        <v>49</v>
      </c>
      <c r="P50" s="849">
        <f>Masterlist!AY350</f>
        <v>34</v>
      </c>
      <c r="Q50" s="898">
        <f t="shared" si="11"/>
        <v>636</v>
      </c>
      <c r="R50" s="860">
        <f>(Q50-(HLOOKUP($D$1,yearendcumulative,43,FALSE)))/(HLOOKUP($D$1,yearendcumulative,43,FALSE))</f>
        <v>-0.19798234552332913</v>
      </c>
      <c r="S50" s="860">
        <f>(Q50-(HLOOKUP($D$1,Monthlyaveragecumulative,43,FALSE)))/(HLOOKUP($D$1,Monthlyaveragecumulative,43,FALSE))</f>
        <v>-0.66614173228346452</v>
      </c>
      <c r="T50" s="510"/>
      <c r="U50" s="1"/>
      <c r="V50" s="1"/>
      <c r="W50" s="1"/>
      <c r="X50" s="1"/>
    </row>
    <row r="51" spans="1:24" ht="15" hidden="1" customHeight="1" x14ac:dyDescent="0.35">
      <c r="A51" s="1191"/>
      <c r="B51" s="1201"/>
      <c r="C51" s="831" t="s">
        <v>257</v>
      </c>
      <c r="D51" s="899" t="e">
        <f>'year end'!AD383</f>
        <v>#VALUE!</v>
      </c>
      <c r="E51" s="901" t="s">
        <v>210</v>
      </c>
      <c r="F51" s="901">
        <f>Masterlist!AO415</f>
        <v>0</v>
      </c>
      <c r="G51" s="901">
        <f>Masterlist!AP415</f>
        <v>0</v>
      </c>
      <c r="H51" s="901">
        <f>Masterlist!AQ415</f>
        <v>0</v>
      </c>
      <c r="I51" s="901">
        <f>Masterlist!AR415</f>
        <v>0</v>
      </c>
      <c r="J51" s="901">
        <f>Masterlist!AS415</f>
        <v>0</v>
      </c>
      <c r="K51" s="901">
        <f>Masterlist!AT415</f>
        <v>0</v>
      </c>
      <c r="L51" s="901">
        <f>Masterlist!AU415</f>
        <v>0</v>
      </c>
      <c r="M51" s="901">
        <f>Masterlist!AV415</f>
        <v>0</v>
      </c>
      <c r="N51" s="901">
        <f>Masterlist!AW415</f>
        <v>0</v>
      </c>
      <c r="O51" s="901">
        <f>Masterlist!AX415</f>
        <v>0</v>
      </c>
      <c r="P51" s="901">
        <f>Masterlist!AY415</f>
        <v>0</v>
      </c>
      <c r="Q51" s="902">
        <f t="shared" si="11"/>
        <v>0</v>
      </c>
      <c r="R51" s="860" t="e">
        <f>(Q51-(HLOOKUP($D$1,yearendcumulative,382,FALSE)))/(HLOOKUP($D$1,yearendcumulative,382,FALSE))</f>
        <v>#VALUE!</v>
      </c>
      <c r="S51" s="860" t="s">
        <v>206</v>
      </c>
      <c r="T51" s="510"/>
      <c r="U51" s="1"/>
      <c r="V51" s="1"/>
      <c r="W51" s="1"/>
      <c r="X51" s="1"/>
    </row>
    <row r="52" spans="1:24" ht="15" customHeight="1" x14ac:dyDescent="0.35">
      <c r="A52" s="1191"/>
      <c r="B52" s="1194"/>
      <c r="C52" s="835" t="s">
        <v>385</v>
      </c>
      <c r="D52" s="903">
        <f>'year end'!AD45</f>
        <v>199</v>
      </c>
      <c r="E52" s="888">
        <f>Masterlist!AN339</f>
        <v>16</v>
      </c>
      <c r="F52" s="888">
        <f>Masterlist!AO339</f>
        <v>15</v>
      </c>
      <c r="G52" s="888">
        <f>Masterlist!AP339</f>
        <v>26</v>
      </c>
      <c r="H52" s="888">
        <f>Masterlist!AQ339</f>
        <v>25</v>
      </c>
      <c r="I52" s="888">
        <f>Masterlist!AR339</f>
        <v>38</v>
      </c>
      <c r="J52" s="888">
        <f>Masterlist!AS339</f>
        <v>13</v>
      </c>
      <c r="K52" s="888">
        <f>Masterlist!AT339</f>
        <v>20</v>
      </c>
      <c r="L52" s="888">
        <f>Masterlist!AU339</f>
        <v>8</v>
      </c>
      <c r="M52" s="888">
        <f>Masterlist!AV339</f>
        <v>4</v>
      </c>
      <c r="N52" s="888">
        <f>Masterlist!AW339</f>
        <v>10</v>
      </c>
      <c r="O52" s="888">
        <f>Masterlist!AX339</f>
        <v>16</v>
      </c>
      <c r="P52" s="888">
        <f>Masterlist!AY339</f>
        <v>14</v>
      </c>
      <c r="Q52" s="902">
        <f t="shared" si="11"/>
        <v>205</v>
      </c>
      <c r="R52" s="860">
        <f>(Q52-(HLOOKUP($D$1,yearendcumulative,44,FALSE)))/(HLOOKUP($D$1,yearendcumulative,44,FALSE))</f>
        <v>3.015075376884422E-2</v>
      </c>
      <c r="S52" s="860">
        <f>(Q52-(HLOOKUP($D$1,Monthlyaveragecumulative,44,FALSE)))/(HLOOKUP($D$1,Monthlyaveragecumulative,44,FALSE))</f>
        <v>-0.21153846153846154</v>
      </c>
      <c r="T52" s="510"/>
      <c r="U52" s="1"/>
      <c r="V52" s="1"/>
      <c r="W52" s="1"/>
      <c r="X52" s="1"/>
    </row>
    <row r="53" spans="1:24" ht="28" customHeight="1" x14ac:dyDescent="0.35">
      <c r="A53" s="1191"/>
      <c r="B53" s="836" t="s">
        <v>440</v>
      </c>
      <c r="C53" s="1050" t="s">
        <v>466</v>
      </c>
      <c r="D53" s="903">
        <f>'year end'!AF475</f>
        <v>687</v>
      </c>
      <c r="E53" s="888" t="str">
        <f>Masterlist!AN567</f>
        <v xml:space="preserve"> - </v>
      </c>
      <c r="F53" s="888" t="str">
        <f>Masterlist!AO567</f>
        <v xml:space="preserve"> - </v>
      </c>
      <c r="G53" s="888">
        <f>Masterlist!AP567</f>
        <v>90</v>
      </c>
      <c r="H53" s="888" t="str">
        <f>Masterlist!AQ567</f>
        <v xml:space="preserve"> - </v>
      </c>
      <c r="I53" s="888" t="str">
        <f>Masterlist!AR567</f>
        <v xml:space="preserve"> - </v>
      </c>
      <c r="J53" s="888">
        <f>Masterlist!AS567</f>
        <v>0</v>
      </c>
      <c r="K53" s="888" t="str">
        <f>Masterlist!AT567</f>
        <v xml:space="preserve"> - </v>
      </c>
      <c r="L53" s="888" t="str">
        <f>Masterlist!AU567</f>
        <v xml:space="preserve"> - </v>
      </c>
      <c r="M53" s="888">
        <f>Masterlist!AV567</f>
        <v>40</v>
      </c>
      <c r="N53" s="888" t="str">
        <f>Masterlist!AW567</f>
        <v xml:space="preserve"> - </v>
      </c>
      <c r="O53" s="888" t="str">
        <f>Masterlist!AX567</f>
        <v xml:space="preserve"> - </v>
      </c>
      <c r="P53" s="888">
        <v>281</v>
      </c>
      <c r="Q53" s="902">
        <f t="shared" si="11"/>
        <v>411</v>
      </c>
      <c r="R53" s="1162">
        <v>-0.40200000000000002</v>
      </c>
      <c r="S53" s="890"/>
      <c r="T53" s="510"/>
      <c r="U53" s="1"/>
      <c r="V53" s="1"/>
      <c r="W53" s="1"/>
      <c r="X53" s="1"/>
    </row>
    <row r="54" spans="1:24" ht="15.75" customHeight="1" x14ac:dyDescent="0.35">
      <c r="A54" s="1191"/>
      <c r="B54" s="1193" t="s">
        <v>441</v>
      </c>
      <c r="C54" s="839" t="s">
        <v>523</v>
      </c>
      <c r="D54" s="904">
        <f>'year end'!AD443</f>
        <v>390</v>
      </c>
      <c r="E54" s="868">
        <f>Masterlist!AN534</f>
        <v>50</v>
      </c>
      <c r="F54" s="868">
        <f>Masterlist!AO534</f>
        <v>51</v>
      </c>
      <c r="G54" s="868">
        <f>Masterlist!AP534</f>
        <v>48</v>
      </c>
      <c r="H54" s="868">
        <f>Masterlist!AQ534</f>
        <v>45</v>
      </c>
      <c r="I54" s="868">
        <f>Masterlist!AR534</f>
        <v>40</v>
      </c>
      <c r="J54" s="868">
        <f>Masterlist!AS534</f>
        <v>33</v>
      </c>
      <c r="K54" s="868">
        <f>Masterlist!AT534</f>
        <v>33</v>
      </c>
      <c r="L54" s="868">
        <f>Masterlist!AU534</f>
        <v>26</v>
      </c>
      <c r="M54" s="868">
        <f>Masterlist!AV534</f>
        <v>29</v>
      </c>
      <c r="N54" s="868">
        <f>Masterlist!AW534</f>
        <v>28</v>
      </c>
      <c r="O54" s="868">
        <f>Masterlist!AX534</f>
        <v>33</v>
      </c>
      <c r="P54" s="868">
        <f>Masterlist!AY534</f>
        <v>39</v>
      </c>
      <c r="Q54" s="858">
        <f t="shared" ref="Q54:Q56" si="12">SUM(E54:P54)</f>
        <v>455</v>
      </c>
      <c r="R54" s="855">
        <f>(Q54-(HLOOKUP($D$1,yearendcumulative,442,FALSE)))/(HLOOKUP($D$1,yearendcumulative,442,FALSE))</f>
        <v>0.16666666666666666</v>
      </c>
      <c r="S54" s="846">
        <f>(Q54-(HLOOKUP($D$1,Monthlyaveragecumulative,475,FALSE)))/(HLOOKUP($D$1,Monthlyaveragecumulative,475,FALSE))</f>
        <v>-0.18312387791741472</v>
      </c>
      <c r="T54" s="510"/>
      <c r="U54" s="1"/>
      <c r="V54" s="1"/>
      <c r="W54" s="1"/>
      <c r="X54" s="1"/>
    </row>
    <row r="55" spans="1:24" ht="15.75" customHeight="1" x14ac:dyDescent="0.35">
      <c r="A55" s="1191"/>
      <c r="B55" s="1201"/>
      <c r="C55" s="832" t="s">
        <v>371</v>
      </c>
      <c r="D55" s="904">
        <f>'year end'!AD451</f>
        <v>197</v>
      </c>
      <c r="E55" s="868">
        <f>Masterlist!AN543</f>
        <v>18</v>
      </c>
      <c r="F55" s="868">
        <f>Masterlist!AO543</f>
        <v>12</v>
      </c>
      <c r="G55" s="868">
        <f>Masterlist!AP543</f>
        <v>27</v>
      </c>
      <c r="H55" s="868">
        <f>Masterlist!AQ543</f>
        <v>13</v>
      </c>
      <c r="I55" s="868">
        <f>Masterlist!AR543</f>
        <v>15</v>
      </c>
      <c r="J55" s="868">
        <f>Masterlist!AS543</f>
        <v>19</v>
      </c>
      <c r="K55" s="868">
        <f>Masterlist!AT543</f>
        <v>15</v>
      </c>
      <c r="L55" s="868">
        <f>Masterlist!AU543</f>
        <v>16</v>
      </c>
      <c r="M55" s="868">
        <f>Masterlist!AV543</f>
        <v>23</v>
      </c>
      <c r="N55" s="868">
        <f>Masterlist!AW543</f>
        <v>8</v>
      </c>
      <c r="O55" s="868">
        <f>Masterlist!AX543</f>
        <v>14</v>
      </c>
      <c r="P55" s="868">
        <f>Masterlist!AY543</f>
        <v>10</v>
      </c>
      <c r="Q55" s="858">
        <f t="shared" si="12"/>
        <v>190</v>
      </c>
      <c r="R55" s="846">
        <f>(Q55-(HLOOKUP($D$1,yearendcumulative,450,FALSE)))/(HLOOKUP($D$1,yearendcumulative,450,FALSE))</f>
        <v>-3.553299492385787E-2</v>
      </c>
      <c r="S55" s="846">
        <f>(Q55-(HLOOKUP($D$1,Monthlyaveragecumulative,483,FALSE)))/(HLOOKUP($D$1,Monthlyaveragecumulative,483,FALSE))</f>
        <v>-0.56621004566210043</v>
      </c>
      <c r="T55" s="510"/>
      <c r="U55" s="1"/>
      <c r="V55" s="1"/>
      <c r="W55" s="1"/>
      <c r="X55" s="1"/>
    </row>
    <row r="56" spans="1:24" ht="28" customHeight="1" x14ac:dyDescent="0.35">
      <c r="A56" s="1191"/>
      <c r="B56" s="1194"/>
      <c r="C56" s="840" t="s">
        <v>405</v>
      </c>
      <c r="D56" s="905">
        <f>'year end'!AD459</f>
        <v>468</v>
      </c>
      <c r="E56" s="857">
        <f>Masterlist!AN552</f>
        <v>33</v>
      </c>
      <c r="F56" s="857">
        <f>Masterlist!AO552</f>
        <v>29</v>
      </c>
      <c r="G56" s="857">
        <f>Masterlist!AP552</f>
        <v>34</v>
      </c>
      <c r="H56" s="857">
        <f>Masterlist!AQ552</f>
        <v>35</v>
      </c>
      <c r="I56" s="857">
        <f>Masterlist!AR552</f>
        <v>26</v>
      </c>
      <c r="J56" s="857">
        <f>Masterlist!AS552</f>
        <v>40</v>
      </c>
      <c r="K56" s="857">
        <f>Masterlist!AT552</f>
        <v>44</v>
      </c>
      <c r="L56" s="857">
        <f>Masterlist!AU552</f>
        <v>75</v>
      </c>
      <c r="M56" s="857">
        <f>Masterlist!AV552</f>
        <v>36</v>
      </c>
      <c r="N56" s="857">
        <f>Masterlist!AW552</f>
        <v>62</v>
      </c>
      <c r="O56" s="857">
        <f>Masterlist!AX552</f>
        <v>44</v>
      </c>
      <c r="P56" s="868">
        <f>Masterlist!AY552</f>
        <v>43</v>
      </c>
      <c r="Q56" s="886">
        <f t="shared" si="12"/>
        <v>501</v>
      </c>
      <c r="R56" s="860">
        <f>(Q56-(HLOOKUP($D$1,yearendcumulative,458,FALSE)))/(HLOOKUP($D$1,yearendcumulative,458,FALSE))</f>
        <v>7.0512820512820512E-2</v>
      </c>
      <c r="S56" s="846">
        <f>(Q56-(HLOOKUP($D$1,Monthlyaveragecumulative,483,FALSE)))/(HLOOKUP($D$1,Monthlyaveragecumulative,483,FALSE))</f>
        <v>0.14383561643835616</v>
      </c>
      <c r="T56" s="510"/>
      <c r="U56" s="1"/>
      <c r="V56" s="1"/>
      <c r="W56" s="1"/>
      <c r="X56" s="1"/>
    </row>
    <row r="57" spans="1:24" ht="15" customHeight="1" x14ac:dyDescent="0.35">
      <c r="A57" s="1191"/>
      <c r="B57" s="1193" t="s">
        <v>209</v>
      </c>
      <c r="C57" s="837" t="s">
        <v>420</v>
      </c>
      <c r="D57" s="895">
        <f>'year end'!AD46</f>
        <v>289</v>
      </c>
      <c r="E57" s="1156">
        <f>Masterlist!AN323</f>
        <v>26</v>
      </c>
      <c r="F57" s="1156">
        <f>Masterlist!AO323</f>
        <v>27</v>
      </c>
      <c r="G57" s="1156">
        <f>Masterlist!AP323</f>
        <v>29</v>
      </c>
      <c r="H57" s="1156">
        <f>Masterlist!AQ323</f>
        <v>21</v>
      </c>
      <c r="I57" s="1156">
        <f>Masterlist!AR323</f>
        <v>43</v>
      </c>
      <c r="J57" s="1156">
        <f>Masterlist!AS323</f>
        <v>29</v>
      </c>
      <c r="K57" s="1156">
        <f>Masterlist!AT323</f>
        <v>34</v>
      </c>
      <c r="L57" s="1156">
        <f>Masterlist!AU323</f>
        <v>24</v>
      </c>
      <c r="M57" s="1156">
        <f>Masterlist!AV323</f>
        <v>24</v>
      </c>
      <c r="N57" s="1156">
        <f>Masterlist!AW323</f>
        <v>16</v>
      </c>
      <c r="O57" s="1156">
        <f>Masterlist!AX323</f>
        <v>20</v>
      </c>
      <c r="P57" s="1156" t="s">
        <v>210</v>
      </c>
      <c r="Q57" s="1078" t="s">
        <v>210</v>
      </c>
      <c r="R57" s="906" t="s">
        <v>210</v>
      </c>
      <c r="S57" s="906" t="s">
        <v>210</v>
      </c>
      <c r="T57" s="510"/>
      <c r="U57" s="1"/>
      <c r="V57" s="1"/>
      <c r="W57" s="1"/>
      <c r="X57" s="1"/>
    </row>
    <row r="58" spans="1:24" ht="15" customHeight="1" x14ac:dyDescent="0.35">
      <c r="A58" s="1191"/>
      <c r="B58" s="1201"/>
      <c r="C58" s="827" t="s">
        <v>66</v>
      </c>
      <c r="D58" s="897">
        <f>'year end'!AD47</f>
        <v>33</v>
      </c>
      <c r="E58" s="1157">
        <f>Masterlist!AN324</f>
        <v>1</v>
      </c>
      <c r="F58" s="1157">
        <f>Masterlist!AO324</f>
        <v>1</v>
      </c>
      <c r="G58" s="1157">
        <f>Masterlist!AP324</f>
        <v>4</v>
      </c>
      <c r="H58" s="1157">
        <f>Masterlist!AQ324</f>
        <v>1</v>
      </c>
      <c r="I58" s="1157">
        <f>Masterlist!AR324</f>
        <v>4</v>
      </c>
      <c r="J58" s="1157">
        <f>Masterlist!AS324</f>
        <v>4</v>
      </c>
      <c r="K58" s="1157">
        <f>Masterlist!AT324</f>
        <v>3</v>
      </c>
      <c r="L58" s="1157">
        <f>Masterlist!AU324</f>
        <v>2</v>
      </c>
      <c r="M58" s="1157">
        <f>Masterlist!AV324</f>
        <v>2</v>
      </c>
      <c r="N58" s="1157">
        <f>Masterlist!AW324</f>
        <v>1</v>
      </c>
      <c r="O58" s="1157">
        <f>Masterlist!AX324</f>
        <v>3</v>
      </c>
      <c r="P58" s="1157" t="s">
        <v>210</v>
      </c>
      <c r="Q58" s="1079" t="s">
        <v>210</v>
      </c>
      <c r="R58" s="907" t="s">
        <v>210</v>
      </c>
      <c r="S58" s="907" t="s">
        <v>210</v>
      </c>
      <c r="T58" s="510"/>
      <c r="U58" s="1"/>
      <c r="V58" s="1"/>
      <c r="W58" s="1"/>
      <c r="X58" s="1"/>
    </row>
    <row r="59" spans="1:24" ht="15" customHeight="1" x14ac:dyDescent="0.35">
      <c r="A59" s="1191"/>
      <c r="B59" s="1194"/>
      <c r="C59" s="838" t="s">
        <v>67</v>
      </c>
      <c r="D59" s="899">
        <f>'year end'!AD48</f>
        <v>256</v>
      </c>
      <c r="E59" s="1158">
        <f>Masterlist!AN325</f>
        <v>25</v>
      </c>
      <c r="F59" s="1158">
        <f>Masterlist!AO325</f>
        <v>26</v>
      </c>
      <c r="G59" s="1158">
        <f>Masterlist!AP325</f>
        <v>25</v>
      </c>
      <c r="H59" s="1158">
        <f>Masterlist!AQ325</f>
        <v>20</v>
      </c>
      <c r="I59" s="1158">
        <f>Masterlist!AR325</f>
        <v>39</v>
      </c>
      <c r="J59" s="1158">
        <f>Masterlist!AS325</f>
        <v>25</v>
      </c>
      <c r="K59" s="1158">
        <f>Masterlist!AT325</f>
        <v>31</v>
      </c>
      <c r="L59" s="1158">
        <f>Masterlist!AU325</f>
        <v>22</v>
      </c>
      <c r="M59" s="1158">
        <f>Masterlist!AV325</f>
        <v>22</v>
      </c>
      <c r="N59" s="1158">
        <f>Masterlist!AW325</f>
        <v>15</v>
      </c>
      <c r="O59" s="1158">
        <f>Masterlist!AX325</f>
        <v>17</v>
      </c>
      <c r="P59" s="1158" t="s">
        <v>210</v>
      </c>
      <c r="Q59" s="1080" t="s">
        <v>210</v>
      </c>
      <c r="R59" s="908" t="s">
        <v>210</v>
      </c>
      <c r="S59" s="908" t="s">
        <v>210</v>
      </c>
      <c r="T59" s="510"/>
      <c r="U59" s="1"/>
      <c r="V59" s="1"/>
      <c r="W59" s="1"/>
      <c r="X59" s="1"/>
    </row>
    <row r="60" spans="1:24" ht="15" customHeight="1" x14ac:dyDescent="0.35">
      <c r="A60" s="1191"/>
      <c r="B60" s="836" t="s">
        <v>218</v>
      </c>
      <c r="C60" s="1052" t="s">
        <v>465</v>
      </c>
      <c r="D60" s="903">
        <f>'year end'!AD339</f>
        <v>922</v>
      </c>
      <c r="E60" s="901">
        <f>Masterlist!AN408</f>
        <v>88</v>
      </c>
      <c r="F60" s="901">
        <f>Masterlist!AO408</f>
        <v>85</v>
      </c>
      <c r="G60" s="901">
        <f>Masterlist!AP408</f>
        <v>112</v>
      </c>
      <c r="H60" s="901">
        <f>Masterlist!AQ408</f>
        <v>117</v>
      </c>
      <c r="I60" s="901">
        <f>Masterlist!AR408</f>
        <v>133</v>
      </c>
      <c r="J60" s="901">
        <f>Masterlist!AS408</f>
        <v>125</v>
      </c>
      <c r="K60" s="901">
        <f>Masterlist!AT408</f>
        <v>129</v>
      </c>
      <c r="L60" s="901">
        <f>Masterlist!AU408</f>
        <v>115</v>
      </c>
      <c r="M60" s="901">
        <f>Masterlist!AV408</f>
        <v>120</v>
      </c>
      <c r="N60" s="901">
        <f>Masterlist!AW408</f>
        <v>144</v>
      </c>
      <c r="O60" s="901">
        <f>Masterlist!AX408</f>
        <v>100</v>
      </c>
      <c r="P60" s="1158" t="s">
        <v>210</v>
      </c>
      <c r="Q60" s="1080" t="s">
        <v>210</v>
      </c>
      <c r="R60" s="908" t="s">
        <v>210</v>
      </c>
      <c r="S60" s="890" t="e">
        <f>(Q60-(HLOOKUP($D$1,Monthlyaveragecumulative,338,FALSE)))/(HLOOKUP($D$1,Monthlyaveragecumulative,338,FALSE))</f>
        <v>#VALUE!</v>
      </c>
      <c r="T60" s="510"/>
      <c r="U60" s="1"/>
      <c r="V60" s="1"/>
      <c r="W60" s="1"/>
      <c r="X60" s="1"/>
    </row>
    <row r="61" spans="1:24" ht="15" customHeight="1" x14ac:dyDescent="0.35">
      <c r="A61" s="1191"/>
      <c r="B61" s="834" t="s">
        <v>52</v>
      </c>
      <c r="C61" s="833" t="s">
        <v>52</v>
      </c>
      <c r="D61" s="944">
        <f>'year end'!AD39</f>
        <v>6506</v>
      </c>
      <c r="E61" s="910">
        <f>Masterlist!AN41</f>
        <v>647</v>
      </c>
      <c r="F61" s="910">
        <f>Masterlist!AO41</f>
        <v>636</v>
      </c>
      <c r="G61" s="910">
        <f>Masterlist!AP41</f>
        <v>552</v>
      </c>
      <c r="H61" s="910">
        <f>Masterlist!AQ41</f>
        <v>631</v>
      </c>
      <c r="I61" s="910">
        <f>Masterlist!AR41</f>
        <v>615</v>
      </c>
      <c r="J61" s="910">
        <f>Masterlist!AS41</f>
        <v>631</v>
      </c>
      <c r="K61" s="910">
        <f>Masterlist!AT41</f>
        <v>633</v>
      </c>
      <c r="L61" s="910">
        <f>Masterlist!AU41</f>
        <v>485</v>
      </c>
      <c r="M61" s="910">
        <f>Masterlist!AV41</f>
        <v>436</v>
      </c>
      <c r="N61" s="910">
        <f>Masterlist!AW41</f>
        <v>443</v>
      </c>
      <c r="O61" s="910">
        <f>Masterlist!AX41</f>
        <v>437</v>
      </c>
      <c r="P61" s="910">
        <f>Masterlist!AY41</f>
        <v>509</v>
      </c>
      <c r="Q61" s="909">
        <f>SUM(E61:P61)</f>
        <v>6655</v>
      </c>
      <c r="R61" s="890">
        <f>(Q61-(HLOOKUP($D$1,yearendcumulative,38,FALSE)))/(HLOOKUP($D$1,yearendcumulative,38,FALSE))</f>
        <v>2.2901936673839534E-2</v>
      </c>
      <c r="S61" s="890">
        <f>(Q61-(HLOOKUP($D$1,Monthlyaveragecumulative,38,FALSE)))/(HLOOKUP($D$1,Monthlyaveragecumulative,38,FALSE))</f>
        <v>0.15960968809897194</v>
      </c>
      <c r="T61" s="510"/>
      <c r="U61" s="1"/>
      <c r="V61" s="1"/>
      <c r="W61" s="1"/>
      <c r="X61" s="1"/>
    </row>
    <row r="62" spans="1:24" ht="15.75" customHeight="1" x14ac:dyDescent="0.35">
      <c r="A62" s="1191"/>
      <c r="B62" s="834" t="s">
        <v>261</v>
      </c>
      <c r="C62" s="1052" t="s">
        <v>314</v>
      </c>
      <c r="D62" s="903">
        <f>'year end'!AD357</f>
        <v>261</v>
      </c>
      <c r="E62" s="911">
        <f>Masterlist!AN486</f>
        <v>12</v>
      </c>
      <c r="F62" s="911">
        <f>Masterlist!AO486</f>
        <v>17</v>
      </c>
      <c r="G62" s="911">
        <f>Masterlist!AP486</f>
        <v>12</v>
      </c>
      <c r="H62" s="911">
        <f>Masterlist!AQ486</f>
        <v>15</v>
      </c>
      <c r="I62" s="911">
        <f>Masterlist!AR486</f>
        <v>18</v>
      </c>
      <c r="J62" s="911">
        <f>Masterlist!AS486</f>
        <v>22</v>
      </c>
      <c r="K62" s="911">
        <f>Masterlist!AT486</f>
        <v>18</v>
      </c>
      <c r="L62" s="911">
        <f>Masterlist!AU486</f>
        <v>18</v>
      </c>
      <c r="M62" s="911">
        <f>Masterlist!AV486</f>
        <v>23</v>
      </c>
      <c r="N62" s="911">
        <f>Masterlist!AW486</f>
        <v>12</v>
      </c>
      <c r="O62" s="911">
        <f>Masterlist!AX486</f>
        <v>7</v>
      </c>
      <c r="P62" s="911">
        <f>Masterlist!AY486</f>
        <v>17</v>
      </c>
      <c r="Q62" s="902">
        <f>SUM(E62:P62)</f>
        <v>191</v>
      </c>
      <c r="R62" s="890">
        <f>(Q62-(HLOOKUP($D$1,yearendcumulative,356,FALSE)))/(HLOOKUP($D$1,yearendcumulative,356,FALSE))</f>
        <v>-0.26819923371647508</v>
      </c>
      <c r="S62" s="890">
        <f>(Q62-(HLOOKUP($D$1,Monthlyaveragecumulative,38,FALSE)))/(HLOOKUP($D$1,Monthlyaveragecumulative,38,FALSE))</f>
        <v>-0.96671894058198293</v>
      </c>
      <c r="T62" s="510"/>
      <c r="U62" s="1"/>
      <c r="V62" s="1"/>
      <c r="W62" s="1"/>
      <c r="X62" s="1"/>
    </row>
    <row r="63" spans="1:24" ht="15.75" customHeight="1" x14ac:dyDescent="0.35">
      <c r="A63" s="1191"/>
      <c r="B63" s="1193" t="s">
        <v>442</v>
      </c>
      <c r="C63" s="833" t="s">
        <v>367</v>
      </c>
      <c r="D63" s="995">
        <f>'year end'!AD435</f>
        <v>0</v>
      </c>
      <c r="E63" s="912">
        <f>Masterlist!AN525</f>
        <v>0</v>
      </c>
      <c r="F63" s="913">
        <f>Masterlist!AO525</f>
        <v>0</v>
      </c>
      <c r="G63" s="913">
        <f>Masterlist!AP525</f>
        <v>0</v>
      </c>
      <c r="H63" s="913">
        <f>Masterlist!AQ525</f>
        <v>0</v>
      </c>
      <c r="I63" s="913">
        <f>Masterlist!AR525</f>
        <v>0</v>
      </c>
      <c r="J63" s="913">
        <f>Masterlist!AS525</f>
        <v>0</v>
      </c>
      <c r="K63" s="913">
        <f>Masterlist!AT525</f>
        <v>0</v>
      </c>
      <c r="L63" s="913">
        <f>Masterlist!AU525</f>
        <v>0</v>
      </c>
      <c r="M63" s="913">
        <f>Masterlist!AV525</f>
        <v>0</v>
      </c>
      <c r="N63" s="913">
        <f>Masterlist!AW525</f>
        <v>0</v>
      </c>
      <c r="O63" s="913">
        <f>Masterlist!AX525</f>
        <v>0</v>
      </c>
      <c r="P63" s="913">
        <f>Masterlist!AY525</f>
        <v>0</v>
      </c>
      <c r="Q63" s="858">
        <f>SUM(E63:P63)</f>
        <v>0</v>
      </c>
      <c r="R63" s="846">
        <v>0</v>
      </c>
      <c r="S63" s="846">
        <f>(Q63-(HLOOKUP($D$1,Monthlyaveragecumulative,467,FALSE)))/(HLOOKUP($D$1,Monthlyaveragecumulative,467,FALSE))</f>
        <v>-1</v>
      </c>
      <c r="T63" s="510"/>
      <c r="U63" s="1"/>
      <c r="V63" s="1"/>
      <c r="W63" s="1"/>
      <c r="X63" s="1"/>
    </row>
    <row r="64" spans="1:24" ht="15.75" customHeight="1" x14ac:dyDescent="0.35">
      <c r="A64" s="1191"/>
      <c r="B64" s="1194"/>
      <c r="C64" s="826" t="s">
        <v>436</v>
      </c>
      <c r="D64" s="905">
        <f>'year end'!AD472</f>
        <v>36</v>
      </c>
      <c r="E64" s="913">
        <f>Masterlist!AN570</f>
        <v>0</v>
      </c>
      <c r="F64" s="913">
        <f>Masterlist!AO570</f>
        <v>3</v>
      </c>
      <c r="G64" s="913">
        <f>Masterlist!AP570</f>
        <v>2</v>
      </c>
      <c r="H64" s="913">
        <f>Masterlist!AQ570</f>
        <v>1</v>
      </c>
      <c r="I64" s="913">
        <f>Masterlist!AR570</f>
        <v>3</v>
      </c>
      <c r="J64" s="913">
        <f>Masterlist!AS570</f>
        <v>1</v>
      </c>
      <c r="K64" s="913">
        <f>Masterlist!AT570</f>
        <v>6</v>
      </c>
      <c r="L64" s="913">
        <f>Masterlist!AU570</f>
        <v>3</v>
      </c>
      <c r="M64" s="913">
        <f>Masterlist!AV570</f>
        <v>1</v>
      </c>
      <c r="N64" s="913">
        <f>Masterlist!AW570</f>
        <v>1</v>
      </c>
      <c r="O64" s="913">
        <f>Masterlist!AX570</f>
        <v>1</v>
      </c>
      <c r="P64" s="913">
        <f>Masterlist!AY570</f>
        <v>1</v>
      </c>
      <c r="Q64" s="889">
        <f>SUM(E64:P64)</f>
        <v>23</v>
      </c>
      <c r="R64" s="890">
        <v>5</v>
      </c>
      <c r="S64" s="860" t="s">
        <v>206</v>
      </c>
      <c r="T64" s="510"/>
      <c r="U64" s="1"/>
      <c r="V64" s="1"/>
      <c r="W64" s="1"/>
      <c r="X64" s="1"/>
    </row>
    <row r="65" spans="1:24" s="635" customFormat="1" x14ac:dyDescent="0.35">
      <c r="B65" s="807"/>
      <c r="C65" s="976"/>
      <c r="D65" s="915"/>
      <c r="E65" s="915"/>
      <c r="F65" s="931"/>
      <c r="G65" s="931"/>
      <c r="H65" s="915"/>
      <c r="I65" s="931"/>
      <c r="J65" s="915"/>
      <c r="K65" s="915"/>
      <c r="L65" s="915"/>
      <c r="M65" s="915"/>
      <c r="N65" s="931"/>
      <c r="O65" s="915"/>
      <c r="P65" s="931"/>
      <c r="Q65" s="809"/>
      <c r="R65" s="819"/>
      <c r="S65" s="808"/>
      <c r="T65" s="511"/>
      <c r="U65" s="483"/>
      <c r="V65" s="483"/>
      <c r="W65" s="483"/>
      <c r="X65" s="483"/>
    </row>
    <row r="66" spans="1:24" s="635" customFormat="1" ht="85.5" customHeight="1" x14ac:dyDescent="0.35">
      <c r="A66" s="719"/>
      <c r="B66" s="822" t="s">
        <v>80</v>
      </c>
      <c r="C66" s="813" t="s">
        <v>522</v>
      </c>
      <c r="D66" s="1199" t="s">
        <v>464</v>
      </c>
      <c r="E66" s="1200"/>
      <c r="F66" s="1200"/>
      <c r="G66" s="1200"/>
      <c r="H66" s="1200"/>
      <c r="I66" s="1200"/>
      <c r="J66" s="1200"/>
      <c r="K66" s="1200"/>
      <c r="L66" s="1200"/>
      <c r="M66" s="1200"/>
      <c r="N66" s="1200"/>
      <c r="O66" s="1200"/>
      <c r="P66" s="1200"/>
      <c r="Q66" s="1200"/>
      <c r="R66" s="1200"/>
      <c r="S66" s="1200"/>
      <c r="T66" s="511"/>
      <c r="U66" s="483"/>
      <c r="V66" s="483"/>
      <c r="W66" s="483"/>
      <c r="X66" s="483"/>
    </row>
    <row r="67" spans="1:24" s="635" customFormat="1" x14ac:dyDescent="0.35">
      <c r="A67" s="719"/>
      <c r="B67" s="822"/>
      <c r="C67" s="813" t="s">
        <v>182</v>
      </c>
      <c r="D67" s="977"/>
      <c r="E67" s="977"/>
      <c r="F67" s="1094"/>
      <c r="G67" s="1094"/>
      <c r="H67" s="1042"/>
      <c r="I67" s="1094"/>
      <c r="J67" s="1042"/>
      <c r="K67" s="1042"/>
      <c r="L67" s="1042"/>
      <c r="M67" s="1042"/>
      <c r="N67" s="1094"/>
      <c r="O67" s="1042"/>
      <c r="P67" s="1094"/>
      <c r="Q67" s="977"/>
      <c r="R67" s="977"/>
      <c r="S67" s="977"/>
      <c r="T67" s="511"/>
      <c r="U67" s="483"/>
      <c r="V67" s="483"/>
      <c r="W67" s="483"/>
      <c r="X67" s="483"/>
    </row>
    <row r="68" spans="1:24" s="635" customFormat="1" x14ac:dyDescent="0.35">
      <c r="B68" s="807"/>
      <c r="C68" s="978" t="s">
        <v>452</v>
      </c>
      <c r="D68" s="915" t="s">
        <v>518</v>
      </c>
      <c r="E68" s="915"/>
      <c r="F68" s="931"/>
      <c r="G68" s="931"/>
      <c r="H68" s="915"/>
      <c r="I68" s="931"/>
      <c r="J68" s="915"/>
      <c r="K68" s="915"/>
      <c r="L68" s="915"/>
      <c r="M68" s="915"/>
      <c r="N68" s="931"/>
      <c r="O68" s="915"/>
      <c r="P68" s="931"/>
      <c r="Q68" s="809"/>
      <c r="R68" s="819"/>
      <c r="S68" s="808"/>
      <c r="T68" s="511"/>
      <c r="U68" s="483"/>
      <c r="V68" s="483"/>
      <c r="W68" s="483"/>
      <c r="X68" s="483"/>
    </row>
    <row r="69" spans="1:24" s="635" customFormat="1" x14ac:dyDescent="0.35">
      <c r="B69" s="807"/>
      <c r="C69" s="978" t="s">
        <v>453</v>
      </c>
      <c r="D69" s="915"/>
      <c r="E69" s="915"/>
      <c r="F69" s="931"/>
      <c r="G69" s="931"/>
      <c r="H69" s="915"/>
      <c r="I69" s="931"/>
      <c r="J69" s="915"/>
      <c r="K69" s="915"/>
      <c r="L69" s="915"/>
      <c r="M69" s="915"/>
      <c r="N69" s="931"/>
      <c r="O69" s="915"/>
      <c r="P69" s="931"/>
      <c r="Q69" s="809"/>
      <c r="R69" s="819"/>
      <c r="S69" s="808"/>
      <c r="T69" s="511"/>
      <c r="U69" s="483"/>
      <c r="V69" s="483"/>
      <c r="W69" s="483"/>
      <c r="X69" s="483"/>
    </row>
    <row r="70" spans="1:24" s="635" customFormat="1" x14ac:dyDescent="0.35">
      <c r="B70" s="807"/>
      <c r="C70" s="978" t="s">
        <v>463</v>
      </c>
      <c r="D70" s="915"/>
      <c r="E70" s="915"/>
      <c r="F70" s="931"/>
      <c r="G70" s="931"/>
      <c r="H70" s="915"/>
      <c r="I70" s="931"/>
      <c r="J70" s="915"/>
      <c r="K70" s="915"/>
      <c r="L70" s="915"/>
      <c r="M70" s="915"/>
      <c r="N70" s="931"/>
      <c r="O70" s="915"/>
      <c r="P70" s="931"/>
      <c r="Q70" s="809"/>
      <c r="R70" s="819"/>
      <c r="S70" s="808"/>
      <c r="T70" s="511"/>
      <c r="U70" s="483"/>
      <c r="V70" s="483"/>
      <c r="W70" s="483"/>
      <c r="X70" s="483"/>
    </row>
    <row r="71" spans="1:24" s="635" customFormat="1" x14ac:dyDescent="0.35">
      <c r="A71" s="10"/>
      <c r="B71" s="10" t="s">
        <v>211</v>
      </c>
      <c r="C71" s="809"/>
      <c r="D71" s="916"/>
      <c r="E71" s="809"/>
      <c r="F71" s="931"/>
      <c r="G71" s="931"/>
      <c r="H71" s="915"/>
      <c r="I71" s="931"/>
      <c r="J71" s="915"/>
      <c r="K71" s="915"/>
      <c r="L71" s="915"/>
      <c r="M71" s="915"/>
      <c r="N71" s="931"/>
      <c r="O71" s="915"/>
      <c r="P71" s="931"/>
      <c r="Q71" s="809"/>
      <c r="R71" s="819"/>
      <c r="S71" s="809"/>
      <c r="T71" s="511"/>
      <c r="U71" s="483"/>
      <c r="V71" s="483"/>
      <c r="W71" s="483"/>
      <c r="X71" s="483"/>
    </row>
    <row r="72" spans="1:24" s="635" customFormat="1" x14ac:dyDescent="0.35">
      <c r="A72" s="2"/>
      <c r="B72" s="758"/>
      <c r="C72" s="809"/>
      <c r="D72" s="809"/>
      <c r="E72" s="809"/>
      <c r="F72" s="931"/>
      <c r="G72" s="931"/>
      <c r="H72" s="915"/>
      <c r="I72" s="931"/>
      <c r="J72" s="915"/>
      <c r="K72" s="915"/>
      <c r="L72" s="915"/>
      <c r="M72" s="915"/>
      <c r="N72" s="931"/>
      <c r="O72" s="915"/>
      <c r="P72" s="931"/>
      <c r="Q72" s="809"/>
      <c r="R72" s="819"/>
      <c r="S72" s="809"/>
      <c r="T72" s="511"/>
      <c r="U72" s="483"/>
      <c r="V72" s="483"/>
      <c r="W72" s="483"/>
      <c r="X72" s="483"/>
    </row>
    <row r="73" spans="1:24" s="635" customFormat="1" x14ac:dyDescent="0.35">
      <c r="A73" s="2"/>
      <c r="B73" s="758"/>
      <c r="C73" s="809"/>
      <c r="D73" s="809"/>
      <c r="E73" s="809"/>
      <c r="F73" s="931"/>
      <c r="G73" s="1095"/>
      <c r="H73" s="915"/>
      <c r="I73" s="931"/>
      <c r="J73" s="915"/>
      <c r="K73" s="915"/>
      <c r="L73" s="915"/>
      <c r="M73" s="915"/>
      <c r="N73" s="931"/>
      <c r="O73" s="915"/>
      <c r="P73" s="931"/>
      <c r="Q73" s="809"/>
      <c r="R73" s="819"/>
      <c r="S73" s="809"/>
      <c r="T73" s="511"/>
      <c r="U73" s="483"/>
      <c r="V73" s="483"/>
      <c r="W73" s="483"/>
      <c r="X73" s="483"/>
    </row>
    <row r="74" spans="1:24" s="635" customFormat="1" x14ac:dyDescent="0.35">
      <c r="A74" s="2"/>
      <c r="B74" s="758"/>
      <c r="C74" s="809"/>
      <c r="D74" s="809"/>
      <c r="E74" s="809"/>
      <c r="F74" s="931"/>
      <c r="G74" s="931"/>
      <c r="H74" s="915"/>
      <c r="I74" s="931"/>
      <c r="J74" s="915"/>
      <c r="K74" s="915"/>
      <c r="L74" s="915"/>
      <c r="M74" s="915"/>
      <c r="N74" s="931"/>
      <c r="O74" s="915"/>
      <c r="P74" s="931"/>
      <c r="Q74" s="809"/>
      <c r="R74" s="819"/>
      <c r="S74" s="809"/>
      <c r="T74" s="511"/>
      <c r="U74" s="483"/>
      <c r="V74" s="483"/>
      <c r="W74" s="483"/>
      <c r="X74" s="483"/>
    </row>
    <row r="75" spans="1:24" s="635" customFormat="1" x14ac:dyDescent="0.35">
      <c r="A75" s="2"/>
      <c r="B75" s="758"/>
      <c r="C75" s="809"/>
      <c r="D75" s="809"/>
      <c r="E75" s="809"/>
      <c r="F75" s="931"/>
      <c r="G75" s="1095"/>
      <c r="H75" s="915"/>
      <c r="I75" s="931"/>
      <c r="J75" s="915"/>
      <c r="K75" s="915"/>
      <c r="L75" s="915"/>
      <c r="M75" s="915"/>
      <c r="N75" s="931"/>
      <c r="O75" s="915"/>
      <c r="P75" s="931"/>
      <c r="Q75" s="809"/>
      <c r="R75" s="819"/>
      <c r="S75" s="809"/>
      <c r="T75" s="511"/>
      <c r="U75" s="483"/>
      <c r="V75" s="483"/>
      <c r="W75" s="483"/>
      <c r="X75" s="483"/>
    </row>
    <row r="76" spans="1:24" ht="18" customHeight="1" x14ac:dyDescent="0.35">
      <c r="A76" s="718"/>
      <c r="B76" s="10"/>
      <c r="C76" s="809"/>
      <c r="D76" s="809"/>
      <c r="E76" s="917"/>
      <c r="F76" s="931"/>
      <c r="G76" s="931"/>
      <c r="H76" s="915"/>
      <c r="I76" s="931"/>
      <c r="J76" s="915"/>
      <c r="K76" s="915"/>
      <c r="L76" s="1168"/>
      <c r="M76" s="1114"/>
      <c r="N76" s="931"/>
      <c r="O76" s="915"/>
      <c r="P76" s="931"/>
      <c r="Q76" s="809"/>
      <c r="R76" s="819"/>
      <c r="S76" s="809"/>
      <c r="T76" s="510"/>
      <c r="U76" s="1"/>
      <c r="V76" s="1"/>
      <c r="W76" s="1"/>
      <c r="X76" s="1"/>
    </row>
    <row r="77" spans="1:24" x14ac:dyDescent="0.35">
      <c r="A77" s="10"/>
      <c r="B77" s="10"/>
      <c r="C77" s="809"/>
      <c r="D77" s="917"/>
      <c r="E77" s="917"/>
      <c r="F77" s="931"/>
      <c r="G77" s="931"/>
      <c r="H77" s="915"/>
      <c r="I77" s="931"/>
      <c r="J77" s="915"/>
      <c r="K77" s="915"/>
      <c r="L77" s="915"/>
      <c r="M77" s="915"/>
      <c r="N77" s="931"/>
      <c r="O77" s="915"/>
      <c r="P77" s="931"/>
      <c r="Q77" s="809"/>
      <c r="R77" s="819"/>
      <c r="S77" s="809"/>
      <c r="T77" s="510"/>
      <c r="U77" s="1"/>
      <c r="V77" s="1"/>
      <c r="W77" s="1"/>
      <c r="X77" s="1"/>
    </row>
    <row r="78" spans="1:24" x14ac:dyDescent="0.35">
      <c r="A78" s="637"/>
      <c r="B78" s="807"/>
      <c r="C78" s="814"/>
      <c r="D78" s="918"/>
      <c r="E78" s="918"/>
      <c r="F78" s="932"/>
      <c r="G78" s="932"/>
      <c r="H78" s="1159"/>
      <c r="I78" s="932"/>
      <c r="J78" s="1159"/>
      <c r="K78" s="1159"/>
      <c r="L78" s="1159"/>
      <c r="M78" s="1159"/>
      <c r="N78" s="932"/>
      <c r="O78" s="1159"/>
      <c r="P78" s="932"/>
      <c r="Q78" s="814"/>
      <c r="R78" s="919"/>
      <c r="S78" s="814"/>
    </row>
    <row r="79" spans="1:24" x14ac:dyDescent="0.35">
      <c r="A79" s="637"/>
      <c r="B79" s="807"/>
      <c r="C79" s="814"/>
      <c r="D79" s="918"/>
      <c r="E79" s="918"/>
      <c r="F79" s="932"/>
      <c r="G79" s="932"/>
      <c r="H79" s="1159"/>
      <c r="I79" s="932"/>
      <c r="J79" s="1159"/>
      <c r="K79" s="1159"/>
      <c r="L79" s="1159"/>
      <c r="M79" s="1159"/>
      <c r="N79" s="932"/>
      <c r="O79" s="1159"/>
      <c r="P79" s="932"/>
      <c r="Q79" s="814"/>
      <c r="R79" s="919"/>
      <c r="S79" s="814"/>
    </row>
    <row r="80" spans="1:24" x14ac:dyDescent="0.35">
      <c r="A80" s="637"/>
      <c r="B80" s="637"/>
      <c r="C80" s="814"/>
      <c r="D80" s="918"/>
      <c r="E80" s="918"/>
      <c r="F80" s="932"/>
      <c r="G80" s="932"/>
      <c r="H80" s="1159"/>
      <c r="I80" s="932"/>
      <c r="J80" s="1159"/>
      <c r="K80" s="1159"/>
      <c r="L80" s="1159"/>
      <c r="M80" s="1159"/>
      <c r="N80" s="932"/>
      <c r="O80" s="1159"/>
      <c r="P80" s="932"/>
      <c r="Q80" s="814"/>
      <c r="R80" s="919"/>
      <c r="S80" s="814"/>
    </row>
    <row r="81" spans="1:19" x14ac:dyDescent="0.35">
      <c r="A81" s="637"/>
      <c r="B81" s="637"/>
      <c r="C81" s="814"/>
      <c r="D81" s="918"/>
      <c r="E81" s="918"/>
      <c r="F81" s="932"/>
      <c r="G81" s="932"/>
      <c r="H81" s="1159"/>
      <c r="I81" s="932"/>
      <c r="J81" s="1159"/>
      <c r="K81" s="1159"/>
      <c r="L81" s="1159"/>
      <c r="M81" s="1159"/>
      <c r="N81" s="932"/>
      <c r="O81" s="1159"/>
      <c r="P81" s="932"/>
      <c r="Q81" s="814"/>
      <c r="R81" s="919"/>
      <c r="S81" s="814"/>
    </row>
    <row r="82" spans="1:19" x14ac:dyDescent="0.35">
      <c r="A82" s="637"/>
      <c r="B82" s="637"/>
      <c r="C82" s="814"/>
      <c r="D82" s="918"/>
      <c r="E82" s="918"/>
      <c r="F82" s="932"/>
      <c r="G82" s="932"/>
      <c r="H82" s="1159"/>
      <c r="I82" s="932"/>
      <c r="J82" s="1159"/>
      <c r="K82" s="1159"/>
      <c r="L82" s="1159"/>
      <c r="M82" s="1159"/>
      <c r="N82" s="932"/>
      <c r="O82" s="1159"/>
      <c r="P82" s="932"/>
      <c r="Q82" s="814"/>
      <c r="R82" s="919"/>
      <c r="S82" s="814"/>
    </row>
    <row r="83" spans="1:19" x14ac:dyDescent="0.35">
      <c r="A83" s="637"/>
      <c r="B83" s="637"/>
      <c r="C83" s="814"/>
      <c r="D83" s="920"/>
      <c r="E83" s="918"/>
      <c r="F83" s="932"/>
      <c r="G83" s="932"/>
      <c r="H83" s="1159"/>
      <c r="I83" s="932"/>
      <c r="J83" s="1159"/>
      <c r="K83" s="1159"/>
      <c r="L83" s="1159"/>
      <c r="M83" s="1159"/>
      <c r="N83" s="932"/>
      <c r="O83" s="1159"/>
      <c r="P83" s="932"/>
      <c r="Q83" s="814"/>
      <c r="R83" s="919"/>
      <c r="S83" s="814"/>
    </row>
    <row r="84" spans="1:19" x14ac:dyDescent="0.35">
      <c r="A84" s="637"/>
      <c r="B84" s="637"/>
      <c r="C84" s="814"/>
      <c r="D84" s="920"/>
      <c r="E84" s="918"/>
      <c r="F84" s="932"/>
      <c r="G84" s="932"/>
      <c r="H84" s="1159"/>
      <c r="I84" s="932"/>
      <c r="J84" s="1159"/>
      <c r="K84" s="1159"/>
      <c r="L84" s="1159"/>
      <c r="M84" s="1159"/>
      <c r="N84" s="932"/>
      <c r="O84" s="1159"/>
      <c r="P84" s="932"/>
      <c r="Q84" s="814"/>
      <c r="R84" s="919"/>
      <c r="S84" s="814"/>
    </row>
    <row r="85" spans="1:19" x14ac:dyDescent="0.35">
      <c r="A85" s="637"/>
      <c r="B85" s="637"/>
      <c r="C85" s="814"/>
      <c r="D85" s="920"/>
      <c r="E85" s="918"/>
      <c r="F85" s="932"/>
      <c r="G85" s="932"/>
      <c r="H85" s="1159"/>
      <c r="I85" s="932"/>
      <c r="J85" s="1159"/>
      <c r="K85" s="1159"/>
      <c r="L85" s="1159"/>
      <c r="M85" s="1159"/>
      <c r="N85" s="932"/>
      <c r="O85" s="1159"/>
      <c r="P85" s="932"/>
      <c r="Q85" s="814"/>
      <c r="R85" s="919"/>
      <c r="S85" s="814"/>
    </row>
    <row r="86" spans="1:19" x14ac:dyDescent="0.35">
      <c r="D86" s="920"/>
      <c r="E86" s="920"/>
      <c r="F86" s="933"/>
      <c r="G86" s="933"/>
      <c r="H86" s="1160"/>
      <c r="I86" s="933"/>
      <c r="J86" s="1160"/>
      <c r="K86" s="1160"/>
      <c r="L86" s="1160"/>
      <c r="M86" s="1160"/>
      <c r="N86" s="933"/>
      <c r="O86" s="1160"/>
      <c r="P86" s="933"/>
      <c r="Q86" s="815"/>
      <c r="R86" s="921"/>
      <c r="S86" s="815"/>
    </row>
    <row r="87" spans="1:19" x14ac:dyDescent="0.35">
      <c r="D87" s="920"/>
      <c r="E87" s="920"/>
      <c r="F87" s="933"/>
      <c r="G87" s="933"/>
      <c r="H87" s="1160"/>
      <c r="I87" s="933"/>
      <c r="J87" s="1160"/>
      <c r="K87" s="1160"/>
      <c r="L87" s="1160"/>
      <c r="M87" s="1160"/>
      <c r="N87" s="933"/>
      <c r="O87" s="1160"/>
      <c r="P87" s="933"/>
      <c r="Q87" s="815"/>
      <c r="R87" s="921"/>
      <c r="S87" s="815"/>
    </row>
    <row r="88" spans="1:19" x14ac:dyDescent="0.35">
      <c r="D88" s="920"/>
      <c r="E88" s="920"/>
      <c r="F88" s="933"/>
      <c r="G88" s="933"/>
      <c r="H88" s="1160"/>
      <c r="I88" s="933"/>
      <c r="J88" s="1160"/>
      <c r="K88" s="1160"/>
      <c r="L88" s="1160"/>
      <c r="M88" s="1160"/>
      <c r="N88" s="933"/>
      <c r="O88" s="1160"/>
      <c r="P88" s="933"/>
      <c r="Q88" s="815"/>
      <c r="R88" s="921"/>
      <c r="S88" s="815"/>
    </row>
    <row r="89" spans="1:19" x14ac:dyDescent="0.35">
      <c r="D89" s="920"/>
      <c r="E89" s="920"/>
      <c r="F89" s="933"/>
      <c r="G89" s="933"/>
      <c r="H89" s="1160"/>
      <c r="I89" s="933"/>
      <c r="J89" s="1160"/>
      <c r="K89" s="1160"/>
      <c r="L89" s="1160"/>
      <c r="M89" s="1160"/>
      <c r="N89" s="933"/>
      <c r="O89" s="1160"/>
      <c r="P89" s="933"/>
      <c r="Q89" s="815"/>
      <c r="R89" s="921"/>
      <c r="S89" s="815"/>
    </row>
    <row r="90" spans="1:19" x14ac:dyDescent="0.35">
      <c r="D90" s="920"/>
      <c r="E90" s="920"/>
      <c r="F90" s="933"/>
      <c r="G90" s="933"/>
      <c r="H90" s="1160"/>
      <c r="I90" s="933"/>
      <c r="J90" s="1160"/>
      <c r="K90" s="1160"/>
      <c r="L90" s="1160"/>
      <c r="M90" s="1160"/>
      <c r="N90" s="933"/>
      <c r="O90" s="1160"/>
      <c r="P90" s="933"/>
      <c r="Q90" s="815"/>
      <c r="R90" s="921"/>
      <c r="S90" s="815"/>
    </row>
    <row r="91" spans="1:19" x14ac:dyDescent="0.35">
      <c r="D91" s="920"/>
      <c r="E91" s="920"/>
      <c r="F91" s="933"/>
      <c r="G91" s="933"/>
      <c r="H91" s="1160"/>
      <c r="I91" s="933"/>
      <c r="J91" s="1160"/>
      <c r="K91" s="1160"/>
      <c r="L91" s="1160"/>
      <c r="M91" s="1160"/>
      <c r="N91" s="933"/>
      <c r="O91" s="1160"/>
      <c r="P91" s="933"/>
      <c r="Q91" s="815"/>
      <c r="R91" s="921"/>
      <c r="S91" s="815"/>
    </row>
    <row r="92" spans="1:19" x14ac:dyDescent="0.35">
      <c r="D92" s="920"/>
      <c r="E92" s="920"/>
      <c r="F92" s="933"/>
      <c r="G92" s="933"/>
      <c r="H92" s="1160"/>
      <c r="I92" s="933"/>
      <c r="J92" s="1160"/>
      <c r="K92" s="1160"/>
      <c r="L92" s="1160"/>
      <c r="M92" s="1160"/>
      <c r="N92" s="933"/>
      <c r="O92" s="1160"/>
      <c r="P92" s="933"/>
      <c r="Q92" s="815"/>
      <c r="R92" s="921"/>
      <c r="S92" s="815"/>
    </row>
    <row r="93" spans="1:19" x14ac:dyDescent="0.35">
      <c r="D93" s="920"/>
      <c r="E93" s="920"/>
      <c r="F93" s="933"/>
      <c r="G93" s="933"/>
      <c r="H93" s="1160"/>
      <c r="I93" s="933"/>
      <c r="J93" s="1160"/>
      <c r="K93" s="1160"/>
      <c r="L93" s="1160"/>
      <c r="M93" s="1160"/>
      <c r="N93" s="933"/>
      <c r="O93" s="1160"/>
      <c r="P93" s="933"/>
      <c r="Q93" s="815"/>
      <c r="R93" s="921"/>
      <c r="S93" s="815"/>
    </row>
    <row r="94" spans="1:19" x14ac:dyDescent="0.35">
      <c r="D94" s="920"/>
      <c r="E94" s="920"/>
      <c r="F94" s="933"/>
      <c r="G94" s="933"/>
      <c r="H94" s="1160"/>
      <c r="I94" s="933"/>
      <c r="J94" s="1160"/>
      <c r="K94" s="1160"/>
      <c r="L94" s="1160"/>
      <c r="M94" s="1160"/>
      <c r="N94" s="933"/>
      <c r="O94" s="1160"/>
      <c r="P94" s="933"/>
      <c r="Q94" s="815"/>
      <c r="R94" s="921"/>
      <c r="S94" s="815"/>
    </row>
    <row r="95" spans="1:19" x14ac:dyDescent="0.35">
      <c r="D95" s="920"/>
      <c r="E95" s="920"/>
      <c r="F95" s="933"/>
      <c r="G95" s="933"/>
      <c r="H95" s="1160"/>
      <c r="I95" s="933"/>
      <c r="J95" s="1160"/>
      <c r="K95" s="1160"/>
      <c r="L95" s="1160"/>
      <c r="M95" s="1160"/>
      <c r="N95" s="933"/>
      <c r="O95" s="1160"/>
      <c r="P95" s="933"/>
      <c r="Q95" s="815"/>
      <c r="R95" s="921"/>
      <c r="S95" s="815"/>
    </row>
    <row r="96" spans="1:19" x14ac:dyDescent="0.35">
      <c r="D96" s="920"/>
      <c r="E96" s="920"/>
      <c r="F96" s="933"/>
      <c r="G96" s="933"/>
      <c r="H96" s="1160"/>
      <c r="I96" s="933"/>
      <c r="J96" s="1160"/>
      <c r="K96" s="1160"/>
      <c r="L96" s="1160"/>
      <c r="M96" s="1160"/>
      <c r="N96" s="933"/>
      <c r="O96" s="1160"/>
      <c r="P96" s="933"/>
      <c r="Q96" s="815"/>
      <c r="R96" s="921"/>
      <c r="S96" s="815"/>
    </row>
    <row r="97" spans="4:19" x14ac:dyDescent="0.35">
      <c r="D97" s="920"/>
      <c r="E97" s="920"/>
      <c r="F97" s="933"/>
      <c r="G97" s="933"/>
      <c r="H97" s="1160"/>
      <c r="I97" s="933"/>
      <c r="J97" s="1160"/>
      <c r="K97" s="1160"/>
      <c r="L97" s="1160"/>
      <c r="M97" s="1160"/>
      <c r="N97" s="933"/>
      <c r="O97" s="1160"/>
      <c r="P97" s="933"/>
      <c r="Q97" s="815"/>
      <c r="R97" s="921"/>
      <c r="S97" s="815"/>
    </row>
    <row r="98" spans="4:19" x14ac:dyDescent="0.35">
      <c r="D98" s="920"/>
      <c r="E98" s="920"/>
      <c r="F98" s="933"/>
      <c r="G98" s="933"/>
      <c r="H98" s="1160"/>
      <c r="I98" s="933"/>
      <c r="J98" s="1160"/>
      <c r="K98" s="1160"/>
      <c r="L98" s="1160"/>
      <c r="M98" s="1160"/>
      <c r="N98" s="933"/>
      <c r="O98" s="1160"/>
      <c r="P98" s="933"/>
      <c r="Q98" s="815"/>
      <c r="R98" s="921"/>
      <c r="S98" s="815"/>
    </row>
    <row r="99" spans="4:19" x14ac:dyDescent="0.35">
      <c r="D99" s="920"/>
      <c r="E99" s="920"/>
      <c r="F99" s="933"/>
      <c r="G99" s="933"/>
      <c r="H99" s="1160"/>
      <c r="I99" s="933"/>
      <c r="J99" s="1160"/>
      <c r="K99" s="1160"/>
      <c r="L99" s="1160"/>
      <c r="M99" s="1160"/>
      <c r="N99" s="933"/>
      <c r="O99" s="1160"/>
      <c r="P99" s="933"/>
      <c r="Q99" s="815"/>
      <c r="R99" s="921"/>
      <c r="S99" s="815"/>
    </row>
    <row r="100" spans="4:19" x14ac:dyDescent="0.35">
      <c r="D100" s="920"/>
      <c r="E100" s="920"/>
      <c r="F100" s="933"/>
      <c r="G100" s="933"/>
      <c r="H100" s="1160"/>
      <c r="I100" s="933"/>
      <c r="J100" s="1160"/>
      <c r="K100" s="1160"/>
      <c r="L100" s="1160"/>
      <c r="M100" s="1160"/>
      <c r="N100" s="933"/>
      <c r="O100" s="1160"/>
      <c r="P100" s="933"/>
      <c r="Q100" s="815"/>
      <c r="R100" s="921"/>
      <c r="S100" s="815"/>
    </row>
    <row r="101" spans="4:19" x14ac:dyDescent="0.35">
      <c r="D101" s="920"/>
      <c r="E101" s="920"/>
      <c r="F101" s="933"/>
      <c r="G101" s="933"/>
      <c r="H101" s="1160"/>
      <c r="I101" s="933"/>
      <c r="J101" s="1160"/>
      <c r="K101" s="1160"/>
      <c r="L101" s="1160"/>
      <c r="M101" s="1160"/>
      <c r="N101" s="933"/>
      <c r="O101" s="1160"/>
      <c r="P101" s="933"/>
      <c r="Q101" s="815"/>
      <c r="R101" s="921"/>
      <c r="S101" s="815"/>
    </row>
    <row r="102" spans="4:19" x14ac:dyDescent="0.35">
      <c r="D102" s="920"/>
      <c r="E102" s="920"/>
      <c r="F102" s="933"/>
      <c r="G102" s="933"/>
      <c r="H102" s="1160"/>
      <c r="I102" s="933"/>
      <c r="J102" s="1160"/>
      <c r="K102" s="1160"/>
      <c r="L102" s="1160"/>
      <c r="M102" s="1160"/>
      <c r="N102" s="933"/>
      <c r="O102" s="1160"/>
      <c r="P102" s="933"/>
      <c r="Q102" s="815"/>
      <c r="R102" s="921"/>
      <c r="S102" s="815"/>
    </row>
    <row r="103" spans="4:19" x14ac:dyDescent="0.35">
      <c r="D103" s="920"/>
      <c r="E103" s="920"/>
      <c r="F103" s="933"/>
      <c r="G103" s="933"/>
      <c r="H103" s="1160"/>
      <c r="I103" s="933"/>
      <c r="J103" s="1160"/>
      <c r="K103" s="1160"/>
      <c r="L103" s="1160"/>
      <c r="M103" s="1160"/>
      <c r="N103" s="933"/>
      <c r="O103" s="1160"/>
      <c r="P103" s="933"/>
      <c r="Q103" s="815"/>
      <c r="R103" s="921"/>
      <c r="S103" s="815"/>
    </row>
    <row r="104" spans="4:19" x14ac:dyDescent="0.35">
      <c r="D104" s="920"/>
      <c r="E104" s="920"/>
      <c r="F104" s="933"/>
      <c r="G104" s="933"/>
      <c r="H104" s="1160"/>
      <c r="I104" s="933"/>
      <c r="J104" s="1160"/>
      <c r="K104" s="1160"/>
      <c r="L104" s="1160"/>
      <c r="M104" s="1160"/>
      <c r="N104" s="933"/>
      <c r="O104" s="1160"/>
      <c r="P104" s="933"/>
      <c r="Q104" s="815"/>
      <c r="R104" s="921"/>
      <c r="S104" s="815"/>
    </row>
    <row r="105" spans="4:19" x14ac:dyDescent="0.35">
      <c r="D105" s="920"/>
      <c r="E105" s="920"/>
      <c r="F105" s="933"/>
      <c r="G105" s="933"/>
      <c r="H105" s="1160"/>
      <c r="I105" s="933"/>
      <c r="J105" s="1160"/>
      <c r="K105" s="1160"/>
      <c r="L105" s="1160"/>
      <c r="M105" s="1160"/>
      <c r="N105" s="933"/>
      <c r="O105" s="1160"/>
      <c r="P105" s="933"/>
      <c r="Q105" s="815"/>
      <c r="R105" s="921"/>
      <c r="S105" s="815"/>
    </row>
    <row r="106" spans="4:19" x14ac:dyDescent="0.35">
      <c r="D106" s="920"/>
      <c r="E106" s="920"/>
      <c r="F106" s="933"/>
      <c r="G106" s="933"/>
      <c r="H106" s="1160"/>
      <c r="I106" s="933"/>
      <c r="J106" s="1160"/>
      <c r="K106" s="1160"/>
      <c r="L106" s="1160"/>
      <c r="M106" s="1160"/>
      <c r="N106" s="933"/>
      <c r="O106" s="1160"/>
      <c r="P106" s="933"/>
      <c r="Q106" s="815"/>
      <c r="R106" s="921"/>
      <c r="S106" s="815"/>
    </row>
    <row r="107" spans="4:19" x14ac:dyDescent="0.35">
      <c r="D107" s="920"/>
      <c r="E107" s="920"/>
      <c r="F107" s="933"/>
      <c r="G107" s="933"/>
      <c r="H107" s="1160"/>
      <c r="I107" s="933"/>
      <c r="J107" s="1160"/>
      <c r="K107" s="1160"/>
      <c r="L107" s="1160"/>
      <c r="M107" s="1160"/>
      <c r="N107" s="933"/>
      <c r="O107" s="1160"/>
      <c r="P107" s="933"/>
      <c r="Q107" s="815"/>
      <c r="R107" s="921"/>
      <c r="S107" s="815"/>
    </row>
    <row r="108" spans="4:19" x14ac:dyDescent="0.35">
      <c r="D108" s="920"/>
      <c r="E108" s="920"/>
      <c r="F108" s="933"/>
      <c r="G108" s="933"/>
      <c r="H108" s="1160"/>
      <c r="I108" s="933"/>
      <c r="J108" s="1160"/>
      <c r="K108" s="1160"/>
      <c r="L108" s="1160"/>
      <c r="M108" s="1160"/>
      <c r="N108" s="933"/>
      <c r="O108" s="1160"/>
      <c r="P108" s="933"/>
      <c r="Q108" s="815"/>
      <c r="R108" s="921"/>
      <c r="S108" s="815"/>
    </row>
    <row r="109" spans="4:19" x14ac:dyDescent="0.35">
      <c r="D109" s="920"/>
      <c r="E109" s="920"/>
      <c r="F109" s="933"/>
      <c r="G109" s="933"/>
      <c r="H109" s="1160"/>
      <c r="I109" s="933"/>
      <c r="J109" s="1160"/>
      <c r="K109" s="1160"/>
      <c r="L109" s="1160"/>
      <c r="M109" s="1160"/>
      <c r="N109" s="933"/>
      <c r="O109" s="1160"/>
      <c r="P109" s="933"/>
      <c r="Q109" s="815"/>
      <c r="R109" s="921"/>
      <c r="S109" s="815"/>
    </row>
    <row r="110" spans="4:19" x14ac:dyDescent="0.35">
      <c r="D110" s="642"/>
    </row>
    <row r="111" spans="4:19" ht="19.5" customHeight="1" x14ac:dyDescent="0.35">
      <c r="D111" s="643"/>
    </row>
    <row r="112" spans="4:19" x14ac:dyDescent="0.35">
      <c r="D112" s="643"/>
    </row>
    <row r="113" spans="1:29" x14ac:dyDescent="0.35">
      <c r="C113" s="816"/>
      <c r="E113" s="642"/>
      <c r="F113" s="935"/>
      <c r="G113" s="935"/>
      <c r="H113" s="644"/>
      <c r="I113" s="935"/>
      <c r="J113" s="644"/>
      <c r="K113" s="644"/>
      <c r="L113" s="644"/>
      <c r="M113" s="644"/>
      <c r="N113" s="935"/>
      <c r="O113" s="644"/>
      <c r="P113" s="935"/>
      <c r="Q113" s="629"/>
      <c r="R113" s="645"/>
      <c r="S113" s="629"/>
      <c r="T113" s="646"/>
      <c r="U113" s="629"/>
      <c r="V113" s="629"/>
      <c r="W113" s="629"/>
      <c r="X113" s="629"/>
      <c r="Y113" s="629"/>
      <c r="Z113" s="629"/>
      <c r="AA113" s="629"/>
      <c r="AB113" s="629"/>
      <c r="AC113" s="629"/>
    </row>
    <row r="114" spans="1:29" x14ac:dyDescent="0.35">
      <c r="A114" s="637"/>
      <c r="B114" s="637"/>
      <c r="C114" s="817"/>
      <c r="D114" s="642"/>
      <c r="E114" s="643"/>
      <c r="F114" s="936"/>
      <c r="G114" s="936"/>
      <c r="H114" s="647"/>
      <c r="I114" s="936"/>
      <c r="J114" s="647"/>
      <c r="K114" s="647"/>
      <c r="L114" s="647"/>
      <c r="M114" s="647"/>
      <c r="N114" s="936"/>
      <c r="O114" s="647"/>
      <c r="P114" s="936"/>
      <c r="Q114" s="633"/>
      <c r="R114" s="648"/>
      <c r="S114" s="633"/>
      <c r="T114" s="649"/>
      <c r="U114" s="633"/>
      <c r="V114" s="152"/>
      <c r="W114" s="152"/>
      <c r="X114" s="152"/>
      <c r="Y114" s="152"/>
      <c r="Z114" s="152"/>
      <c r="AA114" s="152"/>
      <c r="AB114" s="152"/>
      <c r="AC114" s="152"/>
    </row>
    <row r="115" spans="1:29" x14ac:dyDescent="0.35">
      <c r="A115" s="637"/>
      <c r="B115" s="637"/>
      <c r="C115" s="817"/>
      <c r="D115" s="643"/>
      <c r="E115" s="643"/>
      <c r="F115" s="936"/>
      <c r="G115" s="936"/>
      <c r="H115" s="647"/>
      <c r="I115" s="936"/>
      <c r="J115" s="647"/>
      <c r="K115" s="647"/>
      <c r="L115" s="647"/>
      <c r="M115" s="647"/>
      <c r="N115" s="936"/>
      <c r="O115" s="647"/>
      <c r="P115" s="936"/>
      <c r="Q115" s="633"/>
      <c r="R115" s="648"/>
      <c r="S115" s="633"/>
      <c r="T115" s="649"/>
      <c r="U115" s="633"/>
      <c r="V115" s="152"/>
      <c r="W115" s="152"/>
      <c r="X115" s="152"/>
      <c r="Y115" s="152"/>
      <c r="Z115" s="152"/>
      <c r="AA115" s="152"/>
      <c r="AB115" s="152"/>
      <c r="AC115" s="152"/>
    </row>
    <row r="116" spans="1:29" x14ac:dyDescent="0.35">
      <c r="D116" s="643"/>
    </row>
    <row r="117" spans="1:29" x14ac:dyDescent="0.35">
      <c r="C117" s="816"/>
      <c r="E117" s="642"/>
      <c r="F117" s="935"/>
      <c r="G117" s="935"/>
      <c r="H117" s="644"/>
      <c r="I117" s="935"/>
      <c r="J117" s="644"/>
      <c r="K117" s="644"/>
      <c r="L117" s="644"/>
      <c r="M117" s="644"/>
      <c r="N117" s="935"/>
      <c r="O117" s="644"/>
      <c r="P117" s="935"/>
      <c r="Q117" s="629"/>
      <c r="R117" s="645"/>
      <c r="S117" s="629"/>
      <c r="T117" s="646"/>
      <c r="U117" s="629"/>
      <c r="V117" s="629"/>
      <c r="W117" s="629"/>
      <c r="X117" s="629"/>
      <c r="Y117" s="629"/>
      <c r="Z117" s="629"/>
      <c r="AA117" s="629"/>
      <c r="AB117" s="629"/>
      <c r="AC117" s="629"/>
    </row>
    <row r="118" spans="1:29" x14ac:dyDescent="0.35">
      <c r="A118" s="637"/>
      <c r="B118" s="637"/>
      <c r="C118" s="817"/>
      <c r="D118" s="642"/>
      <c r="E118" s="643"/>
      <c r="F118" s="936"/>
      <c r="G118" s="936"/>
      <c r="H118" s="647"/>
      <c r="I118" s="936"/>
      <c r="J118" s="647"/>
      <c r="K118" s="647"/>
      <c r="L118" s="647"/>
      <c r="M118" s="647"/>
      <c r="N118" s="936"/>
      <c r="O118" s="647"/>
      <c r="P118" s="936"/>
      <c r="Q118" s="633"/>
      <c r="R118" s="648"/>
      <c r="S118" s="633"/>
      <c r="T118" s="649"/>
      <c r="U118" s="633"/>
      <c r="V118" s="152"/>
      <c r="W118" s="152"/>
      <c r="X118" s="152"/>
      <c r="Y118" s="152"/>
      <c r="Z118" s="152"/>
      <c r="AA118" s="152"/>
      <c r="AB118" s="152"/>
      <c r="AC118" s="152"/>
    </row>
    <row r="119" spans="1:29" x14ac:dyDescent="0.35">
      <c r="A119" s="637"/>
      <c r="B119" s="637"/>
      <c r="C119" s="817"/>
      <c r="D119" s="650"/>
      <c r="E119" s="643"/>
      <c r="F119" s="936"/>
      <c r="G119" s="936"/>
      <c r="H119" s="647"/>
      <c r="I119" s="936"/>
      <c r="J119" s="647"/>
      <c r="K119" s="647"/>
      <c r="L119" s="647"/>
      <c r="M119" s="647"/>
      <c r="N119" s="936"/>
      <c r="O119" s="647"/>
      <c r="P119" s="936"/>
      <c r="Q119" s="633"/>
      <c r="R119" s="648"/>
      <c r="S119" s="633"/>
      <c r="T119" s="649"/>
      <c r="U119" s="633"/>
      <c r="V119" s="152"/>
      <c r="W119" s="152"/>
      <c r="X119" s="152"/>
      <c r="Y119" s="152"/>
      <c r="Z119" s="152"/>
      <c r="AA119" s="152"/>
      <c r="AB119" s="152"/>
      <c r="AC119" s="152"/>
    </row>
    <row r="121" spans="1:29" x14ac:dyDescent="0.35">
      <c r="C121" s="816"/>
      <c r="D121" s="642"/>
      <c r="E121" s="642"/>
      <c r="F121" s="935"/>
      <c r="G121" s="935"/>
      <c r="H121" s="644"/>
      <c r="I121" s="935"/>
      <c r="J121" s="644"/>
      <c r="K121" s="644"/>
      <c r="L121" s="644"/>
      <c r="M121" s="644"/>
      <c r="N121" s="935"/>
      <c r="O121" s="644"/>
      <c r="P121" s="935"/>
      <c r="Q121" s="629"/>
      <c r="R121" s="645"/>
      <c r="S121" s="629"/>
      <c r="T121" s="646"/>
      <c r="U121" s="629"/>
      <c r="V121" s="629"/>
      <c r="W121" s="629"/>
      <c r="X121" s="629"/>
      <c r="Y121" s="629"/>
      <c r="Z121" s="629"/>
      <c r="AA121" s="629"/>
      <c r="AB121" s="629"/>
      <c r="AC121" s="629"/>
    </row>
    <row r="122" spans="1:29" x14ac:dyDescent="0.35">
      <c r="A122" s="637"/>
      <c r="B122" s="637"/>
      <c r="C122" s="818"/>
      <c r="D122" s="643"/>
      <c r="E122" s="650"/>
      <c r="F122" s="1096"/>
      <c r="G122" s="1096"/>
      <c r="H122" s="1161"/>
      <c r="I122" s="1096"/>
      <c r="J122" s="1161"/>
      <c r="K122" s="1161"/>
      <c r="L122" s="1161"/>
      <c r="M122" s="1161"/>
      <c r="N122" s="1096"/>
      <c r="O122" s="632"/>
      <c r="P122" s="937"/>
      <c r="Q122" s="152"/>
      <c r="R122" s="651"/>
      <c r="S122" s="152"/>
      <c r="T122" s="652"/>
      <c r="U122" s="152"/>
      <c r="V122" s="152"/>
      <c r="W122" s="152"/>
      <c r="X122" s="152"/>
      <c r="Y122" s="152"/>
      <c r="Z122" s="152"/>
      <c r="AA122" s="152"/>
      <c r="AB122" s="152"/>
      <c r="AC122" s="152"/>
    </row>
    <row r="123" spans="1:29" x14ac:dyDescent="0.35">
      <c r="D123" s="643"/>
    </row>
    <row r="124" spans="1:29" x14ac:dyDescent="0.35">
      <c r="C124" s="816"/>
      <c r="E124" s="642"/>
      <c r="F124" s="935"/>
      <c r="G124" s="935"/>
      <c r="H124" s="644"/>
      <c r="I124" s="935"/>
      <c r="J124" s="644"/>
      <c r="K124" s="644"/>
      <c r="L124" s="644"/>
      <c r="M124" s="644"/>
      <c r="N124" s="935"/>
      <c r="O124" s="644"/>
      <c r="P124" s="935"/>
      <c r="Q124" s="629"/>
      <c r="R124" s="645"/>
      <c r="S124" s="629"/>
      <c r="T124" s="646"/>
      <c r="U124" s="629"/>
      <c r="V124" s="629"/>
      <c r="W124" s="629"/>
      <c r="X124" s="629"/>
      <c r="Y124" s="629"/>
      <c r="Z124" s="629"/>
      <c r="AA124" s="629"/>
      <c r="AB124" s="629"/>
      <c r="AC124" s="629"/>
    </row>
    <row r="125" spans="1:29" x14ac:dyDescent="0.35">
      <c r="A125" s="637"/>
      <c r="B125" s="637"/>
      <c r="C125" s="817"/>
      <c r="E125" s="643"/>
      <c r="F125" s="936"/>
      <c r="G125" s="936"/>
      <c r="H125" s="647"/>
      <c r="I125" s="936"/>
      <c r="J125" s="647"/>
      <c r="K125" s="647"/>
      <c r="L125" s="647"/>
      <c r="M125" s="647"/>
      <c r="N125" s="936"/>
      <c r="O125" s="632"/>
      <c r="P125" s="937"/>
      <c r="Q125" s="152"/>
      <c r="R125" s="651"/>
      <c r="S125" s="152"/>
      <c r="T125" s="652"/>
      <c r="U125" s="152"/>
      <c r="V125" s="152"/>
      <c r="W125" s="152"/>
      <c r="X125" s="152"/>
      <c r="Y125" s="152"/>
      <c r="Z125" s="152"/>
      <c r="AA125" s="152"/>
      <c r="AB125" s="152"/>
      <c r="AC125" s="152"/>
    </row>
    <row r="126" spans="1:29" x14ac:dyDescent="0.35">
      <c r="A126" s="637"/>
      <c r="B126" s="637"/>
      <c r="C126" s="817"/>
      <c r="E126" s="643"/>
      <c r="F126" s="936"/>
      <c r="G126" s="936"/>
      <c r="H126" s="647"/>
      <c r="I126" s="936"/>
      <c r="J126" s="647"/>
      <c r="K126" s="647"/>
      <c r="L126" s="647"/>
      <c r="M126" s="647"/>
      <c r="N126" s="936"/>
      <c r="O126" s="647"/>
      <c r="P126" s="936"/>
      <c r="Q126" s="633"/>
      <c r="R126" s="648"/>
      <c r="S126" s="633"/>
      <c r="T126" s="649"/>
      <c r="U126" s="633"/>
      <c r="V126" s="636"/>
      <c r="W126" s="636"/>
      <c r="X126" s="636"/>
      <c r="Y126" s="636"/>
      <c r="Z126" s="636"/>
      <c r="AA126" s="636"/>
      <c r="AB126" s="636"/>
      <c r="AC126" s="636"/>
    </row>
    <row r="129" spans="1:2" x14ac:dyDescent="0.35">
      <c r="A129" s="653"/>
      <c r="B129" s="653"/>
    </row>
  </sheetData>
  <mergeCells count="11">
    <mergeCell ref="D66:S66"/>
    <mergeCell ref="B47:B52"/>
    <mergeCell ref="B57:B59"/>
    <mergeCell ref="B42:B46"/>
    <mergeCell ref="B54:B56"/>
    <mergeCell ref="A42:A64"/>
    <mergeCell ref="B32:B39"/>
    <mergeCell ref="B63:B64"/>
    <mergeCell ref="B5:B29"/>
    <mergeCell ref="A32:A40"/>
    <mergeCell ref="A5:A29"/>
  </mergeCells>
  <conditionalFormatting sqref="R5:R21">
    <cfRule type="cellIs" dxfId="205" priority="14" operator="lessThan">
      <formula>-0.05</formula>
    </cfRule>
    <cfRule type="cellIs" dxfId="204" priority="15" operator="between">
      <formula>-5%</formula>
      <formula>5%</formula>
    </cfRule>
    <cfRule type="cellIs" dxfId="203" priority="16" operator="greaterThan">
      <formula>5%</formula>
    </cfRule>
  </conditionalFormatting>
  <conditionalFormatting sqref="R23:R29 R32:R39 R42:R52 R54:R56 R61:R64">
    <cfRule type="cellIs" dxfId="202" priority="55" operator="greaterThan">
      <formula>5%</formula>
    </cfRule>
  </conditionalFormatting>
  <conditionalFormatting sqref="R25:R29">
    <cfRule type="cellIs" dxfId="201" priority="1" operator="lessThan">
      <formula>-0.05</formula>
    </cfRule>
    <cfRule type="cellIs" dxfId="200" priority="2" operator="between">
      <formula>-5%</formula>
      <formula>5%</formula>
    </cfRule>
  </conditionalFormatting>
  <conditionalFormatting sqref="R42:R52">
    <cfRule type="cellIs" dxfId="199" priority="5" operator="lessThan">
      <formula>-0.05</formula>
    </cfRule>
    <cfRule type="cellIs" dxfId="198" priority="6" operator="between">
      <formula>-5%</formula>
      <formula>5%</formula>
    </cfRule>
  </conditionalFormatting>
  <conditionalFormatting sqref="R61:R64">
    <cfRule type="cellIs" dxfId="197" priority="9" operator="lessThan">
      <formula>-0.05</formula>
    </cfRule>
    <cfRule type="cellIs" dxfId="196" priority="10" operator="between">
      <formula>-5%</formula>
      <formula>5%</formula>
    </cfRule>
  </conditionalFormatting>
  <conditionalFormatting sqref="R5:S15 R17:S21 S22 R32:S32 R42:S51 S52:S53 R63:S63">
    <cfRule type="cellIs" dxfId="195" priority="154" operator="lessThan">
      <formula>-0.05</formula>
    </cfRule>
    <cfRule type="cellIs" dxfId="194" priority="155" operator="between">
      <formula>-5%</formula>
      <formula>5%</formula>
    </cfRule>
  </conditionalFormatting>
  <conditionalFormatting sqref="R23:S24 R32:R39 R54:S56">
    <cfRule type="cellIs" dxfId="193" priority="65" operator="lessThan">
      <formula>-0.05</formula>
    </cfRule>
    <cfRule type="cellIs" dxfId="192" priority="66" operator="between">
      <formula>-5%</formula>
      <formula>5%</formula>
    </cfRule>
  </conditionalFormatting>
  <conditionalFormatting sqref="S16:S18">
    <cfRule type="cellIs" dxfId="191" priority="11" operator="lessThan">
      <formula>-0.05</formula>
    </cfRule>
    <cfRule type="cellIs" dxfId="190" priority="12" operator="between">
      <formula>-5%</formula>
      <formula>5%</formula>
    </cfRule>
    <cfRule type="cellIs" dxfId="189" priority="13" operator="greaterThan">
      <formula>5%</formula>
    </cfRule>
  </conditionalFormatting>
  <conditionalFormatting sqref="S47:S50">
    <cfRule type="cellIs" dxfId="188" priority="50" operator="lessThan">
      <formula>-0.05</formula>
    </cfRule>
    <cfRule type="cellIs" dxfId="187" priority="51" operator="between">
      <formula>-5%</formula>
      <formula>5%</formula>
    </cfRule>
    <cfRule type="cellIs" dxfId="186" priority="52" operator="greaterThan">
      <formula>5%</formula>
    </cfRule>
  </conditionalFormatting>
  <conditionalFormatting sqref="S60:S62">
    <cfRule type="cellIs" dxfId="185" priority="38" operator="lessThan">
      <formula>-0.05</formula>
    </cfRule>
    <cfRule type="cellIs" dxfId="184" priority="39" operator="between">
      <formula>-5%</formula>
      <formula>5%</formula>
    </cfRule>
    <cfRule type="cellIs" dxfId="183" priority="40" operator="greaterThan">
      <formula>5%</formula>
    </cfRule>
  </conditionalFormatting>
  <pageMargins left="0.23622047244094491" right="0.23622047244094491" top="0.74803149606299213" bottom="0.74803149606299213" header="0.31496062992125984" footer="0.31496062992125984"/>
  <pageSetup paperSize="9" scale="68" fitToHeight="0" orientation="landscape" r:id="rId1"/>
  <headerFooter>
    <oddFooter>&amp;C&amp;1#&amp;"Calibri"&amp;10&amp;K000000OFFICIAL</oddFooter>
  </headerFooter>
  <ignoredErrors>
    <ignoredError sqref="Q5" formulaRange="1"/>
    <ignoredError sqref="E7 E10 F31 Q14:S14 Q32:S32 G31:Q31 F7 R7:S10 F41 Q61:S61 Q57:S57 Q58:S58 Q59:S59 F10:G10 Q13:S13 Q41 G7:P7 H10:P10 S41 S31 H29 H26 H27 H28 K26:M26 K27:M27 K28:M28 K29:M29 O26 O27 O28 O29" evalError="1"/>
    <ignoredError sqref="Q7:Q10" evalError="1" formula="1"/>
    <ignoredError sqref="Q1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S125"/>
  <sheetViews>
    <sheetView showGridLines="0" topLeftCell="B20" zoomScaleNormal="100" workbookViewId="0">
      <selection activeCell="P37" sqref="P37"/>
    </sheetView>
  </sheetViews>
  <sheetFormatPr defaultColWidth="8.84375" defaultRowHeight="15.5" x14ac:dyDescent="0.35"/>
  <cols>
    <col min="1" max="1" width="3.23046875" style="130" customWidth="1"/>
    <col min="2" max="2" width="16.765625" style="130" customWidth="1"/>
    <col min="3" max="3" width="51.84375" style="130" customWidth="1"/>
    <col min="4" max="4" width="8.84375" style="714"/>
    <col min="5" max="5" width="5.84375" style="631" customWidth="1"/>
    <col min="6" max="7" width="5.84375" style="934" customWidth="1"/>
    <col min="8" max="8" width="5.84375" style="631" customWidth="1"/>
    <col min="9" max="9" width="5.84375" style="934" customWidth="1"/>
    <col min="10" max="13" width="5.84375" style="631" customWidth="1"/>
    <col min="14" max="14" width="5.84375" style="934" customWidth="1"/>
    <col min="15" max="15" width="5.84375" style="631" customWidth="1"/>
    <col min="16" max="16" width="5.84375" style="934" customWidth="1"/>
    <col min="17" max="17" width="8.84375" style="631"/>
    <col min="18" max="18" width="11.84375" style="641" customWidth="1"/>
    <col min="19" max="19" width="10.4609375" style="130" hidden="1" customWidth="1"/>
    <col min="20" max="20" width="8.84375" style="515"/>
    <col min="21" max="21" width="8.84375" style="130"/>
    <col min="22" max="22" width="19.4609375" style="130" customWidth="1"/>
    <col min="23" max="38" width="8.84375" style="130"/>
    <col min="39" max="39" width="18.07421875" style="130" bestFit="1" customWidth="1"/>
    <col min="40" max="16384" width="8.84375" style="130"/>
  </cols>
  <sheetData>
    <row r="1" spans="1:24" ht="26" x14ac:dyDescent="0.6">
      <c r="A1" s="1"/>
      <c r="B1" s="9" t="s">
        <v>79</v>
      </c>
      <c r="C1" s="1"/>
      <c r="D1" s="760" t="s">
        <v>30</v>
      </c>
      <c r="E1" s="95"/>
      <c r="F1" s="930"/>
      <c r="G1" s="930"/>
      <c r="H1" s="95"/>
      <c r="I1" s="930"/>
      <c r="J1" s="95"/>
      <c r="K1" s="95"/>
      <c r="L1" s="95"/>
      <c r="M1" s="95"/>
      <c r="N1" s="930"/>
      <c r="O1" s="95"/>
      <c r="P1" s="930"/>
      <c r="Q1" s="95"/>
      <c r="R1" s="7"/>
      <c r="S1" s="1"/>
      <c r="T1" s="510"/>
      <c r="U1" s="1"/>
      <c r="V1" s="1"/>
      <c r="W1" s="1"/>
      <c r="X1" s="1"/>
    </row>
    <row r="2" spans="1:24" x14ac:dyDescent="0.35">
      <c r="A2" s="1"/>
      <c r="B2" s="1"/>
      <c r="C2" s="1"/>
      <c r="D2" s="706"/>
      <c r="E2" s="95"/>
      <c r="F2" s="930"/>
      <c r="G2" s="930"/>
      <c r="H2" s="95"/>
      <c r="I2" s="930"/>
      <c r="J2" s="95"/>
      <c r="K2" s="95"/>
      <c r="L2" s="95"/>
      <c r="M2" s="95"/>
      <c r="N2" s="930"/>
      <c r="O2" s="95"/>
      <c r="P2" s="930"/>
      <c r="Q2" s="95"/>
      <c r="R2" s="7"/>
      <c r="S2" s="1"/>
      <c r="T2" s="510"/>
      <c r="U2" s="7" t="s">
        <v>69</v>
      </c>
      <c r="V2" s="1"/>
      <c r="W2" s="1"/>
      <c r="X2" s="1"/>
    </row>
    <row r="3" spans="1:24" ht="26" x14ac:dyDescent="0.6">
      <c r="A3" s="1"/>
      <c r="B3" s="925" t="s">
        <v>500</v>
      </c>
      <c r="C3" s="2"/>
      <c r="D3" s="712"/>
      <c r="E3" s="96"/>
      <c r="F3" s="465"/>
      <c r="G3" s="465"/>
      <c r="H3" s="96"/>
      <c r="I3" s="465"/>
      <c r="J3" s="96"/>
      <c r="K3" s="96"/>
      <c r="L3" s="96"/>
      <c r="M3" s="96"/>
      <c r="N3" s="465"/>
      <c r="O3" s="96"/>
      <c r="P3" s="465"/>
      <c r="Q3" s="96"/>
      <c r="R3" s="293"/>
      <c r="S3" s="1"/>
      <c r="T3" s="510"/>
      <c r="U3" s="1"/>
      <c r="V3" s="1"/>
      <c r="W3" s="1"/>
      <c r="X3" s="1"/>
    </row>
    <row r="4" spans="1:24" x14ac:dyDescent="0.35">
      <c r="A4" s="1"/>
      <c r="B4" s="2"/>
      <c r="C4" s="2"/>
      <c r="D4" s="712"/>
      <c r="E4" s="96"/>
      <c r="F4" s="465"/>
      <c r="G4" s="465"/>
      <c r="H4" s="96"/>
      <c r="I4" s="465"/>
      <c r="J4" s="96"/>
      <c r="K4" s="96"/>
      <c r="L4" s="96"/>
      <c r="M4" s="96"/>
      <c r="N4" s="465"/>
      <c r="O4" s="96"/>
      <c r="P4" s="465"/>
      <c r="Q4" s="96"/>
      <c r="R4" s="293"/>
      <c r="S4" s="1"/>
      <c r="T4" s="510"/>
      <c r="U4" s="1"/>
      <c r="V4" s="1"/>
      <c r="W4" s="1"/>
      <c r="X4" s="1"/>
    </row>
    <row r="5" spans="1:24" ht="52.5" customHeight="1" x14ac:dyDescent="0.35">
      <c r="A5" s="1"/>
      <c r="B5" s="2"/>
      <c r="C5" s="123" t="s">
        <v>1</v>
      </c>
      <c r="D5" s="996" t="s">
        <v>497</v>
      </c>
      <c r="E5" s="12" t="s">
        <v>132</v>
      </c>
      <c r="F5" s="12" t="s">
        <v>20</v>
      </c>
      <c r="G5" s="12" t="s">
        <v>21</v>
      </c>
      <c r="H5" s="12" t="s">
        <v>22</v>
      </c>
      <c r="I5" s="12" t="s">
        <v>23</v>
      </c>
      <c r="J5" s="12" t="s">
        <v>24</v>
      </c>
      <c r="K5" s="12" t="s">
        <v>25</v>
      </c>
      <c r="L5" s="12" t="s">
        <v>26</v>
      </c>
      <c r="M5" s="12" t="s">
        <v>27</v>
      </c>
      <c r="N5" s="12" t="s">
        <v>28</v>
      </c>
      <c r="O5" s="12" t="s">
        <v>29</v>
      </c>
      <c r="P5" s="12" t="s">
        <v>30</v>
      </c>
      <c r="Q5" s="252" t="s">
        <v>32</v>
      </c>
      <c r="R5" s="997" t="s">
        <v>498</v>
      </c>
      <c r="S5" s="508" t="s">
        <v>351</v>
      </c>
      <c r="T5" s="510"/>
      <c r="U5" s="1"/>
      <c r="V5" s="1"/>
      <c r="W5" s="1"/>
      <c r="X5" s="1"/>
    </row>
    <row r="6" spans="1:24" ht="15" customHeight="1" x14ac:dyDescent="0.35">
      <c r="A6" s="1"/>
      <c r="B6" s="1204" t="s">
        <v>421</v>
      </c>
      <c r="C6" s="1068" t="s">
        <v>2</v>
      </c>
      <c r="D6" s="233">
        <f>'year end'!AD52</f>
        <v>547</v>
      </c>
      <c r="E6" s="118">
        <f>Masterlist!AN49</f>
        <v>41</v>
      </c>
      <c r="F6" s="118">
        <f>Masterlist!AO49</f>
        <v>29</v>
      </c>
      <c r="G6" s="118">
        <f>Masterlist!AP49</f>
        <v>48</v>
      </c>
      <c r="H6" s="118">
        <f>Masterlist!AQ49</f>
        <v>51</v>
      </c>
      <c r="I6" s="118">
        <f>Masterlist!AR49</f>
        <v>50</v>
      </c>
      <c r="J6" s="118">
        <f>Masterlist!AS49</f>
        <v>38</v>
      </c>
      <c r="K6" s="118">
        <f>Masterlist!AT49</f>
        <v>41</v>
      </c>
      <c r="L6" s="118">
        <f>Masterlist!AU49</f>
        <v>40</v>
      </c>
      <c r="M6" s="118">
        <f>Masterlist!AV49</f>
        <v>44</v>
      </c>
      <c r="N6" s="118">
        <f>Masterlist!AW49</f>
        <v>39</v>
      </c>
      <c r="O6" s="118">
        <f>Masterlist!AX49</f>
        <v>41</v>
      </c>
      <c r="P6" s="118">
        <f>Masterlist!AY49</f>
        <v>52</v>
      </c>
      <c r="Q6" s="255">
        <f t="shared" ref="Q6:Q18" si="0">SUM(E6:P6)</f>
        <v>514</v>
      </c>
      <c r="R6" s="297">
        <f>(Q6-(HLOOKUP($D$1,yearendcumulative,51,FALSE)))/(HLOOKUP($D$1,yearendcumulative,51,FALSE))</f>
        <v>-6.0329067641681902E-2</v>
      </c>
      <c r="S6" s="297">
        <f>(Q6-(HLOOKUP($D$1,Monthlyaveragecumulative,51,FALSE)))/(HLOOKUP($D$1,Monthlyaveragecumulative,51,FALSE))</f>
        <v>5.8708414872798431E-3</v>
      </c>
      <c r="T6" s="510"/>
      <c r="U6" s="1"/>
      <c r="V6" s="1"/>
      <c r="W6" s="1"/>
      <c r="X6" s="1"/>
    </row>
    <row r="7" spans="1:24" x14ac:dyDescent="0.35">
      <c r="A7" s="1"/>
      <c r="B7" s="1204"/>
      <c r="C7" s="20" t="s">
        <v>3</v>
      </c>
      <c r="D7" s="234">
        <f>'year end'!AD71</f>
        <v>185</v>
      </c>
      <c r="E7" s="30">
        <f>Masterlist!AN68</f>
        <v>11</v>
      </c>
      <c r="F7" s="30">
        <f>Masterlist!AO68</f>
        <v>8</v>
      </c>
      <c r="G7" s="30">
        <f>Masterlist!AP68</f>
        <v>16</v>
      </c>
      <c r="H7" s="30">
        <f>Masterlist!AQ68</f>
        <v>19</v>
      </c>
      <c r="I7" s="30">
        <f>Masterlist!AR68</f>
        <v>10</v>
      </c>
      <c r="J7" s="30">
        <f>Masterlist!AS68</f>
        <v>10</v>
      </c>
      <c r="K7" s="30">
        <f>Masterlist!AT68</f>
        <v>11</v>
      </c>
      <c r="L7" s="30">
        <f>Masterlist!AU68</f>
        <v>11</v>
      </c>
      <c r="M7" s="30">
        <f>Masterlist!AV68</f>
        <v>16</v>
      </c>
      <c r="N7" s="30">
        <f>Masterlist!AW68</f>
        <v>16</v>
      </c>
      <c r="O7" s="30">
        <f>Masterlist!AX68</f>
        <v>12</v>
      </c>
      <c r="P7" s="30">
        <f>Masterlist!AY68</f>
        <v>17</v>
      </c>
      <c r="Q7" s="190">
        <f t="shared" si="0"/>
        <v>157</v>
      </c>
      <c r="R7" s="298">
        <f>(Q7-(HLOOKUP($D$1,yearendcumulative,70,FALSE)))/(HLOOKUP($D$1,yearendcumulative,70,FALSE))</f>
        <v>-0.15135135135135136</v>
      </c>
      <c r="S7" s="298">
        <f>(Q7-(HLOOKUP($D$1,Monthlyaveragecumulative,70,FALSE)))/(HLOOKUP($D$1,Monthlyaveragecumulative,70,FALSE))</f>
        <v>-0.18229166666666666</v>
      </c>
      <c r="T7" s="510"/>
      <c r="U7" s="1"/>
      <c r="V7" s="1"/>
      <c r="W7" s="1"/>
      <c r="X7" s="1"/>
    </row>
    <row r="8" spans="1:24" x14ac:dyDescent="0.35">
      <c r="A8" s="1"/>
      <c r="B8" s="1204"/>
      <c r="C8" s="20" t="s">
        <v>235</v>
      </c>
      <c r="D8" s="751">
        <f>D7/D6</f>
        <v>0.33820840950639852</v>
      </c>
      <c r="E8" s="50">
        <f>E7/E6</f>
        <v>0.26829268292682928</v>
      </c>
      <c r="F8" s="50">
        <f t="shared" ref="F8" si="1">F7/F6</f>
        <v>0.27586206896551724</v>
      </c>
      <c r="G8" s="50">
        <f t="shared" ref="G8:P8" si="2">G7/G6</f>
        <v>0.33333333333333331</v>
      </c>
      <c r="H8" s="50">
        <f t="shared" si="2"/>
        <v>0.37254901960784315</v>
      </c>
      <c r="I8" s="50">
        <f t="shared" si="2"/>
        <v>0.2</v>
      </c>
      <c r="J8" s="50">
        <f t="shared" si="2"/>
        <v>0.26315789473684209</v>
      </c>
      <c r="K8" s="50">
        <f t="shared" si="2"/>
        <v>0.26829268292682928</v>
      </c>
      <c r="L8" s="50">
        <f t="shared" si="2"/>
        <v>0.27500000000000002</v>
      </c>
      <c r="M8" s="50">
        <f t="shared" si="2"/>
        <v>0.36363636363636365</v>
      </c>
      <c r="N8" s="50">
        <f t="shared" si="2"/>
        <v>0.41025641025641024</v>
      </c>
      <c r="O8" s="50">
        <f t="shared" si="2"/>
        <v>0.29268292682926828</v>
      </c>
      <c r="P8" s="50">
        <f t="shared" si="2"/>
        <v>0.32692307692307693</v>
      </c>
      <c r="Q8" s="270">
        <f t="shared" ref="Q8" si="3">Q7/Q6</f>
        <v>0.30544747081712065</v>
      </c>
      <c r="R8" s="295">
        <f>Q8-HLOOKUP($D$1,yearendcumulative,388,FALSE)</f>
        <v>-3.2760938689277874E-2</v>
      </c>
      <c r="S8" s="298">
        <f>(Q8-(HLOOKUP($D$1,Monthlyaveragecumulative,388,FALSE)))</f>
        <v>-7.0286384368789312E-2</v>
      </c>
      <c r="T8" s="510"/>
      <c r="U8" s="1"/>
      <c r="V8" s="1"/>
      <c r="W8" s="1"/>
      <c r="X8" s="1"/>
    </row>
    <row r="9" spans="1:24" x14ac:dyDescent="0.35">
      <c r="A9" s="1"/>
      <c r="B9" s="1204"/>
      <c r="C9" s="20" t="s">
        <v>362</v>
      </c>
      <c r="D9" s="234">
        <f>'year end'!AD65</f>
        <v>54</v>
      </c>
      <c r="E9" s="30">
        <f>Masterlist!AN63</f>
        <v>6</v>
      </c>
      <c r="F9" s="30">
        <f>Masterlist!AO63</f>
        <v>3</v>
      </c>
      <c r="G9" s="30">
        <f>Masterlist!AP63</f>
        <v>7</v>
      </c>
      <c r="H9" s="30">
        <f>Masterlist!AQ63</f>
        <v>4</v>
      </c>
      <c r="I9" s="30">
        <f>Masterlist!AR63</f>
        <v>6</v>
      </c>
      <c r="J9" s="30">
        <f>Masterlist!AS63</f>
        <v>1</v>
      </c>
      <c r="K9" s="30">
        <f>Masterlist!AT63</f>
        <v>3</v>
      </c>
      <c r="L9" s="30">
        <f>Masterlist!AU63</f>
        <v>7</v>
      </c>
      <c r="M9" s="30">
        <f>Masterlist!AV63</f>
        <v>3</v>
      </c>
      <c r="N9" s="30">
        <f>Masterlist!AW63</f>
        <v>4</v>
      </c>
      <c r="O9" s="30">
        <f>Masterlist!AX63</f>
        <v>1</v>
      </c>
      <c r="P9" s="30">
        <f>Masterlist!AY63</f>
        <v>1</v>
      </c>
      <c r="Q9" s="190">
        <f>SUM(E9:P9)</f>
        <v>46</v>
      </c>
      <c r="R9" s="298">
        <f>(Q9-(HLOOKUP($D$1,yearendcumulative,64,FALSE)))/(HLOOKUP($D$1,yearendcumulative,64,FALSE))</f>
        <v>-0.14814814814814814</v>
      </c>
      <c r="S9" s="298">
        <f>(Q9-(HLOOKUP($D$1,Monthlyaveragecumulative,64,FALSE)))/(HLOOKUP($D$1,Monthlyaveragecumulative,64,FALSE))</f>
        <v>-0.36986301369863012</v>
      </c>
      <c r="T9" s="510"/>
      <c r="U9" s="1"/>
      <c r="V9" s="1"/>
      <c r="W9" s="1"/>
      <c r="X9" s="1"/>
    </row>
    <row r="10" spans="1:24" x14ac:dyDescent="0.35">
      <c r="A10" s="1"/>
      <c r="B10" s="1204"/>
      <c r="C10" s="127" t="s">
        <v>4</v>
      </c>
      <c r="D10" s="234">
        <f>'year end'!AD53</f>
        <v>1007</v>
      </c>
      <c r="E10" s="30">
        <f>Masterlist!AN50</f>
        <v>82</v>
      </c>
      <c r="F10" s="30">
        <f>Masterlist!AO50</f>
        <v>78</v>
      </c>
      <c r="G10" s="30">
        <f>Masterlist!AP50</f>
        <v>82</v>
      </c>
      <c r="H10" s="30">
        <f>Masterlist!AQ50</f>
        <v>94</v>
      </c>
      <c r="I10" s="30">
        <f>Masterlist!AR50</f>
        <v>70</v>
      </c>
      <c r="J10" s="30">
        <f>Masterlist!AS50</f>
        <v>74</v>
      </c>
      <c r="K10" s="30">
        <f>Masterlist!AT50</f>
        <v>65</v>
      </c>
      <c r="L10" s="30">
        <f>Masterlist!AU50</f>
        <v>68</v>
      </c>
      <c r="M10" s="30">
        <f>Masterlist!AV50</f>
        <v>80</v>
      </c>
      <c r="N10" s="30">
        <f>Masterlist!AW50</f>
        <v>69</v>
      </c>
      <c r="O10" s="30">
        <f>Masterlist!AX50</f>
        <v>79</v>
      </c>
      <c r="P10" s="30">
        <f>Masterlist!AY50</f>
        <v>100</v>
      </c>
      <c r="Q10" s="190">
        <f t="shared" si="0"/>
        <v>941</v>
      </c>
      <c r="R10" s="298">
        <f>(Q10-(HLOOKUP($D$1,yearendcumulative,52,FALSE)))/(HLOOKUP($D$1,yearendcumulative,52,FALSE))</f>
        <v>-6.5541211519364442E-2</v>
      </c>
      <c r="S10" s="298">
        <f>(Q10-(HLOOKUP($D$1,Monthlyaveragecumulative,52,FALSE)))/(HLOOKUP($D$1,Monthlyaveragecumulative,52,FALSE))</f>
        <v>-3.9795918367346937E-2</v>
      </c>
      <c r="T10" s="510"/>
      <c r="U10" s="1"/>
      <c r="V10" s="1"/>
      <c r="W10" s="1"/>
      <c r="X10" s="1"/>
    </row>
    <row r="11" spans="1:24" x14ac:dyDescent="0.35">
      <c r="A11" s="1"/>
      <c r="B11" s="1204"/>
      <c r="C11" s="20" t="s">
        <v>158</v>
      </c>
      <c r="D11" s="234">
        <f>'year end'!AD72</f>
        <v>377</v>
      </c>
      <c r="E11" s="30">
        <f>Masterlist!AN69</f>
        <v>28</v>
      </c>
      <c r="F11" s="30">
        <f>Masterlist!AO69</f>
        <v>25</v>
      </c>
      <c r="G11" s="30">
        <f>Masterlist!AP69</f>
        <v>31</v>
      </c>
      <c r="H11" s="30">
        <f>Masterlist!AQ69</f>
        <v>35</v>
      </c>
      <c r="I11" s="30">
        <f>Masterlist!AR69</f>
        <v>43</v>
      </c>
      <c r="J11" s="30">
        <f>Masterlist!AS69</f>
        <v>29</v>
      </c>
      <c r="K11" s="30">
        <f>Masterlist!AT69</f>
        <v>22</v>
      </c>
      <c r="L11" s="30">
        <f>Masterlist!AU69</f>
        <v>30</v>
      </c>
      <c r="M11" s="30">
        <f>Masterlist!AV69</f>
        <v>32</v>
      </c>
      <c r="N11" s="30">
        <f>Masterlist!AW69</f>
        <v>31</v>
      </c>
      <c r="O11" s="30">
        <f>Masterlist!AX69</f>
        <v>31</v>
      </c>
      <c r="P11" s="30">
        <f>Masterlist!AY69</f>
        <v>47</v>
      </c>
      <c r="Q11" s="190">
        <f t="shared" si="0"/>
        <v>384</v>
      </c>
      <c r="R11" s="298">
        <f>(Q11-(HLOOKUP($D$1,yearendcumulative,71,FALSE)))/(HLOOKUP($D$1,yearendcumulative,71,FALSE))</f>
        <v>1.8567639257294429E-2</v>
      </c>
      <c r="S11" s="298">
        <f>(Q11-(HLOOKUP($D$1,Monthlyaveragecumulative,71,FALSE)))/(HLOOKUP($D$1,Monthlyaveragecumulative,71,FALSE))</f>
        <v>-5.4187192118226604E-2</v>
      </c>
      <c r="T11" s="510"/>
      <c r="U11" s="1"/>
      <c r="V11" s="1"/>
      <c r="W11" s="1"/>
      <c r="X11" s="1"/>
    </row>
    <row r="12" spans="1:24" x14ac:dyDescent="0.35">
      <c r="A12" s="1"/>
      <c r="B12" s="1204"/>
      <c r="C12" s="20" t="s">
        <v>236</v>
      </c>
      <c r="D12" s="751">
        <f>D11/D10</f>
        <v>0.3743793445878848</v>
      </c>
      <c r="E12" s="50">
        <f>E11/E10</f>
        <v>0.34146341463414637</v>
      </c>
      <c r="F12" s="50">
        <f t="shared" ref="F12" si="4">F11/F10</f>
        <v>0.32051282051282054</v>
      </c>
      <c r="G12" s="50">
        <f t="shared" ref="G12:P12" si="5">G11/G10</f>
        <v>0.37804878048780488</v>
      </c>
      <c r="H12" s="50">
        <f t="shared" si="5"/>
        <v>0.37234042553191488</v>
      </c>
      <c r="I12" s="50">
        <f t="shared" si="5"/>
        <v>0.61428571428571432</v>
      </c>
      <c r="J12" s="50">
        <f t="shared" si="5"/>
        <v>0.39189189189189189</v>
      </c>
      <c r="K12" s="50">
        <f t="shared" si="5"/>
        <v>0.33846153846153848</v>
      </c>
      <c r="L12" s="50">
        <f t="shared" si="5"/>
        <v>0.44117647058823528</v>
      </c>
      <c r="M12" s="50">
        <f t="shared" si="5"/>
        <v>0.4</v>
      </c>
      <c r="N12" s="50">
        <f t="shared" si="5"/>
        <v>0.44927536231884058</v>
      </c>
      <c r="O12" s="50">
        <f t="shared" si="5"/>
        <v>0.39240506329113922</v>
      </c>
      <c r="P12" s="50">
        <f t="shared" si="5"/>
        <v>0.47</v>
      </c>
      <c r="Q12" s="270">
        <f t="shared" ref="Q12" si="6">Q11/Q10</f>
        <v>0.40807651434643993</v>
      </c>
      <c r="R12" s="298">
        <f>Q12-(HLOOKUP($D$1,yearendcumulative,395,FALSE))</f>
        <v>3.3697169758555134E-2</v>
      </c>
      <c r="S12" s="298">
        <f>(Q12-(HLOOKUP($D$1,Monthlyaveragecumulative,395,FALSE)))</f>
        <v>-6.2091999392743791E-3</v>
      </c>
      <c r="T12" s="510"/>
      <c r="U12" s="1"/>
      <c r="V12" s="1"/>
      <c r="W12" s="1"/>
      <c r="X12" s="1"/>
    </row>
    <row r="13" spans="1:24" x14ac:dyDescent="0.35">
      <c r="A13" s="1"/>
      <c r="B13" s="1204"/>
      <c r="C13" s="752" t="s">
        <v>363</v>
      </c>
      <c r="D13" s="234">
        <f>'year end'!AD66</f>
        <v>59</v>
      </c>
      <c r="E13" s="30">
        <f>Masterlist!AN64</f>
        <v>3</v>
      </c>
      <c r="F13" s="30">
        <f>Masterlist!AO64</f>
        <v>1</v>
      </c>
      <c r="G13" s="30">
        <f>Masterlist!AP64</f>
        <v>5</v>
      </c>
      <c r="H13" s="30">
        <f>Masterlist!AQ64</f>
        <v>6</v>
      </c>
      <c r="I13" s="30">
        <f>Masterlist!AR64</f>
        <v>5</v>
      </c>
      <c r="J13" s="30">
        <f>Masterlist!AS64</f>
        <v>5</v>
      </c>
      <c r="K13" s="30">
        <f>Masterlist!AT64</f>
        <v>1</v>
      </c>
      <c r="L13" s="30">
        <f>Masterlist!AU64</f>
        <v>7</v>
      </c>
      <c r="M13" s="30">
        <f>Masterlist!AV64</f>
        <v>1</v>
      </c>
      <c r="N13" s="30">
        <f>Masterlist!AW64</f>
        <v>7</v>
      </c>
      <c r="O13" s="30">
        <f>Masterlist!AX64</f>
        <v>5</v>
      </c>
      <c r="P13" s="30">
        <f>Masterlist!AY64</f>
        <v>4</v>
      </c>
      <c r="Q13" s="190">
        <f>SUM(E13:P13)</f>
        <v>50</v>
      </c>
      <c r="R13" s="298">
        <f>(Q13-(HLOOKUP($D$1,yearendcumulative,65,FALSE)))/(HLOOKUP($D$1,yearendcumulative,65,FALSE))</f>
        <v>-0.15254237288135594</v>
      </c>
      <c r="S13" s="298">
        <f>(Q13-(HLOOKUP($D$1,Monthlyaveragecumulative,65,FALSE)))/(HLOOKUP($D$1,Monthlyaveragecumulative,65,FALSE))</f>
        <v>-0.20634920634920634</v>
      </c>
      <c r="T13" s="510"/>
      <c r="U13" s="1"/>
      <c r="V13" s="1"/>
      <c r="W13" s="1"/>
      <c r="X13" s="1"/>
    </row>
    <row r="14" spans="1:24" x14ac:dyDescent="0.35">
      <c r="A14" s="1"/>
      <c r="B14" s="1204"/>
      <c r="C14" s="752" t="s">
        <v>364</v>
      </c>
      <c r="D14" s="234">
        <f>'year end'!AD67</f>
        <v>113</v>
      </c>
      <c r="E14" s="30">
        <f>E9+E13</f>
        <v>9</v>
      </c>
      <c r="F14" s="30">
        <f t="shared" ref="F14" si="7">F9+F13</f>
        <v>4</v>
      </c>
      <c r="G14" s="30">
        <f t="shared" ref="G14:P14" si="8">G9+G13</f>
        <v>12</v>
      </c>
      <c r="H14" s="30">
        <f t="shared" si="8"/>
        <v>10</v>
      </c>
      <c r="I14" s="30">
        <f t="shared" si="8"/>
        <v>11</v>
      </c>
      <c r="J14" s="30">
        <f t="shared" si="8"/>
        <v>6</v>
      </c>
      <c r="K14" s="30">
        <f t="shared" si="8"/>
        <v>4</v>
      </c>
      <c r="L14" s="30">
        <f t="shared" si="8"/>
        <v>14</v>
      </c>
      <c r="M14" s="30">
        <f t="shared" si="8"/>
        <v>4</v>
      </c>
      <c r="N14" s="30">
        <f t="shared" si="8"/>
        <v>11</v>
      </c>
      <c r="O14" s="30">
        <f t="shared" si="8"/>
        <v>6</v>
      </c>
      <c r="P14" s="30">
        <f t="shared" si="8"/>
        <v>5</v>
      </c>
      <c r="Q14" s="190">
        <f t="shared" si="0"/>
        <v>96</v>
      </c>
      <c r="R14" s="298">
        <f>(Q14-(HLOOKUP($D$1,yearendcumulative,66,FALSE)))/(HLOOKUP($D$1,yearendcumulative,66,FALSE))</f>
        <v>-0.15044247787610621</v>
      </c>
      <c r="S14" s="298">
        <f>(Q14-(HLOOKUP($D$1,Monthlyaveragecumulative,66,FALSE)))/(HLOOKUP($D$1,Monthlyaveragecumulative,66,FALSE))</f>
        <v>-0.28888888888888886</v>
      </c>
      <c r="T14" s="510"/>
      <c r="U14" s="1"/>
      <c r="V14" s="1"/>
      <c r="W14" s="1"/>
      <c r="X14" s="1"/>
    </row>
    <row r="15" spans="1:24" x14ac:dyDescent="0.35">
      <c r="A15" s="1"/>
      <c r="B15" s="1204"/>
      <c r="C15" s="127" t="s">
        <v>5</v>
      </c>
      <c r="D15" s="234">
        <f>'year end'!AD54</f>
        <v>43</v>
      </c>
      <c r="E15" s="30">
        <f>Masterlist!AN51</f>
        <v>2</v>
      </c>
      <c r="F15" s="30">
        <f>Masterlist!AO51</f>
        <v>0</v>
      </c>
      <c r="G15" s="30">
        <f>Masterlist!AP51</f>
        <v>4</v>
      </c>
      <c r="H15" s="30">
        <f>Masterlist!AQ51</f>
        <v>6</v>
      </c>
      <c r="I15" s="30">
        <f>Masterlist!AR51</f>
        <v>1</v>
      </c>
      <c r="J15" s="30">
        <f>Masterlist!AS51</f>
        <v>7</v>
      </c>
      <c r="K15" s="30">
        <f>Masterlist!AT51</f>
        <v>4</v>
      </c>
      <c r="L15" s="30">
        <f>Masterlist!AU51</f>
        <v>5</v>
      </c>
      <c r="M15" s="30">
        <f>Masterlist!AV51</f>
        <v>4</v>
      </c>
      <c r="N15" s="30">
        <f>Masterlist!AW51</f>
        <v>6</v>
      </c>
      <c r="O15" s="30">
        <f>Masterlist!AX51</f>
        <v>3</v>
      </c>
      <c r="P15" s="30">
        <f>Masterlist!AY51</f>
        <v>1</v>
      </c>
      <c r="Q15" s="190">
        <f t="shared" si="0"/>
        <v>43</v>
      </c>
      <c r="R15" s="298">
        <f>(Q15-(HLOOKUP($D$1,yearendcumulative,53,FALSE)))/(HLOOKUP($D$1,yearendcumulative,53,FALSE))</f>
        <v>0</v>
      </c>
      <c r="S15" s="298">
        <f>(Q15-(HLOOKUP($D$1,Monthlyaveragecumulative,53,FALSE)))/(HLOOKUP($D$1,Monthlyaveragecumulative,53,FALSE))</f>
        <v>-6.5217391304347824E-2</v>
      </c>
      <c r="T15" s="510"/>
      <c r="U15" s="1"/>
      <c r="V15" s="1"/>
      <c r="W15" s="1"/>
      <c r="X15" s="1"/>
    </row>
    <row r="16" spans="1:24" x14ac:dyDescent="0.35">
      <c r="A16" s="1"/>
      <c r="B16" s="1204"/>
      <c r="C16" s="983" t="s">
        <v>6</v>
      </c>
      <c r="D16" s="243">
        <f>'year end'!AD55</f>
        <v>106</v>
      </c>
      <c r="E16" s="30">
        <f>Masterlist!AN52</f>
        <v>12</v>
      </c>
      <c r="F16" s="30">
        <f>Masterlist!AO52</f>
        <v>13</v>
      </c>
      <c r="G16" s="30">
        <f>Masterlist!AP52</f>
        <v>7</v>
      </c>
      <c r="H16" s="30">
        <f>Masterlist!AQ52</f>
        <v>5</v>
      </c>
      <c r="I16" s="30">
        <f>Masterlist!AR52</f>
        <v>14</v>
      </c>
      <c r="J16" s="30">
        <f>Masterlist!AS52</f>
        <v>11</v>
      </c>
      <c r="K16" s="30">
        <f>Masterlist!AT52</f>
        <v>16</v>
      </c>
      <c r="L16" s="30">
        <f>Masterlist!AU52</f>
        <v>4</v>
      </c>
      <c r="M16" s="30">
        <f>Masterlist!AV52</f>
        <v>9</v>
      </c>
      <c r="N16" s="30">
        <f>Masterlist!AW52</f>
        <v>8</v>
      </c>
      <c r="O16" s="30">
        <f>Masterlist!AX52</f>
        <v>9</v>
      </c>
      <c r="P16" s="30">
        <f>Masterlist!AY52</f>
        <v>14</v>
      </c>
      <c r="Q16" s="191">
        <f t="shared" si="0"/>
        <v>122</v>
      </c>
      <c r="R16" s="298">
        <f>(Q16-(HLOOKUP($D$1,yearendcumulative,54,FALSE)))/(HLOOKUP($D$1,yearendcumulative,54,FALSE))</f>
        <v>0.15094339622641509</v>
      </c>
      <c r="S16" s="298">
        <f>(Q16-(HLOOKUP($D$1,Monthlyaveragecumulative,54,FALSE)))/(HLOOKUP($D$1,Monthlyaveragecumulative,54,FALSE))</f>
        <v>0.35555555555555557</v>
      </c>
      <c r="T16" s="510"/>
      <c r="U16" s="1"/>
      <c r="V16" s="1"/>
      <c r="W16" s="1"/>
      <c r="X16" s="1"/>
    </row>
    <row r="17" spans="1:24" x14ac:dyDescent="0.35">
      <c r="A17" s="1"/>
      <c r="B17" s="1204"/>
      <c r="C17" s="20" t="s">
        <v>237</v>
      </c>
      <c r="D17" s="249">
        <f>'year end'!AD73</f>
        <v>42</v>
      </c>
      <c r="E17" s="117">
        <f>Masterlist!AN71</f>
        <v>3</v>
      </c>
      <c r="F17" s="1118">
        <f>Masterlist!AO71</f>
        <v>0</v>
      </c>
      <c r="G17" s="1118">
        <f>Masterlist!AP71</f>
        <v>0</v>
      </c>
      <c r="H17" s="1118">
        <f>Masterlist!AQ71</f>
        <v>0</v>
      </c>
      <c r="I17" s="1118">
        <f>Masterlist!AR71</f>
        <v>5</v>
      </c>
      <c r="J17" s="1118">
        <f>Masterlist!AS71</f>
        <v>3</v>
      </c>
      <c r="K17" s="1118">
        <f>Masterlist!AT71</f>
        <v>0</v>
      </c>
      <c r="L17" s="1118">
        <f>Masterlist!AU71</f>
        <v>1</v>
      </c>
      <c r="M17" s="1118">
        <f>Masterlist!AV71</f>
        <v>2</v>
      </c>
      <c r="N17" s="1118">
        <f>Masterlist!AW71</f>
        <v>6</v>
      </c>
      <c r="O17" s="1118">
        <f>Masterlist!AX71</f>
        <v>3</v>
      </c>
      <c r="P17" s="1118">
        <f>Masterlist!AY71</f>
        <v>1</v>
      </c>
      <c r="Q17" s="255">
        <f t="shared" si="0"/>
        <v>24</v>
      </c>
      <c r="R17" s="297">
        <f>(Q17-(HLOOKUP($D$1,yearendcumulative,72,FALSE)))/(HLOOKUP($D$1,yearendcumulative,72,FALSE))</f>
        <v>-0.42857142857142855</v>
      </c>
      <c r="S17" s="297">
        <f>(Q17-(HLOOKUP($D$1,Monthlyaveragecumulative,72,FALSE)))/(HLOOKUP($D$1,Monthlyaveragecumulative,72,FALSE))</f>
        <v>-0.2</v>
      </c>
      <c r="T17" s="510"/>
      <c r="U17" s="1"/>
      <c r="V17" s="1"/>
      <c r="W17" s="1"/>
      <c r="X17" s="1"/>
    </row>
    <row r="18" spans="1:24" ht="15.75" customHeight="1" x14ac:dyDescent="0.35">
      <c r="A18" s="1"/>
      <c r="B18" s="1204"/>
      <c r="C18" s="248" t="s">
        <v>238</v>
      </c>
      <c r="D18" s="250">
        <f>'year end'!AD74</f>
        <v>14</v>
      </c>
      <c r="E18" s="105">
        <f>Masterlist!AN72</f>
        <v>0</v>
      </c>
      <c r="F18" s="30">
        <f>Masterlist!AO72</f>
        <v>3</v>
      </c>
      <c r="G18" s="30">
        <f>Masterlist!AP72</f>
        <v>1</v>
      </c>
      <c r="H18" s="30">
        <f>Masterlist!AQ72</f>
        <v>1</v>
      </c>
      <c r="I18" s="30">
        <f>Masterlist!AR72</f>
        <v>0</v>
      </c>
      <c r="J18" s="30">
        <f>Masterlist!AS72</f>
        <v>2</v>
      </c>
      <c r="K18" s="30">
        <f>Masterlist!AT72</f>
        <v>1</v>
      </c>
      <c r="L18" s="30">
        <f>Masterlist!AU72</f>
        <v>1</v>
      </c>
      <c r="M18" s="30">
        <f>Masterlist!AV72</f>
        <v>2</v>
      </c>
      <c r="N18" s="30">
        <f>Masterlist!AW72</f>
        <v>0</v>
      </c>
      <c r="O18" s="30">
        <f>Masterlist!AX72</f>
        <v>1</v>
      </c>
      <c r="P18" s="30">
        <f>Masterlist!AY72</f>
        <v>2</v>
      </c>
      <c r="Q18" s="190">
        <f t="shared" si="0"/>
        <v>14</v>
      </c>
      <c r="R18" s="298">
        <f>(Q18-(HLOOKUP($D$1,yearendcumulative,73,FALSE)))/(HLOOKUP($D$1,yearendcumulative,73,FALSE))</f>
        <v>0</v>
      </c>
      <c r="S18" s="299">
        <f>(Q18-(HLOOKUP($D$1,Monthlyaveragecumulative,73,FALSE)))/(HLOOKUP($D$1,Monthlyaveragecumulative,73,FALSE))</f>
        <v>-0.33333333333333331</v>
      </c>
      <c r="T18" s="510"/>
      <c r="U18" s="1"/>
      <c r="V18" s="1"/>
      <c r="W18" s="1"/>
      <c r="X18" s="1"/>
    </row>
    <row r="19" spans="1:24" ht="15.75" customHeight="1" x14ac:dyDescent="0.35">
      <c r="A19" s="1"/>
      <c r="B19" s="1204"/>
      <c r="C19" s="753" t="s">
        <v>404</v>
      </c>
      <c r="D19" s="233">
        <f>'year end'!AF341</f>
        <v>25</v>
      </c>
      <c r="E19" s="118">
        <f>Masterlist!AN470</f>
        <v>1</v>
      </c>
      <c r="F19" s="118">
        <f>Masterlist!AO470</f>
        <v>2</v>
      </c>
      <c r="G19" s="118">
        <f>Masterlist!AP470</f>
        <v>1</v>
      </c>
      <c r="H19" s="118">
        <f>Masterlist!AQ470</f>
        <v>1</v>
      </c>
      <c r="I19" s="118">
        <f>Masterlist!AR470</f>
        <v>1</v>
      </c>
      <c r="J19" s="118">
        <f>Masterlist!AS470</f>
        <v>1</v>
      </c>
      <c r="K19" s="118">
        <f>Masterlist!AT470</f>
        <v>3</v>
      </c>
      <c r="L19" s="118">
        <f>Masterlist!AU470</f>
        <v>1</v>
      </c>
      <c r="M19" s="118">
        <f>Masterlist!AV470</f>
        <v>2</v>
      </c>
      <c r="N19" s="118">
        <f>Masterlist!AW470</f>
        <v>3</v>
      </c>
      <c r="O19" s="118">
        <f>Masterlist!AX470</f>
        <v>2</v>
      </c>
      <c r="P19" s="118">
        <f>Masterlist!AY470</f>
        <v>0</v>
      </c>
      <c r="Q19" s="255">
        <f>SUM(E19:P19)</f>
        <v>18</v>
      </c>
      <c r="R19" s="294">
        <f>(Q19-(HLOOKUP($D$1,yearendcumulative,340,FALSE)))/(HLOOKUP($D$1,yearendcumulative,340,FALSE))</f>
        <v>-0.28000000000000003</v>
      </c>
      <c r="S19" s="606">
        <f>(Q19-(HLOOKUP($D$1,Monthlyaveragecumulative,340,FALSE)))/(HLOOKUP($D$1,Monthlyaveragecumulative,340,FALSE))</f>
        <v>-0.14285714285714285</v>
      </c>
      <c r="T19" s="510"/>
      <c r="U19" s="1"/>
      <c r="V19" s="1"/>
      <c r="W19" s="1"/>
      <c r="X19" s="1"/>
    </row>
    <row r="20" spans="1:24" s="631" customFormat="1" ht="15.75" customHeight="1" x14ac:dyDescent="0.35">
      <c r="A20" s="95"/>
      <c r="B20" s="1204"/>
      <c r="C20" s="1086" t="s">
        <v>425</v>
      </c>
      <c r="D20" s="269">
        <f>'year end'!AD478</f>
        <v>6</v>
      </c>
      <c r="E20" s="1062">
        <f>Masterlist!AN576</f>
        <v>0</v>
      </c>
      <c r="F20" s="1062">
        <f>Masterlist!AO576</f>
        <v>1</v>
      </c>
      <c r="G20" s="1062">
        <f>Masterlist!AP576</f>
        <v>0</v>
      </c>
      <c r="H20" s="1062">
        <f>Masterlist!AQ576</f>
        <v>0</v>
      </c>
      <c r="I20" s="1062">
        <f>Masterlist!AR576</f>
        <v>0</v>
      </c>
      <c r="J20" s="1062">
        <f>Masterlist!AS576</f>
        <v>0</v>
      </c>
      <c r="K20" s="1062">
        <f>Masterlist!AT576</f>
        <v>0</v>
      </c>
      <c r="L20" s="1062">
        <f>Masterlist!AU576</f>
        <v>0</v>
      </c>
      <c r="M20" s="1062">
        <f>Masterlist!AV576</f>
        <v>0</v>
      </c>
      <c r="N20" s="1062">
        <f>Masterlist!AW576</f>
        <v>0</v>
      </c>
      <c r="O20" s="1062">
        <f>Masterlist!AX576</f>
        <v>0</v>
      </c>
      <c r="P20" s="1062">
        <f>Masterlist!AY576</f>
        <v>0</v>
      </c>
      <c r="Q20" s="191">
        <f t="shared" ref="Q20" si="9">SUM(E20:P20)</f>
        <v>1</v>
      </c>
      <c r="R20" s="1088">
        <f>(Q20-(HLOOKUP($D$1,yearendcumulative,477,FALSE)))/(HLOOKUP($D$1,yearendcumulative,477,FALSE))</f>
        <v>-0.83333333333333337</v>
      </c>
      <c r="S20" s="1084" t="s">
        <v>206</v>
      </c>
      <c r="T20" s="604"/>
      <c r="U20" s="95"/>
      <c r="V20" s="95"/>
      <c r="W20" s="95"/>
      <c r="X20" s="95"/>
    </row>
    <row r="21" spans="1:24" x14ac:dyDescent="0.35">
      <c r="A21" s="1"/>
      <c r="B21" s="1204"/>
      <c r="C21" s="949" t="s">
        <v>250</v>
      </c>
      <c r="D21" s="234">
        <f>'[3]23-24'!O13</f>
        <v>421</v>
      </c>
      <c r="E21" s="1102">
        <v>39</v>
      </c>
      <c r="F21" s="1102">
        <v>58</v>
      </c>
      <c r="G21" s="1146">
        <f>'[3]24-25'!E13</f>
        <v>38</v>
      </c>
      <c r="H21" s="1146">
        <f>'[3]24-25'!F13</f>
        <v>53</v>
      </c>
      <c r="I21" s="1146">
        <f>'[3]24-25'!G13</f>
        <v>27</v>
      </c>
      <c r="J21" s="1146">
        <f>'[3]24-25'!H13</f>
        <v>28</v>
      </c>
      <c r="K21" s="1146">
        <f>'[3]24-25'!I13</f>
        <v>47</v>
      </c>
      <c r="L21" s="1146">
        <f>'[3]24-25'!J13</f>
        <v>33</v>
      </c>
      <c r="M21" s="1146">
        <f>'[3]24-25'!K13</f>
        <v>41</v>
      </c>
      <c r="N21" s="1146">
        <f>'[3]24-25'!L13</f>
        <v>39</v>
      </c>
      <c r="O21" s="1146">
        <f>'[3]24-25'!M13</f>
        <v>34</v>
      </c>
      <c r="P21" s="1146">
        <f>'[3]24-25'!N13</f>
        <v>38</v>
      </c>
      <c r="Q21" s="787">
        <f>'[3]24-25'!O13</f>
        <v>475</v>
      </c>
      <c r="R21" s="846">
        <f>(Q21-'[3]24-25'!$R$13)/'[3]24-25'!$R$13</f>
        <v>0.12826603325415678</v>
      </c>
      <c r="S21" s="787" t="s">
        <v>210</v>
      </c>
      <c r="T21" s="510"/>
      <c r="U21" s="1"/>
      <c r="V21" s="1"/>
      <c r="W21" s="1"/>
      <c r="X21" s="1"/>
    </row>
    <row r="22" spans="1:24" x14ac:dyDescent="0.35">
      <c r="A22" s="1"/>
      <c r="B22" s="1204"/>
      <c r="C22" s="1058" t="s">
        <v>451</v>
      </c>
      <c r="D22" s="56">
        <f>'[3]23-24'!O21</f>
        <v>0.30403800475059384</v>
      </c>
      <c r="E22" s="1103">
        <v>0.38</v>
      </c>
      <c r="F22" s="1103">
        <v>0.28000000000000003</v>
      </c>
      <c r="G22" s="1147">
        <f>'[3]24-25'!E21</f>
        <v>0.34210526315789475</v>
      </c>
      <c r="H22" s="1147">
        <f>'[3]24-25'!F21</f>
        <v>0.28301886792452829</v>
      </c>
      <c r="I22" s="1147">
        <f>'[3]24-25'!G21</f>
        <v>0.40740740740740738</v>
      </c>
      <c r="J22" s="1147">
        <f>'[3]24-25'!H21</f>
        <v>0.2857142857142857</v>
      </c>
      <c r="K22" s="1147">
        <f>'[3]24-25'!I21</f>
        <v>0.25531914893617019</v>
      </c>
      <c r="L22" s="1147">
        <f>'[3]24-25'!J21</f>
        <v>0.30303030303030304</v>
      </c>
      <c r="M22" s="1147">
        <f>'[3]24-25'!K21</f>
        <v>0.14634146341463414</v>
      </c>
      <c r="N22" s="1147">
        <f>'[3]24-25'!L21</f>
        <v>0.15384615384615385</v>
      </c>
      <c r="O22" s="1147">
        <f>'[3]24-25'!M21</f>
        <v>0.35294117647058826</v>
      </c>
      <c r="P22" s="1147">
        <f>'[3]24-25'!N21</f>
        <v>0.39473684210526316</v>
      </c>
      <c r="Q22" s="1139">
        <f>'[3]24-25'!O21</f>
        <v>0.29263157894736841</v>
      </c>
      <c r="R22" s="846">
        <f>Q22-'[3]24-25'!$R$21</f>
        <v>-1.1406425803225428E-2</v>
      </c>
      <c r="S22" s="788" t="s">
        <v>210</v>
      </c>
      <c r="T22" s="471"/>
      <c r="U22" s="1"/>
      <c r="V22" s="1"/>
      <c r="W22" s="1"/>
      <c r="X22" s="1"/>
    </row>
    <row r="23" spans="1:24" x14ac:dyDescent="0.35">
      <c r="A23" s="1"/>
      <c r="B23" s="1204"/>
      <c r="C23" s="752" t="s">
        <v>232</v>
      </c>
      <c r="D23" s="756">
        <f>'[3]23-24'!O18</f>
        <v>0.66745843230403801</v>
      </c>
      <c r="E23" s="1103">
        <v>0.46</v>
      </c>
      <c r="F23" s="1103">
        <v>0.48</v>
      </c>
      <c r="G23" s="1147">
        <f>'[3]24-25'!E18</f>
        <v>0.28947368421052633</v>
      </c>
      <c r="H23" s="1147">
        <f>'[3]24-25'!F18</f>
        <v>0.62264150943396224</v>
      </c>
      <c r="I23" s="1147">
        <f>'[3]24-25'!G18</f>
        <v>0.70370370370370372</v>
      </c>
      <c r="J23" s="1147">
        <f>'[3]24-25'!H18</f>
        <v>0.8571428571428571</v>
      </c>
      <c r="K23" s="1147">
        <f>'[3]24-25'!I18</f>
        <v>1</v>
      </c>
      <c r="L23" s="1147">
        <f>'[3]24-25'!J18</f>
        <v>0.81818181818181823</v>
      </c>
      <c r="M23" s="1147">
        <f>'[3]24-25'!K18</f>
        <v>0.56097560975609762</v>
      </c>
      <c r="N23" s="1147">
        <f>'[3]24-25'!L18</f>
        <v>0.4358974358974359</v>
      </c>
      <c r="O23" s="1147">
        <f>'[3]24-25'!M18</f>
        <v>0.52941176470588236</v>
      </c>
      <c r="P23" s="1147">
        <f>'[3]24-25'!N18</f>
        <v>0.63157894736842102</v>
      </c>
      <c r="Q23" s="1139">
        <f>'[3]24-25'!O18</f>
        <v>0.60842105263157897</v>
      </c>
      <c r="R23" s="846">
        <f>Q23-'[3]24-25'!$R$18</f>
        <v>-5.9037379672459034E-2</v>
      </c>
      <c r="S23" s="788" t="s">
        <v>210</v>
      </c>
      <c r="T23" s="471"/>
      <c r="U23" s="1"/>
      <c r="V23" s="1"/>
      <c r="W23" s="1"/>
      <c r="X23" s="1"/>
    </row>
    <row r="24" spans="1:24" x14ac:dyDescent="0.35">
      <c r="A24" s="1"/>
      <c r="B24" s="1204"/>
      <c r="C24" s="752" t="s">
        <v>233</v>
      </c>
      <c r="D24" s="756">
        <f>'[3]23-24'!O19</f>
        <v>0.65083135391923985</v>
      </c>
      <c r="E24" s="1103">
        <v>0.56000000000000005</v>
      </c>
      <c r="F24" s="1103">
        <v>0.55000000000000004</v>
      </c>
      <c r="G24" s="1147">
        <f>'[3]24-25'!E19</f>
        <v>0.42105263157894735</v>
      </c>
      <c r="H24" s="1147">
        <f>'[3]24-25'!F19</f>
        <v>0.62264150943396224</v>
      </c>
      <c r="I24" s="1147">
        <f>'[3]24-25'!G19</f>
        <v>0.7407407407407407</v>
      </c>
      <c r="J24" s="1147">
        <f>'[3]24-25'!H19</f>
        <v>0.8571428571428571</v>
      </c>
      <c r="K24" s="1147">
        <f>'[3]24-25'!I19</f>
        <v>0.7021276595744681</v>
      </c>
      <c r="L24" s="1147">
        <f>'[3]24-25'!J19</f>
        <v>0.60606060606060608</v>
      </c>
      <c r="M24" s="1147">
        <f>'[3]24-25'!K19</f>
        <v>0.65853658536585369</v>
      </c>
      <c r="N24" s="1147">
        <f>'[3]24-25'!L19</f>
        <v>0.46153846153846156</v>
      </c>
      <c r="O24" s="1147">
        <f>'[3]24-25'!M19</f>
        <v>0.61764705882352944</v>
      </c>
      <c r="P24" s="1147">
        <f>'[3]24-25'!N19</f>
        <v>0.63157894736842102</v>
      </c>
      <c r="Q24" s="1139">
        <f>'[3]24-25'!O19</f>
        <v>0.61052631578947369</v>
      </c>
      <c r="R24" s="846">
        <f>Q24-'[3]24-25'!$R$19</f>
        <v>-4.0305038129766158E-2</v>
      </c>
      <c r="S24" s="788" t="s">
        <v>210</v>
      </c>
      <c r="T24" s="471"/>
      <c r="U24" s="1"/>
      <c r="V24" s="1"/>
      <c r="W24" s="1"/>
      <c r="X24" s="1"/>
    </row>
    <row r="25" spans="1:24" x14ac:dyDescent="0.35">
      <c r="A25" s="1"/>
      <c r="B25" s="1204"/>
      <c r="C25" s="242" t="s">
        <v>234</v>
      </c>
      <c r="D25" s="757">
        <f>'[3]23-24'!O20</f>
        <v>0.54869358669833734</v>
      </c>
      <c r="E25" s="1104">
        <v>0.46</v>
      </c>
      <c r="F25" s="1104">
        <v>0.67</v>
      </c>
      <c r="G25" s="1148">
        <f>'[3]24-25'!E20</f>
        <v>0.57894736842105265</v>
      </c>
      <c r="H25" s="1148">
        <f>'[3]24-25'!F20</f>
        <v>0.30188679245283018</v>
      </c>
      <c r="I25" s="1148">
        <f>'[3]24-25'!G20</f>
        <v>0.33333333333333331</v>
      </c>
      <c r="J25" s="1148">
        <f>'[3]24-25'!H20</f>
        <v>0.6785714285714286</v>
      </c>
      <c r="K25" s="1148">
        <f>'[3]24-25'!I20</f>
        <v>0.36170212765957449</v>
      </c>
      <c r="L25" s="1148">
        <f>'[3]24-25'!J20</f>
        <v>0.75757575757575757</v>
      </c>
      <c r="M25" s="1148">
        <f>'[3]24-25'!K20</f>
        <v>0.43902439024390244</v>
      </c>
      <c r="N25" s="1148">
        <f>'[3]24-25'!L20</f>
        <v>0.35897435897435898</v>
      </c>
      <c r="O25" s="1148">
        <f>'[3]24-25'!M20</f>
        <v>0.70588235294117652</v>
      </c>
      <c r="P25" s="1148">
        <f>'[3]24-25'!N20</f>
        <v>0.44736842105263158</v>
      </c>
      <c r="Q25" s="1140">
        <f>'[3]24-25'!O20</f>
        <v>0.50105263157894742</v>
      </c>
      <c r="R25" s="846">
        <f>Q25-'[3]24-25'!$R$20</f>
        <v>-4.7640955119389927E-2</v>
      </c>
      <c r="S25" s="789" t="s">
        <v>210</v>
      </c>
      <c r="T25" s="471"/>
      <c r="U25" s="1"/>
      <c r="V25" s="1"/>
      <c r="W25" s="1"/>
      <c r="X25" s="1"/>
    </row>
    <row r="26" spans="1:24" ht="25.5" customHeight="1" x14ac:dyDescent="0.35">
      <c r="A26" s="1"/>
      <c r="B26" s="1204"/>
      <c r="C26" s="991" t="s">
        <v>373</v>
      </c>
      <c r="D26" s="249">
        <f>'year end'!AD405</f>
        <v>19</v>
      </c>
      <c r="E26" s="681">
        <f>Masterlist!AN492</f>
        <v>1</v>
      </c>
      <c r="F26" s="1119">
        <f>Masterlist!AO492</f>
        <v>0</v>
      </c>
      <c r="G26" s="1119">
        <f>Masterlist!AP492</f>
        <v>2</v>
      </c>
      <c r="H26" s="1119">
        <f>Masterlist!AQ492</f>
        <v>1</v>
      </c>
      <c r="I26" s="1119">
        <f>Masterlist!AR492</f>
        <v>0</v>
      </c>
      <c r="J26" s="1119">
        <f>Masterlist!AS492</f>
        <v>1</v>
      </c>
      <c r="K26" s="1119">
        <f>Masterlist!AT492</f>
        <v>0</v>
      </c>
      <c r="L26" s="1119">
        <f>Masterlist!AU492</f>
        <v>1</v>
      </c>
      <c r="M26" s="1119">
        <f>Masterlist!AV492</f>
        <v>0</v>
      </c>
      <c r="N26" s="1119">
        <f>Masterlist!AW492</f>
        <v>1</v>
      </c>
      <c r="O26" s="1119">
        <f>Masterlist!AX492</f>
        <v>0</v>
      </c>
      <c r="P26" s="1119">
        <f>Masterlist!AY492</f>
        <v>1</v>
      </c>
      <c r="Q26" s="255">
        <f t="shared" ref="Q26:Q27" si="10">SUM(E26:P26)</f>
        <v>8</v>
      </c>
      <c r="R26" s="303">
        <f>(Q26-(HLOOKUP($D$1,yearendcumulative,404,FALSE)))/(HLOOKUP($D$1,yearendcumulative,404,FALSE))</f>
        <v>-0.57894736842105265</v>
      </c>
      <c r="S26" s="297">
        <f>(Q26-(HLOOKUP($D$1,Monthlyaveragecumulative,437,FALSE)))/(HLOOKUP($D$1,Monthlyaveragecumulative,437,FALSE))</f>
        <v>-0.70370370370370372</v>
      </c>
      <c r="T26" s="471"/>
      <c r="U26" s="1"/>
      <c r="V26" s="1"/>
      <c r="W26" s="1"/>
      <c r="X26" s="1"/>
    </row>
    <row r="27" spans="1:24" x14ac:dyDescent="0.35">
      <c r="A27" s="1"/>
      <c r="B27" s="1205"/>
      <c r="C27" s="992" t="s">
        <v>372</v>
      </c>
      <c r="D27" s="251">
        <f>'year end'!AD413</f>
        <v>36</v>
      </c>
      <c r="E27" s="682">
        <f>Masterlist!AN501</f>
        <v>4</v>
      </c>
      <c r="F27" s="1120">
        <f>Masterlist!AO501</f>
        <v>3</v>
      </c>
      <c r="G27" s="1120">
        <f>Masterlist!AP501</f>
        <v>2</v>
      </c>
      <c r="H27" s="1120">
        <f>Masterlist!AQ501</f>
        <v>4</v>
      </c>
      <c r="I27" s="1120">
        <f>Masterlist!AR501</f>
        <v>4</v>
      </c>
      <c r="J27" s="1120">
        <f>Masterlist!AS501</f>
        <v>2</v>
      </c>
      <c r="K27" s="1120">
        <f>Masterlist!AT501</f>
        <v>0</v>
      </c>
      <c r="L27" s="1120">
        <f>Masterlist!AU501</f>
        <v>3</v>
      </c>
      <c r="M27" s="1120">
        <f>Masterlist!AV501</f>
        <v>2</v>
      </c>
      <c r="N27" s="1120">
        <f>Masterlist!AW501</f>
        <v>3</v>
      </c>
      <c r="O27" s="1120">
        <f>Masterlist!AX501</f>
        <v>1</v>
      </c>
      <c r="P27" s="1120">
        <f>Masterlist!AY501</f>
        <v>0</v>
      </c>
      <c r="Q27" s="191">
        <f t="shared" si="10"/>
        <v>28</v>
      </c>
      <c r="R27" s="305">
        <f>(Q27-(HLOOKUP($D$1,yearendcumulative,412,FALSE)))/(HLOOKUP($D$1,yearendcumulative,412,FALSE))</f>
        <v>-0.22222222222222221</v>
      </c>
      <c r="S27" s="299" t="s">
        <v>206</v>
      </c>
      <c r="T27" s="471"/>
      <c r="U27" s="1"/>
      <c r="V27" s="1"/>
      <c r="W27" s="1"/>
      <c r="X27" s="1"/>
    </row>
    <row r="28" spans="1:24" x14ac:dyDescent="0.35">
      <c r="B28" s="138"/>
      <c r="C28" s="132"/>
      <c r="D28" s="710"/>
      <c r="E28" s="409"/>
      <c r="F28" s="409"/>
      <c r="G28" s="409"/>
      <c r="H28" s="409"/>
      <c r="I28" s="409"/>
      <c r="J28" s="409"/>
      <c r="K28" s="409"/>
      <c r="L28" s="409"/>
      <c r="M28" s="409"/>
      <c r="N28" s="409"/>
      <c r="O28" s="409"/>
      <c r="P28" s="409"/>
      <c r="Q28" s="95"/>
      <c r="R28" s="7"/>
      <c r="S28" s="7"/>
      <c r="T28" s="471"/>
    </row>
    <row r="29" spans="1:24" ht="40.5" customHeight="1" x14ac:dyDescent="0.35">
      <c r="A29" s="1"/>
      <c r="B29" s="393" t="s">
        <v>239</v>
      </c>
      <c r="C29" s="1053" t="s">
        <v>465</v>
      </c>
      <c r="D29" s="392">
        <f>'year end'!AD333</f>
        <v>254</v>
      </c>
      <c r="E29" s="55">
        <f>Masterlist!AN402</f>
        <v>26</v>
      </c>
      <c r="F29" s="55">
        <f>Masterlist!AO402</f>
        <v>20</v>
      </c>
      <c r="G29" s="55">
        <f>Masterlist!AP402</f>
        <v>20</v>
      </c>
      <c r="H29" s="55">
        <f>Masterlist!AQ402</f>
        <v>18</v>
      </c>
      <c r="I29" s="55">
        <f>Masterlist!AR402</f>
        <v>16</v>
      </c>
      <c r="J29" s="55">
        <f>Masterlist!AS402</f>
        <v>18</v>
      </c>
      <c r="K29" s="55">
        <f>Masterlist!AT402</f>
        <v>23</v>
      </c>
      <c r="L29" s="55">
        <f>Masterlist!AU402</f>
        <v>25</v>
      </c>
      <c r="M29" s="55">
        <f>Masterlist!AV402</f>
        <v>15</v>
      </c>
      <c r="N29" s="55">
        <f>Masterlist!AW402</f>
        <v>26</v>
      </c>
      <c r="O29" s="55">
        <f>Masterlist!AX402</f>
        <v>14</v>
      </c>
      <c r="P29" s="1251" t="s">
        <v>210</v>
      </c>
      <c r="Q29" s="1252" t="s">
        <v>210</v>
      </c>
      <c r="R29" s="1253" t="s">
        <v>210</v>
      </c>
      <c r="S29" s="300" t="e">
        <f>(Q29-(HLOOKUP($D$1,Monthlyaveragecumulative,332,FALSE)))/(HLOOKUP($D$1,Monthlyaveragecumulative,332,FALSE))</f>
        <v>#VALUE!</v>
      </c>
      <c r="T29" s="471"/>
      <c r="U29" s="1"/>
      <c r="V29" s="1"/>
      <c r="W29" s="1"/>
      <c r="X29" s="1"/>
    </row>
    <row r="30" spans="1:24" ht="15" customHeight="1" x14ac:dyDescent="0.35">
      <c r="A30" s="1"/>
      <c r="B30" s="206"/>
      <c r="C30" s="26"/>
      <c r="D30" s="472"/>
      <c r="E30" s="51"/>
      <c r="F30" s="51"/>
      <c r="G30" s="51"/>
      <c r="H30" s="51"/>
      <c r="I30" s="51"/>
      <c r="J30" s="51"/>
      <c r="K30" s="51"/>
      <c r="L30" s="51"/>
      <c r="M30" s="51"/>
      <c r="N30" s="51"/>
      <c r="O30" s="51"/>
      <c r="P30" s="51"/>
      <c r="Q30" s="192"/>
      <c r="R30" s="192"/>
      <c r="S30" s="192"/>
      <c r="T30" s="471"/>
      <c r="U30" s="1"/>
      <c r="V30" s="1"/>
      <c r="W30" s="1"/>
      <c r="X30" s="1"/>
    </row>
    <row r="31" spans="1:24" x14ac:dyDescent="0.35">
      <c r="A31" s="1"/>
      <c r="B31" s="1206" t="s">
        <v>133</v>
      </c>
      <c r="C31" s="770" t="s">
        <v>420</v>
      </c>
      <c r="D31" s="761">
        <f>'year end'!AD93</f>
        <v>65</v>
      </c>
      <c r="E31" s="1121">
        <f>Masterlist!AN311</f>
        <v>6</v>
      </c>
      <c r="F31" s="1121">
        <f>Masterlist!AO311</f>
        <v>5</v>
      </c>
      <c r="G31" s="1121">
        <f>Masterlist!AP311</f>
        <v>6</v>
      </c>
      <c r="H31" s="1121">
        <f>Masterlist!AQ311</f>
        <v>1</v>
      </c>
      <c r="I31" s="1121">
        <f>Masterlist!AR311</f>
        <v>11</v>
      </c>
      <c r="J31" s="1121">
        <f>Masterlist!AS311</f>
        <v>9</v>
      </c>
      <c r="K31" s="1121">
        <f>Masterlist!AT311</f>
        <v>4</v>
      </c>
      <c r="L31" s="1121">
        <f>Masterlist!AU311</f>
        <v>4</v>
      </c>
      <c r="M31" s="1121">
        <f>Masterlist!AV311</f>
        <v>3</v>
      </c>
      <c r="N31" s="1121">
        <f>Masterlist!AW311</f>
        <v>4</v>
      </c>
      <c r="O31" s="1121">
        <f>Masterlist!AX311</f>
        <v>4</v>
      </c>
      <c r="P31" s="1121" t="s">
        <v>210</v>
      </c>
      <c r="Q31" s="1081" t="s">
        <v>210</v>
      </c>
      <c r="R31" s="512" t="s">
        <v>210</v>
      </c>
      <c r="S31" s="512" t="s">
        <v>210</v>
      </c>
      <c r="T31" s="471"/>
      <c r="U31" s="1"/>
      <c r="V31" s="1"/>
      <c r="W31" s="1"/>
      <c r="X31" s="1"/>
    </row>
    <row r="32" spans="1:24" x14ac:dyDescent="0.35">
      <c r="A32" s="1"/>
      <c r="B32" s="1207"/>
      <c r="C32" s="121" t="s">
        <v>66</v>
      </c>
      <c r="D32" s="762">
        <f>'year end'!AD94</f>
        <v>9</v>
      </c>
      <c r="E32" s="1122">
        <f>Masterlist!AN312</f>
        <v>0</v>
      </c>
      <c r="F32" s="1122">
        <f>Masterlist!AO312</f>
        <v>0</v>
      </c>
      <c r="G32" s="1122">
        <f>Masterlist!AP312</f>
        <v>0</v>
      </c>
      <c r="H32" s="1122">
        <f>Masterlist!AQ312</f>
        <v>0</v>
      </c>
      <c r="I32" s="1122">
        <f>Masterlist!AR312</f>
        <v>0</v>
      </c>
      <c r="J32" s="1122">
        <f>Masterlist!AS312</f>
        <v>1</v>
      </c>
      <c r="K32" s="1122">
        <f>Masterlist!AT312</f>
        <v>0</v>
      </c>
      <c r="L32" s="1122">
        <f>Masterlist!AU312</f>
        <v>0</v>
      </c>
      <c r="M32" s="1122">
        <f>Masterlist!AV312</f>
        <v>0</v>
      </c>
      <c r="N32" s="1122">
        <f>Masterlist!AW312</f>
        <v>0</v>
      </c>
      <c r="O32" s="1122">
        <f>Masterlist!AX312</f>
        <v>0</v>
      </c>
      <c r="P32" s="1122" t="s">
        <v>210</v>
      </c>
      <c r="Q32" s="473" t="s">
        <v>210</v>
      </c>
      <c r="R32" s="513" t="s">
        <v>210</v>
      </c>
      <c r="S32" s="513" t="s">
        <v>210</v>
      </c>
      <c r="T32" s="471"/>
      <c r="U32" s="1"/>
      <c r="V32" s="1"/>
      <c r="W32" s="1"/>
      <c r="X32" s="1"/>
    </row>
    <row r="33" spans="1:45" x14ac:dyDescent="0.35">
      <c r="A33" s="1"/>
      <c r="B33" s="1208"/>
      <c r="C33" s="209" t="s">
        <v>67</v>
      </c>
      <c r="D33" s="763">
        <f>'year end'!AD95</f>
        <v>56</v>
      </c>
      <c r="E33" s="1123">
        <f>Masterlist!AN313</f>
        <v>6</v>
      </c>
      <c r="F33" s="1123">
        <f>Masterlist!AO313</f>
        <v>5</v>
      </c>
      <c r="G33" s="1123">
        <f>Masterlist!AP313</f>
        <v>6</v>
      </c>
      <c r="H33" s="1123">
        <f>Masterlist!AQ313</f>
        <v>1</v>
      </c>
      <c r="I33" s="1123">
        <f>Masterlist!AR313</f>
        <v>11</v>
      </c>
      <c r="J33" s="1123">
        <f>Masterlist!AS313</f>
        <v>8</v>
      </c>
      <c r="K33" s="1123">
        <f>Masterlist!AT313</f>
        <v>4</v>
      </c>
      <c r="L33" s="1123">
        <f>Masterlist!AU313</f>
        <v>4</v>
      </c>
      <c r="M33" s="1123">
        <f>Masterlist!AV313</f>
        <v>3</v>
      </c>
      <c r="N33" s="1123">
        <f>Masterlist!AW313</f>
        <v>4</v>
      </c>
      <c r="O33" s="1123">
        <f>Masterlist!AX313</f>
        <v>4</v>
      </c>
      <c r="P33" s="1123" t="s">
        <v>210</v>
      </c>
      <c r="Q33" s="474" t="s">
        <v>210</v>
      </c>
      <c r="R33" s="514" t="s">
        <v>210</v>
      </c>
      <c r="S33" s="514" t="s">
        <v>210</v>
      </c>
      <c r="T33" s="471"/>
      <c r="U33" s="1"/>
      <c r="V33" s="1"/>
      <c r="W33" s="1"/>
      <c r="X33" s="1"/>
    </row>
    <row r="34" spans="1:45" ht="16.5" customHeight="1" x14ac:dyDescent="0.35">
      <c r="B34" s="150"/>
      <c r="C34" s="140"/>
      <c r="D34" s="159"/>
      <c r="E34" s="212"/>
      <c r="F34" s="212"/>
      <c r="G34" s="212"/>
      <c r="H34" s="212"/>
      <c r="I34" s="212"/>
      <c r="J34" s="212"/>
      <c r="K34" s="212"/>
      <c r="L34" s="212"/>
      <c r="M34" s="212"/>
      <c r="N34" s="212"/>
      <c r="O34" s="212"/>
      <c r="P34" s="212"/>
      <c r="Q34" s="203"/>
      <c r="R34" s="203"/>
      <c r="S34" s="203"/>
      <c r="T34" s="471"/>
    </row>
    <row r="35" spans="1:45" s="634" customFormat="1" ht="18.75" hidden="1" customHeight="1" x14ac:dyDescent="0.35">
      <c r="A35" s="130"/>
      <c r="B35" s="1030" t="s">
        <v>177</v>
      </c>
      <c r="C35" s="417" t="s">
        <v>197</v>
      </c>
      <c r="D35" s="615">
        <f>SUM(D36:D39)</f>
        <v>699</v>
      </c>
      <c r="E35" s="259">
        <f t="shared" ref="E35" si="11">SUM(E36:E39)</f>
        <v>92</v>
      </c>
      <c r="F35" s="1124">
        <f t="shared" ref="F35" si="12">SUM(F36:F39)</f>
        <v>41</v>
      </c>
      <c r="G35" s="1124">
        <f t="shared" ref="G35:P35" si="13">SUM(G36:G39)</f>
        <v>48</v>
      </c>
      <c r="H35" s="1124">
        <f t="shared" si="13"/>
        <v>44</v>
      </c>
      <c r="I35" s="1124">
        <f t="shared" si="13"/>
        <v>67</v>
      </c>
      <c r="J35" s="1124">
        <f t="shared" si="13"/>
        <v>76</v>
      </c>
      <c r="K35" s="1124">
        <f t="shared" si="13"/>
        <v>70</v>
      </c>
      <c r="L35" s="1124">
        <f t="shared" si="13"/>
        <v>51</v>
      </c>
      <c r="M35" s="1124">
        <f t="shared" si="13"/>
        <v>78</v>
      </c>
      <c r="N35" s="1124">
        <f t="shared" si="13"/>
        <v>58</v>
      </c>
      <c r="O35" s="1124">
        <f t="shared" si="13"/>
        <v>53</v>
      </c>
      <c r="P35" s="1124">
        <f t="shared" si="13"/>
        <v>56</v>
      </c>
      <c r="Q35" s="255">
        <f t="shared" ref="Q35" si="14">SUM(E35:P35)</f>
        <v>734</v>
      </c>
      <c r="R35" s="303">
        <f>(Q35-(HLOOKUP($D$1,yearendcumulative,86,FALSE)))/(HLOOKUP($D$1,yearendcumulative,86,FALSE))</f>
        <v>3.9660056657223795E-2</v>
      </c>
      <c r="S35" s="303">
        <f>(Q35-(HLOOKUP($D$1,Monthlyaveragecumulative,86,FALSE)))/(HLOOKUP($D$1,Monthlyaveragecumulative,86,FALSE))</f>
        <v>-5.2903225806451612E-2</v>
      </c>
      <c r="T35" s="471"/>
      <c r="U35" s="125"/>
      <c r="V35" s="125"/>
      <c r="W35" s="125"/>
      <c r="X35" s="125"/>
      <c r="AN35" s="152"/>
      <c r="AO35" s="152"/>
      <c r="AP35" s="152"/>
      <c r="AQ35" s="152"/>
      <c r="AR35" s="152"/>
      <c r="AS35" s="152"/>
    </row>
    <row r="36" spans="1:45" ht="18.75" customHeight="1" x14ac:dyDescent="0.35">
      <c r="B36" s="1213" t="s">
        <v>177</v>
      </c>
      <c r="C36" s="207" t="s">
        <v>71</v>
      </c>
      <c r="D36" s="1040">
        <f>'year end'!AD79</f>
        <v>201</v>
      </c>
      <c r="E36" s="1041">
        <f>Masterlist!AN74+Masterlist!AN77</f>
        <v>40</v>
      </c>
      <c r="F36" s="625">
        <f>Masterlist!AO74+Masterlist!AO77</f>
        <v>12</v>
      </c>
      <c r="G36" s="625">
        <f>Masterlist!AP74+Masterlist!AP77</f>
        <v>16</v>
      </c>
      <c r="H36" s="625">
        <f>Masterlist!AQ74+Masterlist!AQ77</f>
        <v>16</v>
      </c>
      <c r="I36" s="625">
        <f>Masterlist!AR74+Masterlist!AR77</f>
        <v>21</v>
      </c>
      <c r="J36" s="625">
        <f>Masterlist!AS74+Masterlist!AS77</f>
        <v>32</v>
      </c>
      <c r="K36" s="625">
        <f>Masterlist!AT74+Masterlist!AT77</f>
        <v>29</v>
      </c>
      <c r="L36" s="625">
        <f>Masterlist!AU74+Masterlist!AU77</f>
        <v>13</v>
      </c>
      <c r="M36" s="625">
        <f>Masterlist!AV74+Masterlist!AV77</f>
        <v>30</v>
      </c>
      <c r="N36" s="625">
        <f>Masterlist!AW74+Masterlist!AW77</f>
        <v>15</v>
      </c>
      <c r="O36" s="625">
        <f>Masterlist!AX74+Masterlist!AX77</f>
        <v>15</v>
      </c>
      <c r="P36" s="1176">
        <f>Masterlist!AY74+Masterlist!AY77</f>
        <v>30</v>
      </c>
      <c r="Q36" s="190">
        <f t="shared" ref="Q36:Q37" si="15">SUM(E36:P36)</f>
        <v>269</v>
      </c>
      <c r="R36" s="304">
        <f>(Q36-(HLOOKUP($D$1,yearendcumulative,78,FALSE)))/(HLOOKUP($D$1,yearendcumulative,78,FALSE))</f>
        <v>0.3383084577114428</v>
      </c>
      <c r="S36" s="304">
        <f>(Q36-(HLOOKUP($D$1,Monthlyaveragecumulative,78,FALSE)))/(HLOOKUP($D$1,Monthlyaveragecumulative,78,FALSE))</f>
        <v>0.51977401129943501</v>
      </c>
      <c r="T36" s="471"/>
      <c r="U36" s="1"/>
      <c r="V36" s="1"/>
      <c r="W36" s="1"/>
      <c r="X36" s="1"/>
      <c r="AN36" s="152"/>
      <c r="AO36" s="152"/>
      <c r="AP36" s="152"/>
      <c r="AQ36" s="152"/>
      <c r="AR36" s="152"/>
      <c r="AS36" s="152"/>
    </row>
    <row r="37" spans="1:45" ht="14.25" customHeight="1" x14ac:dyDescent="0.35">
      <c r="B37" s="1214"/>
      <c r="C37" s="207" t="s">
        <v>72</v>
      </c>
      <c r="D37" s="711">
        <f>'year end'!AD77</f>
        <v>310</v>
      </c>
      <c r="E37" s="260">
        <f>Masterlist!AN76</f>
        <v>30</v>
      </c>
      <c r="F37" s="620">
        <f>Masterlist!AO76</f>
        <v>23</v>
      </c>
      <c r="G37" s="620">
        <f>Masterlist!AP76</f>
        <v>21</v>
      </c>
      <c r="H37" s="620">
        <f>Masterlist!AQ76</f>
        <v>19</v>
      </c>
      <c r="I37" s="620">
        <f>Masterlist!AR76</f>
        <v>18</v>
      </c>
      <c r="J37" s="620">
        <f>Masterlist!AS76</f>
        <v>20</v>
      </c>
      <c r="K37" s="620">
        <f>Masterlist!AT76</f>
        <v>25</v>
      </c>
      <c r="L37" s="620">
        <f>Masterlist!AU76</f>
        <v>23</v>
      </c>
      <c r="M37" s="620">
        <f>Masterlist!AV76</f>
        <v>28</v>
      </c>
      <c r="N37" s="620">
        <f>Masterlist!AW76</f>
        <v>27</v>
      </c>
      <c r="O37" s="620">
        <f>Masterlist!AX76</f>
        <v>25</v>
      </c>
      <c r="P37" s="620">
        <f>Masterlist!AY76</f>
        <v>21</v>
      </c>
      <c r="Q37" s="190">
        <f t="shared" si="15"/>
        <v>280</v>
      </c>
      <c r="R37" s="304">
        <f>(Q37-(HLOOKUP($D$1,yearendcumulative,76,FALSE)))/(HLOOKUP($D$1,yearendcumulative,76,FALSE))</f>
        <v>-9.6774193548387094E-2</v>
      </c>
      <c r="S37" s="304">
        <f>(Q37-(HLOOKUP($D$1,Monthlyaveragecumulative,76,FALSE)))/(HLOOKUP($D$1,Monthlyaveragecumulative,76,FALSE))</f>
        <v>-0.20227920227920229</v>
      </c>
      <c r="T37" s="471"/>
      <c r="U37" s="1"/>
      <c r="V37" s="1"/>
      <c r="W37" s="1"/>
      <c r="X37" s="1"/>
      <c r="AN37" s="152"/>
      <c r="AO37" s="152"/>
      <c r="AP37" s="152"/>
      <c r="AQ37" s="152"/>
      <c r="AR37" s="152"/>
      <c r="AS37" s="152"/>
    </row>
    <row r="38" spans="1:45" x14ac:dyDescent="0.35">
      <c r="B38" s="1214"/>
      <c r="C38" s="744" t="s">
        <v>470</v>
      </c>
      <c r="D38" s="711">
        <f>'year end'!AD86</f>
        <v>151</v>
      </c>
      <c r="E38" s="260">
        <f>Masterlist!AN87</f>
        <v>18</v>
      </c>
      <c r="F38" s="620">
        <f>Masterlist!AO87</f>
        <v>5</v>
      </c>
      <c r="G38" s="620">
        <f>Masterlist!AP87</f>
        <v>7</v>
      </c>
      <c r="H38" s="620">
        <f>Masterlist!AQ87</f>
        <v>8</v>
      </c>
      <c r="I38" s="620">
        <f>Masterlist!AR87</f>
        <v>25</v>
      </c>
      <c r="J38" s="620">
        <f>Masterlist!AS87</f>
        <v>20</v>
      </c>
      <c r="K38" s="620">
        <f>Masterlist!AT87</f>
        <v>12</v>
      </c>
      <c r="L38" s="620">
        <f>Masterlist!AU87</f>
        <v>9</v>
      </c>
      <c r="M38" s="620">
        <f>Masterlist!AV87</f>
        <v>20</v>
      </c>
      <c r="N38" s="620">
        <f>Masterlist!AW87</f>
        <v>13</v>
      </c>
      <c r="O38" s="620">
        <f>Masterlist!AX87</f>
        <v>11</v>
      </c>
      <c r="P38" s="1177">
        <f>Masterlist!AY87</f>
        <v>4</v>
      </c>
      <c r="Q38" s="1034">
        <f>SUM(E38:P38)</f>
        <v>152</v>
      </c>
      <c r="R38" s="304">
        <f>(Q38-(HLOOKUP($D$1,yearendcumulative,85,FALSE)))/(HLOOKUP($D$1,yearendcumulative,85,FALSE))</f>
        <v>6.6225165562913907E-3</v>
      </c>
      <c r="S38" s="304">
        <f>(Q38-(HLOOKUP($D$1,Monthlyaveragecumulative,57,FALSE)))/(HLOOKUP($D$1,Monthlyaveragecumulative,57,FALSE))</f>
        <v>-0.56321839080459768</v>
      </c>
      <c r="T38" s="471"/>
      <c r="U38" s="1"/>
      <c r="V38" s="1"/>
      <c r="W38" s="1"/>
      <c r="X38" s="1"/>
      <c r="AN38" s="152"/>
      <c r="AO38" s="152"/>
      <c r="AP38" s="152"/>
      <c r="AQ38" s="152"/>
      <c r="AR38" s="152"/>
      <c r="AS38" s="152"/>
    </row>
    <row r="39" spans="1:45" x14ac:dyDescent="0.35">
      <c r="B39" s="1214"/>
      <c r="C39" s="207" t="s">
        <v>37</v>
      </c>
      <c r="D39" s="713">
        <f>'year end'!AD57</f>
        <v>37</v>
      </c>
      <c r="E39" s="261">
        <f>Masterlist!AN54</f>
        <v>4</v>
      </c>
      <c r="F39" s="408">
        <f>Masterlist!AO54</f>
        <v>1</v>
      </c>
      <c r="G39" s="408">
        <f>Masterlist!AP54</f>
        <v>4</v>
      </c>
      <c r="H39" s="408">
        <f>Masterlist!AQ54</f>
        <v>1</v>
      </c>
      <c r="I39" s="408">
        <f>Masterlist!AR54</f>
        <v>3</v>
      </c>
      <c r="J39" s="408">
        <f>Masterlist!AS54</f>
        <v>4</v>
      </c>
      <c r="K39" s="408">
        <f>Masterlist!AT54</f>
        <v>4</v>
      </c>
      <c r="L39" s="408">
        <f>Masterlist!AU54</f>
        <v>6</v>
      </c>
      <c r="M39" s="408">
        <f>Masterlist!AV54</f>
        <v>0</v>
      </c>
      <c r="N39" s="408">
        <f>Masterlist!AW54</f>
        <v>3</v>
      </c>
      <c r="O39" s="408">
        <f>Masterlist!AX54</f>
        <v>2</v>
      </c>
      <c r="P39" s="1178">
        <f>Masterlist!AY54</f>
        <v>1</v>
      </c>
      <c r="Q39" s="1039">
        <f t="shared" ref="Q39" si="16">SUM(E39:P39)</f>
        <v>33</v>
      </c>
      <c r="R39" s="304">
        <f>(Q39-(HLOOKUP($D$1,yearendcumulative,56,FALSE)))/(HLOOKUP($D$1,yearendcumulative,56,FALSE))</f>
        <v>-0.10810810810810811</v>
      </c>
      <c r="S39" s="305">
        <f>(Q39-(HLOOKUP($D$1,Monthlyaveragecumulative,56,FALSE)))/(HLOOKUP($D$1,Monthlyaveragecumulative,56,FALSE))</f>
        <v>-0.10810810810810811</v>
      </c>
      <c r="T39" s="471"/>
      <c r="U39" s="1"/>
      <c r="V39" s="1"/>
      <c r="W39" s="1"/>
      <c r="X39" s="1"/>
      <c r="AN39" s="152"/>
      <c r="AO39" s="152"/>
      <c r="AP39" s="152"/>
      <c r="AQ39" s="152"/>
      <c r="AR39" s="152"/>
      <c r="AS39" s="152"/>
    </row>
    <row r="40" spans="1:45" ht="14.25" customHeight="1" x14ac:dyDescent="0.35">
      <c r="B40" s="151"/>
      <c r="C40" s="208"/>
      <c r="D40" s="618"/>
      <c r="E40" s="410"/>
      <c r="F40" s="410"/>
      <c r="G40" s="410"/>
      <c r="H40" s="410"/>
      <c r="I40" s="410"/>
      <c r="J40" s="410"/>
      <c r="K40" s="410"/>
      <c r="L40" s="410"/>
      <c r="M40" s="410"/>
      <c r="N40" s="410"/>
      <c r="O40" s="410"/>
      <c r="P40" s="410"/>
      <c r="Q40" s="410"/>
      <c r="R40" s="471"/>
      <c r="S40" s="471"/>
      <c r="T40" s="471"/>
      <c r="AN40" s="152"/>
      <c r="AO40" s="152"/>
      <c r="AP40" s="152"/>
      <c r="AQ40" s="152"/>
      <c r="AR40" s="152"/>
      <c r="AS40" s="152"/>
    </row>
    <row r="41" spans="1:45" x14ac:dyDescent="0.35">
      <c r="A41" s="1"/>
      <c r="B41" s="1209" t="s">
        <v>422</v>
      </c>
      <c r="C41" s="987" t="s">
        <v>359</v>
      </c>
      <c r="D41" s="945">
        <f>'year end'!AD81</f>
        <v>77</v>
      </c>
      <c r="E41" s="48">
        <f>Masterlist!AN80</f>
        <v>7</v>
      </c>
      <c r="F41" s="98">
        <f>Masterlist!AO80</f>
        <v>11</v>
      </c>
      <c r="G41" s="98">
        <f>Masterlist!AP80</f>
        <v>5</v>
      </c>
      <c r="H41" s="98">
        <f>Masterlist!AQ80</f>
        <v>4</v>
      </c>
      <c r="I41" s="98">
        <f>Masterlist!AR80</f>
        <v>9</v>
      </c>
      <c r="J41" s="98">
        <f>Masterlist!AS80</f>
        <v>7</v>
      </c>
      <c r="K41" s="98">
        <f>Masterlist!AT80</f>
        <v>7</v>
      </c>
      <c r="L41" s="98">
        <f>Masterlist!AU80</f>
        <v>5</v>
      </c>
      <c r="M41" s="98">
        <f>Masterlist!AV80</f>
        <v>4</v>
      </c>
      <c r="N41" s="98">
        <f>Masterlist!AW80</f>
        <v>11</v>
      </c>
      <c r="O41" s="98">
        <f>Masterlist!AX80</f>
        <v>5</v>
      </c>
      <c r="P41" s="98">
        <f>Masterlist!AY80</f>
        <v>4</v>
      </c>
      <c r="Q41" s="48">
        <f t="shared" ref="Q41" si="17">SUM(E41:P41)</f>
        <v>79</v>
      </c>
      <c r="R41" s="297">
        <f>(Q41-(HLOOKUP($D$1,yearendcumulative,80,FALSE)))/(HLOOKUP($D$1,yearendcumulative,80,FALSE))</f>
        <v>2.5974025974025976E-2</v>
      </c>
      <c r="S41" s="294">
        <f>(Q41-(HLOOKUP($D$1,Monthlyaveragecumulative,80,FALSE)))/(HLOOKUP($D$1,Monthlyaveragecumulative,80,FALSE))</f>
        <v>0.11267605633802817</v>
      </c>
      <c r="T41" s="510"/>
      <c r="U41" s="1"/>
      <c r="V41" s="1"/>
      <c r="W41" s="1"/>
      <c r="X41" s="1"/>
    </row>
    <row r="42" spans="1:45" ht="11.25" customHeight="1" x14ac:dyDescent="0.35">
      <c r="A42" s="1"/>
      <c r="B42" s="1210"/>
      <c r="C42" s="987" t="s">
        <v>360</v>
      </c>
      <c r="D42" s="946">
        <f>'year end'!AD82</f>
        <v>1129</v>
      </c>
      <c r="E42" s="49">
        <f>Masterlist!AN81</f>
        <v>91</v>
      </c>
      <c r="F42" s="97">
        <f>Masterlist!AO81</f>
        <v>64</v>
      </c>
      <c r="G42" s="97">
        <f>Masterlist!AP81</f>
        <v>95</v>
      </c>
      <c r="H42" s="97">
        <f>Masterlist!AQ81</f>
        <v>102</v>
      </c>
      <c r="I42" s="97">
        <f>Masterlist!AR81</f>
        <v>101</v>
      </c>
      <c r="J42" s="97">
        <f>Masterlist!AS81</f>
        <v>86</v>
      </c>
      <c r="K42" s="97">
        <f>Masterlist!AT81</f>
        <v>75</v>
      </c>
      <c r="L42" s="97">
        <f>Masterlist!AU81</f>
        <v>95</v>
      </c>
      <c r="M42" s="97">
        <f>Masterlist!AV81</f>
        <v>102</v>
      </c>
      <c r="N42" s="97">
        <f>Masterlist!AW81</f>
        <v>92</v>
      </c>
      <c r="O42" s="97">
        <f>Masterlist!AX81</f>
        <v>80</v>
      </c>
      <c r="P42" s="97">
        <f>Masterlist!AY81</f>
        <v>129</v>
      </c>
      <c r="Q42" s="49">
        <f t="shared" ref="Q42:Q45" si="18">SUM(E42:P42)</f>
        <v>1112</v>
      </c>
      <c r="R42" s="298">
        <f>(Q42-(HLOOKUP($D$1,yearendcumulative,81,FALSE)))/(HLOOKUP($D$1,yearendcumulative,81,FALSE))</f>
        <v>-1.5057573073516387E-2</v>
      </c>
      <c r="S42" s="294">
        <f>(Q42-(HLOOKUP($D$1,Monthlyaveragecumulative,81,FALSE)))/(HLOOKUP($D$1,Monthlyaveragecumulative,81,FALSE))</f>
        <v>-3.1358885017421602E-2</v>
      </c>
      <c r="T42" s="510"/>
      <c r="U42" s="1"/>
      <c r="V42" s="1"/>
      <c r="W42" s="1"/>
      <c r="X42" s="1"/>
    </row>
    <row r="43" spans="1:45" ht="11.25" customHeight="1" x14ac:dyDescent="0.35">
      <c r="A43" s="1"/>
      <c r="B43" s="1210"/>
      <c r="C43" s="987" t="s">
        <v>361</v>
      </c>
      <c r="D43" s="946">
        <f>'year end'!AD84</f>
        <v>8</v>
      </c>
      <c r="E43" s="49">
        <f>Masterlist!AN83</f>
        <v>2</v>
      </c>
      <c r="F43" s="97">
        <f>Masterlist!AO83</f>
        <v>0</v>
      </c>
      <c r="G43" s="97">
        <f>Masterlist!AP83</f>
        <v>1</v>
      </c>
      <c r="H43" s="97">
        <f>Masterlist!AQ83</f>
        <v>0</v>
      </c>
      <c r="I43" s="97">
        <f>Masterlist!AR83</f>
        <v>1</v>
      </c>
      <c r="J43" s="97">
        <f>Masterlist!AS83</f>
        <v>2</v>
      </c>
      <c r="K43" s="97">
        <f>Masterlist!AT83</f>
        <v>3</v>
      </c>
      <c r="L43" s="97">
        <f>Masterlist!AU83</f>
        <v>0</v>
      </c>
      <c r="M43" s="97">
        <f>Masterlist!AV83</f>
        <v>0</v>
      </c>
      <c r="N43" s="97">
        <f>Masterlist!AW83</f>
        <v>1</v>
      </c>
      <c r="O43" s="97">
        <f>Masterlist!AX83</f>
        <v>2</v>
      </c>
      <c r="P43" s="97">
        <f>Masterlist!AY83</f>
        <v>3</v>
      </c>
      <c r="Q43" s="49">
        <f t="shared" si="18"/>
        <v>15</v>
      </c>
      <c r="R43" s="298">
        <f>(Q43-(HLOOKUP($D$1,yearendcumulative,83,FALSE)))/(HLOOKUP($D$1,yearendcumulative,83,FALSE))</f>
        <v>0.875</v>
      </c>
      <c r="S43" s="295">
        <f>(Q43-(HLOOKUP($D$1,Monthlyaveragecumulative,82,FALSE)))/(HLOOKUP($D$1,Monthlyaveragecumulative,82,FALSE))</f>
        <v>-0.96913580246913578</v>
      </c>
      <c r="T43" s="510"/>
      <c r="U43" s="1"/>
      <c r="V43" s="1"/>
      <c r="W43" s="1"/>
      <c r="X43" s="1"/>
    </row>
    <row r="44" spans="1:45" hidden="1" x14ac:dyDescent="0.35">
      <c r="A44" s="1"/>
      <c r="B44" s="1210"/>
      <c r="C44" s="987" t="s">
        <v>368</v>
      </c>
      <c r="D44" s="946">
        <f>'year end'!AD421</f>
        <v>0</v>
      </c>
      <c r="E44" s="204">
        <f>Masterlist!AN510</f>
        <v>0</v>
      </c>
      <c r="F44" s="1122">
        <f>Masterlist!AO510</f>
        <v>0</v>
      </c>
      <c r="G44" s="1122">
        <f>Masterlist!AP510</f>
        <v>0</v>
      </c>
      <c r="H44" s="1122">
        <f>Masterlist!AQ510</f>
        <v>0</v>
      </c>
      <c r="I44" s="1122">
        <f>Masterlist!AR510</f>
        <v>0</v>
      </c>
      <c r="J44" s="1122">
        <f>Masterlist!AS510</f>
        <v>0</v>
      </c>
      <c r="K44" s="1122">
        <f>Masterlist!AT510</f>
        <v>0</v>
      </c>
      <c r="L44" s="1122">
        <f>Masterlist!AU510</f>
        <v>0</v>
      </c>
      <c r="M44" s="1122">
        <f>Masterlist!AV510</f>
        <v>0</v>
      </c>
      <c r="N44" s="1122">
        <f>Masterlist!AW510</f>
        <v>0</v>
      </c>
      <c r="O44" s="1122">
        <f>Masterlist!AX510</f>
        <v>0</v>
      </c>
      <c r="P44" s="1122">
        <f>Masterlist!AY510</f>
        <v>0</v>
      </c>
      <c r="Q44" s="49">
        <f t="shared" si="18"/>
        <v>0</v>
      </c>
      <c r="R44" s="298">
        <f>(Q44-(HLOOKUP($D$1,yearendcumulative,83,FALSE)))/(HLOOKUP($D$1,yearendcumulative,83,FALSE))</f>
        <v>-1</v>
      </c>
      <c r="S44" s="295">
        <f>(Q44-(HLOOKUP($D$1,Monthlyaveragecumulative,83,FALSE)))/(HLOOKUP($D$1,Monthlyaveragecumulative,83,FALSE))</f>
        <v>-1</v>
      </c>
      <c r="T44" s="510"/>
      <c r="U44" s="1"/>
      <c r="V44" s="1"/>
      <c r="W44" s="1"/>
      <c r="X44" s="1"/>
    </row>
    <row r="45" spans="1:45" x14ac:dyDescent="0.35">
      <c r="A45" s="1"/>
      <c r="B45" s="1210"/>
      <c r="C45" s="987" t="s">
        <v>367</v>
      </c>
      <c r="D45" s="771">
        <f>'year end'!AD429</f>
        <v>0</v>
      </c>
      <c r="E45" s="205">
        <f>Masterlist!AN519</f>
        <v>0</v>
      </c>
      <c r="F45" s="1123">
        <f>Masterlist!AO519</f>
        <v>0</v>
      </c>
      <c r="G45" s="1123">
        <f>Masterlist!AP519</f>
        <v>0</v>
      </c>
      <c r="H45" s="1123">
        <f>Masterlist!AQ519</f>
        <v>0</v>
      </c>
      <c r="I45" s="1123">
        <f>Masterlist!AR519</f>
        <v>0</v>
      </c>
      <c r="J45" s="1123">
        <f>Masterlist!AS519</f>
        <v>0</v>
      </c>
      <c r="K45" s="1123">
        <f>Masterlist!AT519</f>
        <v>0</v>
      </c>
      <c r="L45" s="1123">
        <f>Masterlist!AU519</f>
        <v>0</v>
      </c>
      <c r="M45" s="1123">
        <f>Masterlist!AV519</f>
        <v>0</v>
      </c>
      <c r="N45" s="1123">
        <f>Masterlist!AW519</f>
        <v>0</v>
      </c>
      <c r="O45" s="1123">
        <f>Masterlist!AX519</f>
        <v>0</v>
      </c>
      <c r="P45" s="1123">
        <f>Masterlist!AY519</f>
        <v>0</v>
      </c>
      <c r="Q45" s="241">
        <f t="shared" si="18"/>
        <v>0</v>
      </c>
      <c r="R45" s="860">
        <v>0</v>
      </c>
      <c r="S45" s="299">
        <f>(Q45-(HLOOKUP($D$1,Monthlyaveragecumulative,461,FALSE)))/(HLOOKUP($D$1,Monthlyaveragecumulative,461,FALSE))</f>
        <v>-1</v>
      </c>
      <c r="T45" s="510"/>
      <c r="U45" s="1"/>
      <c r="V45" s="1"/>
      <c r="W45" s="1"/>
      <c r="X45" s="1"/>
    </row>
    <row r="46" spans="1:45" ht="11.25" customHeight="1" x14ac:dyDescent="0.35">
      <c r="B46" s="151"/>
      <c r="C46" s="208"/>
      <c r="D46" s="618"/>
      <c r="E46" s="410"/>
      <c r="F46" s="410"/>
      <c r="G46" s="410"/>
      <c r="H46" s="410"/>
      <c r="I46" s="410"/>
      <c r="J46" s="410"/>
      <c r="K46" s="410"/>
      <c r="L46" s="410"/>
      <c r="M46" s="410"/>
      <c r="N46" s="410"/>
      <c r="O46" s="410"/>
      <c r="P46" s="410"/>
      <c r="Q46" s="410"/>
      <c r="R46" s="471"/>
      <c r="S46" s="471"/>
      <c r="T46" s="603"/>
      <c r="AN46" s="152"/>
      <c r="AO46" s="152"/>
      <c r="AP46" s="152"/>
      <c r="AQ46" s="152"/>
      <c r="AR46" s="152"/>
      <c r="AS46" s="152"/>
    </row>
    <row r="47" spans="1:45" ht="11.25" customHeight="1" x14ac:dyDescent="0.35">
      <c r="A47" s="1"/>
      <c r="B47" s="1211" t="s">
        <v>241</v>
      </c>
      <c r="C47" s="773" t="s">
        <v>64</v>
      </c>
      <c r="D47" s="245">
        <f>'year end'!AD88</f>
        <v>919</v>
      </c>
      <c r="E47" s="98">
        <f>Masterlist!AN355</f>
        <v>95</v>
      </c>
      <c r="F47" s="98">
        <f>Masterlist!AO355</f>
        <v>89</v>
      </c>
      <c r="G47" s="98">
        <f>Masterlist!AP355</f>
        <v>91</v>
      </c>
      <c r="H47" s="98">
        <f>Masterlist!AQ355</f>
        <v>101</v>
      </c>
      <c r="I47" s="98">
        <f>Masterlist!AR355</f>
        <v>77</v>
      </c>
      <c r="J47" s="98">
        <f>Masterlist!AS355</f>
        <v>50</v>
      </c>
      <c r="K47" s="98">
        <f>Masterlist!AT355</f>
        <v>92</v>
      </c>
      <c r="L47" s="98">
        <f>Masterlist!AU355</f>
        <v>74</v>
      </c>
      <c r="M47" s="98">
        <f>Masterlist!AV355</f>
        <v>53</v>
      </c>
      <c r="N47" s="98">
        <f>Masterlist!AW355</f>
        <v>55</v>
      </c>
      <c r="O47" s="98">
        <f>Masterlist!AX355</f>
        <v>58</v>
      </c>
      <c r="P47" s="98">
        <f>Masterlist!AY355</f>
        <v>89</v>
      </c>
      <c r="Q47" s="48">
        <f t="shared" ref="Q47:Q51" si="19">SUM(E47:P47)</f>
        <v>924</v>
      </c>
      <c r="R47" s="303">
        <f>(Q47-(HLOOKUP($D$1,yearendcumulative,87,FALSE)))/(HLOOKUP($D$1,yearendcumulative,87,FALSE))</f>
        <v>5.4406964091403701E-3</v>
      </c>
      <c r="S47" s="303">
        <f>(Q47-(HLOOKUP($D$1,Monthlyaveragecumulative,87,FALSE)))/(HLOOKUP($D$1,Monthlyaveragecumulative,87,FALSE))</f>
        <v>-0.44504504504504505</v>
      </c>
      <c r="T47" s="510"/>
      <c r="U47" s="1"/>
      <c r="V47" s="1"/>
      <c r="W47" s="1"/>
      <c r="X47" s="1"/>
    </row>
    <row r="48" spans="1:45" x14ac:dyDescent="0.35">
      <c r="A48" s="1"/>
      <c r="B48" s="1212"/>
      <c r="C48" s="229" t="s">
        <v>11</v>
      </c>
      <c r="D48" s="106">
        <f>'year end'!AD89</f>
        <v>211</v>
      </c>
      <c r="E48" s="30">
        <f>Masterlist!AN356</f>
        <v>31</v>
      </c>
      <c r="F48" s="30">
        <f>Masterlist!AO356</f>
        <v>23</v>
      </c>
      <c r="G48" s="30">
        <f>Masterlist!AP356</f>
        <v>35</v>
      </c>
      <c r="H48" s="30">
        <f>Masterlist!AQ356</f>
        <v>29</v>
      </c>
      <c r="I48" s="30">
        <f>Masterlist!AR356</f>
        <v>22</v>
      </c>
      <c r="J48" s="30">
        <f>Masterlist!AS356</f>
        <v>14</v>
      </c>
      <c r="K48" s="30">
        <f>Masterlist!AT356</f>
        <v>36</v>
      </c>
      <c r="L48" s="30">
        <f>Masterlist!AU356</f>
        <v>26</v>
      </c>
      <c r="M48" s="30">
        <f>Masterlist!AV356</f>
        <v>17</v>
      </c>
      <c r="N48" s="30">
        <f>Masterlist!AW356</f>
        <v>15</v>
      </c>
      <c r="O48" s="30">
        <f>Masterlist!AX356</f>
        <v>17</v>
      </c>
      <c r="P48" s="30">
        <f>Masterlist!AY356</f>
        <v>28</v>
      </c>
      <c r="Q48" s="49">
        <f t="shared" si="19"/>
        <v>293</v>
      </c>
      <c r="R48" s="304">
        <f>(Q48-(HLOOKUP($D$1,yearendcumulative,88,FALSE)))/(HLOOKUP($D$1,yearendcumulative,88,FALSE))</f>
        <v>0.38862559241706163</v>
      </c>
      <c r="S48" s="304">
        <f>(Q48-(HLOOKUP($D$1,Monthlyaveragecumulative,88,FALSE)))/(HLOOKUP($D$1,Monthlyaveragecumulative,88,FALSE))</f>
        <v>0.16733067729083664</v>
      </c>
      <c r="T48" s="510"/>
      <c r="U48" s="1"/>
      <c r="V48" s="1"/>
      <c r="W48" s="1"/>
      <c r="X48" s="1"/>
    </row>
    <row r="49" spans="1:45" x14ac:dyDescent="0.35">
      <c r="A49" s="1"/>
      <c r="B49" s="1212"/>
      <c r="C49" s="229" t="s">
        <v>12</v>
      </c>
      <c r="D49" s="106">
        <f>'year end'!AD90</f>
        <v>619</v>
      </c>
      <c r="E49" s="30">
        <f>Masterlist!AN357</f>
        <v>56</v>
      </c>
      <c r="F49" s="30">
        <f>Masterlist!AO357</f>
        <v>59</v>
      </c>
      <c r="G49" s="30">
        <f>Masterlist!AP357</f>
        <v>43</v>
      </c>
      <c r="H49" s="30">
        <f>Masterlist!AQ357</f>
        <v>61</v>
      </c>
      <c r="I49" s="30">
        <f>Masterlist!AR357</f>
        <v>44</v>
      </c>
      <c r="J49" s="30">
        <f>Masterlist!AS357</f>
        <v>33</v>
      </c>
      <c r="K49" s="30">
        <f>Masterlist!AT357</f>
        <v>51</v>
      </c>
      <c r="L49" s="30">
        <f>Masterlist!AU357</f>
        <v>42</v>
      </c>
      <c r="M49" s="30">
        <f>Masterlist!AV357</f>
        <v>29</v>
      </c>
      <c r="N49" s="30">
        <f>Masterlist!AW357</f>
        <v>35</v>
      </c>
      <c r="O49" s="30">
        <f>Masterlist!AX357</f>
        <v>33</v>
      </c>
      <c r="P49" s="30">
        <f>Masterlist!AY357</f>
        <v>52</v>
      </c>
      <c r="Q49" s="49">
        <f t="shared" si="19"/>
        <v>538</v>
      </c>
      <c r="R49" s="304">
        <f>(Q49-(HLOOKUP($D$1,yearendcumulative,89,FALSE)))/(HLOOKUP($D$1,yearendcumulative,89,FALSE))</f>
        <v>-0.13085621970920841</v>
      </c>
      <c r="S49" s="304">
        <f>(Q49-(HLOOKUP($D$1,Monthlyaveragecumulative,89,FALSE)))/(HLOOKUP($D$1,Monthlyaveragecumulative,89,FALSE))</f>
        <v>-0.53700516351118766</v>
      </c>
      <c r="T49" s="510"/>
      <c r="U49" s="1"/>
      <c r="V49" s="1"/>
      <c r="W49" s="1"/>
      <c r="X49" s="1"/>
    </row>
    <row r="50" spans="1:45" x14ac:dyDescent="0.35">
      <c r="A50" s="1"/>
      <c r="B50" s="1212"/>
      <c r="C50" s="290" t="s">
        <v>13</v>
      </c>
      <c r="D50" s="247">
        <f>'year end'!AD91</f>
        <v>89</v>
      </c>
      <c r="E50" s="30">
        <f>Masterlist!AN358</f>
        <v>8</v>
      </c>
      <c r="F50" s="1062">
        <f>Masterlist!AO358</f>
        <v>7</v>
      </c>
      <c r="G50" s="30">
        <f>Masterlist!AP358</f>
        <v>13</v>
      </c>
      <c r="H50" s="30">
        <f>Masterlist!AQ358</f>
        <v>11</v>
      </c>
      <c r="I50" s="30">
        <f>Masterlist!AR358</f>
        <v>11</v>
      </c>
      <c r="J50" s="30">
        <f>Masterlist!AS358</f>
        <v>3</v>
      </c>
      <c r="K50" s="30">
        <f>Masterlist!AT358</f>
        <v>5</v>
      </c>
      <c r="L50" s="30">
        <f>Masterlist!AU358</f>
        <v>6</v>
      </c>
      <c r="M50" s="30">
        <f>Masterlist!AV358</f>
        <v>7</v>
      </c>
      <c r="N50" s="30">
        <f>Masterlist!AW358</f>
        <v>5</v>
      </c>
      <c r="O50" s="30">
        <f>Masterlist!AX358</f>
        <v>8</v>
      </c>
      <c r="P50" s="30">
        <f>Masterlist!AY358</f>
        <v>9</v>
      </c>
      <c r="Q50" s="49">
        <f t="shared" si="19"/>
        <v>93</v>
      </c>
      <c r="R50" s="305">
        <f>(Q50-(HLOOKUP($D$1,yearendcumulative,90,FALSE)))/(HLOOKUP($D$1,yearendcumulative,90,FALSE))</f>
        <v>4.49438202247191E-2</v>
      </c>
      <c r="S50" s="305">
        <f>(Q50-(HLOOKUP($D$1,Monthlyaveragecumulative,90,FALSE)))/(HLOOKUP($D$1,Monthlyaveragecumulative,90,FALSE))</f>
        <v>-0.6324110671936759</v>
      </c>
      <c r="T50" s="510"/>
      <c r="U50" s="1"/>
      <c r="V50" s="1"/>
      <c r="W50" s="1"/>
      <c r="X50" s="1"/>
    </row>
    <row r="51" spans="1:45" hidden="1" x14ac:dyDescent="0.35">
      <c r="A51" s="1"/>
      <c r="B51" s="1212"/>
      <c r="C51" s="266" t="s">
        <v>257</v>
      </c>
      <c r="D51" s="262">
        <f>'year end'!AD92</f>
        <v>22</v>
      </c>
      <c r="E51" s="53" t="s">
        <v>210</v>
      </c>
      <c r="F51" s="30">
        <f>Masterlist!AO423</f>
        <v>0</v>
      </c>
      <c r="G51" s="53">
        <f>Masterlist!AP423</f>
        <v>0</v>
      </c>
      <c r="H51" s="53">
        <f>Masterlist!AQ423</f>
        <v>0</v>
      </c>
      <c r="I51" s="53">
        <f>Masterlist!AR423</f>
        <v>0</v>
      </c>
      <c r="J51" s="53">
        <f>Masterlist!AS423</f>
        <v>0</v>
      </c>
      <c r="K51" s="53">
        <f>Masterlist!AT423</f>
        <v>0</v>
      </c>
      <c r="L51" s="53">
        <f>Masterlist!AU423</f>
        <v>0</v>
      </c>
      <c r="M51" s="53">
        <f>Masterlist!AV423</f>
        <v>0</v>
      </c>
      <c r="N51" s="53">
        <f>Masterlist!AW423</f>
        <v>0</v>
      </c>
      <c r="O51" s="53">
        <f>Masterlist!AX423</f>
        <v>0</v>
      </c>
      <c r="P51" s="53">
        <f>Masterlist!AY423</f>
        <v>0</v>
      </c>
      <c r="Q51" s="241">
        <f t="shared" si="19"/>
        <v>0</v>
      </c>
      <c r="R51" s="305">
        <f>(Q51-(HLOOKUP($D$1,yearendcumulative,90,FALSE)))/(HLOOKUP($D$1,yearendcumulative,90,FALSE))</f>
        <v>-1</v>
      </c>
      <c r="S51" s="305">
        <f>(Q51-(HLOOKUP($D$1,Monthlyaveragecumulative,91,FALSE)))/(HLOOKUP($D$1,Monthlyaveragecumulative,91,FALSE))</f>
        <v>-1</v>
      </c>
      <c r="T51" s="510"/>
      <c r="U51" s="1"/>
      <c r="V51" s="1"/>
      <c r="W51" s="1"/>
      <c r="X51" s="1"/>
    </row>
    <row r="52" spans="1:45" ht="15" customHeight="1" x14ac:dyDescent="0.35">
      <c r="A52" s="1"/>
      <c r="B52" s="1211"/>
      <c r="C52" s="265" t="s">
        <v>385</v>
      </c>
      <c r="D52" s="262">
        <f>'year end'!AD92</f>
        <v>22</v>
      </c>
      <c r="E52" s="610">
        <f>Masterlist!AN336</f>
        <v>3</v>
      </c>
      <c r="F52" s="1138">
        <f>Masterlist!AO336</f>
        <v>3</v>
      </c>
      <c r="G52" s="1154">
        <f>Masterlist!AP336</f>
        <v>4</v>
      </c>
      <c r="H52" s="1154">
        <f>Masterlist!AQ336</f>
        <v>2</v>
      </c>
      <c r="I52" s="1154">
        <f>Masterlist!AR336</f>
        <v>6</v>
      </c>
      <c r="J52" s="1164">
        <f>Masterlist!AS336</f>
        <v>1</v>
      </c>
      <c r="K52" s="1164">
        <f>Masterlist!AT336</f>
        <v>5</v>
      </c>
      <c r="L52" s="1164">
        <f>Masterlist!AU336</f>
        <v>3</v>
      </c>
      <c r="M52" s="1164">
        <f>Masterlist!AV336</f>
        <v>0</v>
      </c>
      <c r="N52" s="1164">
        <f>Masterlist!AW336</f>
        <v>0</v>
      </c>
      <c r="O52" s="1164">
        <f>Masterlist!AX336</f>
        <v>0</v>
      </c>
      <c r="P52" s="1164">
        <f>Masterlist!AY336</f>
        <v>2</v>
      </c>
      <c r="Q52" s="437">
        <f>SUM(E52:I52)</f>
        <v>18</v>
      </c>
      <c r="R52" s="305">
        <f>(Q52-(HLOOKUP($D$1,yearendcumulative,91,FALSE)))/(HLOOKUP($D$1,yearendcumulative,91,FALSE))</f>
        <v>-0.18181818181818182</v>
      </c>
      <c r="S52" s="305">
        <f>(Q52-(HLOOKUP($D$1,Monthlyaveragecumulative,91,FALSE)))/(HLOOKUP($D$1,Monthlyaveragecumulative,91,FALSE))</f>
        <v>-0.66666666666666663</v>
      </c>
      <c r="T52" s="510"/>
      <c r="U52" s="1"/>
      <c r="V52" s="1"/>
      <c r="W52" s="1"/>
      <c r="X52" s="1"/>
      <c r="AN52" s="152"/>
      <c r="AO52" s="152"/>
      <c r="AP52" s="152"/>
      <c r="AQ52" s="152"/>
      <c r="AR52" s="152"/>
      <c r="AS52" s="152"/>
    </row>
    <row r="53" spans="1:45" s="635" customFormat="1" x14ac:dyDescent="0.35">
      <c r="B53" s="807"/>
      <c r="C53" s="976"/>
      <c r="D53" s="915"/>
      <c r="E53" s="915"/>
      <c r="F53" s="931"/>
      <c r="G53" s="931"/>
      <c r="H53" s="915"/>
      <c r="I53" s="931"/>
      <c r="J53" s="915"/>
      <c r="K53" s="915"/>
      <c r="L53" s="915"/>
      <c r="M53" s="915"/>
      <c r="N53" s="931"/>
      <c r="O53" s="915"/>
      <c r="P53" s="931"/>
      <c r="Q53" s="915"/>
      <c r="R53" s="819"/>
      <c r="S53" s="808"/>
      <c r="T53" s="511"/>
      <c r="U53" s="483"/>
      <c r="V53" s="483"/>
      <c r="W53" s="483"/>
      <c r="X53" s="483"/>
    </row>
    <row r="54" spans="1:45" s="635" customFormat="1" ht="85.5" customHeight="1" x14ac:dyDescent="0.35">
      <c r="A54" s="719"/>
      <c r="B54" s="822" t="s">
        <v>80</v>
      </c>
      <c r="C54" s="813" t="s">
        <v>522</v>
      </c>
      <c r="D54" s="1199" t="s">
        <v>467</v>
      </c>
      <c r="E54" s="1200"/>
      <c r="F54" s="1200"/>
      <c r="G54" s="1200"/>
      <c r="H54" s="1200"/>
      <c r="I54" s="1200"/>
      <c r="J54" s="1200"/>
      <c r="K54" s="1200"/>
      <c r="L54" s="1200"/>
      <c r="M54" s="1200"/>
      <c r="N54" s="1200"/>
      <c r="O54" s="1200"/>
      <c r="P54" s="1200"/>
      <c r="Q54" s="1200"/>
      <c r="R54" s="1200"/>
      <c r="S54" s="1200"/>
      <c r="T54" s="511"/>
      <c r="U54" s="483"/>
      <c r="V54" s="483"/>
      <c r="W54" s="483"/>
      <c r="X54" s="483"/>
    </row>
    <row r="55" spans="1:45" s="635" customFormat="1" x14ac:dyDescent="0.35">
      <c r="A55" s="719"/>
      <c r="B55" s="822"/>
      <c r="C55" s="813" t="s">
        <v>182</v>
      </c>
      <c r="D55" s="977"/>
      <c r="E55" s="977"/>
      <c r="F55" s="1094"/>
      <c r="G55" s="1094"/>
      <c r="H55" s="1042"/>
      <c r="I55" s="1094"/>
      <c r="J55" s="1042"/>
      <c r="K55" s="1042"/>
      <c r="L55" s="1042"/>
      <c r="M55" s="1042"/>
      <c r="N55" s="1094"/>
      <c r="O55" s="1042"/>
      <c r="P55" s="1094"/>
      <c r="Q55" s="1042"/>
      <c r="R55" s="977"/>
      <c r="S55" s="977"/>
      <c r="T55" s="511"/>
      <c r="U55" s="483"/>
      <c r="V55" s="483"/>
      <c r="W55" s="483"/>
      <c r="X55" s="483"/>
    </row>
    <row r="56" spans="1:45" s="635" customFormat="1" x14ac:dyDescent="0.35">
      <c r="B56" s="807"/>
      <c r="C56" s="978" t="s">
        <v>452</v>
      </c>
      <c r="D56" s="915"/>
      <c r="E56" s="915"/>
      <c r="F56" s="931"/>
      <c r="G56" s="931"/>
      <c r="H56" s="915"/>
      <c r="I56" s="931"/>
      <c r="J56" s="915"/>
      <c r="K56" s="915"/>
      <c r="L56" s="915"/>
      <c r="M56" s="915"/>
      <c r="N56" s="931"/>
      <c r="O56" s="915"/>
      <c r="P56" s="931"/>
      <c r="Q56" s="915"/>
      <c r="R56" s="819"/>
      <c r="S56" s="808"/>
      <c r="T56" s="511"/>
      <c r="U56" s="483"/>
      <c r="V56" s="483"/>
      <c r="W56" s="483"/>
      <c r="X56" s="483"/>
    </row>
    <row r="57" spans="1:45" s="635" customFormat="1" x14ac:dyDescent="0.35">
      <c r="B57" s="807"/>
      <c r="C57" s="978" t="s">
        <v>453</v>
      </c>
      <c r="D57" s="915"/>
      <c r="E57" s="915"/>
      <c r="F57" s="931"/>
      <c r="G57" s="931"/>
      <c r="H57" s="915"/>
      <c r="I57" s="931"/>
      <c r="J57" s="915"/>
      <c r="K57" s="915"/>
      <c r="L57" s="915"/>
      <c r="M57" s="915"/>
      <c r="N57" s="931"/>
      <c r="O57" s="915"/>
      <c r="P57" s="931"/>
      <c r="Q57" s="915"/>
      <c r="R57" s="819"/>
      <c r="S57" s="808"/>
      <c r="T57" s="511"/>
      <c r="U57" s="483"/>
      <c r="V57" s="483"/>
      <c r="W57" s="483"/>
      <c r="X57" s="483"/>
    </row>
    <row r="58" spans="1:45" s="635" customFormat="1" x14ac:dyDescent="0.35">
      <c r="B58" s="807"/>
      <c r="C58" s="976"/>
      <c r="D58" s="915"/>
      <c r="E58" s="915"/>
      <c r="F58" s="931"/>
      <c r="G58" s="931"/>
      <c r="H58" s="915"/>
      <c r="I58" s="931"/>
      <c r="J58" s="915"/>
      <c r="K58" s="915"/>
      <c r="L58" s="915"/>
      <c r="M58" s="915"/>
      <c r="N58" s="931"/>
      <c r="O58" s="915"/>
      <c r="P58" s="931"/>
      <c r="Q58" s="915"/>
      <c r="R58" s="819"/>
      <c r="S58" s="808"/>
      <c r="T58" s="511"/>
      <c r="U58" s="483"/>
      <c r="V58" s="483"/>
      <c r="W58" s="483"/>
      <c r="X58" s="483"/>
    </row>
    <row r="59" spans="1:45" s="635" customFormat="1" x14ac:dyDescent="0.35">
      <c r="A59" s="10"/>
      <c r="B59" s="10" t="s">
        <v>211</v>
      </c>
      <c r="C59" s="809"/>
      <c r="D59" s="916"/>
      <c r="E59" s="809"/>
      <c r="F59" s="931"/>
      <c r="G59" s="931"/>
      <c r="H59" s="915"/>
      <c r="I59" s="931"/>
      <c r="J59" s="915"/>
      <c r="K59" s="915"/>
      <c r="L59" s="915"/>
      <c r="M59" s="915"/>
      <c r="N59" s="931"/>
      <c r="O59" s="915"/>
      <c r="P59" s="931"/>
      <c r="Q59" s="915"/>
      <c r="R59" s="819"/>
      <c r="S59" s="809"/>
      <c r="T59" s="511"/>
      <c r="U59" s="483"/>
      <c r="V59" s="483"/>
      <c r="W59" s="483"/>
      <c r="X59" s="483"/>
    </row>
    <row r="60" spans="1:45" s="635" customFormat="1" x14ac:dyDescent="0.35">
      <c r="A60" s="2"/>
      <c r="B60" s="758"/>
      <c r="C60" s="809"/>
      <c r="D60" s="809"/>
      <c r="E60" s="809"/>
      <c r="F60" s="931"/>
      <c r="G60" s="931"/>
      <c r="H60" s="915"/>
      <c r="I60" s="931"/>
      <c r="J60" s="915"/>
      <c r="K60" s="915"/>
      <c r="L60" s="915"/>
      <c r="M60" s="915"/>
      <c r="N60" s="931"/>
      <c r="O60" s="915"/>
      <c r="P60" s="931"/>
      <c r="Q60" s="915"/>
      <c r="R60" s="819"/>
      <c r="S60" s="809"/>
      <c r="T60" s="511"/>
      <c r="U60" s="483"/>
      <c r="V60" s="483"/>
      <c r="W60" s="483"/>
      <c r="X60" s="483"/>
    </row>
    <row r="111" spans="2:36" x14ac:dyDescent="0.35">
      <c r="C111" s="629"/>
      <c r="S111" s="629"/>
      <c r="T111" s="646"/>
      <c r="U111" s="629"/>
      <c r="V111" s="629"/>
      <c r="W111" s="629"/>
      <c r="X111" s="629"/>
      <c r="Y111" s="629"/>
      <c r="Z111" s="629"/>
      <c r="AA111" s="629"/>
      <c r="AB111" s="629"/>
      <c r="AC111" s="629"/>
      <c r="AD111" s="629"/>
      <c r="AE111" s="629"/>
      <c r="AF111" s="629"/>
      <c r="AG111" s="629"/>
      <c r="AH111" s="629"/>
      <c r="AI111" s="629"/>
      <c r="AJ111" s="629"/>
    </row>
    <row r="112" spans="2:36" x14ac:dyDescent="0.35">
      <c r="B112" s="637"/>
      <c r="C112" s="633"/>
      <c r="D112" s="636"/>
      <c r="E112" s="644"/>
      <c r="F112" s="935"/>
      <c r="G112" s="935"/>
      <c r="H112" s="644"/>
      <c r="I112" s="935"/>
      <c r="J112" s="644"/>
      <c r="K112" s="644"/>
      <c r="L112" s="644"/>
      <c r="M112" s="644"/>
      <c r="N112" s="935"/>
      <c r="O112" s="644"/>
      <c r="P112" s="935"/>
      <c r="Q112" s="644"/>
      <c r="R112" s="645"/>
      <c r="S112" s="633"/>
      <c r="T112" s="649"/>
      <c r="U112" s="633"/>
      <c r="V112" s="633"/>
      <c r="W112" s="633"/>
      <c r="X112" s="633"/>
      <c r="Y112" s="633"/>
      <c r="Z112" s="633"/>
      <c r="AA112" s="633"/>
      <c r="AB112" s="633"/>
      <c r="AC112" s="633"/>
      <c r="AD112" s="633"/>
      <c r="AE112" s="633"/>
      <c r="AF112" s="633"/>
      <c r="AG112" s="633"/>
      <c r="AH112" s="633"/>
      <c r="AI112" s="633"/>
      <c r="AJ112" s="633"/>
    </row>
    <row r="113" spans="2:36" x14ac:dyDescent="0.35">
      <c r="B113" s="637"/>
      <c r="C113" s="633"/>
      <c r="D113" s="636"/>
      <c r="E113" s="647"/>
      <c r="F113" s="936"/>
      <c r="G113" s="936"/>
      <c r="H113" s="647"/>
      <c r="I113" s="936"/>
      <c r="J113" s="647"/>
      <c r="K113" s="647"/>
      <c r="L113" s="647"/>
      <c r="M113" s="647"/>
      <c r="N113" s="936"/>
      <c r="O113" s="647"/>
      <c r="P113" s="936"/>
      <c r="Q113" s="647"/>
      <c r="R113" s="648"/>
      <c r="S113" s="633"/>
      <c r="T113" s="649"/>
      <c r="U113" s="633"/>
      <c r="V113" s="633"/>
      <c r="W113" s="633"/>
      <c r="X113" s="633"/>
      <c r="Y113" s="633"/>
      <c r="Z113" s="633"/>
      <c r="AA113" s="633"/>
      <c r="AB113" s="633"/>
      <c r="AC113" s="633"/>
      <c r="AD113" s="633"/>
      <c r="AE113" s="633"/>
      <c r="AF113" s="633"/>
      <c r="AG113" s="633"/>
      <c r="AH113" s="633"/>
      <c r="AI113" s="633"/>
      <c r="AJ113" s="633"/>
    </row>
    <row r="114" spans="2:36" x14ac:dyDescent="0.35">
      <c r="D114" s="636"/>
      <c r="E114" s="647"/>
      <c r="F114" s="936"/>
      <c r="G114" s="936"/>
      <c r="H114" s="647"/>
      <c r="I114" s="936"/>
      <c r="J114" s="647"/>
      <c r="K114" s="647"/>
      <c r="L114" s="647"/>
      <c r="M114" s="647"/>
      <c r="N114" s="936"/>
      <c r="O114" s="647"/>
      <c r="P114" s="936"/>
      <c r="Q114" s="647"/>
      <c r="R114" s="648"/>
    </row>
    <row r="115" spans="2:36" x14ac:dyDescent="0.35">
      <c r="C115" s="629"/>
      <c r="S115" s="629"/>
      <c r="T115" s="646"/>
      <c r="U115" s="629"/>
      <c r="V115" s="629"/>
      <c r="W115" s="629"/>
      <c r="X115" s="629"/>
      <c r="Y115" s="629"/>
      <c r="Z115" s="629"/>
      <c r="AA115" s="629"/>
      <c r="AB115" s="629"/>
      <c r="AC115" s="629"/>
      <c r="AD115" s="629"/>
      <c r="AE115" s="629"/>
      <c r="AF115" s="629"/>
      <c r="AG115" s="629"/>
      <c r="AH115" s="629"/>
      <c r="AI115" s="629"/>
      <c r="AJ115" s="629"/>
    </row>
    <row r="116" spans="2:36" x14ac:dyDescent="0.35">
      <c r="B116" s="637"/>
      <c r="C116" s="633"/>
      <c r="D116" s="636"/>
      <c r="E116" s="644"/>
      <c r="F116" s="935"/>
      <c r="G116" s="935"/>
      <c r="H116" s="644"/>
      <c r="I116" s="935"/>
      <c r="J116" s="644"/>
      <c r="K116" s="644"/>
      <c r="L116" s="644"/>
      <c r="M116" s="644"/>
      <c r="N116" s="935"/>
      <c r="O116" s="644"/>
      <c r="P116" s="935"/>
      <c r="Q116" s="644"/>
      <c r="R116" s="645"/>
      <c r="S116" s="633"/>
      <c r="T116" s="649"/>
      <c r="U116" s="633"/>
      <c r="V116" s="633"/>
      <c r="W116" s="633"/>
      <c r="X116" s="633"/>
      <c r="Y116" s="633"/>
      <c r="Z116" s="633"/>
      <c r="AA116" s="633"/>
      <c r="AB116" s="633"/>
      <c r="AC116" s="633"/>
      <c r="AD116" s="633"/>
      <c r="AE116" s="633"/>
      <c r="AF116" s="633"/>
      <c r="AG116" s="633"/>
      <c r="AH116" s="633"/>
      <c r="AI116" s="633"/>
      <c r="AJ116" s="633"/>
    </row>
    <row r="117" spans="2:36" x14ac:dyDescent="0.35">
      <c r="B117" s="637"/>
      <c r="C117" s="633"/>
      <c r="D117" s="636"/>
      <c r="E117" s="647"/>
      <c r="F117" s="936"/>
      <c r="G117" s="936"/>
      <c r="H117" s="647"/>
      <c r="I117" s="936"/>
      <c r="J117" s="647"/>
      <c r="K117" s="647"/>
      <c r="L117" s="647"/>
      <c r="M117" s="647"/>
      <c r="N117" s="936"/>
      <c r="O117" s="647"/>
      <c r="P117" s="936"/>
      <c r="Q117" s="647"/>
      <c r="R117" s="648"/>
      <c r="S117" s="633"/>
      <c r="T117" s="649"/>
      <c r="U117" s="633"/>
      <c r="V117" s="633"/>
      <c r="W117" s="633"/>
      <c r="X117" s="633"/>
      <c r="Y117" s="633"/>
      <c r="Z117" s="633"/>
      <c r="AA117" s="633"/>
      <c r="AB117" s="633"/>
      <c r="AC117" s="633"/>
      <c r="AD117" s="633"/>
      <c r="AE117" s="633"/>
      <c r="AF117" s="633"/>
      <c r="AG117" s="633"/>
      <c r="AH117" s="633"/>
      <c r="AI117" s="633"/>
      <c r="AJ117" s="633"/>
    </row>
    <row r="118" spans="2:36" x14ac:dyDescent="0.35">
      <c r="D118" s="636"/>
      <c r="E118" s="647"/>
      <c r="F118" s="936"/>
      <c r="G118" s="936"/>
      <c r="H118" s="647"/>
      <c r="I118" s="936"/>
      <c r="J118" s="647"/>
      <c r="K118" s="647"/>
      <c r="L118" s="647"/>
      <c r="M118" s="647"/>
      <c r="N118" s="936"/>
      <c r="O118" s="647"/>
      <c r="P118" s="936"/>
      <c r="Q118" s="647"/>
      <c r="R118" s="648"/>
    </row>
    <row r="119" spans="2:36" x14ac:dyDescent="0.35">
      <c r="C119" s="629"/>
      <c r="S119" s="629"/>
      <c r="T119" s="646"/>
      <c r="U119" s="629"/>
      <c r="V119" s="629"/>
      <c r="W119" s="629"/>
      <c r="X119" s="629"/>
      <c r="Y119" s="629"/>
      <c r="Z119" s="629"/>
      <c r="AA119" s="629"/>
      <c r="AB119" s="629"/>
      <c r="AC119" s="629"/>
      <c r="AD119" s="629"/>
      <c r="AE119" s="629"/>
      <c r="AF119" s="629"/>
      <c r="AG119" s="629"/>
      <c r="AH119" s="629"/>
      <c r="AI119" s="629"/>
      <c r="AJ119" s="629"/>
    </row>
    <row r="120" spans="2:36" x14ac:dyDescent="0.35">
      <c r="B120" s="637"/>
      <c r="C120" s="654"/>
      <c r="D120" s="636"/>
      <c r="E120" s="644"/>
      <c r="F120" s="935"/>
      <c r="G120" s="935"/>
      <c r="H120" s="644"/>
      <c r="I120" s="935"/>
      <c r="J120" s="644"/>
      <c r="K120" s="644"/>
      <c r="L120" s="644"/>
      <c r="M120" s="644"/>
      <c r="N120" s="935"/>
      <c r="O120" s="644"/>
      <c r="P120" s="935"/>
      <c r="Q120" s="644"/>
      <c r="R120" s="645"/>
    </row>
    <row r="121" spans="2:36" x14ac:dyDescent="0.35">
      <c r="D121" s="654"/>
      <c r="E121" s="655"/>
      <c r="F121" s="1097"/>
      <c r="G121" s="1097"/>
      <c r="H121" s="655"/>
      <c r="I121" s="1097"/>
      <c r="J121" s="655"/>
      <c r="K121" s="655"/>
      <c r="L121" s="655"/>
      <c r="M121" s="655"/>
      <c r="N121" s="1097"/>
    </row>
    <row r="122" spans="2:36" x14ac:dyDescent="0.35">
      <c r="C122" s="629"/>
      <c r="S122" s="629"/>
      <c r="T122" s="646"/>
      <c r="U122" s="629"/>
      <c r="V122" s="629"/>
      <c r="W122" s="629"/>
      <c r="X122" s="629"/>
      <c r="Y122" s="629"/>
      <c r="Z122" s="629"/>
      <c r="AA122" s="629"/>
      <c r="AB122" s="629"/>
      <c r="AC122" s="629"/>
      <c r="AD122" s="629"/>
      <c r="AE122" s="629"/>
      <c r="AF122" s="629"/>
      <c r="AG122" s="629"/>
      <c r="AH122" s="629"/>
      <c r="AI122" s="629"/>
      <c r="AJ122" s="629"/>
    </row>
    <row r="123" spans="2:36" x14ac:dyDescent="0.35">
      <c r="B123" s="637"/>
      <c r="C123" s="633"/>
      <c r="D123" s="636"/>
      <c r="E123" s="644"/>
      <c r="F123" s="935"/>
      <c r="G123" s="935"/>
      <c r="H123" s="644"/>
      <c r="I123" s="935"/>
      <c r="J123" s="644"/>
      <c r="K123" s="644"/>
      <c r="L123" s="644"/>
      <c r="M123" s="644"/>
      <c r="N123" s="935"/>
      <c r="O123" s="644"/>
      <c r="P123" s="935"/>
      <c r="Q123" s="644"/>
      <c r="R123" s="645"/>
      <c r="S123" s="633"/>
      <c r="T123" s="649"/>
      <c r="U123" s="633"/>
      <c r="V123" s="633"/>
      <c r="W123" s="633"/>
      <c r="X123" s="633"/>
      <c r="Y123" s="633"/>
      <c r="Z123" s="633"/>
      <c r="AA123" s="633"/>
      <c r="AB123" s="633"/>
      <c r="AC123" s="633"/>
      <c r="AD123" s="633"/>
      <c r="AE123" s="633"/>
      <c r="AF123" s="633"/>
      <c r="AG123" s="633"/>
      <c r="AH123" s="633"/>
      <c r="AI123" s="633"/>
      <c r="AJ123" s="633"/>
    </row>
    <row r="124" spans="2:36" x14ac:dyDescent="0.35">
      <c r="B124" s="637"/>
      <c r="C124" s="633"/>
      <c r="D124" s="636"/>
      <c r="E124" s="647"/>
      <c r="F124" s="936"/>
      <c r="G124" s="936"/>
      <c r="H124" s="647"/>
      <c r="I124" s="936"/>
      <c r="J124" s="647"/>
      <c r="K124" s="647"/>
      <c r="L124" s="647"/>
      <c r="M124" s="647"/>
      <c r="N124" s="936"/>
      <c r="O124" s="647"/>
      <c r="P124" s="936"/>
      <c r="Q124" s="647"/>
      <c r="R124" s="648"/>
      <c r="S124" s="633"/>
      <c r="T124" s="649"/>
      <c r="U124" s="633"/>
      <c r="V124" s="633"/>
      <c r="W124" s="633"/>
      <c r="X124" s="633"/>
      <c r="Y124" s="633"/>
      <c r="Z124" s="633"/>
      <c r="AA124" s="633"/>
      <c r="AB124" s="633"/>
      <c r="AC124" s="633"/>
      <c r="AD124" s="633"/>
      <c r="AE124" s="633"/>
      <c r="AF124" s="633"/>
      <c r="AG124" s="633"/>
      <c r="AH124" s="633"/>
      <c r="AI124" s="633"/>
      <c r="AJ124" s="633"/>
    </row>
    <row r="125" spans="2:36" x14ac:dyDescent="0.35">
      <c r="D125" s="636"/>
      <c r="E125" s="647"/>
      <c r="F125" s="936"/>
      <c r="G125" s="936"/>
      <c r="H125" s="647"/>
      <c r="I125" s="936"/>
      <c r="J125" s="647"/>
      <c r="K125" s="647"/>
      <c r="L125" s="647"/>
      <c r="M125" s="647"/>
      <c r="N125" s="936"/>
      <c r="O125" s="647"/>
      <c r="P125" s="936"/>
      <c r="Q125" s="647"/>
      <c r="R125" s="648"/>
    </row>
  </sheetData>
  <mergeCells count="6">
    <mergeCell ref="B6:B27"/>
    <mergeCell ref="D54:S54"/>
    <mergeCell ref="B31:B33"/>
    <mergeCell ref="B41:B45"/>
    <mergeCell ref="B47:B52"/>
    <mergeCell ref="B36:B39"/>
  </mergeCells>
  <conditionalFormatting sqref="R21:R27">
    <cfRule type="cellIs" dxfId="182" priority="1" operator="lessThan">
      <formula>-0.05</formula>
    </cfRule>
    <cfRule type="cellIs" dxfId="181" priority="2" operator="between">
      <formula>-5%</formula>
      <formula>5%</formula>
    </cfRule>
    <cfRule type="cellIs" dxfId="180" priority="3" operator="greaterThan">
      <formula>5%</formula>
    </cfRule>
  </conditionalFormatting>
  <conditionalFormatting sqref="R6:S20">
    <cfRule type="cellIs" dxfId="179" priority="7" operator="lessThan">
      <formula>-0.05</formula>
    </cfRule>
    <cfRule type="cellIs" dxfId="178" priority="8" operator="between">
      <formula>-5%</formula>
      <formula>5%</formula>
    </cfRule>
    <cfRule type="cellIs" dxfId="177" priority="9" operator="greaterThan">
      <formula>5%</formula>
    </cfRule>
  </conditionalFormatting>
  <conditionalFormatting sqref="S29">
    <cfRule type="cellIs" dxfId="176" priority="19" operator="lessThan">
      <formula>-0.05</formula>
    </cfRule>
    <cfRule type="cellIs" dxfId="175" priority="20" operator="between">
      <formula>-5%</formula>
      <formula>5%</formula>
    </cfRule>
    <cfRule type="cellIs" dxfId="174" priority="21" operator="greaterThan">
      <formula>5%</formula>
    </cfRule>
  </conditionalFormatting>
  <conditionalFormatting sqref="R35:S39">
    <cfRule type="cellIs" dxfId="173" priority="97" operator="lessThan">
      <formula>-0.05</formula>
    </cfRule>
    <cfRule type="cellIs" dxfId="172" priority="98" operator="between">
      <formula>-5%</formula>
      <formula>5%</formula>
    </cfRule>
    <cfRule type="cellIs" dxfId="171" priority="99" operator="greaterThan">
      <formula>5%</formula>
    </cfRule>
  </conditionalFormatting>
  <conditionalFormatting sqref="R41:S45">
    <cfRule type="cellIs" dxfId="170" priority="13" operator="greaterThan">
      <formula>5%</formula>
    </cfRule>
    <cfRule type="cellIs" dxfId="169" priority="14" operator="lessThan">
      <formula>-0.05</formula>
    </cfRule>
    <cfRule type="cellIs" dxfId="168" priority="15" operator="between">
      <formula>-5%</formula>
      <formula>5%</formula>
    </cfRule>
  </conditionalFormatting>
  <conditionalFormatting sqref="R47:S52">
    <cfRule type="cellIs" dxfId="167" priority="67" operator="lessThan">
      <formula>-0.05</formula>
    </cfRule>
    <cfRule type="cellIs" dxfId="166" priority="68" operator="between">
      <formula>-5%</formula>
      <formula>5%</formula>
    </cfRule>
    <cfRule type="cellIs" dxfId="165" priority="69" operator="greaterThan">
      <formula>5%</formula>
    </cfRule>
  </conditionalFormatting>
  <conditionalFormatting sqref="S26">
    <cfRule type="cellIs" dxfId="164" priority="46" operator="lessThan">
      <formula>-0.05</formula>
    </cfRule>
    <cfRule type="cellIs" dxfId="163" priority="47" operator="between">
      <formula>-5%</formula>
      <formula>5%</formula>
    </cfRule>
    <cfRule type="cellIs" dxfId="162" priority="48" operator="greaterThan">
      <formula>5%</formula>
    </cfRule>
  </conditionalFormatting>
  <pageMargins left="0.23622047244094491" right="0.23622047244094491" top="0.74803149606299213" bottom="0.74803149606299213" header="0.31496062992125984" footer="0.31496062992125984"/>
  <pageSetup paperSize="9" scale="70" fitToHeight="0" orientation="landscape" r:id="rId1"/>
  <headerFooter>
    <oddFooter>&amp;C&amp;1#&amp;"Calibri"&amp;10&amp;K000000OFFICIAL</oddFooter>
  </headerFooter>
  <ignoredErrors>
    <ignoredError sqref="Q18 R15:S15 R8:S8 E8:F8 R10:S12 E12:F12 Q16:S16 Q17:S17 G8:P8 G12:P12 S18 G25:H25 G22:H22 K22:M22 G23:H23 K23:M23 G24:H24 K24:M24 K25:M25 O22 O23 O24 O25" evalError="1"/>
    <ignoredError sqref="Q9:Q11" evalError="1" formula="1"/>
    <ignoredError sqref="Q8 Q1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vt:i4>
      </vt:variant>
    </vt:vector>
  </HeadingPairs>
  <TitlesOfParts>
    <vt:vector size="38" baseType="lpstr">
      <vt:lpstr>Masterlist</vt:lpstr>
      <vt:lpstr>year end</vt:lpstr>
      <vt:lpstr>New Data Needed</vt:lpstr>
      <vt:lpstr>Monthly Averages</vt:lpstr>
      <vt:lpstr>Guidance</vt:lpstr>
      <vt:lpstr>Graph</vt:lpstr>
      <vt:lpstr>Graph Data</vt:lpstr>
      <vt:lpstr>Warwickshire</vt:lpstr>
      <vt:lpstr>North Warwickshire</vt:lpstr>
      <vt:lpstr>Nuneaton and Bedworth</vt:lpstr>
      <vt:lpstr>Rugby</vt:lpstr>
      <vt:lpstr>Stratford</vt:lpstr>
      <vt:lpstr>Warwick</vt:lpstr>
      <vt:lpstr>South Warwickshire</vt:lpstr>
      <vt:lpstr>Notes</vt:lpstr>
      <vt:lpstr>Data Sources</vt:lpstr>
      <vt:lpstr>Monthlyaveragecumulative</vt:lpstr>
      <vt:lpstr>Guidance!Print_Area</vt:lpstr>
      <vt:lpstr>'North Warwickshire'!Print_Area</vt:lpstr>
      <vt:lpstr>'Nuneaton and Bedworth'!Print_Area</vt:lpstr>
      <vt:lpstr>Rugby!Print_Area</vt:lpstr>
      <vt:lpstr>'South Warwickshire'!Print_Area</vt:lpstr>
      <vt:lpstr>Stratford!Print_Area</vt:lpstr>
      <vt:lpstr>Warwick!Print_Area</vt:lpstr>
      <vt:lpstr>Warwickshire!Print_Area</vt:lpstr>
      <vt:lpstr>'North Warwickshire'!Print_Titles</vt:lpstr>
      <vt:lpstr>'Nuneaton and Bedworth'!Print_Titles</vt:lpstr>
      <vt:lpstr>Rugby!Print_Titles</vt:lpstr>
      <vt:lpstr>'South Warwickshire'!Print_Titles</vt:lpstr>
      <vt:lpstr>Stratford!Print_Titles</vt:lpstr>
      <vt:lpstr>Warwick!Print_Titles</vt:lpstr>
      <vt:lpstr>Warwickshire!Print_Titles</vt:lpstr>
      <vt:lpstr>useactualaverage</vt:lpstr>
      <vt:lpstr>Warks</vt:lpstr>
      <vt:lpstr>'Monthly Averages'!yearend</vt:lpstr>
      <vt:lpstr>yearend</vt:lpstr>
      <vt:lpstr>'Monthly Averages'!yearendcumulative</vt:lpstr>
      <vt:lpstr>yearendcumulative</vt:lpstr>
    </vt:vector>
  </TitlesOfParts>
  <Company>Warwickshire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Kane</dc:creator>
  <cp:lastModifiedBy>Caroline Mckenzie</cp:lastModifiedBy>
  <cp:lastPrinted>2020-05-18T16:17:27Z</cp:lastPrinted>
  <dcterms:created xsi:type="dcterms:W3CDTF">2017-05-11T12:29:12Z</dcterms:created>
  <dcterms:modified xsi:type="dcterms:W3CDTF">2025-04-07T15:22:13Z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6273429-ee1e-4f26-bb4f-6ffaf4c128e1_Enabled">
    <vt:lpwstr>true</vt:lpwstr>
  </property>
  <property fmtid="{D5CDD505-2E9C-101B-9397-08002B2CF9AE}" pid="3" name="MSIP_Label_06273429-ee1e-4f26-bb4f-6ffaf4c128e1_SetDate">
    <vt:lpwstr>2023-07-07T13:30:56Z</vt:lpwstr>
  </property>
  <property fmtid="{D5CDD505-2E9C-101B-9397-08002B2CF9AE}" pid="4" name="MSIP_Label_06273429-ee1e-4f26-bb4f-6ffaf4c128e1_Method">
    <vt:lpwstr>Privileged</vt:lpwstr>
  </property>
  <property fmtid="{D5CDD505-2E9C-101B-9397-08002B2CF9AE}" pid="5" name="MSIP_Label_06273429-ee1e-4f26-bb4f-6ffaf4c128e1_Name">
    <vt:lpwstr>Official</vt:lpwstr>
  </property>
  <property fmtid="{D5CDD505-2E9C-101B-9397-08002B2CF9AE}" pid="6" name="MSIP_Label_06273429-ee1e-4f26-bb4f-6ffaf4c128e1_SiteId">
    <vt:lpwstr>88b0aa06-5927-4bbb-a893-89cc2713ac82</vt:lpwstr>
  </property>
  <property fmtid="{D5CDD505-2E9C-101B-9397-08002B2CF9AE}" pid="7" name="MSIP_Label_06273429-ee1e-4f26-bb4f-6ffaf4c128e1_ActionId">
    <vt:lpwstr>d130a960-a9d3-44ea-bd65-fd051c690452</vt:lpwstr>
  </property>
  <property fmtid="{D5CDD505-2E9C-101B-9397-08002B2CF9AE}" pid="8" name="MSIP_Label_06273429-ee1e-4f26-bb4f-6ffaf4c128e1_ContentBits">
    <vt:lpwstr>3</vt:lpwstr>
  </property>
</Properties>
</file>