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I:\Policy &amp; Projects\Policy &amp; Delivery\Policy\Housing Trajectory and 5YLS\Housing Trajectory 2025\Drafts\Final documents\"/>
    </mc:Choice>
  </mc:AlternateContent>
  <xr:revisionPtr revIDLastSave="0" documentId="13_ncr:1_{0104A9B2-3595-4A23-8910-53B21D969857}" xr6:coauthVersionLast="47" xr6:coauthVersionMax="47" xr10:uidLastSave="{00000000-0000-0000-0000-000000000000}"/>
  <bookViews>
    <workbookView xWindow="22932" yWindow="600" windowWidth="23256" windowHeight="13896" tabRatio="885" xr2:uid="{00000000-000D-0000-FFFF-FFFF00000000}"/>
  </bookViews>
  <sheets>
    <sheet name="a) All Sites" sheetId="1" r:id="rId1"/>
    <sheet name="b1) Commitments outline" sheetId="34" r:id="rId2"/>
    <sheet name="b2) Commitments full" sheetId="33" r:id="rId3"/>
    <sheet name="b3) Commitments shared accom" sheetId="35" r:id="rId4"/>
    <sheet name="c) Small SHLAA Sites" sheetId="4" r:id="rId5"/>
    <sheet name="d) Windfalls" sheetId="9" r:id="rId6"/>
    <sheet name="e) Canalside &amp; Emp Areas" sheetId="6" r:id="rId7"/>
    <sheet name="f) Allocated Bfield Sites" sheetId="5" r:id="rId8"/>
    <sheet name="g) Allocated Gfield Sites" sheetId="7" r:id="rId9"/>
    <sheet name="h) Allocated Sites Villages" sheetId="13" r:id="rId10"/>
    <sheet name="Supply by Spatial Area" sheetId="20" state="hidden" r:id="rId11"/>
    <sheet name="Supply by Village" sheetId="21" state="hidden" r:id="rId12"/>
  </sheets>
  <definedNames>
    <definedName name="_xlnm._FilterDatabase" localSheetId="4" hidden="1">'c) Small SHLAA Sites'!$A$1:$H$12</definedName>
    <definedName name="cheese">'c) Small SHLAA Sites'!$H$2:$H$10</definedName>
    <definedName name="_xlnm.Print_Area" localSheetId="7">'f) Allocated Bfield Sites'!$A$1:$G$8</definedName>
    <definedName name="Range">'c) Small SHLAA Sites'!#REF!</definedName>
    <definedName name="SpatialArea">'c) Small SHLAA Sites'!#REF!</definedName>
  </definedNames>
  <calcPr calcId="191029"/>
  <pivotCaches>
    <pivotCache cacheId="0" r:id="rId13"/>
    <pivotCache cacheId="1" r:id="rId14"/>
    <pivotCache cacheId="2" r:id="rId15"/>
    <pivotCache cacheId="3" r:id="rId16"/>
    <pivotCache cacheId="4" r:id="rId17"/>
    <pivotCache cacheId="5" r:id="rId18"/>
    <pivotCache cacheId="6" r:id="rId19"/>
    <pivotCache cacheId="7" r:id="rId20"/>
    <pivotCache cacheId="8" r:id="rId21"/>
    <pivotCache cacheId="9" r:id="rId22"/>
    <pivotCache cacheId="10" r:id="rId2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62" i="33" l="1"/>
  <c r="H160" i="33"/>
  <c r="H161" i="33"/>
  <c r="D17" i="34"/>
  <c r="D15" i="34"/>
  <c r="O15" i="33"/>
  <c r="O14" i="33"/>
  <c r="B32" i="1"/>
  <c r="V14" i="1"/>
  <c r="V11" i="1"/>
  <c r="V10" i="1"/>
  <c r="V9" i="1"/>
  <c r="V8" i="1"/>
  <c r="V7" i="1"/>
  <c r="V5" i="1"/>
  <c r="U9" i="1"/>
  <c r="I12" i="4"/>
  <c r="I11" i="4"/>
  <c r="S8" i="1"/>
  <c r="R8" i="1"/>
  <c r="Q8" i="1"/>
  <c r="S7" i="1"/>
  <c r="R7" i="1"/>
  <c r="Q7" i="1"/>
  <c r="J7" i="34" l="1"/>
  <c r="V17" i="34"/>
  <c r="U17" i="34"/>
  <c r="T17" i="34"/>
  <c r="S17" i="34"/>
  <c r="R17" i="34"/>
  <c r="Q17" i="34"/>
  <c r="P17" i="34"/>
  <c r="O17" i="34"/>
  <c r="N17" i="34"/>
  <c r="M17" i="34"/>
  <c r="L17" i="34"/>
  <c r="K17" i="34"/>
  <c r="U5" i="1" s="1"/>
  <c r="I17" i="34"/>
  <c r="H17" i="34"/>
  <c r="G17" i="34"/>
  <c r="V16" i="34"/>
  <c r="U16" i="34"/>
  <c r="T16" i="34"/>
  <c r="S16" i="34"/>
  <c r="R16" i="34"/>
  <c r="Q16" i="34"/>
  <c r="P16" i="34"/>
  <c r="O16" i="34"/>
  <c r="N16" i="34"/>
  <c r="M16" i="34"/>
  <c r="L16" i="34"/>
  <c r="K16" i="34"/>
  <c r="J16" i="34"/>
  <c r="I16" i="34"/>
  <c r="H16" i="34"/>
  <c r="G16" i="34"/>
  <c r="V15" i="34"/>
  <c r="U15" i="34"/>
  <c r="T15" i="34"/>
  <c r="S15" i="34"/>
  <c r="R15" i="34"/>
  <c r="Q15" i="34"/>
  <c r="P15" i="34"/>
  <c r="O15" i="34"/>
  <c r="N15" i="34"/>
  <c r="M15" i="34"/>
  <c r="L15" i="34"/>
  <c r="K15" i="34"/>
  <c r="J15" i="34"/>
  <c r="J17" i="34" s="1"/>
  <c r="I15" i="34"/>
  <c r="H15" i="34"/>
  <c r="G15" i="34"/>
  <c r="F15" i="34"/>
  <c r="B45" i="1"/>
  <c r="B44" i="1"/>
  <c r="B33" i="1"/>
  <c r="O7" i="33"/>
  <c r="U14" i="1"/>
  <c r="S7" i="7"/>
  <c r="S10" i="7"/>
  <c r="S9" i="7"/>
  <c r="S8" i="7"/>
  <c r="S6" i="7"/>
  <c r="S5" i="7"/>
  <c r="S4" i="7"/>
  <c r="N11" i="7"/>
  <c r="M11" i="7"/>
  <c r="L11" i="7"/>
  <c r="K11" i="7"/>
  <c r="J11" i="7"/>
  <c r="I11" i="7"/>
  <c r="U13" i="1"/>
  <c r="I8" i="5"/>
  <c r="U12" i="1" s="1"/>
  <c r="V12" i="1" s="1"/>
  <c r="S11" i="7" l="1"/>
  <c r="B46" i="1"/>
  <c r="V13" i="1"/>
  <c r="J13" i="34"/>
  <c r="O23" i="33" l="1"/>
  <c r="O18" i="33"/>
  <c r="O8" i="33"/>
  <c r="O5" i="33"/>
  <c r="U11" i="1" l="1"/>
  <c r="U10" i="1"/>
  <c r="U8" i="1"/>
  <c r="U7" i="1"/>
  <c r="L161" i="33"/>
  <c r="K161" i="33"/>
  <c r="N160" i="33"/>
  <c r="N162" i="33" s="1"/>
  <c r="O6" i="33"/>
  <c r="T8" i="1"/>
  <c r="U6" i="1" l="1"/>
  <c r="V4" i="1" l="1"/>
  <c r="J9" i="34" l="1"/>
  <c r="J10" i="34"/>
  <c r="B35" i="1" l="1"/>
  <c r="M160" i="33"/>
  <c r="L160" i="33"/>
  <c r="K160" i="33"/>
  <c r="J160" i="33"/>
  <c r="B36" i="1"/>
  <c r="B37" i="1" s="1"/>
  <c r="O160" i="33" l="1"/>
  <c r="O12" i="33" l="1"/>
  <c r="J8" i="5" l="1"/>
  <c r="H3" i="5"/>
  <c r="O9" i="33" l="1"/>
  <c r="H3" i="7" l="1"/>
  <c r="H9" i="7"/>
  <c r="H6" i="7"/>
  <c r="E31" i="35" l="1"/>
  <c r="E27" i="35"/>
  <c r="E23" i="35"/>
  <c r="J12" i="34"/>
  <c r="J11" i="34"/>
  <c r="F16" i="34" l="1"/>
  <c r="M22" i="1" l="1"/>
  <c r="H8" i="7"/>
  <c r="L22" i="1" l="1"/>
  <c r="T7" i="1"/>
  <c r="H4" i="5" l="1"/>
  <c r="H4" i="7" l="1"/>
  <c r="F84" i="35" l="1"/>
  <c r="F93" i="35" s="1"/>
  <c r="G93" i="35" l="1"/>
  <c r="G95" i="35" s="1"/>
  <c r="E15" i="35"/>
  <c r="E93" i="35" s="1"/>
  <c r="D10" i="35"/>
  <c r="D93" i="35" s="1"/>
  <c r="E95" i="35" l="1"/>
  <c r="D95" i="35"/>
  <c r="D97" i="35" s="1"/>
  <c r="F95" i="35"/>
  <c r="M97" i="35" l="1"/>
  <c r="B41" i="1"/>
  <c r="L97" i="35"/>
  <c r="B7" i="1"/>
  <c r="K97" i="35"/>
  <c r="D98" i="35"/>
  <c r="B42" i="1" s="1"/>
  <c r="L98" i="35" l="1"/>
  <c r="M98" i="35"/>
  <c r="B8" i="1"/>
  <c r="K98" i="35"/>
  <c r="Q97" i="35"/>
  <c r="F17" i="34"/>
  <c r="Q5" i="1" s="1"/>
  <c r="R5" i="1"/>
  <c r="S5" i="1"/>
  <c r="T5" i="1"/>
  <c r="B5" i="1"/>
  <c r="K162" i="33"/>
  <c r="R6" i="1" s="1"/>
  <c r="L162" i="33"/>
  <c r="M162" i="33"/>
  <c r="T6" i="1" s="1"/>
  <c r="B6" i="1"/>
  <c r="O158" i="33"/>
  <c r="O11" i="33"/>
  <c r="O17" i="33"/>
  <c r="O22" i="33"/>
  <c r="O25" i="33"/>
  <c r="S6" i="1" l="1"/>
  <c r="J161" i="33"/>
  <c r="J162" i="33" s="1"/>
  <c r="Q6" i="1" s="1"/>
  <c r="Q98" i="35"/>
  <c r="B40" i="1" l="1"/>
  <c r="V6" i="1"/>
  <c r="O162" i="33"/>
  <c r="O161" i="33"/>
  <c r="U15" i="1" l="1"/>
  <c r="U23" i="1" s="1"/>
  <c r="G5" i="6"/>
  <c r="C6" i="6"/>
  <c r="G6" i="6" s="1"/>
  <c r="D6" i="6"/>
  <c r="E6" i="6"/>
  <c r="F6" i="6"/>
  <c r="B6" i="6"/>
  <c r="K22" i="1" l="1"/>
  <c r="C15" i="1"/>
  <c r="B4" i="1" l="1"/>
  <c r="H5" i="5" l="1"/>
  <c r="G3" i="9" l="1"/>
  <c r="B3" i="9" s="1"/>
  <c r="H3" i="4" l="1"/>
  <c r="H4" i="4"/>
  <c r="H5" i="4"/>
  <c r="H6" i="4"/>
  <c r="H7" i="4"/>
  <c r="H8" i="4"/>
  <c r="H9" i="4"/>
  <c r="H10" i="4"/>
  <c r="H7" i="5"/>
  <c r="C11" i="4" l="1"/>
  <c r="G3" i="6" l="1"/>
  <c r="J22" i="1" l="1"/>
  <c r="I22" i="1" l="1"/>
  <c r="H10" i="7" l="1"/>
  <c r="G11" i="7"/>
  <c r="F11" i="7"/>
  <c r="E11" i="7"/>
  <c r="D11" i="7"/>
  <c r="C11" i="7"/>
  <c r="B13" i="1" s="1"/>
  <c r="H5" i="7"/>
  <c r="H11" i="7" l="1"/>
  <c r="Q13" i="1" l="1"/>
  <c r="R13" i="1"/>
  <c r="S13" i="1"/>
  <c r="T13" i="1"/>
  <c r="B39" i="21" l="1"/>
  <c r="D39" i="21"/>
  <c r="B12" i="21"/>
  <c r="B41" i="21" s="1"/>
  <c r="E19" i="21"/>
  <c r="E20" i="21"/>
  <c r="E21" i="21"/>
  <c r="E22" i="21"/>
  <c r="E23" i="21"/>
  <c r="E24" i="21"/>
  <c r="E26" i="21"/>
  <c r="E27" i="21"/>
  <c r="E28" i="21"/>
  <c r="E29" i="21"/>
  <c r="E31" i="21"/>
  <c r="E32" i="21"/>
  <c r="E34" i="21"/>
  <c r="E35" i="21"/>
  <c r="E37" i="21"/>
  <c r="E38" i="21"/>
  <c r="C11" i="21"/>
  <c r="C4" i="21"/>
  <c r="G4" i="6" l="1"/>
  <c r="B71" i="20"/>
  <c r="C36" i="21"/>
  <c r="D6" i="21"/>
  <c r="C13" i="20"/>
  <c r="D5" i="21"/>
  <c r="D11" i="21"/>
  <c r="C3" i="21"/>
  <c r="C9" i="21"/>
  <c r="C33" i="21"/>
  <c r="D2" i="21"/>
  <c r="B72" i="20"/>
  <c r="C25" i="21"/>
  <c r="D3" i="21"/>
  <c r="D8" i="21"/>
  <c r="C16" i="21"/>
  <c r="C14" i="20"/>
  <c r="C30" i="21"/>
  <c r="C17" i="21"/>
  <c r="C15" i="21"/>
  <c r="C5" i="21"/>
  <c r="D7" i="21"/>
  <c r="D9" i="21"/>
  <c r="D4" i="21"/>
  <c r="D10" i="21"/>
  <c r="C2" i="21"/>
  <c r="B70" i="20"/>
  <c r="C6" i="21"/>
  <c r="C18" i="21"/>
  <c r="C15" i="20"/>
  <c r="B73" i="20"/>
  <c r="C16" i="20" l="1"/>
  <c r="E16" i="21"/>
  <c r="E2" i="21"/>
  <c r="C12" i="21"/>
  <c r="E18" i="21"/>
  <c r="E6" i="21"/>
  <c r="E9" i="21"/>
  <c r="E33" i="21"/>
  <c r="D12" i="21"/>
  <c r="D41" i="21" s="1"/>
  <c r="E4" i="21"/>
  <c r="E8" i="21"/>
  <c r="E10" i="21"/>
  <c r="C39" i="21"/>
  <c r="E15" i="21"/>
  <c r="E17" i="21"/>
  <c r="E3" i="21"/>
  <c r="E5" i="21"/>
  <c r="E25" i="21"/>
  <c r="E30" i="21"/>
  <c r="E36" i="21"/>
  <c r="E7" i="21"/>
  <c r="E11" i="21"/>
  <c r="B74" i="20"/>
  <c r="B69" i="20"/>
  <c r="B75" i="20" l="1"/>
  <c r="C69" i="20" s="1"/>
  <c r="E12" i="21"/>
  <c r="C41" i="21"/>
  <c r="E39" i="21"/>
  <c r="D11" i="4"/>
  <c r="D12" i="4" s="1"/>
  <c r="E11" i="4"/>
  <c r="E12" i="4" s="1"/>
  <c r="F11" i="4"/>
  <c r="F12" i="4" s="1"/>
  <c r="G11" i="4"/>
  <c r="G12" i="4" s="1"/>
  <c r="C74" i="20" l="1"/>
  <c r="H11" i="4"/>
  <c r="H12" i="4" s="1"/>
  <c r="E41" i="21"/>
  <c r="C71" i="20"/>
  <c r="C75" i="20"/>
  <c r="C72" i="20"/>
  <c r="C73" i="20"/>
  <c r="C70" i="20"/>
  <c r="D4" i="13" l="1"/>
  <c r="B14" i="1" s="1"/>
  <c r="E4" i="13"/>
  <c r="Q14" i="1" s="1"/>
  <c r="F4" i="13"/>
  <c r="R14" i="1" s="1"/>
  <c r="G4" i="13"/>
  <c r="S14" i="1" s="1"/>
  <c r="H4" i="13"/>
  <c r="T14" i="1" s="1"/>
  <c r="I4" i="13" l="1"/>
  <c r="Q9" i="1" l="1"/>
  <c r="R9" i="1"/>
  <c r="S9" i="1"/>
  <c r="T9" i="1"/>
  <c r="C12" i="4"/>
  <c r="B9" i="1" s="1"/>
  <c r="B43" i="1" l="1"/>
  <c r="G8" i="5"/>
  <c r="T12" i="1" s="1"/>
  <c r="D8" i="5"/>
  <c r="Q12" i="1" s="1"/>
  <c r="E8" i="5"/>
  <c r="R12" i="1" s="1"/>
  <c r="F8" i="5"/>
  <c r="S12" i="1" s="1"/>
  <c r="H8" i="5" l="1"/>
  <c r="C8" i="5" l="1"/>
  <c r="B12" i="1" s="1"/>
  <c r="B10" i="1" l="1"/>
  <c r="B76" i="20" s="1"/>
  <c r="B77" i="20" s="1"/>
  <c r="T10" i="1"/>
  <c r="S10" i="1"/>
  <c r="R10" i="1"/>
  <c r="Q10" i="1"/>
  <c r="Q11" i="1" l="1"/>
  <c r="R11" i="1"/>
  <c r="S11" i="1"/>
  <c r="T11" i="1"/>
  <c r="E15" i="1"/>
  <c r="E22" i="1" s="1"/>
  <c r="F15" i="1"/>
  <c r="G15" i="1"/>
  <c r="G22" i="1" s="1"/>
  <c r="H15" i="1"/>
  <c r="B11" i="1"/>
  <c r="B15" i="1" s="1"/>
  <c r="B47" i="1" l="1"/>
  <c r="V15" i="1"/>
  <c r="J15" i="1"/>
  <c r="T15" i="1"/>
  <c r="T23" i="1" s="1"/>
  <c r="R15" i="1"/>
  <c r="R23" i="1" s="1"/>
  <c r="P15" i="1"/>
  <c r="L15" i="1"/>
  <c r="K15" i="1"/>
  <c r="I15" i="1"/>
  <c r="S15" i="1"/>
  <c r="S23" i="1" s="1"/>
  <c r="Q15" i="1"/>
  <c r="M15" i="1"/>
  <c r="H22" i="1"/>
  <c r="D15" i="1"/>
  <c r="D22" i="1" s="1"/>
  <c r="Q23" i="1" l="1"/>
  <c r="U16" i="1"/>
  <c r="B49" i="1"/>
  <c r="B48" i="1"/>
  <c r="C16" i="1"/>
  <c r="N16" i="1"/>
  <c r="J16" i="1"/>
  <c r="M16" i="1"/>
  <c r="K16" i="1"/>
  <c r="I16" i="1"/>
  <c r="L16" i="1"/>
  <c r="C22" i="1"/>
  <c r="D16" i="1" l="1"/>
  <c r="F22" i="1" l="1"/>
  <c r="B50" i="1" l="1"/>
  <c r="F16" i="1"/>
  <c r="G16" i="1"/>
  <c r="E16" i="1"/>
  <c r="B53" i="1" l="1"/>
  <c r="O16" i="1"/>
  <c r="P16" i="1"/>
  <c r="Q16" i="1"/>
  <c r="R16" i="1"/>
  <c r="S16" i="1"/>
  <c r="T16" i="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tc={2061ADE2-A0CA-4C01-AAA5-6A037EFA1897}</author>
  </authors>
  <commentList>
    <comment ref="A29" authorId="0" shapeId="0" xr:uid="{2061ADE2-A0CA-4C01-AAA5-6A037EFA1897}">
      <text>
        <t>[Threaded comment]
Your version of Excel allows you to read this threaded comment; however, any edits to it will get removed if the file is opened in a newer version of Excel. Learn more: https://go.microsoft.com/fwlink/?linkid=870924
Comment:
    The figures provided in light grey reflect the Local Plan requirements and are provided for information only. With the plan becoming over 5 years old, from 2023/24 the Standard Method is now used to calculate the WDC requirement and so supersedes the Local Plan requirement.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James</author>
    <author>Michael Brown</author>
    <author>Sarah Cleverley</author>
  </authors>
  <commentList>
    <comment ref="D6" authorId="0" shapeId="0" xr:uid="{90882BC2-41BA-4011-AC46-A83C23895F4C}">
      <text>
        <r>
          <rPr>
            <b/>
            <sz val="9"/>
            <color indexed="81"/>
            <rFont val="Tahoma"/>
            <family val="2"/>
          </rPr>
          <t xml:space="preserve">Sarah Cleverley:
</t>
        </r>
        <r>
          <rPr>
            <sz val="9"/>
            <color indexed="81"/>
            <rFont val="Tahoma"/>
            <family val="2"/>
          </rPr>
          <t>Total of 548 approved (29 unaccounted for after phases 1-3 granted permission - on full commitments sheet)</t>
        </r>
        <r>
          <rPr>
            <b/>
            <sz val="9"/>
            <color indexed="81"/>
            <rFont val="Tahoma"/>
            <family val="2"/>
          </rPr>
          <t xml:space="preserve">
</t>
        </r>
      </text>
    </comment>
    <comment ref="D9" authorId="0" shapeId="0" xr:uid="{2C80B7C5-E18E-4EAB-B3F2-66F1FB98B71A}">
      <text>
        <r>
          <rPr>
            <b/>
            <sz val="9"/>
            <color indexed="81"/>
            <rFont val="Tahoma"/>
            <family val="2"/>
          </rPr>
          <t>Adam James:</t>
        </r>
        <r>
          <rPr>
            <sz val="9"/>
            <color indexed="81"/>
            <rFont val="Tahoma"/>
            <family val="2"/>
          </rPr>
          <t xml:space="preserve">
Local Plan allocation was 1,800 in the plan period, with up to 4,000 in total. W/18/0643 (granted permission subject to S106) was for up to 2,500 on part of the site.</t>
        </r>
      </text>
    </comment>
    <comment ref="D10" authorId="0" shapeId="0" xr:uid="{1F41D1C1-3815-4603-8F02-0092526FF33C}">
      <text>
        <r>
          <rPr>
            <b/>
            <sz val="9"/>
            <color indexed="81"/>
            <rFont val="Tahoma"/>
            <charset val="1"/>
          </rPr>
          <t>Adam James:</t>
        </r>
        <r>
          <rPr>
            <sz val="9"/>
            <color indexed="81"/>
            <rFont val="Tahoma"/>
            <charset val="1"/>
          </rPr>
          <t xml:space="preserve">
63 dwellings approved but 62 net additional dwellings accounting for the demolition of the existing bungalow</t>
        </r>
      </text>
    </comment>
    <comment ref="D11" authorId="1" shapeId="0" xr:uid="{E31BE7DF-14AC-4823-A0F1-0A5A8B1AB4E1}">
      <text>
        <r>
          <rPr>
            <b/>
            <sz val="9"/>
            <color indexed="81"/>
            <rFont val="Tahoma"/>
            <family val="2"/>
          </rPr>
          <t>Sarah Cleverley:</t>
        </r>
        <r>
          <rPr>
            <sz val="9"/>
            <color indexed="81"/>
            <rFont val="Tahoma"/>
            <family val="2"/>
          </rPr>
          <t xml:space="preserve">
Of the 425 dwellings approved, 375 have reserved matters permission under W/19/0346; the remaining 50 are here. Due to length of time since Outline Permission was granted a new application may be needed to bring these forward. Therefore removed from the plan period.</t>
        </r>
      </text>
    </comment>
    <comment ref="D12" authorId="1" shapeId="0" xr:uid="{0D93B9AF-367E-4FB3-8EBD-041B2C85499B}">
      <text>
        <r>
          <rPr>
            <b/>
            <sz val="9"/>
            <color indexed="81"/>
            <rFont val="Tahoma"/>
            <family val="2"/>
          </rPr>
          <t>Sarah Cleverley:</t>
        </r>
        <r>
          <rPr>
            <sz val="9"/>
            <color indexed="81"/>
            <rFont val="Tahoma"/>
            <family val="2"/>
          </rPr>
          <t xml:space="preserve">
Of the 735 dwellings approved, 698 have reserved matters permission under W/18/1442, W/18/1832, W/19/1445 and W/20/0232; the remaining 37 are here. Due to the length of time since Outline permission was granted a new applicaiotn may be needed to bring these forward. Therefore removed from the current plan period.</t>
        </r>
      </text>
    </comment>
    <comment ref="D13" authorId="2" shapeId="0" xr:uid="{64259F3C-1050-44EF-BB42-43B597353CC6}">
      <text>
        <r>
          <rPr>
            <b/>
            <sz val="9"/>
            <color indexed="81"/>
            <rFont val="Tahoma"/>
            <charset val="1"/>
          </rPr>
          <t>Sarah Cleverley:</t>
        </r>
        <r>
          <rPr>
            <sz val="9"/>
            <color indexed="81"/>
            <rFont val="Tahoma"/>
            <charset val="1"/>
          </rPr>
          <t xml:space="preserve">
Outline is for up to 83 dwellings. However, RM under consideration is for 70. Reduced figure used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Brown</author>
    <author>Sarah Cleverley</author>
  </authors>
  <commentList>
    <comment ref="D6" authorId="0" shapeId="0" xr:uid="{4C4ED9EC-106A-4D2F-B74D-CC3C8D9D1D9D}">
      <text>
        <r>
          <rPr>
            <b/>
            <sz val="9"/>
            <color indexed="81"/>
            <rFont val="Tahoma"/>
            <family val="2"/>
          </rPr>
          <t>Michael Brown:</t>
        </r>
        <r>
          <rPr>
            <sz val="9"/>
            <color indexed="81"/>
            <rFont val="Tahoma"/>
            <family val="2"/>
          </rPr>
          <t xml:space="preserve">
620 new dwellings and 1 demolition.
</t>
        </r>
      </text>
    </comment>
    <comment ref="D19" authorId="1" shapeId="0" xr:uid="{D480A5F7-AB00-4BD2-8C80-8B76C2A22A54}">
      <text>
        <r>
          <rPr>
            <b/>
            <sz val="9"/>
            <color indexed="81"/>
            <rFont val="Tahoma"/>
            <charset val="1"/>
          </rPr>
          <t>Sarah Cleverley:</t>
        </r>
        <r>
          <rPr>
            <sz val="9"/>
            <color indexed="81"/>
            <rFont val="Tahoma"/>
            <charset val="1"/>
          </rPr>
          <t xml:space="preserve">
Application is for 118. However, separate application has been received for one section of the permission (W/24/0537) for 4 dwellings on Site D which had 5 dwellings in the original permission here therefore removing from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Brown</author>
    <author>Sarah Cleverley</author>
  </authors>
  <commentList>
    <comment ref="C3" authorId="0" shapeId="0" xr:uid="{00000000-0006-0000-0400-000001000000}">
      <text>
        <r>
          <rPr>
            <b/>
            <sz val="9"/>
            <color indexed="81"/>
            <rFont val="Tahoma"/>
            <family val="2"/>
          </rPr>
          <t>Michael Brown:</t>
        </r>
        <r>
          <rPr>
            <sz val="9"/>
            <color indexed="81"/>
            <rFont val="Tahoma"/>
            <family val="2"/>
          </rPr>
          <t xml:space="preserve">
SHLAA identified this site as suitable for 10 dwellings; now not expected to come forward for housing</t>
        </r>
      </text>
    </comment>
    <comment ref="C4" authorId="0" shapeId="0" xr:uid="{00000000-0006-0000-0400-000002000000}">
      <text>
        <r>
          <rPr>
            <b/>
            <sz val="9"/>
            <color indexed="81"/>
            <rFont val="Tahoma"/>
            <family val="2"/>
          </rPr>
          <t>Michael Brown:</t>
        </r>
        <r>
          <rPr>
            <sz val="9"/>
            <color indexed="81"/>
            <rFont val="Tahoma"/>
            <family val="2"/>
          </rPr>
          <t xml:space="preserve">
SHLAA identified this part of the site as suitable for 20 dwellings; now not expected to come forward for housing</t>
        </r>
      </text>
    </comment>
    <comment ref="C5" authorId="0" shapeId="0" xr:uid="{00000000-0006-0000-0400-000003000000}">
      <text>
        <r>
          <rPr>
            <b/>
            <sz val="9"/>
            <color indexed="81"/>
            <rFont val="Tahoma"/>
            <family val="2"/>
          </rPr>
          <t>Michael Brown:</t>
        </r>
        <r>
          <rPr>
            <sz val="9"/>
            <color indexed="81"/>
            <rFont val="Tahoma"/>
            <family val="2"/>
          </rPr>
          <t xml:space="preserve">
SHLAA identified this site as suitable for 5 dwellings; no plans to build here in the near future.</t>
        </r>
      </text>
    </comment>
    <comment ref="C6" authorId="0" shapeId="0" xr:uid="{00000000-0006-0000-0400-000004000000}">
      <text>
        <r>
          <rPr>
            <b/>
            <sz val="8"/>
            <color indexed="81"/>
            <rFont val="Tahoma"/>
            <family val="2"/>
          </rPr>
          <t>Michael Brown:</t>
        </r>
        <r>
          <rPr>
            <sz val="8"/>
            <color indexed="81"/>
            <rFont val="Tahoma"/>
            <family val="2"/>
          </rPr>
          <t xml:space="preserve">
SHLAA identified site suitable for 6 dwellings, now expected to come forward for non-residential uses</t>
        </r>
      </text>
    </comment>
    <comment ref="C7" authorId="0" shapeId="0" xr:uid="{00000000-0006-0000-0400-000005000000}">
      <text>
        <r>
          <rPr>
            <b/>
            <sz val="9"/>
            <color indexed="81"/>
            <rFont val="Tahoma"/>
            <family val="2"/>
          </rPr>
          <t>Michael Brown:</t>
        </r>
        <r>
          <rPr>
            <sz val="9"/>
            <color indexed="81"/>
            <rFont val="Tahoma"/>
            <family val="2"/>
          </rPr>
          <t xml:space="preserve">
Identified in SHLAA as suitable for 5 dwellings; now not expected to come forward for residential use.</t>
        </r>
      </text>
    </comment>
    <comment ref="C8" authorId="0" shapeId="0" xr:uid="{00000000-0006-0000-0400-000006000000}">
      <text>
        <r>
          <rPr>
            <b/>
            <sz val="9"/>
            <color indexed="81"/>
            <rFont val="Tahoma"/>
            <family val="2"/>
          </rPr>
          <t>Michael Brown:</t>
        </r>
        <r>
          <rPr>
            <sz val="9"/>
            <color indexed="81"/>
            <rFont val="Tahoma"/>
            <family val="2"/>
          </rPr>
          <t xml:space="preserve">
SHLAA identified as suitable for 20 dwellings; now not clear whether site will come forward for residential use.</t>
        </r>
      </text>
    </comment>
    <comment ref="C9" authorId="0" shapeId="0" xr:uid="{00000000-0006-0000-0400-000007000000}">
      <text>
        <r>
          <rPr>
            <b/>
            <sz val="9"/>
            <color indexed="81"/>
            <rFont val="Tahoma"/>
            <family val="2"/>
          </rPr>
          <t>Michael Brown:</t>
        </r>
        <r>
          <rPr>
            <sz val="9"/>
            <color indexed="81"/>
            <rFont val="Tahoma"/>
            <family val="2"/>
          </rPr>
          <t xml:space="preserve">
SHLAA identified as suitable for 42 dwellings; now not clear whether site will come forward for residential use.</t>
        </r>
      </text>
    </comment>
    <comment ref="C10" authorId="1" shapeId="0" xr:uid="{7ABAE298-CF15-422C-86CA-493D702F1628}">
      <text>
        <r>
          <rPr>
            <b/>
            <sz val="9"/>
            <color indexed="81"/>
            <rFont val="Tahoma"/>
            <charset val="1"/>
          </rPr>
          <t>Sarah Cleverley:</t>
        </r>
        <r>
          <rPr>
            <sz val="9"/>
            <color indexed="81"/>
            <rFont val="Tahoma"/>
            <charset val="1"/>
          </rPr>
          <t xml:space="preserve">
development envisaged beyond the end of the plan period as dependent on relocation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Brown</author>
  </authors>
  <commentList>
    <comment ref="C3" authorId="0" shapeId="0" xr:uid="{00000000-0006-0000-0700-000001000000}">
      <text>
        <r>
          <rPr>
            <b/>
            <sz val="9"/>
            <color indexed="81"/>
            <rFont val="Tahoma"/>
            <family val="2"/>
          </rPr>
          <t>Michael Brown:</t>
        </r>
        <r>
          <rPr>
            <sz val="9"/>
            <color indexed="81"/>
            <rFont val="Tahoma"/>
            <family val="2"/>
          </rPr>
          <t xml:space="preserve">
Local plan allocated 215 dwellings; current estimate is that 300 dwellings will be delivered here</t>
        </r>
      </text>
    </comment>
    <comment ref="C5" authorId="0" shapeId="0" xr:uid="{00000000-0006-0000-0700-000002000000}">
      <text>
        <r>
          <rPr>
            <b/>
            <sz val="9"/>
            <color indexed="81"/>
            <rFont val="Tahoma"/>
            <family val="2"/>
          </rPr>
          <t xml:space="preserve">Michael Brown:
</t>
        </r>
        <r>
          <rPr>
            <sz val="9"/>
            <color indexed="81"/>
            <rFont val="Tahoma"/>
            <family val="2"/>
          </rPr>
          <t>Local plan allocation for whole of H11 is 140 dwellings; 19 dwellings represents the residual after accounting for 121 dwellings elsewhere on H11 in the granted application W/20/0760.</t>
        </r>
      </text>
    </comment>
    <comment ref="C7" authorId="0" shapeId="0" xr:uid="{00000000-0006-0000-0700-000004000000}">
      <text>
        <r>
          <rPr>
            <b/>
            <sz val="9"/>
            <color indexed="81"/>
            <rFont val="Tahoma"/>
            <family val="2"/>
          </rPr>
          <t>Adam James:</t>
        </r>
        <r>
          <rPr>
            <sz val="9"/>
            <color indexed="81"/>
            <rFont val="Tahoma"/>
            <family val="2"/>
          </rPr>
          <t xml:space="preserve">
Local plan allocation was for 75 dwellings;  W/19/0531 (up to 90 dwellings) granted subject to conditions and signing of s106.</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Brown</author>
    <author>Adam James</author>
  </authors>
  <commentList>
    <comment ref="C4" authorId="0" shapeId="0" xr:uid="{00000000-0006-0000-0800-000002000000}">
      <text>
        <r>
          <rPr>
            <b/>
            <sz val="9"/>
            <color indexed="81"/>
            <rFont val="Tahoma"/>
            <family val="2"/>
          </rPr>
          <t>Michael Brown:</t>
        </r>
        <r>
          <rPr>
            <sz val="9"/>
            <color indexed="81"/>
            <rFont val="Tahoma"/>
            <family val="2"/>
          </rPr>
          <t xml:space="preserve">
Remaining part of the allocation not covered by W/20/0617 expected to hold 300 dwellings, of which 50 are expected during the plan period.</t>
        </r>
      </text>
    </comment>
    <comment ref="C5" authorId="1" shapeId="0" xr:uid="{FFCEC229-1C32-4132-B9B5-58D3A05FDDD5}">
      <text>
        <r>
          <rPr>
            <b/>
            <sz val="9"/>
            <color indexed="81"/>
            <rFont val="Tahoma"/>
            <family val="2"/>
          </rPr>
          <t>Adam James:</t>
        </r>
        <r>
          <rPr>
            <sz val="9"/>
            <color indexed="81"/>
            <rFont val="Tahoma"/>
            <family val="2"/>
          </rPr>
          <t xml:space="preserve">
Allocated in Local Plan for 59, but c80 dwellings expected</t>
        </r>
      </text>
    </comment>
    <comment ref="C8" authorId="0" shapeId="0" xr:uid="{00000000-0006-0000-0800-000004000000}">
      <text>
        <r>
          <rPr>
            <b/>
            <sz val="9"/>
            <color indexed="81"/>
            <rFont val="Tahoma"/>
            <family val="2"/>
          </rPr>
          <t>Adam James:</t>
        </r>
        <r>
          <rPr>
            <sz val="9"/>
            <color indexed="81"/>
            <rFont val="Tahoma"/>
            <family val="2"/>
          </rPr>
          <t xml:space="preserve">
Rugby Club sites only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Sarah Cleverley</author>
  </authors>
  <commentList>
    <comment ref="D3" authorId="0" shapeId="0" xr:uid="{AA6D02A4-9822-4D59-AC3E-D67F869667AF}">
      <text>
        <r>
          <rPr>
            <b/>
            <sz val="9"/>
            <color indexed="81"/>
            <rFont val="Tahoma"/>
            <charset val="1"/>
          </rPr>
          <t>Sarah Cleverley:</t>
        </r>
        <r>
          <rPr>
            <sz val="9"/>
            <color indexed="81"/>
            <rFont val="Tahoma"/>
            <charset val="1"/>
          </rPr>
          <t xml:space="preserve">
application in for 1 dwelling rather than 12 </t>
        </r>
      </text>
    </comment>
  </commentList>
</comments>
</file>

<file path=xl/sharedStrings.xml><?xml version="1.0" encoding="utf-8"?>
<sst xmlns="http://schemas.openxmlformats.org/spreadsheetml/2006/main" count="1045" uniqueCount="727">
  <si>
    <t>2011/12</t>
  </si>
  <si>
    <t>2012/13</t>
  </si>
  <si>
    <t>2013/14</t>
  </si>
  <si>
    <t>2014/15</t>
  </si>
  <si>
    <t>2015/16</t>
  </si>
  <si>
    <t>2016/17</t>
  </si>
  <si>
    <t>2017/18</t>
  </si>
  <si>
    <t>2018/19</t>
  </si>
  <si>
    <t>2019/20</t>
  </si>
  <si>
    <t>2020/21</t>
  </si>
  <si>
    <t>2021/22</t>
  </si>
  <si>
    <t>2023/24</t>
  </si>
  <si>
    <t>2024/25</t>
  </si>
  <si>
    <t>2025/26</t>
  </si>
  <si>
    <t>2026/27</t>
  </si>
  <si>
    <t>2027/28</t>
  </si>
  <si>
    <t>2028/29</t>
  </si>
  <si>
    <t>Total</t>
  </si>
  <si>
    <t>Telephone Exchange</t>
  </si>
  <si>
    <t>Nelson Club, Car park</t>
  </si>
  <si>
    <t>Talisman Theatre</t>
  </si>
  <si>
    <t>Cubbington</t>
  </si>
  <si>
    <t>Kingswood</t>
  </si>
  <si>
    <t>Radford Semele</t>
  </si>
  <si>
    <t>Barford</t>
  </si>
  <si>
    <t>Baginton</t>
  </si>
  <si>
    <t>Burton Green</t>
  </si>
  <si>
    <t>Hatton Park</t>
  </si>
  <si>
    <t>Leek Wootton</t>
  </si>
  <si>
    <t>Hampton Magna</t>
  </si>
  <si>
    <t>TOTAL</t>
  </si>
  <si>
    <t>Year</t>
  </si>
  <si>
    <t>Actual Completions</t>
  </si>
  <si>
    <t>Forecast Completions</t>
  </si>
  <si>
    <t>Lock Lane</t>
  </si>
  <si>
    <t>SHLAA Ref</t>
  </si>
  <si>
    <t>L30</t>
  </si>
  <si>
    <t>L32</t>
  </si>
  <si>
    <t>W25</t>
  </si>
  <si>
    <t>W29</t>
  </si>
  <si>
    <t>K15</t>
  </si>
  <si>
    <t>W40</t>
  </si>
  <si>
    <t>2022/23</t>
  </si>
  <si>
    <t>Former sewage Works, Harbury Lane</t>
  </si>
  <si>
    <t>Completions</t>
  </si>
  <si>
    <t>W43</t>
  </si>
  <si>
    <t>Total - less 10%</t>
  </si>
  <si>
    <t>Cumulative Total</t>
  </si>
  <si>
    <t>Bishops Tachbrook</t>
  </si>
  <si>
    <t>Housing Trajectory 2011 - 2029</t>
  </si>
  <si>
    <t>Year 1</t>
  </si>
  <si>
    <t>Year 2</t>
  </si>
  <si>
    <t>Year 3</t>
  </si>
  <si>
    <t>Year 4</t>
  </si>
  <si>
    <t>Year 5</t>
  </si>
  <si>
    <t>L06</t>
  </si>
  <si>
    <t>W/15/0981</t>
  </si>
  <si>
    <t>Outline</t>
  </si>
  <si>
    <t>W/14/0967</t>
  </si>
  <si>
    <t>Baddesley Clinton</t>
  </si>
  <si>
    <t>Stoneleigh</t>
  </si>
  <si>
    <t>Lapworth</t>
  </si>
  <si>
    <t>Beausale</t>
  </si>
  <si>
    <t>Ashow</t>
  </si>
  <si>
    <t>Bubbenhall</t>
  </si>
  <si>
    <t>W/15/1230</t>
  </si>
  <si>
    <t>Erection of one bedroom dwelling.</t>
  </si>
  <si>
    <t>W/15/1635</t>
  </si>
  <si>
    <t>W/15/1683</t>
  </si>
  <si>
    <t>Rowington Green</t>
  </si>
  <si>
    <t>Rowington</t>
  </si>
  <si>
    <t>Haseley Knob</t>
  </si>
  <si>
    <t>Offchurch</t>
  </si>
  <si>
    <t>W/14/1479</t>
  </si>
  <si>
    <t>Total (Net)</t>
  </si>
  <si>
    <t>Five Year Supply</t>
  </si>
  <si>
    <t>d) Windfall Allowance</t>
  </si>
  <si>
    <t>e) Canalside &amp; Employment Regen Areas</t>
  </si>
  <si>
    <t>Urban brownfield</t>
  </si>
  <si>
    <t>Greenfield edge of Kenilworth</t>
  </si>
  <si>
    <t>Greenfield edge of Coventry</t>
  </si>
  <si>
    <t>Growth villages</t>
  </si>
  <si>
    <t>Elsewhere</t>
  </si>
  <si>
    <t>Greenfield edge of Warwick, Leamington and Whitnash</t>
  </si>
  <si>
    <t>Windfalls</t>
  </si>
  <si>
    <t>Spatial Area</t>
  </si>
  <si>
    <t>Units</t>
  </si>
  <si>
    <t>Sum of Total</t>
  </si>
  <si>
    <t>Row Labels</t>
  </si>
  <si>
    <t>Grand Total</t>
  </si>
  <si>
    <t>Sum of Remaining</t>
  </si>
  <si>
    <t>Sum of Total - 10%</t>
  </si>
  <si>
    <t>(blank)</t>
  </si>
  <si>
    <t>Growth Villages</t>
  </si>
  <si>
    <t>Small Shlaa Sites</t>
  </si>
  <si>
    <t>Commitments</t>
  </si>
  <si>
    <t>Allocated Greenfield Sites</t>
  </si>
  <si>
    <t>New Allocated Sites Jan 2016</t>
  </si>
  <si>
    <t>Allocated Brownfield Sites</t>
  </si>
  <si>
    <t>Canalside &amp; Employment Regeneration Areas</t>
  </si>
  <si>
    <t>Villages</t>
  </si>
  <si>
    <t>Commitments - April and May 2016</t>
  </si>
  <si>
    <t>Spatial Area Sub Total</t>
  </si>
  <si>
    <t>% of Spatial Area Sub Total</t>
  </si>
  <si>
    <t>NB. Gross figure used for Completions (101 losses/conversions across area)</t>
  </si>
  <si>
    <t>NB. Gross figure used for Commitments (53 losses/conversions across area)</t>
  </si>
  <si>
    <t>Limited Infill Villages</t>
  </si>
  <si>
    <t>Chessetts Wood</t>
  </si>
  <si>
    <t>Eathorpe</t>
  </si>
  <si>
    <t>Hampton-on-the-Hill</t>
  </si>
  <si>
    <t>Hatton Green</t>
  </si>
  <si>
    <t>Hatton Station</t>
  </si>
  <si>
    <t>Hill wootton</t>
  </si>
  <si>
    <t>Little Shrewley</t>
  </si>
  <si>
    <t>Lowsonford</t>
  </si>
  <si>
    <t>Norton Lindsey</t>
  </si>
  <si>
    <t>Old Milverton</t>
  </si>
  <si>
    <t>Sherbourne</t>
  </si>
  <si>
    <t>Shrewley Common</t>
  </si>
  <si>
    <t>Wasperton</t>
  </si>
  <si>
    <t>Weston-under-Wetherley</t>
  </si>
  <si>
    <t>Bishop’s Tachbrook</t>
  </si>
  <si>
    <t>Allocations</t>
  </si>
  <si>
    <t>Growth Villages Sub Total</t>
  </si>
  <si>
    <t>Limited Infill Villages Sub Total</t>
  </si>
  <si>
    <t>Villages Total</t>
  </si>
  <si>
    <t xml:space="preserve">c) Small Urban SHLAA Sites (Less 10% - rounded) </t>
  </si>
  <si>
    <t>W/16/1725</t>
  </si>
  <si>
    <t>W/15/1993</t>
  </si>
  <si>
    <t>W/16/2209</t>
  </si>
  <si>
    <t>Jewsons (not including Dairy site)</t>
  </si>
  <si>
    <t>h) Allocated Sites Villages</t>
  </si>
  <si>
    <t>c) Small SHLAA Sites</t>
  </si>
  <si>
    <t>e) Canalside &amp; Employment Regeneration Areas</t>
  </si>
  <si>
    <t xml:space="preserve"> f) Allocated Brownfield Sites</t>
  </si>
  <si>
    <t xml:space="preserve"> g) Allocated Greenfield Sites</t>
  </si>
  <si>
    <t>a) All Sites  - Summary of Actual and Forecast Completions</t>
  </si>
  <si>
    <t>Edge of Warwick, Leamington, Whitnash</t>
  </si>
  <si>
    <t xml:space="preserve">Edge of Kenilworth </t>
  </si>
  <si>
    <t>Edge of Coventry</t>
  </si>
  <si>
    <t>W/17/2084</t>
  </si>
  <si>
    <t>W/17/2328</t>
  </si>
  <si>
    <t>Idex Site, Charles Street</t>
  </si>
  <si>
    <t>Heathcote Hill Farmhouse</t>
  </si>
  <si>
    <t>Edmondscote Manor</t>
  </si>
  <si>
    <t>Hybrid</t>
  </si>
  <si>
    <t>Land North of Gallows Hill, Warwick, CV34 6SJ</t>
  </si>
  <si>
    <t>Land between Myton Road and Europa Way Warwick,</t>
  </si>
  <si>
    <t>Under construction</t>
  </si>
  <si>
    <t>Completed</t>
  </si>
  <si>
    <t>Full</t>
  </si>
  <si>
    <t>W/02/1636</t>
  </si>
  <si>
    <t>HILL FARM, OFFCHURCH ROAD, CUBBINGTON.</t>
  </si>
  <si>
    <t>W/05/1446</t>
  </si>
  <si>
    <t>Park Farm Barns, Stareton Lane, Stoneleigh, Kenilworth, CV8 2LL</t>
  </si>
  <si>
    <t>Conversion of barns to 3 live-work units</t>
  </si>
  <si>
    <t>W/08/0878</t>
  </si>
  <si>
    <t>14 Wise Street, Leamington Spa, CV31 3AP</t>
  </si>
  <si>
    <t>W/08/1438</t>
  </si>
  <si>
    <t>16 Wise Street/5 &amp; 6 Wise Terrace, Leamington Spa, CV31 3AP</t>
  </si>
  <si>
    <t>Bridge Dental Practice, Court Street, Leamington Spa, CV31 2BB</t>
  </si>
  <si>
    <t>Land off, Charles Street, Warwick, CV34 5LQ</t>
  </si>
  <si>
    <t>56 Southam Road, Radford Semele, Leamington Spa, CV31 1TA</t>
  </si>
  <si>
    <t>Land to Rear of Avon Court, School Lane, Kenilworth</t>
  </si>
  <si>
    <t>63 Bedford Street, Leamington Spa, CV32 5DN</t>
  </si>
  <si>
    <t>Horsley House Farm, Norton Curlieu Lane, Norton Lindsey, Warwick, CV35 8RD</t>
  </si>
  <si>
    <t>4 Windsor Street, Leamington Spa, CV32 5EB</t>
  </si>
  <si>
    <t>Kites Nest Farm, Kites Nest Lane, Beausale, Warwick, CV35 7PB</t>
  </si>
  <si>
    <t>9-11 Clemens Street, Leamington Spa, CV31 2DW</t>
  </si>
  <si>
    <t>W/18/1086</t>
  </si>
  <si>
    <t>1 Masefield Avenue, Warwick, CV34 6JU</t>
  </si>
  <si>
    <t>Erection of 2 bed dwellling house</t>
  </si>
  <si>
    <t>W/18/2148</t>
  </si>
  <si>
    <t>The Mill, Mill Lane, Little Shrewley, Shrewley, Warwick, CV35 7HN</t>
  </si>
  <si>
    <t>W/18/2282</t>
  </si>
  <si>
    <t>Barn Adjacent to Wappenbury Hall, Main Street, Wappenbury, Leamington Spa, CV33 9DW</t>
  </si>
  <si>
    <t>W/94/0208</t>
  </si>
  <si>
    <t>VILLAGE FARM, OFFCHURCH.</t>
  </si>
  <si>
    <t>PBSA</t>
  </si>
  <si>
    <t>Loss of:</t>
  </si>
  <si>
    <t>Residential Institutions</t>
  </si>
  <si>
    <t>As at:</t>
  </si>
  <si>
    <t>Gain of:</t>
  </si>
  <si>
    <t>Small HMO 3 to 6 people</t>
  </si>
  <si>
    <t>HMO Bedrooms</t>
  </si>
  <si>
    <t>Not started</t>
  </si>
  <si>
    <t>Purpose built student accommodation</t>
  </si>
  <si>
    <t>PBSA Bedrooms</t>
  </si>
  <si>
    <t>W/17/1614</t>
  </si>
  <si>
    <t>19-21 Wise Street, Leamington Spa, CV31 3AP</t>
  </si>
  <si>
    <t>Equivalent dwellings</t>
  </si>
  <si>
    <t>Ratio to calculate equivalent dwellings</t>
  </si>
  <si>
    <t>Equivalent dwellings - residential institutions</t>
  </si>
  <si>
    <t>Equivalent dwellings - students and HMO</t>
  </si>
  <si>
    <t>Dwellings granted</t>
  </si>
  <si>
    <t>Total for sites of up to 9 dwellings (net)</t>
  </si>
  <si>
    <t>Total for sites of 10 dwellings or more (net)</t>
  </si>
  <si>
    <t>Average annual requirement 1/4/11 to 31/3/17</t>
  </si>
  <si>
    <t>Requirement Calculations</t>
  </si>
  <si>
    <t>TOTAL 5 YEAR REQUIREMENT</t>
  </si>
  <si>
    <t>Number of years' supply</t>
  </si>
  <si>
    <t>years</t>
  </si>
  <si>
    <t>ANNUAL 5 YEAR REQUIREMENT</t>
  </si>
  <si>
    <t>Commitments - Planning Permissions</t>
  </si>
  <si>
    <t>Total in plan period</t>
  </si>
  <si>
    <t>2029/30</t>
  </si>
  <si>
    <t>2030/31</t>
  </si>
  <si>
    <t>2031/32</t>
  </si>
  <si>
    <t>d) Windfalls Trajectory (based on Updated Tables for Windfalls Paper - November 2016 - Doc EXAM 136)</t>
  </si>
  <si>
    <t>Average Annual Requirement</t>
  </si>
  <si>
    <t>Sui Generis - Large HMOs</t>
  </si>
  <si>
    <t>PBSA (purpose build student accommodation)</t>
  </si>
  <si>
    <t>C2 Residential institutions</t>
  </si>
  <si>
    <t>C4 Small HMOs</t>
  </si>
  <si>
    <t>Development of up to 425 residential dwellings (Use Class C3), medical centre, community hall, formal and informal green spaces, sports and recreation provision, structural landscaping, new roads, footpaths and cycle ways, site access and ancillary works (outline application including details of access).</t>
  </si>
  <si>
    <t>Revised application following planning permission no. W14/1076 to allow for a longer time limit for the commencement of the various phases of development. The development comprises the construction of up to 735 dwellings; a mixed use neighbourhood centre to include retail development (Use Classes A1, A2, A3, &amp; A4 and/or community and health uses (Class D1); safeguarding of land for education use; provision of formal and informal open spaces including sports and recreation provision, childrens and youth play areas and allotments/orchards; strategic landscaping and drainage works including surface water attenuation ponds as part of a sustainable urban drainage system; provision of two vehicular accesses, one off Europa Way and one off Saumur Way; car parking; creation of new footpaths and cycle ways and their connection to adjoining networks; ground remodelling; under grounding of overhead power lines including a new pylon to link to off site overhead lines; and formation of ponds as an ecological mitigation measure to accommodate the translocation of great crested newts.</t>
  </si>
  <si>
    <t>Submission of Reserved Matters (Layout, Scale, Appearance and Landscaping) pursuant to condition 1 of Outline Planning Permission W/14/0681 (as amended by W/17/0894) for 450 residential units with associated car and cycle parking provision, open space and public realm, childrens play space, landscaping, revised access from spine road and associated infrastructure works</t>
  </si>
  <si>
    <t>W/19/0933</t>
  </si>
  <si>
    <t>Land On The North Side Of, Birmingham Road, Hatton</t>
  </si>
  <si>
    <t>Full Planning Application - 150 Dwellings (Class C3); New Vehicular Access from Birmingham Road; New Temporary Vehicular Access for Sales and Construction from Birmingham Road; &amp; Associated Works</t>
  </si>
  <si>
    <t>Construction of 7 apartments and 8 parking spaces</t>
  </si>
  <si>
    <t>Demolition of existing commercial premises and erection of a three storey (and basement) building to provide 4 no apartments with 4 no parking spaces</t>
  </si>
  <si>
    <t>Variation of Condition No. 1 of P.P. W971539 to extend 5 year time limit for the conversion of barns to provide 3 dwelling units and 7 garages.</t>
  </si>
  <si>
    <t>Additional storey extension and internal alterations to provide 3 flats (1 x 1 bed and 2 x 2 bed)</t>
  </si>
  <si>
    <t>Change of use of ground floor from a hot food takeaway (Use Class A5) to offices (Use Class B1a); change of use of first floor from offices and erection of second floor extension to create 3 no. flats (Use Class C3); and external alterations</t>
  </si>
  <si>
    <t>Proposed conversion of barns and outbuildings to provide three dwellings</t>
  </si>
  <si>
    <t>Change of use of ground floor storage area and first floor and erection of second floor to provide 3no. flats</t>
  </si>
  <si>
    <t>Part demolition, conversion and extension of barns to provide 3 dwellings and garages; erection of garage; conversion of outbuilding to form garaging; erection of a screenwall; retention of part of outbuilding within curtilage of house 2.</t>
  </si>
  <si>
    <t>i) residential conversion of former threshing barn; ii) extensive site clearance and erection of a new barn-style dwelling, and iii) partial demolition, extension, alteration and restoration of Grade II listed farmhouse; plus conversion of barn to form holiday-let, erection of two timber stables and the upgrading of permissive public footpath through the site.</t>
  </si>
  <si>
    <t>W/18/2312</t>
  </si>
  <si>
    <t>Priors Club, Tower Street, Leamington Spa, CV31 2DR</t>
  </si>
  <si>
    <t>The demolition of existing social club and erection of two &amp; three storey cafe and bar with ancillary managers flat and staff accommodation.</t>
  </si>
  <si>
    <t>Shrewley Gate Nursery, Old Warwick Road, Shrewley, Warwick, CV35 7AX</t>
  </si>
  <si>
    <t>Erection of 1no. dwellinghouse and alteration to existing access</t>
  </si>
  <si>
    <t>Proposed chalet style house, land to rear of Avon Court School Lane Kenilworth (site of existing garages)</t>
  </si>
  <si>
    <t>Erection of a two and three storey dwelling after demolition of existing building</t>
  </si>
  <si>
    <t>W/18/1292</t>
  </si>
  <si>
    <t>1 Nursery Lane, Leamington Spa, CV31 2PW</t>
  </si>
  <si>
    <t>Proposed erection of a two bedroom dwelling</t>
  </si>
  <si>
    <t>Amendments to planning permission ref: W/18/0067 (Conversion (with minor extensions and alterations) of craft workshops building to 1no. house, including ancillary business use).</t>
  </si>
  <si>
    <t>Application under Class Q(a) and (b) of the GPDO for the conversion of existing barn into a single dwelling including external works to facilitate the use</t>
  </si>
  <si>
    <t>2 Highland Road, Kenilworth, CV8 2ET</t>
  </si>
  <si>
    <t>Lapworth Grange, Spring Lane, Lapworth, Solihull, B94 5NT</t>
  </si>
  <si>
    <t>Rosedale, Main Street, Eathorpe, Leamington Spa, CV33 9DE</t>
  </si>
  <si>
    <t>W/19/1205</t>
  </si>
  <si>
    <t>Dalehouse Farm, Dalehouse Lane, Kenilworth, CV8 2JZ</t>
  </si>
  <si>
    <t>Change of use from dwelling (Use Class C3) to residential training centre (Use Class C2)</t>
  </si>
  <si>
    <t>b1) Commitments - dwellings (outline)</t>
  </si>
  <si>
    <t>b2) Commitments - dwellings (full permission)</t>
  </si>
  <si>
    <t>b3) Commitments - Shared accommodation (full permission)</t>
  </si>
  <si>
    <t>Local plan allocation ref</t>
  </si>
  <si>
    <t>H09</t>
  </si>
  <si>
    <t>H12</t>
  </si>
  <si>
    <t>H02 (part)</t>
  </si>
  <si>
    <t>Kenilworth school</t>
  </si>
  <si>
    <t>Kenilworth VI Form</t>
  </si>
  <si>
    <t>Site</t>
  </si>
  <si>
    <t>H11 (part)</t>
  </si>
  <si>
    <t>Land at Montague Road (Ambulance station)</t>
  </si>
  <si>
    <t>H16 (part)</t>
  </si>
  <si>
    <t>H45</t>
  </si>
  <si>
    <t>H08</t>
  </si>
  <si>
    <t>Land at Hazelmere/Little Acre</t>
  </si>
  <si>
    <t>Oak Lea, Finham</t>
  </si>
  <si>
    <t>Village</t>
  </si>
  <si>
    <t>H32</t>
  </si>
  <si>
    <t>R/O Brome Hall Lane</t>
  </si>
  <si>
    <t>Common Lane, Kenilworth (industrial estate)</t>
  </si>
  <si>
    <t>Cape Road / Millers Road, Warwick</t>
  </si>
  <si>
    <t>However as there are no current plans for regeneration, and it is not clear how much of each area might be redeveloped, it is not possible to make predictions for quantities or build-out rates</t>
  </si>
  <si>
    <t>Sydenham Industrial Estate, Leamington spa</t>
  </si>
  <si>
    <t>The sites on this sheet were identified in the Local Plan as having the potential for housing, as they are less capable of providing the right type of employment land in the right location to meet future business needs.</t>
  </si>
  <si>
    <t>2032/33</t>
  </si>
  <si>
    <t>2033/34</t>
  </si>
  <si>
    <t>2034/35</t>
  </si>
  <si>
    <t>2035/36</t>
  </si>
  <si>
    <t>2036/37</t>
  </si>
  <si>
    <t>Small Urban SHLAA Sites</t>
  </si>
  <si>
    <t>Dwellings
granted</t>
  </si>
  <si>
    <t>Not
started</t>
  </si>
  <si>
    <t>Remaining
(UC + NS)</t>
  </si>
  <si>
    <t>W/20/0232</t>
  </si>
  <si>
    <t>Land between Myton Road and  Europa Way, (Parcel 4)  Warwick</t>
  </si>
  <si>
    <t>Application for Reserved Matters pursuant to condition 1 of planning permission ref:W/15/0981 for details of appearance, layout and scale of 235 dwellings including access road, public open space and ancillary works</t>
  </si>
  <si>
    <t>W/19/1940</t>
  </si>
  <si>
    <t>Kings High School for Girls, Chapel Street, Warwick, CV34 4HJ</t>
  </si>
  <si>
    <t>Redevelopment of former King's High School site consisting of main school site, Priory Building, St Nicholas Building and Numbers 2 and 10-14 Chapel Street.  Development to include the demolition of gymnasium building, sixth form building, language building, Priory Building and modern elements attached to the Listed Buildings together with alterations to the external appearance of retained non-Listed Buildings.  Erection of new apartment buildings and town houses together with the conversion of retained buildings to create a total of 118no. residential units in a mixture of houses, apartments and duplexes.  Creation of underground car and cycle parking together with hard and soft landscaping and other associated works.</t>
  </si>
  <si>
    <t>W/20/0312</t>
  </si>
  <si>
    <t>54 Kenilworth Road, Leamington Spa, CV32 6JW</t>
  </si>
  <si>
    <t>Proposed conversion from single dwelling to form 5no. 1 bedroom and 3no. 2 bedroom apartments. Demolition of existing single storey side extension and erection of replacement single storey side extension (re-submission of previously withdrawn W/19/1562).</t>
  </si>
  <si>
    <t>W/20/0719</t>
  </si>
  <si>
    <t>2,5,6 &amp; 7  Bertie Terrace, Leamington Spa, CV32 5BL</t>
  </si>
  <si>
    <t>Conversion of existing basements to number 2, 5, 6 and 7 Bertie Terrace to form 4 new residential units (C3 Use), including associated landscaping works to the rear to provide new private amenity space.</t>
  </si>
  <si>
    <t>W/17/1584</t>
  </si>
  <si>
    <t>1 Castle Hill, Kenilworth, CV8 1NB</t>
  </si>
  <si>
    <t>Proposed conversion of existing lower ground floor to self contained one bedroomed apartment.</t>
  </si>
  <si>
    <t>W/19/2080</t>
  </si>
  <si>
    <t>Barnwell Farm, Harbury Lane, Bishops Tachbrook, Leamington Spa, CV33 9QB</t>
  </si>
  <si>
    <t>Construction of a new dwelling house to be occupied by an agricultural worker to replace existing mobile home.</t>
  </si>
  <si>
    <t>Land On The East Side Of, Glasshouse Lane, Kenilworth</t>
  </si>
  <si>
    <t>Demolition of existing farmhouse and agricultural buildings and outline planning application for residential development of up to 620 dwellings (Use Class C3), new primary school (Use Class F.1) including means of access into site (not internal roads), parking and associated works, with all other matters (relating to appearance, landscaping, scale and layout) reserved</t>
  </si>
  <si>
    <t>Care Home Bedrooms</t>
  </si>
  <si>
    <t>H06 (part)</t>
  </si>
  <si>
    <t>East of Kenilworth (Thickthorn) (northern part)</t>
  </si>
  <si>
    <t>H03 (part)</t>
  </si>
  <si>
    <t>East of Whithash (sourthern part)</t>
  </si>
  <si>
    <t>2037/38</t>
  </si>
  <si>
    <t>2038/39</t>
  </si>
  <si>
    <t>W/20/2020</t>
  </si>
  <si>
    <t>Land at Thickthorn, Kenilworth</t>
  </si>
  <si>
    <t>Hybrid planning application comprising: 
Full planning application for 98 dwellings (Class C3) served via two new vehicular / pedestrian / cycle access connections from Leamington Road, pedestrian and cycle access to Thickthorn Close; strategic landscaping and earthworks, surface water drainage and all other ancillary infrastructure and enabling works
Outline planning application for demolition of existing buildings and structures; residential development of up to 452 dwellings (Class C3); primary school (Class F.1); employment (Class B2); Class E development; hot food takeaway (sui generis), community centre (Class F.2); strategic landscaping and earthworks, surface water drainage and all other ancillary infrastructure and enabling works with means of site access (excluding internal roads) from the new junction into the detailed parcel of development and access junction off Glasshouse Lane; all other matters (internal access, layout, appearance, scale and landscaping) reserved for subsequent approval.</t>
  </si>
  <si>
    <t>W/18/0643</t>
  </si>
  <si>
    <t>Outline application with access: Development of up to 2,500 dwellings (C3); 4,000 sq.m. of mixed use floorspace (A1, A2, A3, A4, A5, B1, C2, D1 and D2); Primary School; Secondary School, Open Space and Associated Infrastructure</t>
  </si>
  <si>
    <t>W/20/0808</t>
  </si>
  <si>
    <t>Land north of Rosswood Farm, Coventry Road, Baginton, Coventry, CV8 3AD</t>
  </si>
  <si>
    <t>Full application for the proposed development of 56 no. affordable dwellinghouses, consisting of mixed tenure of Social Rent and Shared Ownership on land adjacent to Coventry Road, Baginton.</t>
  </si>
  <si>
    <t>W/20/1240</t>
  </si>
  <si>
    <t>18-20 Parade, Leamington Spa, CV32 4DW</t>
  </si>
  <si>
    <t>Change of use from existing offices on all floors at 18 Parade and first, second and third floors only at 20 Parade to create 10no. self-contained apartments.</t>
  </si>
  <si>
    <t>W/21/0396</t>
  </si>
  <si>
    <t>Flat, 25 High Street, Leamington Spa, CV31 1LN</t>
  </si>
  <si>
    <t>Change of use and conversion from 6 bed House in Multiple Occupation (Use Class C4) to 3no. 1 bedroom flats</t>
  </si>
  <si>
    <t>W/21/0721</t>
  </si>
  <si>
    <t>Brook Farm, Myton Road, Warwick, CV34 6SB</t>
  </si>
  <si>
    <t>Erection of three detached dwellings; and associated alterations and single-storey extension to Brook Farm House</t>
  </si>
  <si>
    <t>W/21/1313</t>
  </si>
  <si>
    <t>Baginton School Site, Church Road, Baginton, CV8 3AR</t>
  </si>
  <si>
    <t>Erection of 2no new dwellings incorporating associated landscaping and proposal of a new peace garden</t>
  </si>
  <si>
    <t>W/20/1847</t>
  </si>
  <si>
    <t>Erection of 1no. dwelling and associated vehicular access.</t>
  </si>
  <si>
    <t>W/21/0446</t>
  </si>
  <si>
    <t>Demolition of existing buildings and structures and erection of a single dwelling and associated landscaping.</t>
  </si>
  <si>
    <t>The Rye House, Catesby Lane, Lapworth, Solihull, B94 5QY</t>
  </si>
  <si>
    <t>Finwood Hill Farm, Mill Lane, Rowington, Warwick, B95 5HH</t>
  </si>
  <si>
    <t>Application for the conversion of rural building into a residential dwelling.</t>
  </si>
  <si>
    <t>W/21/1392</t>
  </si>
  <si>
    <t>Hillside House, 50 Bakers Lane, Knowle, Solihull, B93 8PW</t>
  </si>
  <si>
    <t>Conversion of agricultural building, adjacent stable and garage to a single dwelling (Use Class C3), following Class Q approval for conversion of agricultural building (W/21/0098)</t>
  </si>
  <si>
    <t>W/18/0921</t>
  </si>
  <si>
    <t>Ley End Farm, School Lane, Beausale, Warwick, CV35 7NW</t>
  </si>
  <si>
    <t>Demolition of existing farmhouse, domestic outbuildings and agricultural buildings and erection of replacement farmhouse, new garaging and new farmyard access</t>
  </si>
  <si>
    <t>Under Construction</t>
  </si>
  <si>
    <t>Not Started</t>
  </si>
  <si>
    <t>Land South of  Gallows Hill and West of Europa Way Warwick CV34 6SP</t>
  </si>
  <si>
    <t>2039/40</t>
  </si>
  <si>
    <t>Land at Kings Hill Lane, Stoneleigh</t>
  </si>
  <si>
    <t>W/21/0955</t>
  </si>
  <si>
    <t>Land at the Asps, Bound by Europa Way (A452) to the east and Banbury Road (A425) to the west, Leamington Spa, CV34 6SS</t>
  </si>
  <si>
    <t>Reserved Matters application pursuant to condit</t>
  </si>
  <si>
    <t>W/21/0930</t>
  </si>
  <si>
    <t>W/22/2000</t>
  </si>
  <si>
    <t>149 - 151 Warwick Road, Kenilworth, CV8 1HY</t>
  </si>
  <si>
    <t>Demolition of existing hotel and 151 Warwick R</t>
  </si>
  <si>
    <t>W/22/0830</t>
  </si>
  <si>
    <t>90 Nelson Lane, Warwick, CV34 5JB</t>
  </si>
  <si>
    <t xml:space="preserve">Demolition of existing buildings, erection of 8no. </t>
  </si>
  <si>
    <t>41 Avenue Road, Leamington Spa, CV31 3PF</t>
  </si>
  <si>
    <t>W/21/1750</t>
  </si>
  <si>
    <t>Oakley Wood Barns, Banbury Road, Bishops Tachbrook, Leamington Spa, CV33 9QJ</t>
  </si>
  <si>
    <t>Conversion of a redundant agricultural building in</t>
  </si>
  <si>
    <t>Offa House, Village Street, Offchurch, Leamington Spa, CV33 9AS</t>
  </si>
  <si>
    <t>W/21/0410</t>
  </si>
  <si>
    <t>62 Leam Terrace, Leamington Spa, CV31 1BQ</t>
  </si>
  <si>
    <t>Erection of 2no. 1 bed maisonette flats to land r</t>
  </si>
  <si>
    <t>W/21/0538</t>
  </si>
  <si>
    <t>60 Regent Street, Leamington Spa, CV32 5EG</t>
  </si>
  <si>
    <t>Change of use of first and second floors to provi</t>
  </si>
  <si>
    <t>W/22/0175</t>
  </si>
  <si>
    <t>1 Park Road, Kenilworth, CV8 2GF</t>
  </si>
  <si>
    <t>Proposed change of use from five bedroom licen</t>
  </si>
  <si>
    <t>W/22/0305</t>
  </si>
  <si>
    <t>3 Gulistan Road, Leamington Spa, CV32 5LU</t>
  </si>
  <si>
    <t xml:space="preserve">Erection of a pair of semi-detached two bedroom </t>
  </si>
  <si>
    <t>W/22/1036</t>
  </si>
  <si>
    <t>Kenilworth Lodge, Leamington Road, Kenilworth, CV8 2AA</t>
  </si>
  <si>
    <t>Erection of 2no. dwelling houses on garden to th</t>
  </si>
  <si>
    <t>W/21/0708</t>
  </si>
  <si>
    <t>Barn 6 -Stanks Farm,Old Budbrooke Road, Budbrooke, Warwick, CV35 8RH</t>
  </si>
  <si>
    <t>Conversion of Barn 6 to a dwelling</t>
  </si>
  <si>
    <t>W/21/1276</t>
  </si>
  <si>
    <t>2 Church Lane, Cubbington, Leamington Spa, CV32 7JT</t>
  </si>
  <si>
    <t xml:space="preserve">Demolition of existing cottage ground floor side </t>
  </si>
  <si>
    <t>W/21/1493</t>
  </si>
  <si>
    <t>1 Rock Cottages, Warwick Road, Leek Wootton, Warwick, CV35 7RB</t>
  </si>
  <si>
    <t xml:space="preserve">Demolition of existing garage &amp; erection of 1no. </t>
  </si>
  <si>
    <t>Shepherds Fold, Finwood Road, Rowington, Warwick, CV35 7DF</t>
  </si>
  <si>
    <t>W/21/2144</t>
  </si>
  <si>
    <t>Chapel Hill Farm, Oakley Wood Road, Bishops Tachbrook, Leamington Spa, CV33 9QE</t>
  </si>
  <si>
    <t>Conversion of rural building to create single dwe</t>
  </si>
  <si>
    <t>W/21/2232</t>
  </si>
  <si>
    <t>Lansdowne Hotel, 87-89 Clarendon Street, Leamington Spa, CV32 4PF</t>
  </si>
  <si>
    <t xml:space="preserve">Change of Use of No.89 Clarendon Street from a </t>
  </si>
  <si>
    <t>W/22/0890</t>
  </si>
  <si>
    <t>28 Clarendon Square, Leamington Spa, CV32 5QX</t>
  </si>
  <si>
    <t>Conversion of basement to a 2 bed apartment</t>
  </si>
  <si>
    <t>W/22/1124</t>
  </si>
  <si>
    <t>18 Parade, Leamington Spa, CV32 4DW</t>
  </si>
  <si>
    <t>Proposed conversion of existing basement to 1n</t>
  </si>
  <si>
    <t>W/22/1932</t>
  </si>
  <si>
    <t>Demolition of existing dwelling and erection of 2</t>
  </si>
  <si>
    <t>W/21/1855</t>
  </si>
  <si>
    <t>Lantern House, Chessetts Wood Road, Lapworth, Solihull, B94 6EP</t>
  </si>
  <si>
    <t>Variation of Condition 2 (approved plans) of plan</t>
  </si>
  <si>
    <t>W/22/0001</t>
  </si>
  <si>
    <t>43 Buckley Road, Lillington, Leamington Spa, CV32 7QG</t>
  </si>
  <si>
    <t>Change of use from 3 bedroom dwellinghouse (U</t>
  </si>
  <si>
    <t>W/22/0564</t>
  </si>
  <si>
    <t>58A Clemens Street, Leamington Spa, CV31 2DN</t>
  </si>
  <si>
    <t>Change of use from 3 bed dwellinghouse (Use C</t>
  </si>
  <si>
    <t>7 Kenilworth Road, Cubbington, Leamington Spa, CV32 7TN</t>
  </si>
  <si>
    <t>W/21/1811</t>
  </si>
  <si>
    <t>Total beyond plan period</t>
  </si>
  <si>
    <t>Court Street</t>
  </si>
  <si>
    <t>W/18/2313</t>
  </si>
  <si>
    <t>f) Allocated Brownfield Sites without permission</t>
  </si>
  <si>
    <t>g) Allocated Greenfield Sites without permission</t>
  </si>
  <si>
    <t>h) Allocated Sites Villages without permission</t>
  </si>
  <si>
    <t>Local Plan Allocations without permission</t>
  </si>
  <si>
    <t>Consolidated employment land (Canalside and Employment areas tab)</t>
  </si>
  <si>
    <t>W/21/1280</t>
  </si>
  <si>
    <t>Land South of  Westwood Heath Road, Burton Green, Coventry</t>
  </si>
  <si>
    <t>W/21/0577</t>
  </si>
  <si>
    <t>Land South of Gallows Hill / Banbury Hill  Warwick, CV34 6RN</t>
  </si>
  <si>
    <t>Application for approval of reserved matters in pu</t>
  </si>
  <si>
    <t>W/22/1038</t>
  </si>
  <si>
    <t>Land at  Rosswood Farm, Coventry Road, Baginton, Coventry, CV8 3AD</t>
  </si>
  <si>
    <t>W/22/0463</t>
  </si>
  <si>
    <t>Land adjacent, 9 Clarendon Place, Leamington Spa, CV32 5QL</t>
  </si>
  <si>
    <t>Demolition of cadet hut and storage building; ere</t>
  </si>
  <si>
    <t>W/22/1407</t>
  </si>
  <si>
    <t>Glebe Hotel, Church Street, Barford, Warwick, CV35 8BS</t>
  </si>
  <si>
    <t xml:space="preserve">Redevelopment of former Glebe hotel, including </t>
  </si>
  <si>
    <t>W/23/1084</t>
  </si>
  <si>
    <t>17 Beverley Road, Leamington Spa, CV32 6PH</t>
  </si>
  <si>
    <t xml:space="preserve">Demolition of existing dwelling and construction </t>
  </si>
  <si>
    <t>W/22/1465</t>
  </si>
  <si>
    <t>Agricultural Building, Land off Pit Hill, Bubbenhall</t>
  </si>
  <si>
    <t xml:space="preserve">Application for Prior Approval under Schedule 2, </t>
  </si>
  <si>
    <t>W/23/1315</t>
  </si>
  <si>
    <t>Crackley Farm, Crackley Lane, Kenilworth, CV8 2JS</t>
  </si>
  <si>
    <t>Application for Prior Approval for the proposed c</t>
  </si>
  <si>
    <t>W/23/1530</t>
  </si>
  <si>
    <t>Agricultural Buildings 1 and 2 Sawpit Close Farm, Ryton Road, Bubbenhall, Coventry, CV8 3BH</t>
  </si>
  <si>
    <t>Prior Approval application for proposed conversio</t>
  </si>
  <si>
    <t>W/21/0835</t>
  </si>
  <si>
    <t>W/21/0743</t>
  </si>
  <si>
    <t>3 Euston Place, Leamington Spa, CV32 4LN</t>
  </si>
  <si>
    <t>Change of use and conversion of upper floors fro</t>
  </si>
  <si>
    <t>W/23/0493</t>
  </si>
  <si>
    <t>The Lyons Farm House, Rowington Green, Rowington, Warwick, CV35 7DB</t>
  </si>
  <si>
    <t xml:space="preserve">Redevelopment of farm building to provide three </t>
  </si>
  <si>
    <t>W/23/1394</t>
  </si>
  <si>
    <t>64-66 Market Place, Warwick</t>
  </si>
  <si>
    <t>Conversion of existing offices into 2no. one bedr</t>
  </si>
  <si>
    <t>W/23/1425</t>
  </si>
  <si>
    <t>6 Lillington Avenue, Leamington Spa, CV32 5UJ</t>
  </si>
  <si>
    <t>Proposed works comprising three storey rear ex</t>
  </si>
  <si>
    <t>W/23/1680</t>
  </si>
  <si>
    <t>Shop and Premises, 5 Old Milverton Road, Milverton, Leamington Spa, CV32 6AY</t>
  </si>
  <si>
    <t>Change of use from ground floor shop (Use Clas</t>
  </si>
  <si>
    <t>W/21/1255</t>
  </si>
  <si>
    <t>Land off  Bushwood Lane, Lapworth, B94 5PJ</t>
  </si>
  <si>
    <t>Change of use of building to holiday accommod</t>
  </si>
  <si>
    <t>W/22/0367</t>
  </si>
  <si>
    <t>Clinton House, Old Warwick Road, Rowington, Warwick, CV35 7BT</t>
  </si>
  <si>
    <t>Erection of single storey dwelling</t>
  </si>
  <si>
    <t>W/22/1393</t>
  </si>
  <si>
    <t>3 Lewis Road, Radford Semele, Leamington Spa, CV31 1UB</t>
  </si>
  <si>
    <t>Erection of 1no. bungalow</t>
  </si>
  <si>
    <t>W/22/1886</t>
  </si>
  <si>
    <t>Demolition of former equestrian building and ere</t>
  </si>
  <si>
    <t>W/23/0060</t>
  </si>
  <si>
    <t>99 Upper Holly Walk, Leamington Spa, CV32 4JU</t>
  </si>
  <si>
    <t xml:space="preserve">Erection of a second storey rear extension and </t>
  </si>
  <si>
    <t>W/23/0167</t>
  </si>
  <si>
    <t>Lowsonford Barn, Lapworth Street, Bushwood, Lowsonford, Henley-in-Arden, B95 5HJ</t>
  </si>
  <si>
    <t>Change of use of B1 (a) Office to a dwelling (Us</t>
  </si>
  <si>
    <t>W/23/0178</t>
  </si>
  <si>
    <t>Middle Farm Barn, Oakley Wood Road, Bishops Tachbrook, Leamington Spa, CV33 9RT</t>
  </si>
  <si>
    <t>Prior Approval for the change of use of an agricu</t>
  </si>
  <si>
    <t>Erection of 1no. dwelling</t>
  </si>
  <si>
    <t>W/23/0303</t>
  </si>
  <si>
    <t>Restoration of Offa House including demolition o</t>
  </si>
  <si>
    <t>W/23/0326</t>
  </si>
  <si>
    <t>Lapworth House, Wharf Lane, Lapworth, Solihull, B94 5QH</t>
  </si>
  <si>
    <t xml:space="preserve">Change of use and conversion of brick built barn </t>
  </si>
  <si>
    <t>W/23/0723</t>
  </si>
  <si>
    <t>Barn, Middle Farm, Oakley Wood Road, Bishops Tachbrook, CV33 9RT</t>
  </si>
  <si>
    <t>Change of use and conversion of agricultural bui</t>
  </si>
  <si>
    <t>W/23/0788</t>
  </si>
  <si>
    <t>Conversion of former Coach House to create 1no</t>
  </si>
  <si>
    <t>W/23/0789</t>
  </si>
  <si>
    <t>Conversion of brick barn to create a single dwell</t>
  </si>
  <si>
    <t>W/23/0915</t>
  </si>
  <si>
    <t>16 Watersfield Gardens, Leamington Spa, CV31 1NT</t>
  </si>
  <si>
    <t>W/23/0954</t>
  </si>
  <si>
    <t>Erection of detached one-and-a-half storey dwel</t>
  </si>
  <si>
    <t>W/23/1149</t>
  </si>
  <si>
    <t>163 Cromwell Lane, Burton Green, Kenilworth, CV4 8AN</t>
  </si>
  <si>
    <t>Outline planning application (with all matters res</t>
  </si>
  <si>
    <t>W/23/1185</t>
  </si>
  <si>
    <t>Land to the North of, Bakers Lane, Knowle, Solihull</t>
  </si>
  <si>
    <t>Proposed dwelling in lieu of extant Class Q Prio</t>
  </si>
  <si>
    <t>W/23/1207</t>
  </si>
  <si>
    <t>151 Warwick Road, Kenilworth, CV8 1HY</t>
  </si>
  <si>
    <t>Demolition of existing dwelling at No.151 Warwi</t>
  </si>
  <si>
    <t xml:space="preserve">Demolition of existing dwelling and erection of a </t>
  </si>
  <si>
    <t>W/22/0215</t>
  </si>
  <si>
    <t>71 Inchbrook Road, Kenilworth, CV8 2EW</t>
  </si>
  <si>
    <t>Demolition of existing dwelling and proposed ere</t>
  </si>
  <si>
    <t>W/22/0304</t>
  </si>
  <si>
    <t>Bericote House, Stoneleigh Road, Blackdown, Leamington Spa, CV32 6QR</t>
  </si>
  <si>
    <t xml:space="preserve">Erection of replacement dwelling and associated </t>
  </si>
  <si>
    <t>W/22/1141</t>
  </si>
  <si>
    <t>Little Fieldgate, 55 Fieldgate Lane, Kenilworth, CV8 1BT</t>
  </si>
  <si>
    <t xml:space="preserve">Demolition of existing bungalow and garage and </t>
  </si>
  <si>
    <t>W/22/1910</t>
  </si>
  <si>
    <t>Pine Cottage, Rising Lane, Lapworth, Solihull, B94 6JB</t>
  </si>
  <si>
    <t>Erection of replacement dwelling</t>
  </si>
  <si>
    <t>W/23/0760</t>
  </si>
  <si>
    <t>38 Cobden Avenue, Leamington Spa, CV31 1YF</t>
  </si>
  <si>
    <t>Change of use from 4 bed dwellinghouse (Use C</t>
  </si>
  <si>
    <t>NB the above Housing Trajectory graph and associated table reflects the Local Plan requirements, rather than the Standard Method requirements implemented since 2023</t>
  </si>
  <si>
    <t>Supply Calculations next five years (1/4/24 to 31/3/29)</t>
  </si>
  <si>
    <t>Buffer - either a 5% buffer to ensure choice and competition or 20% buffer where there is significant under-delivery over the 3 previous years. (5% applied for 2024)</t>
  </si>
  <si>
    <t>Commitments - Residential Institutions (@1.9 residents per dwelling)</t>
  </si>
  <si>
    <t>Commitments - Students and HMOs (@2.4 students per dwelling)</t>
  </si>
  <si>
    <t>Sites with full planning permission</t>
  </si>
  <si>
    <t>Sites with outline planning permission</t>
  </si>
  <si>
    <t>W/20/1887</t>
  </si>
  <si>
    <t>3 Wise Terrace, Leamington CV31 3AS</t>
  </si>
  <si>
    <t>HMO &amp; PBSA Bedrooms</t>
  </si>
  <si>
    <t>43 Buckley Road, Lillington, Leamington Spa CV32 7QG</t>
  </si>
  <si>
    <t>1 Park Road, Kenilworth CV8 2GF</t>
  </si>
  <si>
    <t>58A Clemens Street, Leamington Spa CV31 2DN</t>
  </si>
  <si>
    <t>38 Cobden Avenue, Leamington Spa CV31 1YF</t>
  </si>
  <si>
    <t>Outline plannning application for the demolition of existing bungalow and erection of up to 63 dwellings (all matters reserved)</t>
  </si>
  <si>
    <t xml:space="preserve">Surplus/deficit </t>
  </si>
  <si>
    <t>H40</t>
  </si>
  <si>
    <t>East of Kenilworth (Woodside Conference Centre)</t>
  </si>
  <si>
    <t>W/24/0610</t>
  </si>
  <si>
    <t>Riverside House, Milverton Hill, Leamington Spa</t>
  </si>
  <si>
    <t>Hybrid planning application for Outline planning permission (all matters reserved except for access) for up to 74 new dwellings (including 40% affordable, public open space, landscaping, and associated infrastructure at Riverside House; and Full planning permission for the creastion of a new public park at Elizabeth Park.</t>
  </si>
  <si>
    <t>W/22/1877</t>
  </si>
  <si>
    <t>Land at Warwickshire Police HQ, Woodcote Lane, Leek Wootton</t>
  </si>
  <si>
    <t>Application for Outline Planning Permission</t>
  </si>
  <si>
    <t>W/24/0963</t>
  </si>
  <si>
    <t>Land South of, Westwood Heath Road, Coventry</t>
  </si>
  <si>
    <t>Variation of conditions 1 (plans) 6 (parking provi</t>
  </si>
  <si>
    <t>W/22/1990</t>
  </si>
  <si>
    <t>Application for approval of reserved matters (app</t>
  </si>
  <si>
    <t>W/23/1766</t>
  </si>
  <si>
    <t>Reserved Matters application for a residential de</t>
  </si>
  <si>
    <t>Land On The South Side Of Chesterton Gardens, Leamington Spa</t>
  </si>
  <si>
    <t>W/22/1104</t>
  </si>
  <si>
    <t>Land off Harbury Lane and Oakley Wood Road, Oakley Grove Phase 3</t>
  </si>
  <si>
    <t>Reserved Matters application in association with W/19/1030 for 150 dwellings together with associated roads, parking, landscaping and drainage infrastructure.</t>
  </si>
  <si>
    <t>W/23/1726</t>
  </si>
  <si>
    <t>Land of Thickthorn, Kenilworth</t>
  </si>
  <si>
    <t>Application for approval of reserved matters for P</t>
  </si>
  <si>
    <t>W/23/0824</t>
  </si>
  <si>
    <t>Land at, Goggbridge Lane, Hampton Road, Warwick</t>
  </si>
  <si>
    <t>Development of 67 dwellings with access, parkin</t>
  </si>
  <si>
    <t>W/23/1178</t>
  </si>
  <si>
    <t>Land South of, Westham Lane, Barford</t>
  </si>
  <si>
    <t xml:space="preserve">Residential development of 34no. dwellings and </t>
  </si>
  <si>
    <t>W/23/1547</t>
  </si>
  <si>
    <t>The Waterside Inn, Queensway, Leamington Spa, CV31 3JZ</t>
  </si>
  <si>
    <t>Conversion of The Waterside Inn public house/re</t>
  </si>
  <si>
    <t>W/24/0886</t>
  </si>
  <si>
    <t>Hermes House 20 Coventry Road, Cubbington, Leamington Spa, CV32 7JN</t>
  </si>
  <si>
    <t xml:space="preserve">Application for Prior Approval for change of use </t>
  </si>
  <si>
    <t>W/22/0188</t>
  </si>
  <si>
    <t>Maisonette, 35-37 Parade, Leamington Spa, CV32 4BL</t>
  </si>
  <si>
    <t>Conversion of upper floors into 5 no. flats</t>
  </si>
  <si>
    <t>W/23/0841</t>
  </si>
  <si>
    <t>Woodloes Farm, Woodloes Lane, Guys Cliffe, Warwick, CV35 7RE</t>
  </si>
  <si>
    <t>Demolition of existing timber sunroom side exte</t>
  </si>
  <si>
    <t>W/24/0537</t>
  </si>
  <si>
    <t>Priory Block, Kings High School For Girls, Chapel Street, Warwick, CV34 4HL</t>
  </si>
  <si>
    <t>Conversion of the Existing 3 Storey former scho</t>
  </si>
  <si>
    <t>W/22/0799</t>
  </si>
  <si>
    <t>8 Eastfield Road, Leamington Spa, CV32 4EX</t>
  </si>
  <si>
    <t>Proposed change of use to ground floor garage/</t>
  </si>
  <si>
    <t>W/24/1417</t>
  </si>
  <si>
    <t>Conversion of agricultural buildings to 3no. resid</t>
  </si>
  <si>
    <t>W/23/0479</t>
  </si>
  <si>
    <t>32  Russell Terrace, Leamington Spa</t>
  </si>
  <si>
    <t xml:space="preserve">Application for a Lawful Development Certificate </t>
  </si>
  <si>
    <t>W/23/1747</t>
  </si>
  <si>
    <t>Manor Farm, Holywell, Rowington, Warwick, CV35 7BH</t>
  </si>
  <si>
    <t xml:space="preserve">Conversion of barn to create 2no. dwellings and </t>
  </si>
  <si>
    <t>W/24/0314</t>
  </si>
  <si>
    <t>Land adjacent to Two Oaks, Red Lane, Burton Green, Kenilworth</t>
  </si>
  <si>
    <t>Erection of 2no. dwellings</t>
  </si>
  <si>
    <t>W/24/1127</t>
  </si>
  <si>
    <t xml:space="preserve">Change of use of ground floor workshop/garage </t>
  </si>
  <si>
    <t>W/23/1056</t>
  </si>
  <si>
    <t>Land rear of 21 Sherbourne Place, Clarendon Street, Leamington Spa, CV32 5SW</t>
  </si>
  <si>
    <t>W/18/1733</t>
  </si>
  <si>
    <t>Sowe View, Coventry Road, Stoneleigh, Coventry, CV8 3BZ</t>
  </si>
  <si>
    <t>Erection of 2 bedroom bungalow and widening o</t>
  </si>
  <si>
    <t>W/22/1280</t>
  </si>
  <si>
    <t>Prior approval for change of use of agricultural b</t>
  </si>
  <si>
    <t>W/23/0068</t>
  </si>
  <si>
    <t>17 High Street, Cubbington, Leamington Spa, CV32 7LY</t>
  </si>
  <si>
    <t>Subdivision of first floor flat to create 2no. flats</t>
  </si>
  <si>
    <t>W/23/0801</t>
  </si>
  <si>
    <t>66 Montrose Avenue, Lillington, Leamington Spa, CV32 7DY</t>
  </si>
  <si>
    <t>Erection of a two storey, 2 bedroom detached d</t>
  </si>
  <si>
    <t>Erection of 2 bedroom coach house and associa</t>
  </si>
  <si>
    <t>W/23/1094</t>
  </si>
  <si>
    <t>Burrow Hill House, Hob Lane, Burton Green, Kenilworth, CV8 1QB</t>
  </si>
  <si>
    <t>W/23/1275</t>
  </si>
  <si>
    <t>The Stables, Highfields, Mill Lane, Cubbington, Leamington Spa, CV32 7UD</t>
  </si>
  <si>
    <t>Change of use of existing building currently com</t>
  </si>
  <si>
    <t>W/23/1407</t>
  </si>
  <si>
    <t>Proposed reconfiguration of Flat 1 to create 2no</t>
  </si>
  <si>
    <t>W/23/1487</t>
  </si>
  <si>
    <t xml:space="preserve">Demolition of agricultural buildings and erection </t>
  </si>
  <si>
    <t>W/23/1738</t>
  </si>
  <si>
    <t>Land at Red Lane, Burton Green, Kenilworth</t>
  </si>
  <si>
    <t xml:space="preserve">Erection of 1no. dwelling and associated garage </t>
  </si>
  <si>
    <t>W/23/1769</t>
  </si>
  <si>
    <t>Conversion of barn, stable and store into a dwel</t>
  </si>
  <si>
    <t>W/23/1789</t>
  </si>
  <si>
    <t>The Punch Bowl Hotel, 1 The Butts, Warwick, CV34 4SS</t>
  </si>
  <si>
    <t>Change of use and conversion of Public House (</t>
  </si>
  <si>
    <t>W/24/0004</t>
  </si>
  <si>
    <t>Old House Farm, Rugby Road, Weston under Wetherley, Leamington Spa, CV33 9BW</t>
  </si>
  <si>
    <t>Conversion of redundant two storey barn into a s</t>
  </si>
  <si>
    <t>W/24/0066</t>
  </si>
  <si>
    <t>Myton House, 40 Holly Walk, Leamington Spa, CV32 4HY</t>
  </si>
  <si>
    <t>Change of use from office (Use Class E) to sing</t>
  </si>
  <si>
    <t>W/24/0217</t>
  </si>
  <si>
    <t>9 Oxford Street, Leamington Spa, CV32 4RA</t>
  </si>
  <si>
    <t xml:space="preserve">Proposed conversion from single dwelling to form </t>
  </si>
  <si>
    <t>W/24/0300</t>
  </si>
  <si>
    <t>York Corner, 21 Adelaide Road, Leamington Spa, CV31 3PN</t>
  </si>
  <si>
    <t>Change of use from a 9 bed House in Multiple O</t>
  </si>
  <si>
    <t>W/24/0480</t>
  </si>
  <si>
    <t>Land fronting Red Lane, Burton Green, Kenilworth, CV8 1PB</t>
  </si>
  <si>
    <t>Erection of 1no. dwelling and associated garage</t>
  </si>
  <si>
    <t>W/24/0686</t>
  </si>
  <si>
    <t>Highfields Farm, Back Lane, Rowington, Warwick, CV35 7BD</t>
  </si>
  <si>
    <t>Prior Approval for proposed Change of Use of Ag</t>
  </si>
  <si>
    <t>W/24/0688</t>
  </si>
  <si>
    <t>Lavender Farm, Bushwood Lane, Lapworth, B95 5EX</t>
  </si>
  <si>
    <t>W/24/0793</t>
  </si>
  <si>
    <t>Fosse Farm, Fosse Way, Offchurch, Leamington Spa, CV33 9BB</t>
  </si>
  <si>
    <t>W/24/0814</t>
  </si>
  <si>
    <t>74 Priory Road, Kenilworth, CV8 1LQ</t>
  </si>
  <si>
    <t>W/24/1012</t>
  </si>
  <si>
    <t>Agricultural Building, Lyons Farm, Rowington Green, Warwick, CV35 7DB</t>
  </si>
  <si>
    <t>W/24/1642</t>
  </si>
  <si>
    <t>DMA Recruitment, New Brook Street, Leamington Spa, CV32 5AP</t>
  </si>
  <si>
    <t xml:space="preserve">Application for Prior Approval under Part 3 Class </t>
  </si>
  <si>
    <t>W/21/2027</t>
  </si>
  <si>
    <t>Elmwood Farm, Rouncil Lane, Beausale, Warwick, CV35 7AL</t>
  </si>
  <si>
    <t>Erection of a replacement dwelling and associat</t>
  </si>
  <si>
    <t>W/22/0763</t>
  </si>
  <si>
    <t>Woodlands Cottage, Mill Lane, Rowington, Warwick, CV35 7DQ</t>
  </si>
  <si>
    <t>Erection of replacement dwelling, outbuilding co</t>
  </si>
  <si>
    <t>W/22/1567</t>
  </si>
  <si>
    <t>The Swans, Sandy Lane, Blackdown, Leamington Spa, CV32 6RD</t>
  </si>
  <si>
    <t>Erection of replacement dwelling with integral ga</t>
  </si>
  <si>
    <t>W/23/0443</t>
  </si>
  <si>
    <t>Warren Bungalow, Ryton Road, Bubbenhall, Coventry, CV8 3BG</t>
  </si>
  <si>
    <t>W/23/0988</t>
  </si>
  <si>
    <t>The Old Nursery, 6, Mill Road, Leamington Spa, CV31 1BE</t>
  </si>
  <si>
    <t>W/24/0097</t>
  </si>
  <si>
    <t>The White House, Five Ways Road, Shrewley, Warwick, CV35 7HT</t>
  </si>
  <si>
    <t>W/24/0624</t>
  </si>
  <si>
    <t>70 Upper Holly Walk, Leamington Spa, CV32 4JL</t>
  </si>
  <si>
    <t>Erection of a replacement dwelling</t>
  </si>
  <si>
    <t>W/24/0635</t>
  </si>
  <si>
    <t>9 Edmondscote Road, Leamington Spa, CV32 6AG</t>
  </si>
  <si>
    <t>W/24/0879</t>
  </si>
  <si>
    <t>41 Lillington Road, Leamington Spa, CV32 5YX</t>
  </si>
  <si>
    <t>Change of use from 4 bed dwelling (Use Class C</t>
  </si>
  <si>
    <t>W/24/0995</t>
  </si>
  <si>
    <t>65 Kingsway, Leamington Spa, CV31 3LE</t>
  </si>
  <si>
    <t>Change of use from 3 bedroom dwelling (Use Cl</t>
  </si>
  <si>
    <t>W/24/1325</t>
  </si>
  <si>
    <t>Southfields, 57 Lillington Road, Leamington Spa</t>
  </si>
  <si>
    <t>Proposed installation of new windows, doors an</t>
  </si>
  <si>
    <t>W/25/0080</t>
  </si>
  <si>
    <t>14 - 67 Christine Ledger Square, St John's Road, Leamington Spa, CV31 3BA</t>
  </si>
  <si>
    <t xml:space="preserve">Prior Approval Notification under Part 11, Class </t>
  </si>
  <si>
    <t>C4 / SGH (larger HMO)</t>
  </si>
  <si>
    <t>W/23/1775</t>
  </si>
  <si>
    <t>24 Kenilworth Road, Leamington Spa CV32 6JB</t>
  </si>
  <si>
    <t>Large HMO 7 or more people</t>
  </si>
  <si>
    <t>York Corner, 21 Adelaide Road, Leamington Spa CV31 3PN</t>
  </si>
  <si>
    <t>9 Edmonscote Road, Leamington Spa CV32 6AG</t>
  </si>
  <si>
    <t>W/24/0843</t>
  </si>
  <si>
    <t>24 Coventry Road, Warwick CV34 4LJ</t>
  </si>
  <si>
    <t>41 Lillington Road, Leamington Spa CV32 5YX</t>
  </si>
  <si>
    <t>65 Kingsway, Leamington Spa CV31 3LE</t>
  </si>
  <si>
    <t>W/24/1672</t>
  </si>
  <si>
    <t>Clarence House, 42 Warwick New Road, Leamington Spa CV32 6AA</t>
  </si>
  <si>
    <t>C2 Residential Institutions</t>
  </si>
  <si>
    <t>2026/07</t>
  </si>
  <si>
    <t>W/22/1610</t>
  </si>
  <si>
    <t>Asps Farm, Banbury road, Bishops Tachbrook</t>
  </si>
  <si>
    <t>Reserved Matters appliaciotn pursuant to condition 1 of planning permission W/14/0300 (as amended by S.73 application W/20/1642) for details of appearance, landscaping, layout and scale of 245 dwellings.</t>
  </si>
  <si>
    <t>W/22/1620</t>
  </si>
  <si>
    <t>Asps Far, Banbury Road, Bishops Tachbrook</t>
  </si>
  <si>
    <t>Reserved Matters application pursuant to condition 1 of planning permission W/14/0300 (as amended by S.73 application W/20/1642) for details of appearance, landscaping, layout and scale of 179 dwellings.</t>
  </si>
  <si>
    <t>W/22/1228</t>
  </si>
  <si>
    <t>Talisman Square, Station Road, Kenilworth CV8 1JB</t>
  </si>
  <si>
    <t>Mixed use development comprising 670 sq.m of Class E Floorspace at ground level, with 43 residential units over.</t>
  </si>
  <si>
    <t>2040/41</t>
  </si>
  <si>
    <t>Completions 1/4/11 to 31/3/25 (Net)</t>
  </si>
  <si>
    <t>b1) Commitments (outline) @ April 2025 (Net)</t>
  </si>
  <si>
    <t>b2) Commitments (full permission) @ April 2025 (Net)</t>
  </si>
  <si>
    <t>b3i) Commitments - Residential Institutions @ April 2025 (Net)</t>
  </si>
  <si>
    <t>b3ii) Commitments - Students and HMOs  @ April 2025 (Net)</t>
  </si>
  <si>
    <t>total beyond plan period</t>
  </si>
  <si>
    <t>Completions to date (1/4/11 to 31/3/25)</t>
  </si>
  <si>
    <t>Requirement to date (1/4/11 to 31/3/25) (Local Plan figures only)</t>
  </si>
  <si>
    <t>Total 5 YEAR SUPPLY (1/4/25 to 31/3/30)</t>
  </si>
  <si>
    <t>Total requirement over the next 5 years (1/4/25 to 31/3/30) based on the latest Dec 2024 NPPF Standard Method annual requirement figure for WDC of 1085 dwellings per annum (utilising 2024 affordability ratios published in March 2025)</t>
  </si>
  <si>
    <t>Contribution towards meeting Coventry unmet need (i.e. 5,976 dwellings over the period 2018/19 to 2029/30 as a proportion of the 13,176 dwellings total for those years = 45.36% of the total supply)</t>
  </si>
  <si>
    <t>Total WDC Five Year Supply (1/4/25 to 31/3/30) (i.e. 7,200 dwellings over the period 2018/19 to 2029/30 as a proportion of the 13,176 dwellings total = 54.64% of the total supply)</t>
  </si>
  <si>
    <t>Average annual requirement 1/4/17 to 31/3/30</t>
  </si>
  <si>
    <t>Thickthorn also appears on tab b2 row 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</si>
</sst>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rgb="FFFF0000"/>
      <name val="Calibri"/>
      <family val="2"/>
      <scheme val="minor"/>
    </font>
    <font>
      <sz val="11"/>
      <color theme="4"/>
      <name val="Calibri"/>
      <family val="2"/>
      <scheme val="minor"/>
    </font>
    <font>
      <b/>
      <sz val="11"/>
      <name val="Calibri"/>
      <family val="2"/>
      <scheme val="minor"/>
    </font>
    <font>
      <sz val="10"/>
      <name val="MS Sans Serif"/>
      <family val="2"/>
    </font>
    <font>
      <b/>
      <u/>
      <sz val="11"/>
      <name val="Calibri"/>
      <family val="2"/>
      <scheme val="minor"/>
    </font>
    <font>
      <b/>
      <u/>
      <sz val="11"/>
      <color theme="1"/>
      <name val="Calibri"/>
      <family val="2"/>
      <scheme val="minor"/>
    </font>
    <font>
      <u/>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u val="double"/>
      <sz val="11"/>
      <color theme="1"/>
      <name val="Calibri"/>
      <family val="2"/>
      <scheme val="minor"/>
    </font>
    <font>
      <b/>
      <sz val="16"/>
      <color theme="1"/>
      <name val="Calibri"/>
      <family val="2"/>
      <scheme val="minor"/>
    </font>
    <font>
      <b/>
      <sz val="11"/>
      <color rgb="FFFF0000"/>
      <name val="Calibri"/>
      <family val="2"/>
      <scheme val="minor"/>
    </font>
    <font>
      <sz val="10"/>
      <color indexed="8"/>
      <name val="Arial"/>
      <family val="2"/>
    </font>
    <font>
      <b/>
      <sz val="10"/>
      <color indexed="8"/>
      <name val="Arial"/>
      <family val="2"/>
    </font>
    <font>
      <u/>
      <sz val="10"/>
      <color theme="10"/>
      <name val="Arial"/>
      <family val="2"/>
    </font>
    <font>
      <sz val="10"/>
      <color indexed="8"/>
      <name val="Arial"/>
      <family val="2"/>
    </font>
    <font>
      <b/>
      <sz val="10"/>
      <color indexed="8"/>
      <name val="ARIAL"/>
      <family val="2"/>
    </font>
    <font>
      <b/>
      <u/>
      <sz val="12"/>
      <color indexed="8"/>
      <name val="ARIAL"/>
      <family val="2"/>
    </font>
    <font>
      <sz val="8"/>
      <color indexed="81"/>
      <name val="Tahoma"/>
      <family val="2"/>
    </font>
    <font>
      <b/>
      <sz val="8"/>
      <color indexed="81"/>
      <name val="Tahoma"/>
      <family val="2"/>
    </font>
    <font>
      <b/>
      <i/>
      <u/>
      <sz val="11"/>
      <color theme="1"/>
      <name val="Calibri"/>
      <family val="2"/>
      <scheme val="minor"/>
    </font>
    <font>
      <b/>
      <sz val="10"/>
      <name val="Arial"/>
      <family val="2"/>
    </font>
    <font>
      <sz val="10"/>
      <color rgb="FF000000"/>
      <name val="Arial"/>
      <family val="2"/>
    </font>
    <font>
      <b/>
      <sz val="10"/>
      <color rgb="FF000000"/>
      <name val="ARIAL"/>
      <family val="2"/>
    </font>
    <font>
      <b/>
      <u/>
      <sz val="10"/>
      <color rgb="FF000000"/>
      <name val="ARIAL"/>
      <family val="2"/>
    </font>
    <font>
      <sz val="9"/>
      <color indexed="81"/>
      <name val="Tahoma"/>
      <family val="2"/>
    </font>
    <font>
      <b/>
      <sz val="9"/>
      <color indexed="81"/>
      <name val="Tahoma"/>
      <family val="2"/>
    </font>
    <font>
      <sz val="10"/>
      <color rgb="FF000000"/>
      <name val="Arial"/>
      <family val="2"/>
    </font>
    <font>
      <b/>
      <u/>
      <sz val="12"/>
      <color rgb="FF000000"/>
      <name val="ARIAL"/>
      <family val="2"/>
    </font>
    <font>
      <sz val="8"/>
      <name val="Calibri"/>
      <family val="2"/>
      <scheme val="minor"/>
    </font>
    <font>
      <sz val="10"/>
      <color theme="1"/>
      <name val="Arial"/>
      <family val="2"/>
    </font>
    <font>
      <sz val="10"/>
      <color rgb="FFFF0000"/>
      <name val="Arial"/>
      <family val="2"/>
    </font>
    <font>
      <b/>
      <sz val="10"/>
      <color theme="1"/>
      <name val="Arial"/>
      <family val="2"/>
    </font>
    <font>
      <sz val="10"/>
      <name val="Arial"/>
      <family val="2"/>
    </font>
    <font>
      <sz val="11"/>
      <name val="Calibri"/>
      <family val="2"/>
    </font>
    <font>
      <b/>
      <sz val="10"/>
      <color rgb="FFFF0000"/>
      <name val="ARIAL"/>
      <family val="2"/>
    </font>
    <font>
      <b/>
      <sz val="11"/>
      <color indexed="8"/>
      <name val="Calibri"/>
      <family val="2"/>
      <scheme val="minor"/>
    </font>
    <font>
      <u/>
      <sz val="11"/>
      <color rgb="FFFF0000"/>
      <name val="Calibri"/>
      <family val="2"/>
      <scheme val="minor"/>
    </font>
    <font>
      <b/>
      <sz val="10"/>
      <color indexed="8"/>
      <name val="ARIAL"/>
      <charset val="1"/>
    </font>
    <font>
      <sz val="10"/>
      <color indexed="8"/>
      <name val="ARIAL"/>
      <charset val="1"/>
    </font>
    <font>
      <sz val="9"/>
      <color indexed="81"/>
      <name val="Tahoma"/>
      <charset val="1"/>
    </font>
    <font>
      <b/>
      <sz val="9"/>
      <color indexed="81"/>
      <name val="Tahoma"/>
      <charset val="1"/>
    </font>
    <font>
      <i/>
      <sz val="11"/>
      <name val="Calibri"/>
      <family val="2"/>
      <scheme val="minor"/>
    </font>
    <font>
      <b/>
      <u/>
      <sz val="10"/>
      <name val="Arial"/>
      <family val="2"/>
    </font>
    <font>
      <sz val="10"/>
      <color rgb="FF00B05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4.9989318521683403E-2"/>
        <bgColor indexed="64"/>
      </patternFill>
    </fill>
  </fills>
  <borders count="81">
    <border>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bottom style="thin">
        <color auto="1"/>
      </bottom>
      <diagonal/>
    </border>
    <border>
      <left/>
      <right style="thin">
        <color auto="1"/>
      </right>
      <top style="medium">
        <color indexed="64"/>
      </top>
      <bottom/>
      <diagonal/>
    </border>
    <border>
      <left style="medium">
        <color indexed="64"/>
      </left>
      <right style="medium">
        <color indexed="64"/>
      </right>
      <top/>
      <bottom style="thin">
        <color auto="1"/>
      </bottom>
      <diagonal/>
    </border>
    <border>
      <left style="thin">
        <color auto="1"/>
      </left>
      <right/>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thin">
        <color auto="1"/>
      </top>
      <bottom/>
      <diagonal/>
    </border>
    <border>
      <left/>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diagonal/>
    </border>
    <border>
      <left/>
      <right/>
      <top style="thin">
        <color auto="1"/>
      </top>
      <bottom style="thin">
        <color auto="1"/>
      </bottom>
      <diagonal/>
    </border>
    <border>
      <left/>
      <right/>
      <top style="thin">
        <color auto="1"/>
      </top>
      <bottom style="medium">
        <color indexed="64"/>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style="thin">
        <color auto="1"/>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thin">
        <color auto="1"/>
      </top>
      <bottom/>
      <diagonal/>
    </border>
    <border>
      <left/>
      <right style="medium">
        <color indexed="64"/>
      </right>
      <top/>
      <bottom/>
      <diagonal/>
    </border>
    <border>
      <left/>
      <right style="thin">
        <color auto="1"/>
      </right>
      <top/>
      <bottom/>
      <diagonal/>
    </border>
    <border>
      <left style="thin">
        <color auto="1"/>
      </left>
      <right/>
      <top/>
      <bottom/>
      <diagonal/>
    </border>
    <border>
      <left style="medium">
        <color indexed="64"/>
      </left>
      <right style="medium">
        <color indexed="64"/>
      </right>
      <top/>
      <bottom/>
      <diagonal/>
    </border>
    <border>
      <left/>
      <right style="thin">
        <color auto="1"/>
      </right>
      <top/>
      <bottom style="medium">
        <color indexed="64"/>
      </bottom>
      <diagonal/>
    </border>
    <border>
      <left/>
      <right/>
      <top/>
      <bottom style="thin">
        <color auto="1"/>
      </bottom>
      <diagonal/>
    </border>
  </borders>
  <cellStyleXfs count="18">
    <xf numFmtId="0" fontId="0"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alignment vertical="top"/>
    </xf>
    <xf numFmtId="0" fontId="19" fillId="0" borderId="0" applyNumberFormat="0" applyFill="0" applyBorder="0" applyAlignment="0" applyProtection="0">
      <alignment vertical="top"/>
    </xf>
    <xf numFmtId="0" fontId="27" fillId="0" borderId="0"/>
    <xf numFmtId="0" fontId="32" fillId="0" borderId="0"/>
  </cellStyleXfs>
  <cellXfs count="580">
    <xf numFmtId="0" fontId="0" fillId="0" borderId="0" xfId="0"/>
    <xf numFmtId="0" fontId="1" fillId="0" borderId="0" xfId="0" applyFont="1"/>
    <xf numFmtId="0" fontId="0" fillId="0" borderId="0" xfId="0" applyAlignment="1">
      <alignment wrapText="1"/>
    </xf>
    <xf numFmtId="0" fontId="3" fillId="0" borderId="0" xfId="0" applyFont="1"/>
    <xf numFmtId="0" fontId="5" fillId="0" borderId="0" xfId="0" applyFont="1"/>
    <xf numFmtId="1" fontId="0" fillId="0" borderId="0" xfId="0" applyNumberFormat="1"/>
    <xf numFmtId="0" fontId="1" fillId="0" borderId="0" xfId="0" applyFont="1" applyAlignment="1">
      <alignment wrapText="1"/>
    </xf>
    <xf numFmtId="0" fontId="6" fillId="0" borderId="0" xfId="0" applyFont="1"/>
    <xf numFmtId="1" fontId="1" fillId="0" borderId="0" xfId="0" applyNumberFormat="1" applyFont="1"/>
    <xf numFmtId="0" fontId="4" fillId="0" borderId="0" xfId="0" applyFont="1"/>
    <xf numFmtId="0" fontId="8" fillId="0" borderId="0" xfId="0" applyFont="1"/>
    <xf numFmtId="1" fontId="9" fillId="0" borderId="0" xfId="0" applyNumberFormat="1" applyFont="1"/>
    <xf numFmtId="0" fontId="10" fillId="0" borderId="0" xfId="0" applyFont="1"/>
    <xf numFmtId="0" fontId="9" fillId="0" borderId="0" xfId="0" applyFont="1"/>
    <xf numFmtId="0" fontId="2" fillId="0" borderId="0" xfId="0" applyFont="1"/>
    <xf numFmtId="0" fontId="12" fillId="0" borderId="0" xfId="0" applyFont="1"/>
    <xf numFmtId="0" fontId="13" fillId="0" borderId="0" xfId="0" applyFont="1"/>
    <xf numFmtId="1" fontId="13" fillId="0" borderId="0" xfId="0" applyNumberFormat="1" applyFont="1"/>
    <xf numFmtId="0" fontId="15" fillId="0" borderId="0" xfId="0" applyFont="1"/>
    <xf numFmtId="0" fontId="0" fillId="0" borderId="0" xfId="0" pivotButton="1"/>
    <xf numFmtId="0" fontId="0" fillId="0" borderId="0" xfId="0" applyAlignment="1">
      <alignment horizontal="left"/>
    </xf>
    <xf numFmtId="0" fontId="9" fillId="0" borderId="0" xfId="0" applyFont="1" applyAlignment="1">
      <alignment horizontal="left"/>
    </xf>
    <xf numFmtId="1" fontId="10" fillId="0" borderId="0" xfId="0" applyNumberFormat="1" applyFont="1"/>
    <xf numFmtId="164" fontId="0" fillId="0" borderId="0" xfId="0" applyNumberFormat="1"/>
    <xf numFmtId="0" fontId="0" fillId="0" borderId="4" xfId="0" applyBorder="1"/>
    <xf numFmtId="0" fontId="1" fillId="0" borderId="4" xfId="0" applyFont="1" applyBorder="1"/>
    <xf numFmtId="0" fontId="1" fillId="0" borderId="4" xfId="0" applyFont="1" applyBorder="1" applyAlignment="1">
      <alignment vertical="center" wrapText="1"/>
    </xf>
    <xf numFmtId="0" fontId="0" fillId="0" borderId="4" xfId="0" applyBorder="1" applyAlignment="1">
      <alignment vertical="center" wrapText="1"/>
    </xf>
    <xf numFmtId="0" fontId="9" fillId="0" borderId="4" xfId="0" applyFont="1" applyBorder="1"/>
    <xf numFmtId="0" fontId="9" fillId="0" borderId="4" xfId="0" applyFont="1" applyBorder="1" applyAlignment="1">
      <alignment vertical="center" wrapText="1"/>
    </xf>
    <xf numFmtId="0" fontId="14" fillId="0" borderId="4" xfId="0" applyFont="1" applyBorder="1" applyAlignment="1">
      <alignment vertical="center" wrapText="1"/>
    </xf>
    <xf numFmtId="0" fontId="14" fillId="0" borderId="4" xfId="0" applyFont="1" applyBorder="1"/>
    <xf numFmtId="0" fontId="0" fillId="0" borderId="4" xfId="0" pivotButton="1" applyBorder="1"/>
    <xf numFmtId="0" fontId="0" fillId="0" borderId="4" xfId="0" applyBorder="1" applyAlignment="1">
      <alignment horizontal="left"/>
    </xf>
    <xf numFmtId="0" fontId="0" fillId="0" borderId="4" xfId="0" applyBorder="1" applyAlignment="1">
      <alignment horizontal="left" indent="1"/>
    </xf>
    <xf numFmtId="16" fontId="0" fillId="0" borderId="0" xfId="0" applyNumberFormat="1"/>
    <xf numFmtId="0" fontId="0" fillId="0" borderId="5" xfId="0" applyBorder="1"/>
    <xf numFmtId="0" fontId="2" fillId="0" borderId="5" xfId="0" applyFont="1" applyBorder="1"/>
    <xf numFmtId="0" fontId="1" fillId="0" borderId="25" xfId="0" applyFont="1" applyBorder="1"/>
    <xf numFmtId="0" fontId="0" fillId="0" borderId="12" xfId="0" applyBorder="1"/>
    <xf numFmtId="0" fontId="2" fillId="0" borderId="12" xfId="0" applyFont="1" applyBorder="1"/>
    <xf numFmtId="0" fontId="0" fillId="2" borderId="27" xfId="0" applyFill="1" applyBorder="1"/>
    <xf numFmtId="0" fontId="1" fillId="2" borderId="28" xfId="0" applyFont="1" applyFill="1" applyBorder="1" applyAlignment="1">
      <alignment wrapText="1"/>
    </xf>
    <xf numFmtId="0" fontId="1" fillId="2" borderId="30" xfId="0" applyFont="1" applyFill="1" applyBorder="1"/>
    <xf numFmtId="0" fontId="1" fillId="2" borderId="31" xfId="0" applyFont="1" applyFill="1" applyBorder="1"/>
    <xf numFmtId="0" fontId="17" fillId="0" borderId="0" xfId="14">
      <alignment vertical="top"/>
    </xf>
    <xf numFmtId="0" fontId="17" fillId="0" borderId="9" xfId="14" applyBorder="1">
      <alignment vertical="top"/>
    </xf>
    <xf numFmtId="0" fontId="0" fillId="0" borderId="9" xfId="0" applyBorder="1"/>
    <xf numFmtId="0" fontId="1" fillId="2" borderId="44" xfId="0" applyFont="1" applyFill="1" applyBorder="1"/>
    <xf numFmtId="0" fontId="0" fillId="0" borderId="45" xfId="0" applyBorder="1"/>
    <xf numFmtId="0" fontId="0" fillId="0" borderId="46" xfId="0" applyBorder="1"/>
    <xf numFmtId="0" fontId="1" fillId="2" borderId="53" xfId="0" applyFont="1" applyFill="1" applyBorder="1"/>
    <xf numFmtId="0" fontId="0" fillId="0" borderId="21" xfId="0" applyBorder="1"/>
    <xf numFmtId="0" fontId="17" fillId="0" borderId="14" xfId="14" applyBorder="1">
      <alignment vertical="top"/>
    </xf>
    <xf numFmtId="0" fontId="21" fillId="2" borderId="42" xfId="14" applyFont="1" applyFill="1" applyBorder="1">
      <alignment vertical="top"/>
    </xf>
    <xf numFmtId="0" fontId="1" fillId="2" borderId="28" xfId="0" applyFont="1" applyFill="1" applyBorder="1"/>
    <xf numFmtId="0" fontId="1" fillId="4" borderId="53" xfId="0" applyFont="1" applyFill="1" applyBorder="1"/>
    <xf numFmtId="0" fontId="1" fillId="4" borderId="30" xfId="0" applyFont="1" applyFill="1" applyBorder="1"/>
    <xf numFmtId="0" fontId="1" fillId="4" borderId="29" xfId="0" applyFont="1" applyFill="1" applyBorder="1"/>
    <xf numFmtId="0" fontId="0" fillId="4" borderId="31" xfId="0" applyFill="1" applyBorder="1"/>
    <xf numFmtId="1" fontId="1" fillId="0" borderId="6" xfId="0" applyNumberFormat="1" applyFont="1" applyBorder="1"/>
    <xf numFmtId="0" fontId="25" fillId="4" borderId="56" xfId="0" applyFont="1" applyFill="1" applyBorder="1"/>
    <xf numFmtId="0" fontId="13" fillId="4" borderId="6" xfId="0" applyFont="1" applyFill="1" applyBorder="1"/>
    <xf numFmtId="0" fontId="0" fillId="4" borderId="6" xfId="0" applyFill="1" applyBorder="1"/>
    <xf numFmtId="0" fontId="16" fillId="0" borderId="0" xfId="0" applyFont="1"/>
    <xf numFmtId="1" fontId="1" fillId="0" borderId="56" xfId="0" applyNumberFormat="1" applyFont="1" applyBorder="1"/>
    <xf numFmtId="0" fontId="22" fillId="0" borderId="5" xfId="14" applyFont="1" applyBorder="1">
      <alignment vertical="top"/>
    </xf>
    <xf numFmtId="1" fontId="1" fillId="0" borderId="42" xfId="0" applyNumberFormat="1" applyFont="1" applyBorder="1"/>
    <xf numFmtId="0" fontId="22" fillId="0" borderId="0" xfId="14" applyFont="1">
      <alignment vertical="top"/>
    </xf>
    <xf numFmtId="0" fontId="27" fillId="0" borderId="0" xfId="16" applyAlignment="1">
      <alignment vertical="top"/>
    </xf>
    <xf numFmtId="0" fontId="27" fillId="0" borderId="0" xfId="16"/>
    <xf numFmtId="0" fontId="27" fillId="0" borderId="5" xfId="16" applyBorder="1"/>
    <xf numFmtId="0" fontId="27" fillId="3" borderId="5" xfId="16" applyFill="1" applyBorder="1"/>
    <xf numFmtId="0" fontId="27" fillId="0" borderId="8" xfId="16" applyBorder="1"/>
    <xf numFmtId="0" fontId="27" fillId="0" borderId="9" xfId="16" applyBorder="1"/>
    <xf numFmtId="0" fontId="27" fillId="0" borderId="12" xfId="16" applyBorder="1"/>
    <xf numFmtId="0" fontId="27" fillId="0" borderId="14" xfId="16" applyBorder="1"/>
    <xf numFmtId="0" fontId="27" fillId="0" borderId="7" xfId="16" applyBorder="1"/>
    <xf numFmtId="0" fontId="27" fillId="0" borderId="62" xfId="16" applyBorder="1"/>
    <xf numFmtId="0" fontId="27" fillId="0" borderId="63" xfId="16" applyBorder="1"/>
    <xf numFmtId="0" fontId="27" fillId="0" borderId="11" xfId="16" applyBorder="1"/>
    <xf numFmtId="0" fontId="28" fillId="0" borderId="0" xfId="16" applyFont="1"/>
    <xf numFmtId="3" fontId="27" fillId="0" borderId="5" xfId="16" applyNumberFormat="1" applyBorder="1"/>
    <xf numFmtId="0" fontId="18" fillId="0" borderId="0" xfId="14" applyFont="1">
      <alignment vertical="top"/>
    </xf>
    <xf numFmtId="0" fontId="28" fillId="0" borderId="8" xfId="16" applyFont="1" applyBorder="1" applyAlignment="1">
      <alignment vertical="top"/>
    </xf>
    <xf numFmtId="3" fontId="28" fillId="0" borderId="38" xfId="16" applyNumberFormat="1" applyFont="1" applyBorder="1" applyAlignment="1">
      <alignment vertical="top"/>
    </xf>
    <xf numFmtId="3" fontId="27" fillId="0" borderId="39" xfId="16" applyNumberFormat="1" applyBorder="1" applyAlignment="1">
      <alignment vertical="top"/>
    </xf>
    <xf numFmtId="0" fontId="27" fillId="0" borderId="39" xfId="16" applyBorder="1"/>
    <xf numFmtId="0" fontId="27" fillId="0" borderId="67" xfId="16" applyBorder="1"/>
    <xf numFmtId="0" fontId="21" fillId="0" borderId="9" xfId="14" applyFont="1" applyBorder="1" applyAlignment="1">
      <alignment horizontal="right" vertical="top"/>
    </xf>
    <xf numFmtId="0" fontId="28" fillId="0" borderId="38" xfId="16" applyFont="1" applyBorder="1"/>
    <xf numFmtId="0" fontId="21" fillId="0" borderId="39" xfId="14" applyFont="1" applyBorder="1" applyAlignment="1">
      <alignment horizontal="right" vertical="top"/>
    </xf>
    <xf numFmtId="0" fontId="28" fillId="0" borderId="41" xfId="16" applyFont="1" applyBorder="1"/>
    <xf numFmtId="0" fontId="27" fillId="0" borderId="42" xfId="16" applyBorder="1"/>
    <xf numFmtId="0" fontId="21" fillId="0" borderId="42" xfId="14" applyFont="1" applyBorder="1" applyAlignment="1">
      <alignment horizontal="right" vertical="top"/>
    </xf>
    <xf numFmtId="0" fontId="33" fillId="0" borderId="0" xfId="16" applyFont="1" applyAlignment="1">
      <alignment vertical="top"/>
    </xf>
    <xf numFmtId="0" fontId="21" fillId="2" borderId="43" xfId="14" applyFont="1" applyFill="1" applyBorder="1">
      <alignment vertical="top"/>
    </xf>
    <xf numFmtId="165" fontId="28" fillId="0" borderId="10" xfId="16" applyNumberFormat="1" applyFont="1" applyBorder="1"/>
    <xf numFmtId="165" fontId="28" fillId="0" borderId="37" xfId="16" applyNumberFormat="1" applyFont="1" applyBorder="1"/>
    <xf numFmtId="0" fontId="27" fillId="0" borderId="13" xfId="16" applyBorder="1"/>
    <xf numFmtId="0" fontId="17" fillId="0" borderId="15" xfId="14" applyBorder="1">
      <alignment vertical="top"/>
    </xf>
    <xf numFmtId="0" fontId="27" fillId="0" borderId="40" xfId="16" applyBorder="1"/>
    <xf numFmtId="0" fontId="17" fillId="0" borderId="10" xfId="14" applyBorder="1">
      <alignment vertical="top"/>
    </xf>
    <xf numFmtId="165" fontId="17" fillId="0" borderId="14" xfId="14" applyNumberFormat="1" applyBorder="1">
      <alignment vertical="top"/>
    </xf>
    <xf numFmtId="165" fontId="17" fillId="0" borderId="15" xfId="14" applyNumberFormat="1" applyBorder="1">
      <alignment vertical="top"/>
    </xf>
    <xf numFmtId="0" fontId="27" fillId="0" borderId="68" xfId="16" applyBorder="1"/>
    <xf numFmtId="0" fontId="27" fillId="0" borderId="1" xfId="16" applyBorder="1"/>
    <xf numFmtId="0" fontId="17" fillId="0" borderId="1" xfId="14" applyBorder="1">
      <alignment vertical="top"/>
    </xf>
    <xf numFmtId="0" fontId="17" fillId="0" borderId="69" xfId="14" applyBorder="1">
      <alignment vertical="top"/>
    </xf>
    <xf numFmtId="0" fontId="1" fillId="2" borderId="29" xfId="0" applyFont="1" applyFill="1" applyBorder="1"/>
    <xf numFmtId="0" fontId="1" fillId="2" borderId="32" xfId="0" applyFont="1" applyFill="1" applyBorder="1" applyAlignment="1">
      <alignment wrapText="1"/>
    </xf>
    <xf numFmtId="0" fontId="1" fillId="2" borderId="41" xfId="0" applyFont="1" applyFill="1" applyBorder="1" applyAlignment="1">
      <alignment wrapText="1"/>
    </xf>
    <xf numFmtId="0" fontId="1" fillId="2" borderId="66" xfId="0" applyFont="1" applyFill="1" applyBorder="1"/>
    <xf numFmtId="0" fontId="1" fillId="2" borderId="29" xfId="0" applyFont="1" applyFill="1" applyBorder="1" applyAlignment="1">
      <alignment wrapText="1"/>
    </xf>
    <xf numFmtId="0" fontId="1" fillId="2" borderId="32" xfId="0" applyFont="1" applyFill="1" applyBorder="1"/>
    <xf numFmtId="0" fontId="1" fillId="4" borderId="30" xfId="0" applyFont="1" applyFill="1" applyBorder="1" applyAlignment="1">
      <alignment horizontal="left"/>
    </xf>
    <xf numFmtId="0" fontId="27" fillId="2" borderId="41" xfId="16" applyFill="1" applyBorder="1" applyAlignment="1">
      <alignment vertical="top"/>
    </xf>
    <xf numFmtId="0" fontId="27" fillId="2" borderId="42" xfId="16" applyFill="1" applyBorder="1" applyAlignment="1">
      <alignment vertical="top"/>
    </xf>
    <xf numFmtId="0" fontId="18" fillId="2" borderId="42" xfId="14" applyFont="1" applyFill="1" applyBorder="1" applyAlignment="1">
      <alignment vertical="top" wrapText="1"/>
    </xf>
    <xf numFmtId="0" fontId="26" fillId="2" borderId="42" xfId="15" applyFont="1" applyFill="1" applyBorder="1" applyAlignment="1">
      <alignment vertical="top" wrapText="1"/>
    </xf>
    <xf numFmtId="0" fontId="18" fillId="2" borderId="43" xfId="14" applyFont="1" applyFill="1" applyBorder="1" applyAlignment="1">
      <alignment vertical="top" wrapText="1"/>
    </xf>
    <xf numFmtId="0" fontId="0" fillId="0" borderId="22" xfId="0" applyBorder="1"/>
    <xf numFmtId="0" fontId="0" fillId="0" borderId="58" xfId="0" applyBorder="1"/>
    <xf numFmtId="0" fontId="0" fillId="0" borderId="39" xfId="0" applyBorder="1"/>
    <xf numFmtId="0" fontId="0" fillId="0" borderId="65" xfId="0" applyBorder="1"/>
    <xf numFmtId="0" fontId="6" fillId="0" borderId="6" xfId="0" applyFont="1" applyBorder="1"/>
    <xf numFmtId="0" fontId="6" fillId="0" borderId="42" xfId="0" applyFont="1" applyBorder="1"/>
    <xf numFmtId="0" fontId="6" fillId="0" borderId="48" xfId="0" applyFont="1" applyBorder="1"/>
    <xf numFmtId="0" fontId="1" fillId="2" borderId="31" xfId="0" applyFont="1" applyFill="1" applyBorder="1" applyAlignment="1">
      <alignment wrapText="1"/>
    </xf>
    <xf numFmtId="0" fontId="1" fillId="2" borderId="71" xfId="0" applyFont="1" applyFill="1" applyBorder="1" applyAlignment="1">
      <alignment wrapText="1"/>
    </xf>
    <xf numFmtId="0" fontId="2" fillId="0" borderId="0" xfId="0" applyFont="1" applyAlignment="1">
      <alignment wrapText="1"/>
    </xf>
    <xf numFmtId="0" fontId="1" fillId="2" borderId="30" xfId="0" applyFont="1" applyFill="1" applyBorder="1" applyAlignment="1">
      <alignment wrapText="1"/>
    </xf>
    <xf numFmtId="0" fontId="1" fillId="2" borderId="44" xfId="0" applyFont="1" applyFill="1" applyBorder="1" applyAlignment="1">
      <alignment wrapText="1"/>
    </xf>
    <xf numFmtId="0" fontId="0" fillId="2" borderId="27" xfId="0" applyFill="1" applyBorder="1" applyAlignment="1">
      <alignment wrapText="1"/>
    </xf>
    <xf numFmtId="0" fontId="28" fillId="2" borderId="8" xfId="16" applyFont="1" applyFill="1" applyBorder="1"/>
    <xf numFmtId="0" fontId="27" fillId="2" borderId="9" xfId="16" applyFill="1" applyBorder="1"/>
    <xf numFmtId="0" fontId="28" fillId="2" borderId="9" xfId="16" applyFont="1" applyFill="1" applyBorder="1" applyAlignment="1">
      <alignment vertical="top" wrapText="1"/>
    </xf>
    <xf numFmtId="0" fontId="21" fillId="2" borderId="9" xfId="14" applyFont="1" applyFill="1" applyBorder="1">
      <alignment vertical="top"/>
    </xf>
    <xf numFmtId="0" fontId="28" fillId="2" borderId="10" xfId="16" applyFont="1" applyFill="1" applyBorder="1" applyAlignment="1">
      <alignment vertical="top" wrapText="1"/>
    </xf>
    <xf numFmtId="0" fontId="27" fillId="0" borderId="19" xfId="16" applyBorder="1"/>
    <xf numFmtId="0" fontId="27" fillId="0" borderId="57" xfId="16" applyBorder="1"/>
    <xf numFmtId="0" fontId="27" fillId="2" borderId="59" xfId="16" applyFill="1" applyBorder="1"/>
    <xf numFmtId="3" fontId="27" fillId="0" borderId="40" xfId="16" applyNumberFormat="1" applyBorder="1" applyAlignment="1">
      <alignment vertical="top"/>
    </xf>
    <xf numFmtId="0" fontId="27" fillId="0" borderId="10" xfId="16" applyBorder="1"/>
    <xf numFmtId="0" fontId="27" fillId="0" borderId="43" xfId="16" applyBorder="1"/>
    <xf numFmtId="0" fontId="32" fillId="0" borderId="0" xfId="17"/>
    <xf numFmtId="0" fontId="28" fillId="0" borderId="0" xfId="17" applyFont="1" applyAlignment="1">
      <alignment vertical="top"/>
    </xf>
    <xf numFmtId="0" fontId="28" fillId="0" borderId="0" xfId="17" applyFont="1"/>
    <xf numFmtId="0" fontId="27" fillId="0" borderId="75" xfId="16" applyBorder="1"/>
    <xf numFmtId="0" fontId="21" fillId="0" borderId="10" xfId="14" applyFont="1" applyBorder="1" applyAlignment="1">
      <alignment horizontal="right" vertical="top"/>
    </xf>
    <xf numFmtId="0" fontId="21" fillId="0" borderId="15" xfId="14" applyFont="1" applyBorder="1" applyAlignment="1">
      <alignment horizontal="right" vertical="top"/>
    </xf>
    <xf numFmtId="0" fontId="17" fillId="0" borderId="19" xfId="14" applyBorder="1">
      <alignment vertical="top"/>
    </xf>
    <xf numFmtId="0" fontId="17" fillId="0" borderId="7" xfId="14" applyBorder="1">
      <alignment vertical="top"/>
    </xf>
    <xf numFmtId="165" fontId="17" fillId="0" borderId="20" xfId="14" applyNumberFormat="1" applyBorder="1">
      <alignment vertical="top"/>
    </xf>
    <xf numFmtId="0" fontId="17" fillId="0" borderId="76" xfId="14" applyBorder="1">
      <alignment vertical="top"/>
    </xf>
    <xf numFmtId="165" fontId="21" fillId="0" borderId="19" xfId="14" applyNumberFormat="1" applyFont="1" applyBorder="1">
      <alignment vertical="top"/>
    </xf>
    <xf numFmtId="165" fontId="21" fillId="0" borderId="20" xfId="14" applyNumberFormat="1" applyFont="1" applyBorder="1">
      <alignment vertical="top"/>
    </xf>
    <xf numFmtId="0" fontId="20" fillId="0" borderId="10" xfId="14" applyFont="1" applyBorder="1" applyAlignment="1">
      <alignment horizontal="right" vertical="top"/>
    </xf>
    <xf numFmtId="0" fontId="17" fillId="0" borderId="12" xfId="14" applyBorder="1" applyAlignment="1">
      <alignment horizontal="right" vertical="top"/>
    </xf>
    <xf numFmtId="0" fontId="20" fillId="0" borderId="15" xfId="14" applyFont="1" applyBorder="1" applyAlignment="1">
      <alignment horizontal="right" vertical="top"/>
    </xf>
    <xf numFmtId="0" fontId="27" fillId="2" borderId="43" xfId="16" applyFill="1" applyBorder="1"/>
    <xf numFmtId="0" fontId="18" fillId="2" borderId="57" xfId="14" applyFont="1" applyFill="1" applyBorder="1" applyAlignment="1">
      <alignment vertical="top" wrapText="1"/>
    </xf>
    <xf numFmtId="0" fontId="1" fillId="2" borderId="41" xfId="0" applyFont="1" applyFill="1" applyBorder="1"/>
    <xf numFmtId="0" fontId="1" fillId="2" borderId="42" xfId="0" applyFont="1" applyFill="1" applyBorder="1"/>
    <xf numFmtId="0" fontId="0" fillId="0" borderId="41" xfId="0" applyBorder="1"/>
    <xf numFmtId="0" fontId="0" fillId="0" borderId="42" xfId="0" applyBorder="1"/>
    <xf numFmtId="0" fontId="28" fillId="0" borderId="13" xfId="17" applyFont="1" applyBorder="1"/>
    <xf numFmtId="0" fontId="32" fillId="0" borderId="14" xfId="17" applyBorder="1"/>
    <xf numFmtId="3" fontId="18" fillId="0" borderId="64" xfId="14" applyNumberFormat="1" applyFont="1" applyBorder="1">
      <alignment vertical="top"/>
    </xf>
    <xf numFmtId="0" fontId="28" fillId="0" borderId="35" xfId="17" applyFont="1" applyBorder="1"/>
    <xf numFmtId="0" fontId="32" fillId="0" borderId="36" xfId="17" applyBorder="1"/>
    <xf numFmtId="3" fontId="18" fillId="0" borderId="72" xfId="14" applyNumberFormat="1" applyFont="1" applyBorder="1">
      <alignment vertical="top"/>
    </xf>
    <xf numFmtId="0" fontId="28" fillId="0" borderId="8" xfId="17" applyFont="1" applyBorder="1"/>
    <xf numFmtId="0" fontId="32" fillId="0" borderId="9" xfId="17" applyBorder="1"/>
    <xf numFmtId="3" fontId="18" fillId="0" borderId="59" xfId="14" applyNumberFormat="1" applyFont="1" applyBorder="1">
      <alignment vertical="top"/>
    </xf>
    <xf numFmtId="0" fontId="32" fillId="0" borderId="10" xfId="17" applyBorder="1"/>
    <xf numFmtId="0" fontId="28" fillId="2" borderId="29" xfId="17" applyFont="1" applyFill="1" applyBorder="1" applyAlignment="1">
      <alignment vertical="top"/>
    </xf>
    <xf numFmtId="0" fontId="32" fillId="2" borderId="30" xfId="17" applyFill="1" applyBorder="1"/>
    <xf numFmtId="0" fontId="28" fillId="2" borderId="28" xfId="17" applyFont="1" applyFill="1" applyBorder="1" applyAlignment="1">
      <alignment vertical="top" wrapText="1"/>
    </xf>
    <xf numFmtId="0" fontId="32" fillId="2" borderId="71" xfId="17" applyFill="1" applyBorder="1" applyAlignment="1">
      <alignment vertical="top" wrapText="1"/>
    </xf>
    <xf numFmtId="0" fontId="21" fillId="2" borderId="30" xfId="14" applyFont="1" applyFill="1" applyBorder="1">
      <alignment vertical="top"/>
    </xf>
    <xf numFmtId="0" fontId="21" fillId="2" borderId="31" xfId="14" applyFont="1" applyFill="1" applyBorder="1">
      <alignment vertical="top"/>
    </xf>
    <xf numFmtId="0" fontId="28" fillId="0" borderId="68" xfId="17" applyFont="1" applyBorder="1" applyAlignment="1">
      <alignment vertical="top"/>
    </xf>
    <xf numFmtId="0" fontId="32" fillId="0" borderId="1" xfId="17" applyBorder="1"/>
    <xf numFmtId="0" fontId="32" fillId="0" borderId="78" xfId="17" applyBorder="1"/>
    <xf numFmtId="0" fontId="32" fillId="0" borderId="69" xfId="17" applyBorder="1"/>
    <xf numFmtId="0" fontId="29" fillId="0" borderId="8" xfId="17" applyFont="1" applyBorder="1" applyAlignment="1">
      <alignment vertical="top"/>
    </xf>
    <xf numFmtId="0" fontId="32" fillId="0" borderId="21" xfId="17" applyBorder="1"/>
    <xf numFmtId="0" fontId="32" fillId="0" borderId="59" xfId="17" applyBorder="1"/>
    <xf numFmtId="0" fontId="27" fillId="0" borderId="74" xfId="16" applyBorder="1"/>
    <xf numFmtId="3" fontId="18" fillId="0" borderId="10" xfId="14" applyNumberFormat="1" applyFont="1" applyBorder="1">
      <alignment vertical="top"/>
    </xf>
    <xf numFmtId="0" fontId="27" fillId="0" borderId="59" xfId="16" applyBorder="1"/>
    <xf numFmtId="3" fontId="17" fillId="0" borderId="9" xfId="14" applyNumberFormat="1" applyBorder="1">
      <alignment vertical="top"/>
    </xf>
    <xf numFmtId="3" fontId="21" fillId="0" borderId="40" xfId="14" applyNumberFormat="1" applyFont="1" applyBorder="1">
      <alignment vertical="top"/>
    </xf>
    <xf numFmtId="165" fontId="27" fillId="0" borderId="39" xfId="16" applyNumberFormat="1" applyBorder="1"/>
    <xf numFmtId="3" fontId="21" fillId="0" borderId="43" xfId="14" applyNumberFormat="1" applyFont="1" applyBorder="1">
      <alignment vertical="top"/>
    </xf>
    <xf numFmtId="0" fontId="27" fillId="0" borderId="73" xfId="16" applyBorder="1"/>
    <xf numFmtId="3" fontId="28" fillId="0" borderId="42" xfId="16" applyNumberFormat="1" applyFont="1" applyBorder="1"/>
    <xf numFmtId="0" fontId="0" fillId="0" borderId="11" xfId="0" applyBorder="1"/>
    <xf numFmtId="0" fontId="1" fillId="0" borderId="22" xfId="0" applyFont="1" applyBorder="1"/>
    <xf numFmtId="0" fontId="2" fillId="0" borderId="11" xfId="0" applyFont="1" applyBorder="1"/>
    <xf numFmtId="0" fontId="2" fillId="0" borderId="46" xfId="0" applyFont="1" applyBorder="1"/>
    <xf numFmtId="0" fontId="6" fillId="0" borderId="22" xfId="0" applyFont="1" applyBorder="1"/>
    <xf numFmtId="0" fontId="2" fillId="0" borderId="13" xfId="0" applyFont="1" applyBorder="1"/>
    <xf numFmtId="0" fontId="6" fillId="0" borderId="23" xfId="0" applyFont="1" applyBorder="1"/>
    <xf numFmtId="0" fontId="2" fillId="0" borderId="14" xfId="0" applyFont="1" applyBorder="1"/>
    <xf numFmtId="0" fontId="0" fillId="0" borderId="14" xfId="0" applyBorder="1"/>
    <xf numFmtId="0" fontId="2" fillId="0" borderId="15" xfId="0" applyFont="1" applyBorder="1"/>
    <xf numFmtId="0" fontId="8" fillId="0" borderId="49" xfId="0" applyFont="1" applyBorder="1"/>
    <xf numFmtId="0" fontId="6" fillId="0" borderId="3" xfId="0" applyFont="1" applyBorder="1"/>
    <xf numFmtId="0" fontId="6" fillId="0" borderId="54" xfId="0" applyFont="1" applyBorder="1"/>
    <xf numFmtId="0" fontId="6" fillId="0" borderId="50" xfId="0" applyFont="1" applyBorder="1"/>
    <xf numFmtId="0" fontId="6" fillId="0" borderId="51" xfId="0" applyFont="1" applyBorder="1"/>
    <xf numFmtId="0" fontId="0" fillId="0" borderId="13" xfId="0" applyBorder="1"/>
    <xf numFmtId="0" fontId="6" fillId="0" borderId="47" xfId="0" applyFont="1" applyBorder="1"/>
    <xf numFmtId="1" fontId="6" fillId="0" borderId="23" xfId="0" applyNumberFormat="1" applyFont="1" applyBorder="1"/>
    <xf numFmtId="1" fontId="6" fillId="0" borderId="14" xfId="0" applyNumberFormat="1" applyFont="1" applyBorder="1"/>
    <xf numFmtId="1" fontId="6" fillId="0" borderId="15" xfId="0" applyNumberFormat="1" applyFont="1" applyBorder="1"/>
    <xf numFmtId="0" fontId="0" fillId="0" borderId="23" xfId="0" applyBorder="1"/>
    <xf numFmtId="0" fontId="6" fillId="0" borderId="66" xfId="0" applyFont="1" applyBorder="1"/>
    <xf numFmtId="0" fontId="1" fillId="0" borderId="21" xfId="0" applyFont="1" applyBorder="1"/>
    <xf numFmtId="0" fontId="1" fillId="0" borderId="41" xfId="0" applyFont="1" applyBorder="1"/>
    <xf numFmtId="0" fontId="1" fillId="0" borderId="34" xfId="0" applyFont="1" applyBorder="1"/>
    <xf numFmtId="0" fontId="1" fillId="0" borderId="36" xfId="0" applyFont="1" applyBorder="1"/>
    <xf numFmtId="0" fontId="1" fillId="0" borderId="55" xfId="0" applyFont="1" applyBorder="1"/>
    <xf numFmtId="0" fontId="0" fillId="0" borderId="8" xfId="0" applyBorder="1"/>
    <xf numFmtId="0" fontId="1" fillId="0" borderId="24" xfId="0" applyFont="1" applyBorder="1"/>
    <xf numFmtId="0" fontId="1" fillId="0" borderId="9" xfId="0" applyFont="1" applyBorder="1"/>
    <xf numFmtId="0" fontId="1" fillId="0" borderId="10" xfId="0" applyFont="1" applyBorder="1"/>
    <xf numFmtId="0" fontId="1" fillId="0" borderId="66" xfId="0" applyFont="1" applyBorder="1"/>
    <xf numFmtId="0" fontId="1" fillId="0" borderId="37" xfId="0" applyFont="1" applyBorder="1"/>
    <xf numFmtId="0" fontId="0" fillId="0" borderId="35" xfId="0" applyBorder="1"/>
    <xf numFmtId="0" fontId="1" fillId="0" borderId="37" xfId="0" applyFont="1" applyBorder="1" applyAlignment="1">
      <alignment wrapText="1"/>
    </xf>
    <xf numFmtId="1" fontId="0" fillId="0" borderId="21" xfId="0" applyNumberFormat="1" applyBorder="1"/>
    <xf numFmtId="1" fontId="0" fillId="0" borderId="19" xfId="0" applyNumberFormat="1" applyBorder="1"/>
    <xf numFmtId="1" fontId="0" fillId="0" borderId="9" xfId="0" applyNumberFormat="1" applyBorder="1"/>
    <xf numFmtId="1" fontId="0" fillId="0" borderId="10" xfId="0" applyNumberFormat="1" applyBorder="1"/>
    <xf numFmtId="0" fontId="0" fillId="0" borderId="7" xfId="0" applyBorder="1"/>
    <xf numFmtId="1" fontId="0" fillId="0" borderId="5" xfId="0" applyNumberFormat="1" applyBorder="1"/>
    <xf numFmtId="1" fontId="0" fillId="0" borderId="22" xfId="0" applyNumberFormat="1" applyBorder="1"/>
    <xf numFmtId="1" fontId="0" fillId="0" borderId="17" xfId="0" applyNumberFormat="1" applyBorder="1"/>
    <xf numFmtId="1" fontId="0" fillId="0" borderId="12" xfId="0" applyNumberFormat="1" applyBorder="1"/>
    <xf numFmtId="1" fontId="2" fillId="0" borderId="5" xfId="0" applyNumberFormat="1" applyFont="1" applyBorder="1"/>
    <xf numFmtId="1" fontId="2" fillId="0" borderId="12" xfId="0" applyNumberFormat="1" applyFont="1" applyBorder="1"/>
    <xf numFmtId="1" fontId="2" fillId="0" borderId="17" xfId="0" applyNumberFormat="1" applyFont="1" applyBorder="1"/>
    <xf numFmtId="1" fontId="0" fillId="0" borderId="18" xfId="0" applyNumberFormat="1" applyBorder="1"/>
    <xf numFmtId="0" fontId="0" fillId="0" borderId="20" xfId="0" applyBorder="1"/>
    <xf numFmtId="1" fontId="0" fillId="0" borderId="14" xfId="0" applyNumberFormat="1" applyBorder="1"/>
    <xf numFmtId="1" fontId="0" fillId="0" borderId="15" xfId="0" applyNumberFormat="1" applyBorder="1"/>
    <xf numFmtId="1" fontId="0" fillId="0" borderId="23" xfId="0" applyNumberFormat="1" applyBorder="1"/>
    <xf numFmtId="1" fontId="1" fillId="0" borderId="60" xfId="0" applyNumberFormat="1" applyFont="1" applyBorder="1"/>
    <xf numFmtId="1" fontId="1" fillId="0" borderId="54" xfId="0" applyNumberFormat="1" applyFont="1" applyBorder="1"/>
    <xf numFmtId="1" fontId="1" fillId="0" borderId="2" xfId="0" applyNumberFormat="1" applyFont="1" applyBorder="1"/>
    <xf numFmtId="1" fontId="1" fillId="0" borderId="50" xfId="0" applyNumberFormat="1" applyFont="1" applyBorder="1"/>
    <xf numFmtId="1" fontId="1" fillId="0" borderId="51" xfId="0" applyNumberFormat="1" applyFont="1" applyBorder="1"/>
    <xf numFmtId="0" fontId="12" fillId="0" borderId="18" xfId="0" applyFont="1" applyBorder="1"/>
    <xf numFmtId="0" fontId="13" fillId="0" borderId="23" xfId="0" applyFont="1" applyBorder="1"/>
    <xf numFmtId="1" fontId="13" fillId="0" borderId="20" xfId="0" applyNumberFormat="1" applyFont="1" applyBorder="1"/>
    <xf numFmtId="1" fontId="13" fillId="0" borderId="14" xfId="0" applyNumberFormat="1" applyFont="1" applyBorder="1"/>
    <xf numFmtId="1" fontId="13" fillId="0" borderId="15" xfId="0" applyNumberFormat="1" applyFont="1" applyBorder="1"/>
    <xf numFmtId="0" fontId="0" fillId="0" borderId="34" xfId="0" applyBorder="1"/>
    <xf numFmtId="1" fontId="0" fillId="0" borderId="8" xfId="0" applyNumberFormat="1" applyBorder="1"/>
    <xf numFmtId="1" fontId="0" fillId="0" borderId="11" xfId="0" applyNumberFormat="1" applyBorder="1"/>
    <xf numFmtId="1" fontId="0" fillId="0" borderId="13" xfId="0" applyNumberFormat="1" applyBorder="1"/>
    <xf numFmtId="0" fontId="0" fillId="0" borderId="60" xfId="0" applyBorder="1"/>
    <xf numFmtId="0" fontId="0" fillId="0" borderId="17" xfId="0" applyBorder="1"/>
    <xf numFmtId="0" fontId="0" fillId="0" borderId="61" xfId="0" applyBorder="1"/>
    <xf numFmtId="0" fontId="0" fillId="0" borderId="33" xfId="0" applyBorder="1"/>
    <xf numFmtId="1" fontId="1" fillId="0" borderId="43" xfId="0" applyNumberFormat="1" applyFont="1" applyBorder="1"/>
    <xf numFmtId="0" fontId="1" fillId="2" borderId="48" xfId="0" applyFont="1" applyFill="1" applyBorder="1"/>
    <xf numFmtId="0" fontId="0" fillId="0" borderId="48" xfId="0" applyBorder="1"/>
    <xf numFmtId="0" fontId="29" fillId="0" borderId="38" xfId="16" applyFont="1" applyBorder="1" applyAlignment="1">
      <alignment vertical="top"/>
    </xf>
    <xf numFmtId="3" fontId="27" fillId="0" borderId="50" xfId="16" applyNumberFormat="1" applyBorder="1"/>
    <xf numFmtId="3" fontId="27" fillId="0" borderId="51" xfId="16" applyNumberFormat="1" applyBorder="1"/>
    <xf numFmtId="0" fontId="27" fillId="0" borderId="15" xfId="16" applyBorder="1"/>
    <xf numFmtId="0" fontId="27" fillId="0" borderId="20" xfId="16" applyBorder="1"/>
    <xf numFmtId="3" fontId="27" fillId="0" borderId="14" xfId="16" applyNumberFormat="1" applyBorder="1"/>
    <xf numFmtId="3" fontId="27" fillId="0" borderId="9" xfId="16" applyNumberFormat="1" applyBorder="1"/>
    <xf numFmtId="165" fontId="27" fillId="0" borderId="9" xfId="16" applyNumberFormat="1" applyBorder="1"/>
    <xf numFmtId="165" fontId="27" fillId="0" borderId="14" xfId="16" applyNumberFormat="1" applyBorder="1"/>
    <xf numFmtId="0" fontId="37" fillId="2" borderId="42" xfId="0" applyFont="1" applyFill="1" applyBorder="1" applyAlignment="1">
      <alignment vertical="top"/>
    </xf>
    <xf numFmtId="0" fontId="18" fillId="2" borderId="27" xfId="14" applyFont="1" applyFill="1" applyBorder="1">
      <alignment vertical="top"/>
    </xf>
    <xf numFmtId="0" fontId="28" fillId="0" borderId="16" xfId="17" applyFont="1" applyBorder="1"/>
    <xf numFmtId="0" fontId="28" fillId="0" borderId="62" xfId="17" applyFont="1" applyBorder="1"/>
    <xf numFmtId="0" fontId="32" fillId="0" borderId="13" xfId="17" applyBorder="1"/>
    <xf numFmtId="0" fontId="32" fillId="0" borderId="49" xfId="17" applyBorder="1"/>
    <xf numFmtId="0" fontId="32" fillId="0" borderId="50" xfId="17" applyBorder="1"/>
    <xf numFmtId="0" fontId="18" fillId="2" borderId="41" xfId="14" applyFont="1" applyFill="1" applyBorder="1">
      <alignment vertical="top"/>
    </xf>
    <xf numFmtId="1" fontId="1" fillId="0" borderId="48" xfId="0" applyNumberFormat="1" applyFont="1" applyBorder="1"/>
    <xf numFmtId="1" fontId="0" fillId="0" borderId="16" xfId="0" applyNumberFormat="1" applyBorder="1"/>
    <xf numFmtId="1" fontId="2" fillId="0" borderId="22" xfId="0" applyNumberFormat="1" applyFont="1" applyBorder="1"/>
    <xf numFmtId="1" fontId="0" fillId="0" borderId="58" xfId="0" applyNumberFormat="1" applyBorder="1"/>
    <xf numFmtId="1" fontId="0" fillId="0" borderId="54" xfId="0" applyNumberFormat="1" applyBorder="1"/>
    <xf numFmtId="1" fontId="0" fillId="0" borderId="34" xfId="0" applyNumberFormat="1" applyBorder="1"/>
    <xf numFmtId="0" fontId="1" fillId="0" borderId="56" xfId="0" applyFont="1" applyBorder="1"/>
    <xf numFmtId="2" fontId="1" fillId="0" borderId="42" xfId="0" applyNumberFormat="1" applyFont="1" applyBorder="1"/>
    <xf numFmtId="0" fontId="25" fillId="6" borderId="56" xfId="0" applyFont="1" applyFill="1" applyBorder="1"/>
    <xf numFmtId="3" fontId="18" fillId="0" borderId="21" xfId="14" applyNumberFormat="1" applyFont="1" applyBorder="1">
      <alignment vertical="top"/>
    </xf>
    <xf numFmtId="3" fontId="18" fillId="0" borderId="23" xfId="14" applyNumberFormat="1" applyFont="1" applyBorder="1">
      <alignment vertical="top"/>
    </xf>
    <xf numFmtId="3" fontId="18" fillId="0" borderId="34" xfId="14" applyNumberFormat="1" applyFont="1" applyBorder="1">
      <alignment vertical="top"/>
    </xf>
    <xf numFmtId="0" fontId="27" fillId="0" borderId="0" xfId="17" applyFont="1"/>
    <xf numFmtId="1" fontId="32" fillId="0" borderId="36" xfId="17" applyNumberFormat="1" applyBorder="1"/>
    <xf numFmtId="0" fontId="38" fillId="0" borderId="5" xfId="16" applyFont="1" applyBorder="1"/>
    <xf numFmtId="0" fontId="39" fillId="0" borderId="47" xfId="0" applyFont="1" applyBorder="1" applyAlignment="1">
      <alignment vertical="center" wrapText="1"/>
    </xf>
    <xf numFmtId="165" fontId="32" fillId="0" borderId="14" xfId="17" applyNumberFormat="1" applyBorder="1"/>
    <xf numFmtId="0" fontId="40" fillId="0" borderId="0" xfId="17" applyFont="1"/>
    <xf numFmtId="0" fontId="36" fillId="0" borderId="0" xfId="17" applyFont="1"/>
    <xf numFmtId="0" fontId="1" fillId="2" borderId="27" xfId="0" applyFont="1" applyFill="1" applyBorder="1" applyAlignment="1">
      <alignment wrapText="1"/>
    </xf>
    <xf numFmtId="0" fontId="6" fillId="0" borderId="33" xfId="0" applyFont="1" applyBorder="1"/>
    <xf numFmtId="0" fontId="1" fillId="2" borderId="21" xfId="0" applyFont="1" applyFill="1" applyBorder="1" applyAlignment="1">
      <alignment wrapText="1"/>
    </xf>
    <xf numFmtId="1" fontId="0" fillId="0" borderId="25" xfId="0" applyNumberFormat="1" applyBorder="1"/>
    <xf numFmtId="1" fontId="2" fillId="0" borderId="25" xfId="0" applyNumberFormat="1" applyFont="1" applyBorder="1"/>
    <xf numFmtId="1" fontId="0" fillId="0" borderId="26" xfId="0" applyNumberFormat="1" applyBorder="1"/>
    <xf numFmtId="1" fontId="1" fillId="0" borderId="52" xfId="0" applyNumberFormat="1" applyFont="1" applyBorder="1"/>
    <xf numFmtId="0" fontId="1" fillId="0" borderId="42" xfId="0" applyFont="1" applyBorder="1"/>
    <xf numFmtId="0" fontId="1" fillId="0" borderId="43" xfId="0" applyFont="1" applyBorder="1"/>
    <xf numFmtId="0" fontId="38" fillId="0" borderId="46" xfId="16" applyFont="1" applyBorder="1"/>
    <xf numFmtId="0" fontId="27" fillId="2" borderId="45" xfId="16" applyFill="1" applyBorder="1"/>
    <xf numFmtId="0" fontId="27" fillId="0" borderId="65" xfId="16" applyBorder="1"/>
    <xf numFmtId="0" fontId="27" fillId="0" borderId="46" xfId="16" applyBorder="1"/>
    <xf numFmtId="0" fontId="28" fillId="2" borderId="8" xfId="16" applyFont="1" applyFill="1" applyBorder="1" applyAlignment="1">
      <alignment vertical="top" wrapText="1"/>
    </xf>
    <xf numFmtId="0" fontId="27" fillId="0" borderId="38" xfId="16" applyBorder="1"/>
    <xf numFmtId="3" fontId="27" fillId="0" borderId="49" xfId="16" applyNumberFormat="1" applyBorder="1"/>
    <xf numFmtId="0" fontId="21" fillId="2" borderId="45" xfId="14" applyFont="1" applyFill="1" applyBorder="1">
      <alignment vertical="top"/>
    </xf>
    <xf numFmtId="0" fontId="27" fillId="3" borderId="46" xfId="16" applyFill="1" applyBorder="1"/>
    <xf numFmtId="3" fontId="17" fillId="0" borderId="45" xfId="14" applyNumberFormat="1" applyBorder="1">
      <alignment vertical="top"/>
    </xf>
    <xf numFmtId="3" fontId="28" fillId="0" borderId="48" xfId="16" applyNumberFormat="1" applyFont="1" applyBorder="1"/>
    <xf numFmtId="1" fontId="0" fillId="0" borderId="45" xfId="0" applyNumberFormat="1" applyBorder="1"/>
    <xf numFmtId="1" fontId="0" fillId="0" borderId="46" xfId="0" applyNumberFormat="1" applyBorder="1"/>
    <xf numFmtId="0" fontId="42" fillId="0" borderId="0" xfId="0" applyFont="1"/>
    <xf numFmtId="0" fontId="36" fillId="0" borderId="0" xfId="16" applyFont="1"/>
    <xf numFmtId="1" fontId="2" fillId="0" borderId="9" xfId="0" applyNumberFormat="1" applyFont="1" applyBorder="1"/>
    <xf numFmtId="1" fontId="2" fillId="0" borderId="14" xfId="0" applyNumberFormat="1" applyFont="1" applyBorder="1"/>
    <xf numFmtId="1" fontId="6" fillId="0" borderId="50" xfId="0" applyNumberFormat="1" applyFont="1" applyBorder="1"/>
    <xf numFmtId="1" fontId="47" fillId="0" borderId="14" xfId="0" applyNumberFormat="1" applyFont="1" applyBorder="1"/>
    <xf numFmtId="1" fontId="47" fillId="0" borderId="0" xfId="0" applyNumberFormat="1" applyFont="1"/>
    <xf numFmtId="0" fontId="6" fillId="4" borderId="30" xfId="0" applyFont="1" applyFill="1" applyBorder="1"/>
    <xf numFmtId="0" fontId="0" fillId="0" borderId="56" xfId="0" applyBorder="1"/>
    <xf numFmtId="1" fontId="0" fillId="0" borderId="6" xfId="0" applyNumberFormat="1" applyBorder="1"/>
    <xf numFmtId="0" fontId="0" fillId="0" borderId="27" xfId="0" applyBorder="1" applyAlignment="1">
      <alignment wrapText="1"/>
    </xf>
    <xf numFmtId="1" fontId="0" fillId="0" borderId="28" xfId="0" applyNumberFormat="1" applyBorder="1"/>
    <xf numFmtId="0" fontId="1" fillId="0" borderId="56" xfId="0" applyFont="1" applyBorder="1" applyAlignment="1">
      <alignment wrapText="1"/>
    </xf>
    <xf numFmtId="0" fontId="2" fillId="0" borderId="17" xfId="0" applyFont="1" applyBorder="1" applyAlignment="1">
      <alignment wrapText="1"/>
    </xf>
    <xf numFmtId="0" fontId="2" fillId="0" borderId="61" xfId="0" applyFont="1" applyBorder="1" applyAlignment="1">
      <alignment wrapText="1"/>
    </xf>
    <xf numFmtId="1" fontId="2" fillId="0" borderId="58" xfId="0" applyNumberFormat="1" applyFont="1" applyBorder="1"/>
    <xf numFmtId="0" fontId="6" fillId="0" borderId="16" xfId="0" applyFont="1" applyBorder="1"/>
    <xf numFmtId="1" fontId="6" fillId="0" borderId="21" xfId="0" applyNumberFormat="1" applyFont="1" applyBorder="1"/>
    <xf numFmtId="0" fontId="2" fillId="0" borderId="18" xfId="0" applyFont="1" applyBorder="1"/>
    <xf numFmtId="1" fontId="2" fillId="0" borderId="23" xfId="0" applyNumberFormat="1" applyFont="1" applyBorder="1"/>
    <xf numFmtId="0" fontId="38" fillId="0" borderId="9" xfId="16" applyFont="1" applyBorder="1"/>
    <xf numFmtId="0" fontId="38" fillId="0" borderId="45" xfId="16" applyFont="1" applyBorder="1"/>
    <xf numFmtId="3" fontId="17" fillId="0" borderId="5" xfId="0" applyNumberFormat="1" applyFont="1" applyBorder="1" applyAlignment="1">
      <alignment horizontal="right" vertical="top"/>
    </xf>
    <xf numFmtId="3" fontId="17" fillId="0" borderId="11" xfId="0" applyNumberFormat="1" applyFont="1" applyBorder="1" applyAlignment="1">
      <alignment horizontal="right" vertical="top"/>
    </xf>
    <xf numFmtId="3" fontId="17" fillId="0" borderId="12" xfId="0" applyNumberFormat="1" applyFont="1" applyBorder="1" applyAlignment="1">
      <alignment horizontal="right" vertical="top"/>
    </xf>
    <xf numFmtId="0" fontId="17" fillId="0" borderId="5" xfId="0" applyFont="1" applyBorder="1" applyAlignment="1">
      <alignment vertical="top"/>
    </xf>
    <xf numFmtId="0" fontId="17" fillId="0" borderId="12" xfId="0" applyFont="1" applyBorder="1" applyAlignment="1">
      <alignment vertical="top"/>
    </xf>
    <xf numFmtId="3" fontId="35" fillId="0" borderId="11" xfId="0" applyNumberFormat="1" applyFont="1" applyBorder="1" applyAlignment="1">
      <alignment vertical="top"/>
    </xf>
    <xf numFmtId="3" fontId="35" fillId="0" borderId="5" xfId="0" applyNumberFormat="1" applyFont="1" applyBorder="1" applyAlignment="1">
      <alignment vertical="top"/>
    </xf>
    <xf numFmtId="3" fontId="35" fillId="0" borderId="12" xfId="0" applyNumberFormat="1" applyFont="1" applyBorder="1" applyAlignment="1">
      <alignment vertical="top"/>
    </xf>
    <xf numFmtId="0" fontId="35" fillId="0" borderId="5" xfId="0" applyFont="1" applyBorder="1"/>
    <xf numFmtId="3" fontId="0" fillId="0" borderId="11" xfId="0" applyNumberFormat="1" applyBorder="1" applyAlignment="1">
      <alignment vertical="top"/>
    </xf>
    <xf numFmtId="3" fontId="0" fillId="0" borderId="5" xfId="0" applyNumberFormat="1" applyBorder="1" applyAlignment="1">
      <alignment vertical="top"/>
    </xf>
    <xf numFmtId="3" fontId="0" fillId="0" borderId="12" xfId="0" applyNumberFormat="1" applyBorder="1" applyAlignment="1">
      <alignment vertical="top"/>
    </xf>
    <xf numFmtId="0" fontId="0" fillId="0" borderId="25" xfId="0" applyBorder="1"/>
    <xf numFmtId="0" fontId="2" fillId="0" borderId="25" xfId="0" applyFont="1" applyBorder="1"/>
    <xf numFmtId="0" fontId="2" fillId="0" borderId="26" xfId="0" applyFont="1" applyBorder="1"/>
    <xf numFmtId="0" fontId="2" fillId="0" borderId="47" xfId="0" applyFont="1" applyBorder="1"/>
    <xf numFmtId="0" fontId="1" fillId="0" borderId="18" xfId="0" applyFont="1" applyBorder="1"/>
    <xf numFmtId="0" fontId="2" fillId="0" borderId="12" xfId="0" applyFont="1" applyBorder="1" applyAlignment="1">
      <alignment wrapText="1"/>
    </xf>
    <xf numFmtId="0" fontId="6" fillId="0" borderId="25" xfId="0" applyFont="1" applyBorder="1"/>
    <xf numFmtId="0" fontId="17" fillId="0" borderId="5" xfId="14" applyBorder="1">
      <alignment vertical="top"/>
    </xf>
    <xf numFmtId="0" fontId="17" fillId="0" borderId="12" xfId="14" applyBorder="1">
      <alignment vertical="top"/>
    </xf>
    <xf numFmtId="0" fontId="2" fillId="7" borderId="60" xfId="0" applyFont="1" applyFill="1" applyBorder="1"/>
    <xf numFmtId="0" fontId="2" fillId="7" borderId="54" xfId="0" applyFont="1" applyFill="1" applyBorder="1"/>
    <xf numFmtId="0" fontId="2" fillId="7" borderId="17" xfId="0" applyFont="1" applyFill="1" applyBorder="1"/>
    <xf numFmtId="0" fontId="2" fillId="7" borderId="22" xfId="0" applyFont="1" applyFill="1" applyBorder="1"/>
    <xf numFmtId="1" fontId="2" fillId="7" borderId="22" xfId="0" applyNumberFormat="1" applyFont="1" applyFill="1" applyBorder="1"/>
    <xf numFmtId="0" fontId="27" fillId="0" borderId="62" xfId="16" applyBorder="1" applyAlignment="1">
      <alignment vertical="top"/>
    </xf>
    <xf numFmtId="3" fontId="27" fillId="0" borderId="0" xfId="16" applyNumberFormat="1" applyAlignment="1">
      <alignment vertical="top"/>
    </xf>
    <xf numFmtId="0" fontId="27" fillId="0" borderId="61" xfId="16" applyBorder="1"/>
    <xf numFmtId="0" fontId="27" fillId="0" borderId="70" xfId="16" applyBorder="1"/>
    <xf numFmtId="0" fontId="38" fillId="0" borderId="8" xfId="16" applyFont="1" applyBorder="1"/>
    <xf numFmtId="3" fontId="38" fillId="0" borderId="9" xfId="16" applyNumberFormat="1" applyFont="1" applyBorder="1"/>
    <xf numFmtId="0" fontId="38" fillId="0" borderId="11" xfId="16" applyFont="1" applyBorder="1" applyAlignment="1">
      <alignment vertical="top"/>
    </xf>
    <xf numFmtId="0" fontId="38" fillId="0" borderId="11" xfId="16" applyFont="1" applyBorder="1"/>
    <xf numFmtId="3" fontId="38" fillId="0" borderId="5" xfId="16" applyNumberFormat="1" applyFont="1" applyBorder="1"/>
    <xf numFmtId="14" fontId="38" fillId="0" borderId="5" xfId="16" applyNumberFormat="1" applyFont="1" applyBorder="1" applyAlignment="1">
      <alignment vertical="top"/>
    </xf>
    <xf numFmtId="0" fontId="38" fillId="0" borderId="12" xfId="16" applyFont="1" applyBorder="1"/>
    <xf numFmtId="0" fontId="38" fillId="0" borderId="40" xfId="16" applyFont="1" applyBorder="1"/>
    <xf numFmtId="0" fontId="38" fillId="0" borderId="39" xfId="16" applyFont="1" applyBorder="1"/>
    <xf numFmtId="0" fontId="38" fillId="0" borderId="10" xfId="16" applyFont="1" applyBorder="1"/>
    <xf numFmtId="0" fontId="38" fillId="0" borderId="67" xfId="16" applyFont="1" applyBorder="1"/>
    <xf numFmtId="0" fontId="38" fillId="0" borderId="15" xfId="16" applyFont="1" applyBorder="1"/>
    <xf numFmtId="0" fontId="38" fillId="0" borderId="20" xfId="16" applyFont="1" applyBorder="1"/>
    <xf numFmtId="3" fontId="38" fillId="0" borderId="14" xfId="16" applyNumberFormat="1" applyFont="1" applyBorder="1"/>
    <xf numFmtId="0" fontId="38" fillId="0" borderId="14" xfId="16" applyFont="1" applyBorder="1"/>
    <xf numFmtId="0" fontId="38" fillId="0" borderId="13" xfId="16" applyFont="1" applyBorder="1"/>
    <xf numFmtId="0" fontId="27" fillId="0" borderId="0" xfId="17" applyFont="1" applyAlignment="1">
      <alignment wrapText="1"/>
    </xf>
    <xf numFmtId="0" fontId="32" fillId="2" borderId="44" xfId="17" applyFill="1" applyBorder="1" applyAlignment="1">
      <alignment wrapText="1"/>
    </xf>
    <xf numFmtId="0" fontId="32" fillId="0" borderId="45" xfId="17" applyBorder="1" applyAlignment="1">
      <alignment wrapText="1"/>
    </xf>
    <xf numFmtId="0" fontId="32" fillId="0" borderId="77" xfId="17" applyBorder="1" applyAlignment="1">
      <alignment wrapText="1"/>
    </xf>
    <xf numFmtId="0" fontId="21" fillId="0" borderId="45" xfId="14" applyFont="1" applyBorder="1" applyAlignment="1">
      <alignment horizontal="right" vertical="top" wrapText="1"/>
    </xf>
    <xf numFmtId="0" fontId="21" fillId="0" borderId="47" xfId="14" applyFont="1" applyBorder="1" applyAlignment="1">
      <alignment horizontal="right" vertical="top" wrapText="1"/>
    </xf>
    <xf numFmtId="0" fontId="21" fillId="0" borderId="55" xfId="14" applyFont="1" applyBorder="1" applyAlignment="1">
      <alignment horizontal="right" vertical="top" wrapText="1"/>
    </xf>
    <xf numFmtId="0" fontId="32" fillId="0" borderId="0" xfId="17" applyAlignment="1">
      <alignment wrapText="1"/>
    </xf>
    <xf numFmtId="3" fontId="35" fillId="0" borderId="49" xfId="0" applyNumberFormat="1" applyFont="1" applyBorder="1" applyAlignment="1">
      <alignment vertical="top"/>
    </xf>
    <xf numFmtId="3" fontId="35" fillId="0" borderId="50" xfId="0" applyNumberFormat="1" applyFont="1" applyBorder="1" applyAlignment="1">
      <alignment vertical="top"/>
    </xf>
    <xf numFmtId="3" fontId="35" fillId="0" borderId="51" xfId="0" applyNumberFormat="1" applyFont="1" applyBorder="1" applyAlignment="1">
      <alignment vertical="top"/>
    </xf>
    <xf numFmtId="0" fontId="38" fillId="0" borderId="19" xfId="16" applyFont="1" applyBorder="1"/>
    <xf numFmtId="0" fontId="38" fillId="0" borderId="7" xfId="16" applyFont="1" applyBorder="1"/>
    <xf numFmtId="0" fontId="38" fillId="0" borderId="12" xfId="16" applyFont="1" applyBorder="1" applyAlignment="1">
      <alignment vertical="top"/>
    </xf>
    <xf numFmtId="0" fontId="38" fillId="0" borderId="50" xfId="16" applyFont="1" applyBorder="1"/>
    <xf numFmtId="0" fontId="38" fillId="0" borderId="47" xfId="16" applyFont="1" applyBorder="1"/>
    <xf numFmtId="0" fontId="38" fillId="0" borderId="51" xfId="16" applyFont="1" applyBorder="1"/>
    <xf numFmtId="0" fontId="38" fillId="0" borderId="49" xfId="16" applyFont="1" applyBorder="1"/>
    <xf numFmtId="3" fontId="38" fillId="0" borderId="67" xfId="16" applyNumberFormat="1" applyFont="1" applyBorder="1"/>
    <xf numFmtId="0" fontId="28" fillId="0" borderId="29" xfId="16" applyFont="1" applyBorder="1" applyAlignment="1">
      <alignment vertical="top"/>
    </xf>
    <xf numFmtId="0" fontId="27" fillId="0" borderId="30" xfId="16" applyBorder="1" applyAlignment="1">
      <alignment vertical="top"/>
    </xf>
    <xf numFmtId="0" fontId="27" fillId="0" borderId="31" xfId="16" applyBorder="1"/>
    <xf numFmtId="0" fontId="18" fillId="0" borderId="53" xfId="14" applyFont="1" applyBorder="1" applyAlignment="1">
      <alignment vertical="top" wrapText="1"/>
    </xf>
    <xf numFmtId="0" fontId="18" fillId="0" borderId="30" xfId="14" applyFont="1" applyBorder="1" applyAlignment="1">
      <alignment vertical="top" wrapText="1"/>
    </xf>
    <xf numFmtId="0" fontId="26" fillId="0" borderId="30" xfId="15" applyFont="1" applyFill="1" applyBorder="1" applyAlignment="1">
      <alignment vertical="top" wrapText="1"/>
    </xf>
    <xf numFmtId="0" fontId="18" fillId="0" borderId="31" xfId="14" applyFont="1" applyBorder="1" applyAlignment="1">
      <alignment vertical="top" wrapText="1"/>
    </xf>
    <xf numFmtId="0" fontId="18" fillId="2" borderId="42" xfId="14" applyFont="1" applyFill="1" applyBorder="1">
      <alignment vertical="top"/>
    </xf>
    <xf numFmtId="0" fontId="40" fillId="0" borderId="0" xfId="16" applyFont="1"/>
    <xf numFmtId="0" fontId="49" fillId="0" borderId="0" xfId="16" applyFont="1"/>
    <xf numFmtId="0" fontId="18" fillId="2" borderId="10" xfId="14" applyFont="1" applyFill="1" applyBorder="1">
      <alignment vertical="top"/>
    </xf>
    <xf numFmtId="0" fontId="28" fillId="0" borderId="40" xfId="16" applyFont="1" applyBorder="1"/>
    <xf numFmtId="0" fontId="28" fillId="0" borderId="12" xfId="16" applyFont="1" applyBorder="1"/>
    <xf numFmtId="0" fontId="28" fillId="3" borderId="12" xfId="16" applyFont="1" applyFill="1" applyBorder="1"/>
    <xf numFmtId="0" fontId="28" fillId="0" borderId="10" xfId="16" applyFont="1" applyBorder="1"/>
    <xf numFmtId="0" fontId="28" fillId="0" borderId="43" xfId="16" applyFont="1" applyBorder="1"/>
    <xf numFmtId="0" fontId="28" fillId="5" borderId="42" xfId="17" applyFont="1" applyFill="1" applyBorder="1" applyAlignment="1">
      <alignment vertical="top"/>
    </xf>
    <xf numFmtId="0" fontId="32" fillId="0" borderId="72" xfId="17" applyBorder="1"/>
    <xf numFmtId="0" fontId="28" fillId="2" borderId="36" xfId="17" applyFont="1" applyFill="1" applyBorder="1" applyAlignment="1">
      <alignment vertical="top"/>
    </xf>
    <xf numFmtId="0" fontId="1" fillId="4" borderId="44" xfId="0" applyFont="1" applyFill="1" applyBorder="1"/>
    <xf numFmtId="1" fontId="0" fillId="0" borderId="47" xfId="0" applyNumberFormat="1" applyBorder="1"/>
    <xf numFmtId="1" fontId="0" fillId="0" borderId="50" xfId="0" applyNumberFormat="1" applyBorder="1"/>
    <xf numFmtId="0" fontId="0" fillId="0" borderId="72" xfId="0" applyBorder="1"/>
    <xf numFmtId="0" fontId="1" fillId="4" borderId="36" xfId="0" applyFont="1" applyFill="1" applyBorder="1"/>
    <xf numFmtId="0" fontId="18" fillId="2" borderId="45" xfId="14" applyFont="1" applyFill="1" applyBorder="1">
      <alignment vertical="top"/>
    </xf>
    <xf numFmtId="0" fontId="21" fillId="2" borderId="48" xfId="14" applyFont="1" applyFill="1" applyBorder="1">
      <alignment vertical="top"/>
    </xf>
    <xf numFmtId="0" fontId="27" fillId="0" borderId="45" xfId="16" applyBorder="1"/>
    <xf numFmtId="0" fontId="27" fillId="0" borderId="55" xfId="16" applyBorder="1"/>
    <xf numFmtId="1" fontId="9" fillId="0" borderId="6" xfId="0" applyNumberFormat="1" applyFont="1" applyBorder="1"/>
    <xf numFmtId="0" fontId="1" fillId="2" borderId="6" xfId="0" applyFont="1" applyFill="1" applyBorder="1" applyAlignment="1">
      <alignment wrapText="1"/>
    </xf>
    <xf numFmtId="0" fontId="1" fillId="2" borderId="6" xfId="0" applyFont="1" applyFill="1" applyBorder="1"/>
    <xf numFmtId="0" fontId="0" fillId="0" borderId="16" xfId="0" applyBorder="1"/>
    <xf numFmtId="0" fontId="0" fillId="0" borderId="50" xfId="0" applyBorder="1"/>
    <xf numFmtId="0" fontId="49" fillId="0" borderId="62" xfId="16" applyFont="1" applyBorder="1"/>
    <xf numFmtId="0" fontId="49" fillId="0" borderId="0" xfId="17" applyFont="1"/>
    <xf numFmtId="0" fontId="1" fillId="0" borderId="61" xfId="0" applyFont="1" applyBorder="1"/>
    <xf numFmtId="0" fontId="0" fillId="0" borderId="6" xfId="0" applyBorder="1"/>
    <xf numFmtId="0" fontId="0" fillId="0" borderId="28" xfId="0" applyBorder="1"/>
    <xf numFmtId="0" fontId="1" fillId="0" borderId="6" xfId="0" applyFont="1" applyBorder="1"/>
    <xf numFmtId="0" fontId="28" fillId="0" borderId="14" xfId="17" applyFont="1" applyBorder="1"/>
    <xf numFmtId="0" fontId="32" fillId="0" borderId="45" xfId="17" applyBorder="1"/>
    <xf numFmtId="165" fontId="32" fillId="0" borderId="47" xfId="17" applyNumberFormat="1" applyBorder="1"/>
    <xf numFmtId="1" fontId="32" fillId="0" borderId="55" xfId="17" applyNumberFormat="1" applyBorder="1"/>
    <xf numFmtId="0" fontId="32" fillId="0" borderId="19" xfId="17" applyBorder="1"/>
    <xf numFmtId="165" fontId="32" fillId="0" borderId="20" xfId="17" applyNumberFormat="1" applyBorder="1"/>
    <xf numFmtId="1" fontId="32" fillId="0" borderId="79" xfId="17" applyNumberFormat="1" applyBorder="1"/>
    <xf numFmtId="0" fontId="28" fillId="0" borderId="21" xfId="17" applyFont="1" applyBorder="1"/>
    <xf numFmtId="165" fontId="28" fillId="0" borderId="23" xfId="17" applyNumberFormat="1" applyFont="1" applyBorder="1"/>
    <xf numFmtId="1" fontId="28" fillId="0" borderId="6" xfId="17" applyNumberFormat="1" applyFont="1" applyBorder="1"/>
    <xf numFmtId="0" fontId="49" fillId="0" borderId="62" xfId="17" applyFont="1" applyBorder="1"/>
    <xf numFmtId="0" fontId="1" fillId="0" borderId="63" xfId="0" applyFont="1" applyBorder="1"/>
    <xf numFmtId="0" fontId="1" fillId="0" borderId="64" xfId="0" applyFont="1" applyBorder="1"/>
    <xf numFmtId="0" fontId="6" fillId="0" borderId="80" xfId="0" applyFont="1" applyBorder="1"/>
    <xf numFmtId="1" fontId="6" fillId="0" borderId="64" xfId="0" applyNumberFormat="1" applyFont="1" applyBorder="1"/>
    <xf numFmtId="0" fontId="6" fillId="0" borderId="21" xfId="0" applyFont="1" applyBorder="1"/>
    <xf numFmtId="0" fontId="1" fillId="0" borderId="8" xfId="0" applyFont="1" applyBorder="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41" fillId="0" borderId="7" xfId="0" applyFont="1" applyBorder="1" applyAlignment="1">
      <alignment vertical="top"/>
    </xf>
    <xf numFmtId="0" fontId="32" fillId="0" borderId="5" xfId="17" applyBorder="1"/>
    <xf numFmtId="0" fontId="32" fillId="0" borderId="12" xfId="17" applyBorder="1"/>
    <xf numFmtId="0" fontId="43" fillId="0" borderId="5" xfId="0" applyFont="1" applyBorder="1" applyAlignment="1">
      <alignment vertical="top"/>
    </xf>
    <xf numFmtId="0" fontId="44" fillId="0" borderId="5" xfId="0" applyFont="1" applyBorder="1" applyAlignment="1">
      <alignment vertical="top"/>
    </xf>
    <xf numFmtId="0" fontId="44" fillId="0" borderId="5" xfId="0" applyFont="1" applyBorder="1" applyAlignment="1">
      <alignment vertical="top" wrapText="1" readingOrder="1"/>
    </xf>
    <xf numFmtId="0" fontId="43" fillId="0" borderId="7" xfId="0" applyFont="1" applyBorder="1" applyAlignment="1">
      <alignment vertical="top"/>
    </xf>
    <xf numFmtId="0" fontId="44" fillId="0" borderId="7" xfId="0" applyFont="1" applyBorder="1" applyAlignment="1">
      <alignment vertical="top" wrapText="1"/>
    </xf>
    <xf numFmtId="0" fontId="17" fillId="0" borderId="12" xfId="0" applyFont="1" applyBorder="1" applyAlignment="1">
      <alignment vertical="top" wrapText="1" readingOrder="1"/>
    </xf>
    <xf numFmtId="0" fontId="1" fillId="0" borderId="11" xfId="0" applyFont="1" applyBorder="1" applyAlignment="1">
      <alignment vertical="top"/>
    </xf>
    <xf numFmtId="0" fontId="35" fillId="0" borderId="5" xfId="0" applyFont="1" applyBorder="1" applyAlignment="1">
      <alignment vertical="top"/>
    </xf>
    <xf numFmtId="0" fontId="35" fillId="0" borderId="12" xfId="0" applyFont="1" applyBorder="1" applyAlignment="1">
      <alignment vertical="top"/>
    </xf>
    <xf numFmtId="0" fontId="17" fillId="0" borderId="5" xfId="0" applyFont="1" applyBorder="1" applyAlignment="1">
      <alignment vertical="top" wrapText="1"/>
    </xf>
    <xf numFmtId="0" fontId="1" fillId="0" borderId="7" xfId="0" applyFont="1" applyBorder="1" applyAlignment="1">
      <alignment vertical="top"/>
    </xf>
    <xf numFmtId="0" fontId="35" fillId="0" borderId="39" xfId="0" applyFont="1" applyBorder="1" applyAlignment="1">
      <alignment vertical="top"/>
    </xf>
    <xf numFmtId="0" fontId="35" fillId="0" borderId="0" xfId="0" applyFont="1" applyAlignment="1">
      <alignment vertical="top"/>
    </xf>
    <xf numFmtId="0" fontId="18" fillId="0" borderId="7" xfId="0" applyFont="1" applyBorder="1" applyAlignment="1">
      <alignment vertical="top"/>
    </xf>
    <xf numFmtId="0" fontId="35" fillId="0" borderId="5" xfId="0" applyFont="1" applyBorder="1" applyAlignment="1">
      <alignment vertical="top" wrapText="1"/>
    </xf>
    <xf numFmtId="0" fontId="35" fillId="0" borderId="25" xfId="0" applyFont="1" applyBorder="1" applyAlignment="1">
      <alignment vertical="top" wrapText="1" readingOrder="1"/>
    </xf>
    <xf numFmtId="0" fontId="18"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wrapText="1" readingOrder="1"/>
    </xf>
    <xf numFmtId="0" fontId="43" fillId="0" borderId="67" xfId="0" applyFont="1" applyBorder="1" applyAlignment="1">
      <alignment vertical="top"/>
    </xf>
    <xf numFmtId="0" fontId="44" fillId="0" borderId="39" xfId="0" applyFont="1" applyBorder="1" applyAlignment="1">
      <alignment vertical="top" wrapText="1"/>
    </xf>
    <xf numFmtId="0" fontId="44" fillId="0" borderId="0" xfId="0" applyFont="1" applyAlignment="1">
      <alignment vertical="top" wrapText="1" readingOrder="1"/>
    </xf>
    <xf numFmtId="0" fontId="44" fillId="0" borderId="5" xfId="0" applyFont="1" applyBorder="1" applyAlignment="1">
      <alignment vertical="top" wrapText="1"/>
    </xf>
    <xf numFmtId="0" fontId="44" fillId="0" borderId="25" xfId="0" applyFont="1" applyBorder="1" applyAlignment="1">
      <alignment vertical="top" wrapText="1" readingOrder="1"/>
    </xf>
    <xf numFmtId="0" fontId="44" fillId="0" borderId="0" xfId="0" applyFont="1" applyAlignment="1">
      <alignment vertical="top" wrapText="1"/>
    </xf>
    <xf numFmtId="0" fontId="44" fillId="0" borderId="12" xfId="0" applyFont="1" applyBorder="1" applyAlignment="1">
      <alignment vertical="top" wrapText="1"/>
    </xf>
    <xf numFmtId="0" fontId="44" fillId="0" borderId="67" xfId="0" applyFont="1" applyBorder="1" applyAlignment="1">
      <alignment vertical="top" wrapText="1"/>
    </xf>
    <xf numFmtId="0" fontId="44" fillId="0" borderId="70" xfId="0" applyFont="1" applyBorder="1" applyAlignment="1">
      <alignment vertical="top" wrapText="1" readingOrder="1"/>
    </xf>
    <xf numFmtId="0" fontId="44" fillId="0" borderId="70" xfId="0" applyFont="1" applyBorder="1" applyAlignment="1">
      <alignment vertical="top" wrapText="1"/>
    </xf>
    <xf numFmtId="0" fontId="44" fillId="0" borderId="25" xfId="0" applyFont="1" applyBorder="1" applyAlignment="1">
      <alignment vertical="top" wrapText="1"/>
    </xf>
    <xf numFmtId="0" fontId="28" fillId="0" borderId="49" xfId="16" applyFont="1" applyBorder="1" applyAlignment="1">
      <alignment vertical="top"/>
    </xf>
    <xf numFmtId="0" fontId="27" fillId="0" borderId="50" xfId="16" applyBorder="1" applyAlignment="1">
      <alignment vertical="top"/>
    </xf>
    <xf numFmtId="0" fontId="27" fillId="0" borderId="3" xfId="16" applyBorder="1" applyAlignment="1">
      <alignment vertical="top"/>
    </xf>
    <xf numFmtId="0" fontId="29" fillId="0" borderId="11" xfId="16" applyFont="1" applyBorder="1" applyAlignment="1">
      <alignment vertical="top"/>
    </xf>
    <xf numFmtId="0" fontId="1" fillId="0" borderId="5" xfId="0" applyFont="1" applyBorder="1" applyAlignment="1">
      <alignment vertical="top"/>
    </xf>
    <xf numFmtId="0" fontId="0" fillId="0" borderId="5" xfId="0" applyBorder="1" applyAlignment="1">
      <alignment vertical="top"/>
    </xf>
    <xf numFmtId="0" fontId="0" fillId="0" borderId="46" xfId="0" applyBorder="1" applyAlignment="1">
      <alignment vertical="top"/>
    </xf>
    <xf numFmtId="3" fontId="17" fillId="0" borderId="8" xfId="0" applyNumberFormat="1" applyFont="1" applyBorder="1" applyAlignment="1">
      <alignment horizontal="right" vertical="top"/>
    </xf>
    <xf numFmtId="3" fontId="17" fillId="0" borderId="9" xfId="0" applyNumberFormat="1" applyFont="1" applyBorder="1" applyAlignment="1">
      <alignment horizontal="right" vertical="top"/>
    </xf>
    <xf numFmtId="3" fontId="17" fillId="0" borderId="10" xfId="0" applyNumberFormat="1" applyFont="1" applyBorder="1" applyAlignment="1">
      <alignment horizontal="right" vertical="top"/>
    </xf>
    <xf numFmtId="0" fontId="38" fillId="0" borderId="44" xfId="16" applyFont="1" applyBorder="1"/>
    <xf numFmtId="0" fontId="28" fillId="0" borderId="31" xfId="16" applyFont="1" applyBorder="1"/>
    <xf numFmtId="3" fontId="38" fillId="0" borderId="11" xfId="17" applyNumberFormat="1" applyFont="1" applyBorder="1" applyAlignment="1">
      <alignment vertical="top"/>
    </xf>
    <xf numFmtId="0" fontId="38" fillId="0" borderId="12" xfId="17" applyFont="1" applyBorder="1"/>
    <xf numFmtId="0" fontId="38" fillId="0" borderId="7" xfId="17" applyFont="1" applyBorder="1"/>
    <xf numFmtId="0" fontId="38" fillId="0" borderId="5" xfId="17" applyFont="1" applyBorder="1"/>
    <xf numFmtId="0" fontId="38" fillId="0" borderId="46" xfId="17" applyFont="1" applyBorder="1"/>
    <xf numFmtId="0" fontId="28" fillId="0" borderId="5" xfId="16" applyFont="1" applyBorder="1"/>
    <xf numFmtId="3" fontId="17" fillId="0" borderId="0" xfId="0" applyNumberFormat="1" applyFont="1" applyAlignment="1">
      <alignment horizontal="righ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3" fontId="32" fillId="0" borderId="22" xfId="17" applyNumberFormat="1" applyBorder="1" applyAlignment="1">
      <alignment vertical="top"/>
    </xf>
    <xf numFmtId="3" fontId="32" fillId="0" borderId="63" xfId="17" applyNumberFormat="1" applyBorder="1" applyAlignment="1">
      <alignment vertical="top"/>
    </xf>
    <xf numFmtId="0" fontId="37" fillId="0" borderId="0" xfId="0" applyFont="1"/>
    <xf numFmtId="0" fontId="27" fillId="0" borderId="11" xfId="17" applyFont="1" applyBorder="1"/>
    <xf numFmtId="0" fontId="27" fillId="0" borderId="5" xfId="17" applyFont="1" applyBorder="1"/>
    <xf numFmtId="0" fontId="28" fillId="0" borderId="11" xfId="17" applyFont="1" applyBorder="1" applyAlignment="1">
      <alignment vertical="top"/>
    </xf>
    <xf numFmtId="0" fontId="38" fillId="0" borderId="5" xfId="17" applyFont="1" applyBorder="1" applyAlignment="1">
      <alignment vertical="top"/>
    </xf>
    <xf numFmtId="0" fontId="38" fillId="0" borderId="46" xfId="17" applyFont="1" applyBorder="1" applyAlignment="1">
      <alignment vertical="top" wrapText="1"/>
    </xf>
    <xf numFmtId="3" fontId="38" fillId="0" borderId="22" xfId="17" applyNumberFormat="1" applyFont="1" applyBorder="1" applyAlignment="1">
      <alignment vertical="top"/>
    </xf>
    <xf numFmtId="3" fontId="38" fillId="0" borderId="63" xfId="17" applyNumberFormat="1" applyFont="1" applyBorder="1" applyAlignment="1">
      <alignment vertical="top"/>
    </xf>
    <xf numFmtId="0" fontId="26" fillId="0" borderId="17" xfId="17" applyFont="1" applyBorder="1"/>
    <xf numFmtId="0" fontId="38" fillId="0" borderId="11" xfId="17" applyFont="1" applyBorder="1"/>
    <xf numFmtId="0" fontId="49" fillId="0" borderId="5" xfId="17" applyFont="1" applyBorder="1"/>
    <xf numFmtId="0" fontId="29" fillId="0" borderId="11" xfId="17" applyFont="1" applyBorder="1" applyAlignment="1">
      <alignment vertical="top"/>
    </xf>
    <xf numFmtId="0" fontId="32" fillId="0" borderId="46" xfId="17" applyBorder="1" applyAlignment="1">
      <alignment wrapText="1"/>
    </xf>
    <xf numFmtId="0" fontId="32" fillId="0" borderId="22" xfId="17" applyBorder="1"/>
    <xf numFmtId="0" fontId="32" fillId="0" borderId="63" xfId="17" applyBorder="1"/>
    <xf numFmtId="0" fontId="28" fillId="0" borderId="17" xfId="17" applyFont="1" applyBorder="1"/>
    <xf numFmtId="0" fontId="32" fillId="0" borderId="11" xfId="17" applyBorder="1"/>
    <xf numFmtId="0" fontId="38" fillId="0" borderId="11" xfId="0" applyFont="1" applyBorder="1"/>
    <xf numFmtId="0" fontId="38" fillId="0" borderId="5" xfId="0" applyFont="1" applyBorder="1"/>
    <xf numFmtId="0" fontId="27" fillId="0" borderId="46" xfId="17" applyFont="1" applyBorder="1" applyAlignment="1">
      <alignment wrapText="1"/>
    </xf>
    <xf numFmtId="0" fontId="28" fillId="0" borderId="22" xfId="17" applyFont="1" applyBorder="1"/>
    <xf numFmtId="0" fontId="0" fillId="0" borderId="49" xfId="0" applyBorder="1"/>
    <xf numFmtId="0" fontId="0" fillId="0" borderId="52" xfId="0" applyBorder="1"/>
    <xf numFmtId="0" fontId="2" fillId="0" borderId="9" xfId="0" applyFont="1" applyBorder="1"/>
    <xf numFmtId="0" fontId="2" fillId="0" borderId="45" xfId="0" applyFont="1" applyBorder="1"/>
    <xf numFmtId="0" fontId="1" fillId="0" borderId="16" xfId="0" applyFont="1" applyBorder="1"/>
    <xf numFmtId="0" fontId="1" fillId="0" borderId="60" xfId="0" applyFont="1" applyBorder="1"/>
    <xf numFmtId="0" fontId="1" fillId="0" borderId="17" xfId="0" applyFont="1" applyBorder="1"/>
    <xf numFmtId="0" fontId="27" fillId="0" borderId="9" xfId="16" applyBorder="1" applyAlignment="1">
      <alignment vertical="top"/>
    </xf>
    <xf numFmtId="0" fontId="38" fillId="0" borderId="5" xfId="16" applyFont="1" applyBorder="1" applyAlignment="1">
      <alignment vertical="top"/>
    </xf>
    <xf numFmtId="0" fontId="38" fillId="0" borderId="13" xfId="16" applyFont="1" applyBorder="1" applyAlignment="1">
      <alignment vertical="top"/>
    </xf>
    <xf numFmtId="3" fontId="38" fillId="0" borderId="14" xfId="16" applyNumberFormat="1" applyFont="1" applyBorder="1" applyAlignment="1">
      <alignment vertical="top"/>
    </xf>
    <xf numFmtId="0" fontId="48" fillId="0" borderId="38" xfId="16" applyFont="1" applyBorder="1" applyAlignment="1">
      <alignment vertical="top"/>
    </xf>
    <xf numFmtId="0" fontId="26" fillId="0" borderId="8" xfId="16" applyFont="1" applyBorder="1" applyAlignment="1">
      <alignment vertical="top"/>
    </xf>
    <xf numFmtId="0" fontId="38" fillId="0" borderId="9" xfId="16" applyFont="1" applyBorder="1" applyAlignment="1">
      <alignment vertical="top"/>
    </xf>
    <xf numFmtId="0" fontId="38" fillId="0" borderId="8" xfId="16" applyFont="1" applyBorder="1" applyAlignment="1">
      <alignment vertical="top"/>
    </xf>
    <xf numFmtId="3" fontId="38" fillId="0" borderId="9" xfId="16" applyNumberFormat="1" applyFont="1" applyBorder="1" applyAlignment="1">
      <alignment vertical="top"/>
    </xf>
    <xf numFmtId="3" fontId="38" fillId="0" borderId="5" xfId="16" applyNumberFormat="1" applyFont="1" applyBorder="1" applyAlignment="1">
      <alignment vertical="top"/>
    </xf>
    <xf numFmtId="0" fontId="38" fillId="0" borderId="50" xfId="16" applyFont="1" applyBorder="1" applyAlignment="1">
      <alignment vertical="top"/>
    </xf>
    <xf numFmtId="3" fontId="38" fillId="0" borderId="50" xfId="16" applyNumberFormat="1" applyFont="1" applyBorder="1" applyAlignment="1">
      <alignment vertical="top"/>
    </xf>
    <xf numFmtId="0" fontId="38" fillId="0" borderId="14" xfId="16" applyFont="1" applyBorder="1" applyAlignment="1">
      <alignment vertical="top"/>
    </xf>
    <xf numFmtId="0" fontId="38" fillId="0" borderId="20" xfId="16" applyFont="1" applyBorder="1" applyAlignment="1">
      <alignment vertical="top"/>
    </xf>
    <xf numFmtId="0" fontId="38" fillId="0" borderId="49" xfId="16" applyFont="1" applyBorder="1" applyAlignment="1">
      <alignment vertical="top"/>
    </xf>
    <xf numFmtId="3" fontId="27" fillId="0" borderId="9" xfId="16" applyNumberFormat="1" applyBorder="1" applyAlignment="1">
      <alignment vertical="top"/>
    </xf>
    <xf numFmtId="0" fontId="27" fillId="0" borderId="11" xfId="16" applyBorder="1" applyAlignment="1">
      <alignment vertical="top"/>
    </xf>
    <xf numFmtId="3" fontId="27" fillId="0" borderId="5" xfId="16" applyNumberFormat="1" applyBorder="1" applyAlignment="1">
      <alignment vertical="top"/>
    </xf>
    <xf numFmtId="14" fontId="27" fillId="0" borderId="5" xfId="16" applyNumberFormat="1" applyBorder="1" applyAlignment="1">
      <alignment vertical="top"/>
    </xf>
    <xf numFmtId="0" fontId="27" fillId="0" borderId="13" xfId="16" applyBorder="1" applyAlignment="1">
      <alignment vertical="top"/>
    </xf>
    <xf numFmtId="3" fontId="27" fillId="0" borderId="14" xfId="16" applyNumberFormat="1" applyBorder="1" applyAlignment="1">
      <alignment vertical="top"/>
    </xf>
  </cellXfs>
  <cellStyles count="18">
    <cellStyle name="Hyperlink" xfId="15" builtinId="8"/>
    <cellStyle name="Normal" xfId="0" builtinId="0"/>
    <cellStyle name="Normal 10" xfId="11" xr:uid="{00000000-0005-0000-0000-000002000000}"/>
    <cellStyle name="Normal 11" xfId="6" xr:uid="{00000000-0005-0000-0000-000003000000}"/>
    <cellStyle name="Normal 12" xfId="4" xr:uid="{00000000-0005-0000-0000-000004000000}"/>
    <cellStyle name="Normal 13" xfId="3" xr:uid="{00000000-0005-0000-0000-000005000000}"/>
    <cellStyle name="Normal 14" xfId="13" xr:uid="{00000000-0005-0000-0000-000006000000}"/>
    <cellStyle name="Normal 15" xfId="14" xr:uid="{00000000-0005-0000-0000-000007000000}"/>
    <cellStyle name="Normal 16" xfId="16" xr:uid="{00000000-0005-0000-0000-000008000000}"/>
    <cellStyle name="Normal 17" xfId="17" xr:uid="{00000000-0005-0000-0000-000009000000}"/>
    <cellStyle name="Normal 2" xfId="1" xr:uid="{00000000-0005-0000-0000-00000A000000}"/>
    <cellStyle name="Normal 3" xfId="2" xr:uid="{00000000-0005-0000-0000-00000B000000}"/>
    <cellStyle name="Normal 4" xfId="5" xr:uid="{00000000-0005-0000-0000-00000C000000}"/>
    <cellStyle name="Normal 5" xfId="12" xr:uid="{00000000-0005-0000-0000-00000D000000}"/>
    <cellStyle name="Normal 6" xfId="8" xr:uid="{00000000-0005-0000-0000-00000E000000}"/>
    <cellStyle name="Normal 7" xfId="10" xr:uid="{00000000-0005-0000-0000-00000F000000}"/>
    <cellStyle name="Normal 8" xfId="9" xr:uid="{00000000-0005-0000-0000-000010000000}"/>
    <cellStyle name="Normal 9" xfId="7" xr:uid="{00000000-0005-0000-0000-000011000000}"/>
  </cellStyles>
  <dxfs count="2">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pivotCacheDefinition" Target="pivotCache/pivotCacheDefinition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pivotCacheDefinition" Target="pivotCache/pivotCacheDefiniti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pivotCacheDefinition" Target="pivotCache/pivotCacheDefinition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pivotCacheDefinition" Target="pivotCache/pivotCacheDefinition10.xml"/><Relationship Id="rId27"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Housing Trajectory 2011 - 2029</a:t>
            </a:r>
          </a:p>
        </c:rich>
      </c:tx>
      <c:layout>
        <c:manualLayout>
          <c:xMode val="edge"/>
          <c:yMode val="edge"/>
          <c:x val="0.31404672022037367"/>
          <c:y val="2.1406727828746176E-2"/>
        </c:manualLayout>
      </c:layout>
      <c:overlay val="0"/>
    </c:title>
    <c:autoTitleDeleted val="0"/>
    <c:plotArea>
      <c:layout>
        <c:manualLayout>
          <c:layoutTarget val="inner"/>
          <c:xMode val="edge"/>
          <c:yMode val="edge"/>
          <c:x val="6.5287743903757023E-2"/>
          <c:y val="0.12867767008344935"/>
          <c:w val="0.89503697389361769"/>
          <c:h val="0.73151677141274773"/>
        </c:manualLayout>
      </c:layout>
      <c:barChart>
        <c:barDir val="col"/>
        <c:grouping val="clustered"/>
        <c:varyColors val="0"/>
        <c:ser>
          <c:idx val="0"/>
          <c:order val="0"/>
          <c:tx>
            <c:strRef>
              <c:f>'a) All Sites'!$A$22</c:f>
              <c:strCache>
                <c:ptCount val="1"/>
                <c:pt idx="0">
                  <c:v>Actual Completions</c:v>
                </c:pt>
              </c:strCache>
            </c:strRef>
          </c:tx>
          <c:spPr>
            <a:solidFill>
              <a:schemeClr val="tx2">
                <a:lumMod val="40000"/>
                <a:lumOff val="60000"/>
              </a:schemeClr>
            </a:solidFill>
          </c:spPr>
          <c:invertIfNegative val="0"/>
          <c:cat>
            <c:strRef>
              <c:f>'a) All Sites'!$C$21:$U$21</c:f>
              <c:strCache>
                <c:ptCount val="19"/>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pt idx="13">
                  <c:v>2024/25</c:v>
                </c:pt>
                <c:pt idx="14">
                  <c:v>2025/26</c:v>
                </c:pt>
                <c:pt idx="15">
                  <c:v>2026/27</c:v>
                </c:pt>
                <c:pt idx="16">
                  <c:v>2027/28</c:v>
                </c:pt>
                <c:pt idx="17">
                  <c:v>2028/29</c:v>
                </c:pt>
                <c:pt idx="18">
                  <c:v>2029/30</c:v>
                </c:pt>
              </c:strCache>
            </c:strRef>
          </c:cat>
          <c:val>
            <c:numRef>
              <c:f>'a) All Sites'!$C$22:$T$22</c:f>
              <c:numCache>
                <c:formatCode>0</c:formatCode>
                <c:ptCount val="18"/>
                <c:pt idx="0">
                  <c:v>144</c:v>
                </c:pt>
                <c:pt idx="1">
                  <c:v>262</c:v>
                </c:pt>
                <c:pt idx="2">
                  <c:v>294</c:v>
                </c:pt>
                <c:pt idx="3">
                  <c:v>732</c:v>
                </c:pt>
                <c:pt idx="4">
                  <c:v>619</c:v>
                </c:pt>
                <c:pt idx="5">
                  <c:v>1094</c:v>
                </c:pt>
                <c:pt idx="6">
                  <c:v>1031</c:v>
                </c:pt>
                <c:pt idx="7">
                  <c:v>1050</c:v>
                </c:pt>
                <c:pt idx="8">
                  <c:v>1168</c:v>
                </c:pt>
                <c:pt idx="9">
                  <c:v>841</c:v>
                </c:pt>
                <c:pt idx="10">
                  <c:v>1111</c:v>
                </c:pt>
                <c:pt idx="11">
                  <c:v>915</c:v>
                </c:pt>
                <c:pt idx="12">
                  <c:v>893</c:v>
                </c:pt>
                <c:pt idx="13">
                  <c:v>850</c:v>
                </c:pt>
              </c:numCache>
            </c:numRef>
          </c:val>
          <c:extLst>
            <c:ext xmlns:c16="http://schemas.microsoft.com/office/drawing/2014/chart" uri="{C3380CC4-5D6E-409C-BE32-E72D297353CC}">
              <c16:uniqueId val="{00000000-9647-4D35-9E31-B74D25DF7D2F}"/>
            </c:ext>
          </c:extLst>
        </c:ser>
        <c:ser>
          <c:idx val="1"/>
          <c:order val="1"/>
          <c:tx>
            <c:strRef>
              <c:f>'a) All Sites'!$A$23</c:f>
              <c:strCache>
                <c:ptCount val="1"/>
                <c:pt idx="0">
                  <c:v>Forecast Completions</c:v>
                </c:pt>
              </c:strCache>
            </c:strRef>
          </c:tx>
          <c:invertIfNegative val="0"/>
          <c:cat>
            <c:strRef>
              <c:f>'a) All Sites'!$C$21:$U$21</c:f>
              <c:strCache>
                <c:ptCount val="19"/>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pt idx="13">
                  <c:v>2024/25</c:v>
                </c:pt>
                <c:pt idx="14">
                  <c:v>2025/26</c:v>
                </c:pt>
                <c:pt idx="15">
                  <c:v>2026/27</c:v>
                </c:pt>
                <c:pt idx="16">
                  <c:v>2027/28</c:v>
                </c:pt>
                <c:pt idx="17">
                  <c:v>2028/29</c:v>
                </c:pt>
                <c:pt idx="18">
                  <c:v>2029/30</c:v>
                </c:pt>
              </c:strCache>
            </c:strRef>
          </c:cat>
          <c:val>
            <c:numRef>
              <c:f>'a) All Sites'!$C$23:$T$23</c:f>
              <c:numCache>
                <c:formatCode>0</c:formatCode>
                <c:ptCount val="18"/>
                <c:pt idx="14">
                  <c:v>751.82309941520464</c:v>
                </c:pt>
                <c:pt idx="15">
                  <c:v>862.82309941520464</c:v>
                </c:pt>
                <c:pt idx="16">
                  <c:v>918.82309941520464</c:v>
                </c:pt>
                <c:pt idx="17">
                  <c:v>873</c:v>
                </c:pt>
              </c:numCache>
            </c:numRef>
          </c:val>
          <c:extLst>
            <c:ext xmlns:c16="http://schemas.microsoft.com/office/drawing/2014/chart" uri="{C3380CC4-5D6E-409C-BE32-E72D297353CC}">
              <c16:uniqueId val="{00000001-9647-4D35-9E31-B74D25DF7D2F}"/>
            </c:ext>
          </c:extLst>
        </c:ser>
        <c:dLbls>
          <c:showLegendKey val="0"/>
          <c:showVal val="0"/>
          <c:showCatName val="0"/>
          <c:showSerName val="0"/>
          <c:showPercent val="0"/>
          <c:showBubbleSize val="0"/>
        </c:dLbls>
        <c:gapWidth val="7"/>
        <c:overlap val="72"/>
        <c:axId val="72629248"/>
        <c:axId val="89301760"/>
      </c:barChart>
      <c:lineChart>
        <c:grouping val="standard"/>
        <c:varyColors val="0"/>
        <c:ser>
          <c:idx val="2"/>
          <c:order val="2"/>
          <c:tx>
            <c:strRef>
              <c:f>'a) All Sites'!$A$24</c:f>
              <c:strCache>
                <c:ptCount val="1"/>
                <c:pt idx="0">
                  <c:v>Average Annual Requirement</c:v>
                </c:pt>
              </c:strCache>
            </c:strRef>
          </c:tx>
          <c:marker>
            <c:symbol val="none"/>
          </c:marker>
          <c:cat>
            <c:strRef>
              <c:f>'a) All Sites'!$C$21:$T$21</c:f>
              <c:strCache>
                <c:ptCount val="18"/>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pt idx="13">
                  <c:v>2024/25</c:v>
                </c:pt>
                <c:pt idx="14">
                  <c:v>2025/26</c:v>
                </c:pt>
                <c:pt idx="15">
                  <c:v>2026/27</c:v>
                </c:pt>
                <c:pt idx="16">
                  <c:v>2027/28</c:v>
                </c:pt>
                <c:pt idx="17">
                  <c:v>2028/29</c:v>
                </c:pt>
              </c:strCache>
            </c:strRef>
          </c:cat>
          <c:val>
            <c:numRef>
              <c:f>'a) All Sites'!$C$24:$T$24</c:f>
              <c:numCache>
                <c:formatCode>0</c:formatCode>
                <c:ptCount val="18"/>
                <c:pt idx="0">
                  <c:v>600</c:v>
                </c:pt>
                <c:pt idx="1">
                  <c:v>600</c:v>
                </c:pt>
                <c:pt idx="2">
                  <c:v>600</c:v>
                </c:pt>
                <c:pt idx="3">
                  <c:v>600</c:v>
                </c:pt>
                <c:pt idx="4">
                  <c:v>600</c:v>
                </c:pt>
                <c:pt idx="5">
                  <c:v>600</c:v>
                </c:pt>
                <c:pt idx="6">
                  <c:v>1098</c:v>
                </c:pt>
                <c:pt idx="7">
                  <c:v>1098</c:v>
                </c:pt>
                <c:pt idx="8">
                  <c:v>1098</c:v>
                </c:pt>
                <c:pt idx="9">
                  <c:v>1098</c:v>
                </c:pt>
                <c:pt idx="10">
                  <c:v>1098</c:v>
                </c:pt>
                <c:pt idx="11">
                  <c:v>1098</c:v>
                </c:pt>
                <c:pt idx="12">
                  <c:v>1098</c:v>
                </c:pt>
                <c:pt idx="13">
                  <c:v>1098</c:v>
                </c:pt>
                <c:pt idx="14">
                  <c:v>1098</c:v>
                </c:pt>
                <c:pt idx="15">
                  <c:v>1098</c:v>
                </c:pt>
                <c:pt idx="16">
                  <c:v>1098</c:v>
                </c:pt>
                <c:pt idx="17">
                  <c:v>1098</c:v>
                </c:pt>
              </c:numCache>
            </c:numRef>
          </c:val>
          <c:smooth val="0"/>
          <c:extLst>
            <c:ext xmlns:c16="http://schemas.microsoft.com/office/drawing/2014/chart" uri="{C3380CC4-5D6E-409C-BE32-E72D297353CC}">
              <c16:uniqueId val="{00000002-9647-4D35-9E31-B74D25DF7D2F}"/>
            </c:ext>
          </c:extLst>
        </c:ser>
        <c:dLbls>
          <c:showLegendKey val="0"/>
          <c:showVal val="0"/>
          <c:showCatName val="0"/>
          <c:showSerName val="0"/>
          <c:showPercent val="0"/>
          <c:showBubbleSize val="0"/>
        </c:dLbls>
        <c:marker val="1"/>
        <c:smooth val="0"/>
        <c:axId val="72629248"/>
        <c:axId val="89301760"/>
      </c:lineChart>
      <c:catAx>
        <c:axId val="72629248"/>
        <c:scaling>
          <c:orientation val="minMax"/>
        </c:scaling>
        <c:delete val="0"/>
        <c:axPos val="b"/>
        <c:numFmt formatCode="General" sourceLinked="0"/>
        <c:majorTickMark val="out"/>
        <c:minorTickMark val="none"/>
        <c:tickLblPos val="nextTo"/>
        <c:crossAx val="89301760"/>
        <c:crosses val="autoZero"/>
        <c:auto val="1"/>
        <c:lblAlgn val="ctr"/>
        <c:lblOffset val="100"/>
        <c:noMultiLvlLbl val="0"/>
      </c:catAx>
      <c:valAx>
        <c:axId val="89301760"/>
        <c:scaling>
          <c:orientation val="minMax"/>
        </c:scaling>
        <c:delete val="0"/>
        <c:axPos val="l"/>
        <c:majorGridlines/>
        <c:title>
          <c:tx>
            <c:rich>
              <a:bodyPr rot="-5400000" vert="horz"/>
              <a:lstStyle/>
              <a:p>
                <a:pPr>
                  <a:defRPr/>
                </a:pPr>
                <a:r>
                  <a:rPr lang="en-GB"/>
                  <a:t>Dwellings</a:t>
                </a:r>
              </a:p>
            </c:rich>
          </c:tx>
          <c:overlay val="0"/>
        </c:title>
        <c:numFmt formatCode="0" sourceLinked="1"/>
        <c:majorTickMark val="out"/>
        <c:minorTickMark val="none"/>
        <c:tickLblPos val="nextTo"/>
        <c:crossAx val="72629248"/>
        <c:crosses val="autoZero"/>
        <c:crossBetween val="between"/>
      </c:valAx>
    </c:plotArea>
    <c:legend>
      <c:legendPos val="r"/>
      <c:layout>
        <c:manualLayout>
          <c:xMode val="edge"/>
          <c:yMode val="edge"/>
          <c:x val="0.11256800442954865"/>
          <c:y val="0.14760537285780453"/>
          <c:w val="0.19152458649421211"/>
          <c:h val="0.27400648448355719"/>
        </c:manualLayout>
      </c:layout>
      <c:overlay val="0"/>
      <c:spPr>
        <a:solidFill>
          <a:schemeClr val="bg1"/>
        </a:solidFill>
        <a:ln>
          <a:solidFill>
            <a:schemeClr val="bg1">
              <a:lumMod val="50000"/>
            </a:schemeClr>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110820</xdr:colOff>
      <xdr:row>26</xdr:row>
      <xdr:rowOff>45160</xdr:rowOff>
    </xdr:from>
    <xdr:to>
      <xdr:col>16</xdr:col>
      <xdr:colOff>575734</xdr:colOff>
      <xdr:row>45</xdr:row>
      <xdr:rowOff>139775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dam James" id="{079A2CB0-2069-46EA-A1F0-5E780C9ACCE6}" userId="S::adam.james@warwickdc.gov.uk::d3edb897-d1d2-414d-b79e-645a0ad8adad"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2" Type="http://schemas.openxmlformats.org/officeDocument/2006/relationships/externalLinkPath" Target="file:///\\FLAVIA4\planningdata\Policy%20&amp;%20Projects\Policy%20&amp;%20Delivery\Policy\Housing%20Trajectory%20and%205YLS\Housing%20trajectory%202019\Housing%20Trajectory%20-%20June%202018%20-%20DRAFT.xlsx" TargetMode="External"/><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olicy%20&amp;%20Projects/Policy%20&amp;%20Delivery/Policy/Housing%20Trajectory%20and%205YLS/Housing%20trajectory%202020/2020_Housing_Trajectory_Unprotected_v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FLAVIA4\planningdata\Policy%20&amp;%20Projects\Policy%20&amp;%20Delivery\Policy\Housing%20Trajectory%20and%205YLS\Housing%20trajectory%202019\Housing%20Trajectory%20-%20June%202018%20-%20DRAFT.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FLAVIA4\planningdata\Policy%20&amp;%20Projects\Policy%20&amp;%20Delivery\Policy\Housing%20Trajectory%20and%205YLS\Housing%20trajectory%202019\Housing%20Trajectory%20-%20June%202018%20-%20DRAFT.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Policy%20&amp;%20Projects/Policy%20&amp;%20Delivery/Policy/Housing%20Trajectory%20and%205YLS/Housing%20trajectory%202020/2020_Housing_Trajectory_Unprotected_v2.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7.694932060185" createdVersion="4" refreshedVersion="4" minRefreshableVersion="3" recordCount="14" xr:uid="{00000000-000A-0000-FFFF-FFFF2C000000}">
  <cacheSource type="worksheet">
    <worksheetSource ref="H2:H10" sheet="c) Small SHLAA Sites"/>
  </cacheSource>
  <cacheFields count="2">
    <cacheField name="Total" numFmtId="0">
      <sharedItems containsSemiMixedTypes="0" containsString="0" containsNumber="1" containsInteger="1" minValue="5" maxValue="47"/>
    </cacheField>
    <cacheField name="Spatial Area" numFmtId="0">
      <sharedItems count="3">
        <s v="Urban brownfield"/>
        <s v="Greenfield edge of Warwick, Leamington and Whitnash"/>
        <s v="Elsewhere"/>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36.38137210648" createdVersion="4" refreshedVersion="4" minRefreshableVersion="3" recordCount="27" xr:uid="{00000000-000A-0000-FFFF-FFFF35000000}">
  <cacheSource type="worksheet">
    <worksheetSource ref="I2:I3" sheet="h) Allocated Sites Villages"/>
  </cacheSource>
  <cacheFields count="3">
    <cacheField name="Total" numFmtId="0">
      <sharedItems containsSemiMixedTypes="0" containsString="0" containsNumber="1" containsInteger="1" minValue="0" maxValue="130"/>
    </cacheField>
    <cacheField name="Spatial Area" numFmtId="0">
      <sharedItems count="1">
        <s v="Growth Villages"/>
      </sharedItems>
    </cacheField>
    <cacheField name="Village" numFmtId="0">
      <sharedItems count="10">
        <s v="Bishop’s Tachbrook"/>
        <s v="Cubbington"/>
        <s v="Hampton Magna"/>
        <s v="Kingswood"/>
        <s v="Radford Semele"/>
        <s v="Barford"/>
        <s v="Baginton"/>
        <s v="Burton Green"/>
        <s v="Hatton Park"/>
        <s v="Leek Wootton"/>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36.439098958333" createdVersion="4" refreshedVersion="4" minRefreshableVersion="3" recordCount="3" xr:uid="{00000000-000A-0000-FFFF-FFFF36000000}">
  <cacheSource type="worksheet">
    <worksheetSource ref="X2:Z5" sheet="j) Commitments Apr May 16" r:id="rId2"/>
  </cacheSource>
  <cacheFields count="3">
    <cacheField name="Total" numFmtId="0">
      <sharedItems containsSemiMixedTypes="0" containsString="0" containsNumber="1" containsInteger="1" minValue="25" maxValue="150"/>
    </cacheField>
    <cacheField name="Spatial Area" numFmtId="0">
      <sharedItems/>
    </cacheField>
    <cacheField name="Village" numFmtId="0">
      <sharedItems count="2">
        <s v="Radford Semele"/>
        <s v="Bishops Tachbrook"/>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4936215278" createdVersion="4" refreshedVersion="4" minRefreshableVersion="3" recordCount="260" xr:uid="{00000000-000A-0000-FFFF-FFFF2D000000}">
  <cacheSource type="worksheet">
    <worksheetSource ref="J3:P3" sheet="b) Commitments" r:id="rId2"/>
  </cacheSource>
  <cacheFields count="5">
    <cacheField name="Spatial Area" numFmtId="0">
      <sharedItems count="6">
        <s v="Greenfield edge of Warwick, Leamington and Whitnash"/>
        <s v="Urban brownfield"/>
        <s v="Greenfield edge of Kenilworth"/>
        <s v="Growth villages"/>
        <s v="Elsewhere"/>
        <s v="Greenfield edge of Coventry"/>
      </sharedItems>
    </cacheField>
    <cacheField name="NoDwellings" numFmtId="0">
      <sharedItems containsSemiMixedTypes="0" containsString="0" containsNumber="1" containsInteger="1" minValue="0" maxValue="900"/>
    </cacheField>
    <cacheField name="NoComps16" numFmtId="0">
      <sharedItems containsSemiMixedTypes="0" containsString="0" containsNumber="1" containsInteger="1" minValue="0" maxValue="66"/>
    </cacheField>
    <cacheField name="CumCompl" numFmtId="0">
      <sharedItems containsSemiMixedTypes="0" containsString="0" containsNumber="1" containsInteger="1" minValue="0" maxValue="102"/>
    </cacheField>
    <cacheField name="Remaining" numFmtId="0">
      <sharedItems containsSemiMixedTypes="0" containsString="0" containsNumber="1" containsInteger="1" minValue="0" maxValue="9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53815740744" createdVersion="4" refreshedVersion="4" minRefreshableVersion="3" recordCount="14" xr:uid="{00000000-000A-0000-FFFF-FFFF2E000000}">
  <cacheSource type="worksheet">
    <worksheetSource ref="H2:H6" sheet="g) Allocated Gfield Sites"/>
  </cacheSource>
  <cacheFields count="2">
    <cacheField name="Total" numFmtId="0">
      <sharedItems containsSemiMixedTypes="0" containsString="0" containsNumber="1" containsInteger="1" minValue="0" maxValue="760"/>
    </cacheField>
    <cacheField name="Spatial Area" numFmtId="0">
      <sharedItems containsBlank="1" count="4">
        <s v="Greenfield edge of Warwick, Leamington and Whitnash"/>
        <s v="Greenfield edge of Kenilworth"/>
        <m/>
        <s v="Greenfield edge of Coventry"/>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56087268518" createdVersion="4" refreshedVersion="4" minRefreshableVersion="3" recordCount="11" xr:uid="{00000000-000A-0000-FFFF-FFFF2F000000}">
  <cacheSource type="worksheet">
    <worksheetSource ref="V2:W13" sheet="i) New Sites Jan 2016" r:id="rId2"/>
  </cacheSource>
  <cacheFields count="2">
    <cacheField name="Total" numFmtId="0">
      <sharedItems containsSemiMixedTypes="0" containsString="0" containsNumber="1" containsInteger="1" minValue="0" maxValue="1800"/>
    </cacheField>
    <cacheField name="Spatial Area" numFmtId="0">
      <sharedItems containsBlank="1" count="4">
        <s v="Greenfield edge of Coventry"/>
        <m/>
        <s v="Greenfield edge of Kenilworth"/>
        <s v="Greenfield edge of Warwick, Leamington and Whitnash"/>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59670601849" createdVersion="4" refreshedVersion="4" minRefreshableVersion="3" recordCount="13" xr:uid="{00000000-000A-0000-FFFF-FFFF30000000}">
  <cacheSource type="worksheet">
    <worksheetSource ref="H2:H7" sheet="f) Allocated Bfield Sites"/>
  </cacheSource>
  <cacheFields count="2">
    <cacheField name="Total" numFmtId="0">
      <sharedItems containsSemiMixedTypes="0" containsString="0" containsNumber="1" containsInteger="1" minValue="0" maxValue="250"/>
    </cacheField>
    <cacheField name="Spatial Area" numFmtId="0">
      <sharedItems containsBlank="1" count="3">
        <m/>
        <s v="Urban brownfield"/>
        <s v="Elsewhere"/>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62385648148" createdVersion="4" refreshedVersion="4" minRefreshableVersion="3" recordCount="4" xr:uid="{00000000-000A-0000-FFFF-FFFF31000000}">
  <cacheSource type="worksheet">
    <worksheetSource ref="G2:G4" sheet="e) Canalside &amp; Emp Areas"/>
  </cacheSource>
  <cacheFields count="2">
    <cacheField name="Total" numFmtId="0">
      <sharedItems containsSemiMixedTypes="0" containsString="0" containsNumber="1" containsInteger="1" minValue="35" maxValue="80"/>
    </cacheField>
    <cacheField name="Spatial Area" numFmtId="0">
      <sharedItems count="1">
        <s v="Urban brownfield"/>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63282175922" createdVersion="4" refreshedVersion="4" minRefreshableVersion="3" recordCount="27" xr:uid="{00000000-000A-0000-FFFF-FFFF32000000}">
  <cacheSource type="worksheet">
    <worksheetSource ref="I2:I3" sheet="h) Allocated Sites Villages"/>
  </cacheSource>
  <cacheFields count="2">
    <cacheField name="Total" numFmtId="0">
      <sharedItems containsSemiMixedTypes="0" containsString="0" containsNumber="1" containsInteger="1" minValue="0" maxValue="130"/>
    </cacheField>
    <cacheField name="Spatial Area" numFmtId="0">
      <sharedItems count="1">
        <s v="Growth Villages"/>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28.463931597224" createdVersion="4" refreshedVersion="4" minRefreshableVersion="3" recordCount="3" xr:uid="{00000000-000A-0000-FFFF-FFFF33000000}">
  <cacheSource type="worksheet">
    <worksheetSource ref="X2:Y5" sheet="j) Commitments Apr May 16" r:id="rId2"/>
  </cacheSource>
  <cacheFields count="2">
    <cacheField name="Total" numFmtId="0">
      <sharedItems containsSemiMixedTypes="0" containsString="0" containsNumber="1" containsInteger="1" minValue="25" maxValue="150"/>
    </cacheField>
    <cacheField name="Spatial Area" numFmtId="0">
      <sharedItems count="1">
        <s v="Growth Villages"/>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Robinson" refreshedDate="42636.376242361112" createdVersion="4" refreshedVersion="4" minRefreshableVersion="3" recordCount="247" xr:uid="{00000000-000A-0000-FFFF-FFFF34000000}">
  <cacheSource type="worksheet">
    <worksheetSource ref="L3:P3" sheet="b) Commitments" r:id="rId2"/>
  </cacheSource>
  <cacheFields count="5">
    <cacheField name="Village" numFmtId="0">
      <sharedItems containsBlank="1" count="16">
        <m/>
        <s v="Baddesley Clinton"/>
        <s v="Stoneleigh"/>
        <s v="Beausale"/>
        <s v="Ashow"/>
        <s v="Bubbenhall"/>
        <s v="Hill wootton"/>
        <s v="Rowington Green"/>
        <s v="Cubbington"/>
        <s v="Offchurch"/>
        <s v="Radford Semele"/>
        <s v="Bishop’s Tachbrook"/>
        <s v="Barford"/>
        <s v="Kingswood"/>
        <s v="Baginton"/>
        <s v="Burton Green"/>
      </sharedItems>
    </cacheField>
    <cacheField name="NoDwellings" numFmtId="0">
      <sharedItems containsSemiMixedTypes="0" containsString="0" containsNumber="1" containsInteger="1" minValue="0" maxValue="900"/>
    </cacheField>
    <cacheField name="NoComps16" numFmtId="0">
      <sharedItems containsSemiMixedTypes="0" containsString="0" containsNumber="1" containsInteger="1" minValue="0" maxValue="66"/>
    </cacheField>
    <cacheField name="CumCompl" numFmtId="0">
      <sharedItems containsSemiMixedTypes="0" containsString="0" containsNumber="1" containsInteger="1" minValue="0" maxValue="102"/>
    </cacheField>
    <cacheField name="Remaining" numFmtId="0">
      <sharedItems containsSemiMixedTypes="0" containsString="0" containsNumber="1" containsInteger="1" minValue="0" maxValue="9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n v="9"/>
    <x v="0"/>
  </r>
  <r>
    <n v="10"/>
    <x v="0"/>
  </r>
  <r>
    <n v="29"/>
    <x v="0"/>
  </r>
  <r>
    <n v="13"/>
    <x v="0"/>
  </r>
  <r>
    <n v="5"/>
    <x v="0"/>
  </r>
  <r>
    <n v="6"/>
    <x v="0"/>
  </r>
  <r>
    <n v="5"/>
    <x v="1"/>
  </r>
  <r>
    <n v="20"/>
    <x v="0"/>
  </r>
  <r>
    <n v="15"/>
    <x v="0"/>
  </r>
  <r>
    <n v="47"/>
    <x v="0"/>
  </r>
  <r>
    <n v="42"/>
    <x v="0"/>
  </r>
  <r>
    <n v="35"/>
    <x v="0"/>
  </r>
  <r>
    <n v="15"/>
    <x v="2"/>
  </r>
  <r>
    <n v="40"/>
    <x v="0"/>
  </r>
</pivotCacheRecords>
</file>

<file path=xl/pivotCache/pivotCacheRecords10.xml><?xml version="1.0" encoding="utf-8"?>
<pivotCacheRecords xmlns="http://schemas.openxmlformats.org/spreadsheetml/2006/main" xmlns:r="http://schemas.openxmlformats.org/officeDocument/2006/relationships" count="27">
  <r>
    <n v="0"/>
    <x v="0"/>
    <x v="0"/>
  </r>
  <r>
    <n v="0"/>
    <x v="0"/>
    <x v="0"/>
  </r>
  <r>
    <n v="35"/>
    <x v="0"/>
    <x v="1"/>
  </r>
  <r>
    <n v="65"/>
    <x v="0"/>
    <x v="1"/>
  </r>
  <r>
    <n v="95"/>
    <x v="0"/>
    <x v="1"/>
  </r>
  <r>
    <n v="130"/>
    <x v="0"/>
    <x v="2"/>
  </r>
  <r>
    <n v="115"/>
    <x v="0"/>
    <x v="2"/>
  </r>
  <r>
    <n v="30"/>
    <x v="0"/>
    <x v="3"/>
  </r>
  <r>
    <n v="6"/>
    <x v="0"/>
    <x v="3"/>
  </r>
  <r>
    <n v="12"/>
    <x v="0"/>
    <x v="3"/>
  </r>
  <r>
    <n v="0"/>
    <x v="0"/>
    <x v="3"/>
  </r>
  <r>
    <n v="0"/>
    <x v="0"/>
    <x v="4"/>
  </r>
  <r>
    <n v="60"/>
    <x v="0"/>
    <x v="4"/>
  </r>
  <r>
    <n v="0"/>
    <x v="0"/>
    <x v="5"/>
  </r>
  <r>
    <n v="12"/>
    <x v="0"/>
    <x v="5"/>
  </r>
  <r>
    <n v="45"/>
    <x v="0"/>
    <x v="5"/>
  </r>
  <r>
    <n v="30"/>
    <x v="0"/>
    <x v="5"/>
  </r>
  <r>
    <n v="0"/>
    <x v="0"/>
    <x v="5"/>
  </r>
  <r>
    <n v="80"/>
    <x v="0"/>
    <x v="6"/>
  </r>
  <r>
    <n v="90"/>
    <x v="0"/>
    <x v="7"/>
  </r>
  <r>
    <n v="120"/>
    <x v="0"/>
    <x v="8"/>
  </r>
  <r>
    <n v="55"/>
    <x v="0"/>
    <x v="8"/>
  </r>
  <r>
    <n v="0"/>
    <x v="0"/>
    <x v="9"/>
  </r>
  <r>
    <n v="0"/>
    <x v="0"/>
    <x v="9"/>
  </r>
  <r>
    <n v="0"/>
    <x v="0"/>
    <x v="9"/>
  </r>
  <r>
    <n v="115"/>
    <x v="0"/>
    <x v="9"/>
  </r>
  <r>
    <n v="5"/>
    <x v="0"/>
    <x v="9"/>
  </r>
</pivotCacheRecords>
</file>

<file path=xl/pivotCache/pivotCacheRecords11.xml><?xml version="1.0" encoding="utf-8"?>
<pivotCacheRecords xmlns="http://schemas.openxmlformats.org/spreadsheetml/2006/main" xmlns:r="http://schemas.openxmlformats.org/officeDocument/2006/relationships" count="3">
  <r>
    <n v="150"/>
    <s v="Growth Villages"/>
    <x v="0"/>
  </r>
  <r>
    <n v="25"/>
    <s v="Growth Villages"/>
    <x v="0"/>
  </r>
  <r>
    <n v="50"/>
    <s v="Growth Villages"/>
    <x v="1"/>
  </r>
</pivotCacheRecords>
</file>

<file path=xl/pivotCache/pivotCacheRecords2.xml><?xml version="1.0" encoding="utf-8"?>
<pivotCacheRecords xmlns="http://schemas.openxmlformats.org/spreadsheetml/2006/main" xmlns:r="http://schemas.openxmlformats.org/officeDocument/2006/relationships" count="260">
  <r>
    <x v="0"/>
    <n v="735"/>
    <n v="0"/>
    <n v="0"/>
    <n v="735"/>
  </r>
  <r>
    <x v="1"/>
    <n v="46"/>
    <n v="0"/>
    <n v="0"/>
    <n v="46"/>
  </r>
  <r>
    <x v="0"/>
    <n v="34"/>
    <n v="0"/>
    <n v="0"/>
    <n v="34"/>
  </r>
  <r>
    <x v="0"/>
    <n v="51"/>
    <n v="0"/>
    <n v="0"/>
    <n v="51"/>
  </r>
  <r>
    <x v="2"/>
    <n v="93"/>
    <n v="0"/>
    <n v="0"/>
    <n v="93"/>
  </r>
  <r>
    <x v="0"/>
    <n v="900"/>
    <n v="0"/>
    <n v="0"/>
    <n v="900"/>
  </r>
  <r>
    <x v="0"/>
    <n v="425"/>
    <n v="0"/>
    <n v="0"/>
    <n v="425"/>
  </r>
  <r>
    <x v="0"/>
    <n v="450"/>
    <n v="0"/>
    <n v="0"/>
    <n v="450"/>
  </r>
  <r>
    <x v="0"/>
    <n v="88"/>
    <n v="37"/>
    <n v="39"/>
    <n v="49"/>
  </r>
  <r>
    <x v="0"/>
    <n v="15"/>
    <n v="15"/>
    <n v="15"/>
    <n v="0"/>
  </r>
  <r>
    <x v="0"/>
    <n v="31"/>
    <n v="25"/>
    <n v="29"/>
    <n v="2"/>
  </r>
  <r>
    <x v="0"/>
    <n v="140"/>
    <n v="0"/>
    <n v="0"/>
    <n v="140"/>
  </r>
  <r>
    <x v="0"/>
    <n v="174"/>
    <n v="0"/>
    <n v="0"/>
    <n v="174"/>
  </r>
  <r>
    <x v="0"/>
    <n v="210"/>
    <n v="0"/>
    <n v="0"/>
    <n v="210"/>
  </r>
  <r>
    <x v="0"/>
    <n v="261"/>
    <n v="0"/>
    <n v="0"/>
    <n v="261"/>
  </r>
  <r>
    <x v="0"/>
    <n v="36"/>
    <n v="0"/>
    <n v="0"/>
    <n v="36"/>
  </r>
  <r>
    <x v="0"/>
    <n v="54"/>
    <n v="0"/>
    <n v="0"/>
    <n v="54"/>
  </r>
  <r>
    <x v="0"/>
    <n v="110"/>
    <n v="0"/>
    <n v="0"/>
    <n v="110"/>
  </r>
  <r>
    <x v="0"/>
    <n v="520"/>
    <n v="0"/>
    <n v="0"/>
    <n v="520"/>
  </r>
  <r>
    <x v="3"/>
    <n v="24"/>
    <n v="0"/>
    <n v="0"/>
    <n v="24"/>
  </r>
  <r>
    <x v="3"/>
    <n v="36"/>
    <n v="0"/>
    <n v="0"/>
    <n v="36"/>
  </r>
  <r>
    <x v="3"/>
    <n v="60"/>
    <n v="0"/>
    <n v="0"/>
    <n v="60"/>
  </r>
  <r>
    <x v="3"/>
    <n v="90"/>
    <n v="0"/>
    <n v="0"/>
    <n v="90"/>
  </r>
  <r>
    <x v="1"/>
    <n v="17"/>
    <n v="0"/>
    <n v="0"/>
    <n v="17"/>
  </r>
  <r>
    <x v="1"/>
    <n v="52"/>
    <n v="0"/>
    <n v="0"/>
    <n v="52"/>
  </r>
  <r>
    <x v="1"/>
    <n v="160"/>
    <n v="0"/>
    <n v="0"/>
    <n v="160"/>
  </r>
  <r>
    <x v="1"/>
    <n v="55"/>
    <n v="0"/>
    <n v="0"/>
    <n v="55"/>
  </r>
  <r>
    <x v="1"/>
    <n v="88"/>
    <n v="0"/>
    <n v="0"/>
    <n v="88"/>
  </r>
  <r>
    <x v="1"/>
    <n v="39"/>
    <n v="0"/>
    <n v="0"/>
    <n v="39"/>
  </r>
  <r>
    <x v="3"/>
    <n v="24"/>
    <n v="0"/>
    <n v="0"/>
    <n v="24"/>
  </r>
  <r>
    <x v="3"/>
    <n v="36"/>
    <n v="32"/>
    <n v="32"/>
    <n v="4"/>
  </r>
  <r>
    <x v="1"/>
    <n v="15"/>
    <n v="0"/>
    <n v="0"/>
    <n v="15"/>
  </r>
  <r>
    <x v="1"/>
    <n v="12"/>
    <n v="0"/>
    <n v="0"/>
    <n v="12"/>
  </r>
  <r>
    <x v="1"/>
    <n v="18"/>
    <n v="0"/>
    <n v="0"/>
    <n v="18"/>
  </r>
  <r>
    <x v="1"/>
    <n v="17"/>
    <n v="0"/>
    <n v="0"/>
    <n v="17"/>
  </r>
  <r>
    <x v="1"/>
    <n v="15"/>
    <n v="0"/>
    <n v="0"/>
    <n v="15"/>
  </r>
  <r>
    <x v="1"/>
    <n v="16"/>
    <n v="0"/>
    <n v="0"/>
    <n v="16"/>
  </r>
  <r>
    <x v="1"/>
    <n v="18"/>
    <n v="0"/>
    <n v="0"/>
    <n v="18"/>
  </r>
  <r>
    <x v="1"/>
    <n v="13"/>
    <n v="0"/>
    <n v="0"/>
    <n v="13"/>
  </r>
  <r>
    <x v="0"/>
    <n v="68"/>
    <n v="34"/>
    <n v="68"/>
    <n v="0"/>
  </r>
  <r>
    <x v="0"/>
    <n v="103"/>
    <n v="35"/>
    <n v="101"/>
    <n v="2"/>
  </r>
  <r>
    <x v="1"/>
    <n v="83"/>
    <n v="50"/>
    <n v="50"/>
    <n v="33"/>
  </r>
  <r>
    <x v="0"/>
    <n v="162"/>
    <n v="12"/>
    <n v="12"/>
    <n v="150"/>
  </r>
  <r>
    <x v="4"/>
    <n v="23"/>
    <n v="0"/>
    <n v="0"/>
    <n v="23"/>
  </r>
  <r>
    <x v="1"/>
    <n v="5"/>
    <n v="0"/>
    <n v="0"/>
    <n v="5"/>
  </r>
  <r>
    <x v="1"/>
    <n v="30"/>
    <n v="0"/>
    <n v="0"/>
    <n v="30"/>
  </r>
  <r>
    <x v="0"/>
    <n v="24"/>
    <n v="0"/>
    <n v="0"/>
    <n v="24"/>
  </r>
  <r>
    <x v="0"/>
    <n v="2"/>
    <n v="2"/>
    <n v="2"/>
    <n v="0"/>
  </r>
  <r>
    <x v="0"/>
    <n v="5"/>
    <n v="0"/>
    <n v="0"/>
    <n v="5"/>
  </r>
  <r>
    <x v="3"/>
    <n v="26"/>
    <n v="0"/>
    <n v="0"/>
    <n v="26"/>
  </r>
  <r>
    <x v="3"/>
    <n v="39"/>
    <n v="0"/>
    <n v="0"/>
    <n v="39"/>
  </r>
  <r>
    <x v="1"/>
    <n v="81"/>
    <n v="0"/>
    <n v="0"/>
    <n v="81"/>
  </r>
  <r>
    <x v="0"/>
    <n v="132"/>
    <n v="66"/>
    <n v="102"/>
    <n v="30"/>
  </r>
  <r>
    <x v="0"/>
    <n v="125"/>
    <n v="36"/>
    <n v="45"/>
    <n v="80"/>
  </r>
  <r>
    <x v="0"/>
    <n v="84"/>
    <n v="27"/>
    <n v="32"/>
    <n v="52"/>
  </r>
  <r>
    <x v="0"/>
    <n v="42"/>
    <n v="12"/>
    <n v="12"/>
    <n v="30"/>
  </r>
  <r>
    <x v="0"/>
    <n v="62"/>
    <n v="17"/>
    <n v="26"/>
    <n v="36"/>
  </r>
  <r>
    <x v="3"/>
    <n v="10"/>
    <n v="0"/>
    <n v="0"/>
    <n v="10"/>
  </r>
  <r>
    <x v="3"/>
    <n v="16"/>
    <n v="0"/>
    <n v="0"/>
    <n v="16"/>
  </r>
  <r>
    <x v="1"/>
    <n v="21"/>
    <n v="0"/>
    <n v="0"/>
    <n v="21"/>
  </r>
  <r>
    <x v="4"/>
    <n v="18"/>
    <n v="0"/>
    <n v="0"/>
    <n v="18"/>
  </r>
  <r>
    <x v="1"/>
    <n v="57"/>
    <n v="0"/>
    <n v="0"/>
    <n v="57"/>
  </r>
  <r>
    <x v="1"/>
    <n v="31"/>
    <n v="0"/>
    <n v="0"/>
    <n v="31"/>
  </r>
  <r>
    <x v="0"/>
    <n v="60"/>
    <n v="0"/>
    <n v="0"/>
    <n v="60"/>
  </r>
  <r>
    <x v="1"/>
    <n v="14"/>
    <n v="0"/>
    <n v="0"/>
    <n v="14"/>
  </r>
  <r>
    <x v="1"/>
    <n v="24"/>
    <n v="0"/>
    <n v="22"/>
    <n v="2"/>
  </r>
  <r>
    <x v="1"/>
    <n v="227"/>
    <n v="0"/>
    <n v="67"/>
    <n v="160"/>
  </r>
  <r>
    <x v="1"/>
    <n v="10"/>
    <n v="0"/>
    <n v="0"/>
    <n v="10"/>
  </r>
  <r>
    <x v="5"/>
    <n v="167"/>
    <n v="0"/>
    <n v="0"/>
    <n v="167"/>
  </r>
  <r>
    <x v="1"/>
    <n v="16"/>
    <n v="0"/>
    <n v="0"/>
    <n v="16"/>
  </r>
  <r>
    <x v="1"/>
    <n v="24"/>
    <n v="0"/>
    <n v="0"/>
    <n v="24"/>
  </r>
  <r>
    <x v="0"/>
    <n v="99"/>
    <n v="0"/>
    <n v="0"/>
    <n v="99"/>
  </r>
  <r>
    <x v="0"/>
    <n v="135"/>
    <n v="9"/>
    <n v="9"/>
    <n v="126"/>
  </r>
  <r>
    <x v="1"/>
    <n v="49"/>
    <n v="0"/>
    <n v="0"/>
    <n v="49"/>
  </r>
  <r>
    <x v="1"/>
    <n v="0"/>
    <n v="0"/>
    <n v="0"/>
    <n v="0"/>
  </r>
  <r>
    <x v="4"/>
    <n v="1"/>
    <n v="0"/>
    <n v="0"/>
    <n v="1"/>
  </r>
  <r>
    <x v="1"/>
    <n v="1"/>
    <n v="0"/>
    <n v="0"/>
    <n v="1"/>
  </r>
  <r>
    <x v="1"/>
    <n v="1"/>
    <n v="0"/>
    <n v="0"/>
    <n v="1"/>
  </r>
  <r>
    <x v="4"/>
    <n v="1"/>
    <n v="0"/>
    <n v="0"/>
    <n v="1"/>
  </r>
  <r>
    <x v="1"/>
    <n v="1"/>
    <n v="0"/>
    <n v="0"/>
    <n v="1"/>
  </r>
  <r>
    <x v="1"/>
    <n v="1"/>
    <n v="0"/>
    <n v="0"/>
    <n v="1"/>
  </r>
  <r>
    <x v="1"/>
    <n v="1"/>
    <n v="0"/>
    <n v="0"/>
    <n v="1"/>
  </r>
  <r>
    <x v="4"/>
    <n v="1"/>
    <n v="0"/>
    <n v="0"/>
    <n v="1"/>
  </r>
  <r>
    <x v="4"/>
    <n v="1"/>
    <n v="0"/>
    <n v="0"/>
    <n v="1"/>
  </r>
  <r>
    <x v="4"/>
    <n v="1"/>
    <n v="0"/>
    <n v="0"/>
    <n v="1"/>
  </r>
  <r>
    <x v="4"/>
    <n v="1"/>
    <n v="0"/>
    <n v="0"/>
    <n v="1"/>
  </r>
  <r>
    <x v="4"/>
    <n v="1"/>
    <n v="0"/>
    <n v="0"/>
    <n v="1"/>
  </r>
  <r>
    <x v="4"/>
    <n v="1"/>
    <n v="0"/>
    <n v="0"/>
    <n v="1"/>
  </r>
  <r>
    <x v="4"/>
    <n v="1"/>
    <n v="0"/>
    <n v="0"/>
    <n v="1"/>
  </r>
  <r>
    <x v="3"/>
    <n v="1"/>
    <n v="0"/>
    <n v="0"/>
    <n v="1"/>
  </r>
  <r>
    <x v="4"/>
    <n v="1"/>
    <n v="0"/>
    <n v="0"/>
    <n v="1"/>
  </r>
  <r>
    <x v="4"/>
    <n v="1"/>
    <n v="0"/>
    <n v="0"/>
    <n v="1"/>
  </r>
  <r>
    <x v="1"/>
    <n v="1"/>
    <n v="0"/>
    <n v="0"/>
    <n v="1"/>
  </r>
  <r>
    <x v="4"/>
    <n v="1"/>
    <n v="0"/>
    <n v="0"/>
    <n v="1"/>
  </r>
  <r>
    <x v="3"/>
    <n v="1"/>
    <n v="0"/>
    <n v="0"/>
    <n v="1"/>
  </r>
  <r>
    <x v="4"/>
    <n v="1"/>
    <n v="0"/>
    <n v="0"/>
    <n v="1"/>
  </r>
  <r>
    <x v="1"/>
    <n v="1"/>
    <n v="0"/>
    <n v="0"/>
    <n v="1"/>
  </r>
  <r>
    <x v="1"/>
    <n v="1"/>
    <n v="0"/>
    <n v="0"/>
    <n v="1"/>
  </r>
  <r>
    <x v="1"/>
    <n v="1"/>
    <n v="0"/>
    <n v="0"/>
    <n v="1"/>
  </r>
  <r>
    <x v="3"/>
    <n v="1"/>
    <n v="0"/>
    <n v="0"/>
    <n v="1"/>
  </r>
  <r>
    <x v="1"/>
    <n v="1"/>
    <n v="0"/>
    <n v="0"/>
    <n v="1"/>
  </r>
  <r>
    <x v="4"/>
    <n v="1"/>
    <n v="0"/>
    <n v="0"/>
    <n v="1"/>
  </r>
  <r>
    <x v="1"/>
    <n v="1"/>
    <n v="0"/>
    <n v="0"/>
    <n v="1"/>
  </r>
  <r>
    <x v="1"/>
    <n v="1"/>
    <n v="0"/>
    <n v="0"/>
    <n v="1"/>
  </r>
  <r>
    <x v="1"/>
    <n v="1"/>
    <n v="0"/>
    <n v="0"/>
    <n v="1"/>
  </r>
  <r>
    <x v="1"/>
    <n v="1"/>
    <n v="0"/>
    <n v="0"/>
    <n v="1"/>
  </r>
  <r>
    <x v="3"/>
    <n v="1"/>
    <n v="0"/>
    <n v="0"/>
    <n v="1"/>
  </r>
  <r>
    <x v="4"/>
    <n v="1"/>
    <n v="0"/>
    <n v="0"/>
    <n v="1"/>
  </r>
  <r>
    <x v="4"/>
    <n v="1"/>
    <n v="0"/>
    <n v="0"/>
    <n v="1"/>
  </r>
  <r>
    <x v="4"/>
    <n v="1"/>
    <n v="0"/>
    <n v="0"/>
    <n v="1"/>
  </r>
  <r>
    <x v="1"/>
    <n v="1"/>
    <n v="0"/>
    <n v="0"/>
    <n v="1"/>
  </r>
  <r>
    <x v="1"/>
    <n v="1"/>
    <n v="0"/>
    <n v="0"/>
    <n v="1"/>
  </r>
  <r>
    <x v="4"/>
    <n v="1"/>
    <n v="0"/>
    <n v="0"/>
    <n v="1"/>
  </r>
  <r>
    <x v="1"/>
    <n v="1"/>
    <n v="0"/>
    <n v="0"/>
    <n v="1"/>
  </r>
  <r>
    <x v="1"/>
    <n v="1"/>
    <n v="0"/>
    <n v="0"/>
    <n v="1"/>
  </r>
  <r>
    <x v="1"/>
    <n v="1"/>
    <n v="0"/>
    <n v="0"/>
    <n v="1"/>
  </r>
  <r>
    <x v="1"/>
    <n v="1"/>
    <n v="0"/>
    <n v="0"/>
    <n v="1"/>
  </r>
  <r>
    <x v="4"/>
    <n v="1"/>
    <n v="0"/>
    <n v="0"/>
    <n v="1"/>
  </r>
  <r>
    <x v="4"/>
    <n v="1"/>
    <n v="0"/>
    <n v="0"/>
    <n v="1"/>
  </r>
  <r>
    <x v="1"/>
    <n v="1"/>
    <n v="0"/>
    <n v="0"/>
    <n v="1"/>
  </r>
  <r>
    <x v="4"/>
    <n v="1"/>
    <n v="0"/>
    <n v="0"/>
    <n v="1"/>
  </r>
  <r>
    <x v="3"/>
    <n v="1"/>
    <n v="0"/>
    <n v="0"/>
    <n v="1"/>
  </r>
  <r>
    <x v="4"/>
    <n v="1"/>
    <n v="0"/>
    <n v="0"/>
    <n v="1"/>
  </r>
  <r>
    <x v="1"/>
    <n v="1"/>
    <n v="0"/>
    <n v="0"/>
    <n v="1"/>
  </r>
  <r>
    <x v="1"/>
    <n v="1"/>
    <n v="0"/>
    <n v="0"/>
    <n v="1"/>
  </r>
  <r>
    <x v="3"/>
    <n v="1"/>
    <n v="0"/>
    <n v="0"/>
    <n v="1"/>
  </r>
  <r>
    <x v="1"/>
    <n v="1"/>
    <n v="0"/>
    <n v="0"/>
    <n v="1"/>
  </r>
  <r>
    <x v="1"/>
    <n v="1"/>
    <n v="0"/>
    <n v="0"/>
    <n v="1"/>
  </r>
  <r>
    <x v="2"/>
    <n v="1"/>
    <n v="0"/>
    <n v="0"/>
    <n v="1"/>
  </r>
  <r>
    <x v="1"/>
    <n v="1"/>
    <n v="0"/>
    <n v="0"/>
    <n v="1"/>
  </r>
  <r>
    <x v="1"/>
    <n v="1"/>
    <n v="0"/>
    <n v="0"/>
    <n v="1"/>
  </r>
  <r>
    <x v="1"/>
    <n v="1"/>
    <n v="0"/>
    <n v="0"/>
    <n v="1"/>
  </r>
  <r>
    <x v="1"/>
    <n v="1"/>
    <n v="0"/>
    <n v="0"/>
    <n v="1"/>
  </r>
  <r>
    <x v="4"/>
    <n v="1"/>
    <n v="0"/>
    <n v="0"/>
    <n v="1"/>
  </r>
  <r>
    <x v="1"/>
    <n v="1"/>
    <n v="0"/>
    <n v="0"/>
    <n v="1"/>
  </r>
  <r>
    <x v="3"/>
    <n v="1"/>
    <n v="0"/>
    <n v="0"/>
    <n v="1"/>
  </r>
  <r>
    <x v="3"/>
    <n v="1"/>
    <n v="0"/>
    <n v="0"/>
    <n v="1"/>
  </r>
  <r>
    <x v="1"/>
    <n v="1"/>
    <n v="0"/>
    <n v="0"/>
    <n v="1"/>
  </r>
  <r>
    <x v="1"/>
    <n v="1"/>
    <n v="0"/>
    <n v="0"/>
    <n v="1"/>
  </r>
  <r>
    <x v="1"/>
    <n v="1"/>
    <n v="0"/>
    <n v="0"/>
    <n v="1"/>
  </r>
  <r>
    <x v="1"/>
    <n v="1"/>
    <n v="0"/>
    <n v="0"/>
    <n v="1"/>
  </r>
  <r>
    <x v="1"/>
    <n v="1"/>
    <n v="0"/>
    <n v="0"/>
    <n v="1"/>
  </r>
  <r>
    <x v="1"/>
    <n v="1"/>
    <n v="0"/>
    <n v="0"/>
    <n v="1"/>
  </r>
  <r>
    <x v="1"/>
    <n v="1"/>
    <n v="0"/>
    <n v="0"/>
    <n v="1"/>
  </r>
  <r>
    <x v="3"/>
    <n v="1"/>
    <n v="0"/>
    <n v="0"/>
    <n v="1"/>
  </r>
  <r>
    <x v="3"/>
    <n v="1"/>
    <n v="0"/>
    <n v="0"/>
    <n v="1"/>
  </r>
  <r>
    <x v="1"/>
    <n v="1"/>
    <n v="0"/>
    <n v="0"/>
    <n v="1"/>
  </r>
  <r>
    <x v="1"/>
    <n v="1"/>
    <n v="0"/>
    <n v="0"/>
    <n v="1"/>
  </r>
  <r>
    <x v="1"/>
    <n v="1"/>
    <n v="0"/>
    <n v="0"/>
    <n v="1"/>
  </r>
  <r>
    <x v="1"/>
    <n v="1"/>
    <n v="0"/>
    <n v="0"/>
    <n v="1"/>
  </r>
  <r>
    <x v="1"/>
    <n v="1"/>
    <n v="0"/>
    <n v="0"/>
    <n v="1"/>
  </r>
  <r>
    <x v="1"/>
    <n v="1"/>
    <n v="0"/>
    <n v="0"/>
    <n v="1"/>
  </r>
  <r>
    <x v="1"/>
    <n v="1"/>
    <n v="0"/>
    <n v="0"/>
    <n v="1"/>
  </r>
  <r>
    <x v="1"/>
    <n v="1"/>
    <n v="0"/>
    <n v="0"/>
    <n v="1"/>
  </r>
  <r>
    <x v="3"/>
    <n v="1"/>
    <n v="0"/>
    <n v="0"/>
    <n v="1"/>
  </r>
  <r>
    <x v="4"/>
    <n v="1"/>
    <n v="0"/>
    <n v="0"/>
    <n v="1"/>
  </r>
  <r>
    <x v="4"/>
    <n v="1"/>
    <n v="0"/>
    <n v="0"/>
    <n v="1"/>
  </r>
  <r>
    <x v="4"/>
    <n v="1"/>
    <n v="0"/>
    <n v="0"/>
    <n v="1"/>
  </r>
  <r>
    <x v="3"/>
    <n v="1"/>
    <n v="0"/>
    <n v="0"/>
    <n v="1"/>
  </r>
  <r>
    <x v="1"/>
    <n v="1"/>
    <n v="0"/>
    <n v="0"/>
    <n v="1"/>
  </r>
  <r>
    <x v="3"/>
    <n v="1"/>
    <n v="0"/>
    <n v="0"/>
    <n v="1"/>
  </r>
  <r>
    <x v="1"/>
    <n v="2"/>
    <n v="0"/>
    <n v="0"/>
    <n v="2"/>
  </r>
  <r>
    <x v="1"/>
    <n v="2"/>
    <n v="0"/>
    <n v="0"/>
    <n v="2"/>
  </r>
  <r>
    <x v="1"/>
    <n v="2"/>
    <n v="0"/>
    <n v="0"/>
    <n v="2"/>
  </r>
  <r>
    <x v="4"/>
    <n v="2"/>
    <n v="0"/>
    <n v="0"/>
    <n v="2"/>
  </r>
  <r>
    <x v="3"/>
    <n v="2"/>
    <n v="0"/>
    <n v="0"/>
    <n v="2"/>
  </r>
  <r>
    <x v="1"/>
    <n v="2"/>
    <n v="0"/>
    <n v="0"/>
    <n v="2"/>
  </r>
  <r>
    <x v="1"/>
    <n v="2"/>
    <n v="0"/>
    <n v="0"/>
    <n v="2"/>
  </r>
  <r>
    <x v="3"/>
    <n v="2"/>
    <n v="0"/>
    <n v="0"/>
    <n v="2"/>
  </r>
  <r>
    <x v="2"/>
    <n v="2"/>
    <n v="0"/>
    <n v="0"/>
    <n v="2"/>
  </r>
  <r>
    <x v="1"/>
    <n v="2"/>
    <n v="0"/>
    <n v="0"/>
    <n v="2"/>
  </r>
  <r>
    <x v="1"/>
    <n v="2"/>
    <n v="0"/>
    <n v="0"/>
    <n v="2"/>
  </r>
  <r>
    <x v="1"/>
    <n v="2"/>
    <n v="0"/>
    <n v="0"/>
    <n v="2"/>
  </r>
  <r>
    <x v="1"/>
    <n v="2"/>
    <n v="0"/>
    <n v="0"/>
    <n v="2"/>
  </r>
  <r>
    <x v="1"/>
    <n v="2"/>
    <n v="0"/>
    <n v="0"/>
    <n v="2"/>
  </r>
  <r>
    <x v="1"/>
    <n v="2"/>
    <n v="0"/>
    <n v="0"/>
    <n v="2"/>
  </r>
  <r>
    <x v="1"/>
    <n v="2"/>
    <n v="0"/>
    <n v="0"/>
    <n v="2"/>
  </r>
  <r>
    <x v="1"/>
    <n v="2"/>
    <n v="0"/>
    <n v="0"/>
    <n v="2"/>
  </r>
  <r>
    <x v="3"/>
    <n v="2"/>
    <n v="0"/>
    <n v="0"/>
    <n v="2"/>
  </r>
  <r>
    <x v="1"/>
    <n v="2"/>
    <n v="0"/>
    <n v="0"/>
    <n v="2"/>
  </r>
  <r>
    <x v="1"/>
    <n v="2"/>
    <n v="0"/>
    <n v="0"/>
    <n v="2"/>
  </r>
  <r>
    <x v="4"/>
    <n v="2"/>
    <n v="0"/>
    <n v="0"/>
    <n v="2"/>
  </r>
  <r>
    <x v="1"/>
    <n v="2"/>
    <n v="0"/>
    <n v="0"/>
    <n v="2"/>
  </r>
  <r>
    <x v="1"/>
    <n v="2"/>
    <n v="0"/>
    <n v="0"/>
    <n v="2"/>
  </r>
  <r>
    <x v="1"/>
    <n v="2"/>
    <n v="0"/>
    <n v="0"/>
    <n v="2"/>
  </r>
  <r>
    <x v="1"/>
    <n v="2"/>
    <n v="0"/>
    <n v="0"/>
    <n v="2"/>
  </r>
  <r>
    <x v="4"/>
    <n v="2"/>
    <n v="0"/>
    <n v="0"/>
    <n v="2"/>
  </r>
  <r>
    <x v="1"/>
    <n v="2"/>
    <n v="0"/>
    <n v="0"/>
    <n v="2"/>
  </r>
  <r>
    <x v="1"/>
    <n v="2"/>
    <n v="0"/>
    <n v="0"/>
    <n v="2"/>
  </r>
  <r>
    <x v="1"/>
    <n v="2"/>
    <n v="0"/>
    <n v="0"/>
    <n v="2"/>
  </r>
  <r>
    <x v="3"/>
    <n v="2"/>
    <n v="0"/>
    <n v="0"/>
    <n v="2"/>
  </r>
  <r>
    <x v="3"/>
    <n v="2"/>
    <n v="0"/>
    <n v="0"/>
    <n v="2"/>
  </r>
  <r>
    <x v="1"/>
    <n v="2"/>
    <n v="0"/>
    <n v="0"/>
    <n v="2"/>
  </r>
  <r>
    <x v="3"/>
    <n v="2"/>
    <n v="0"/>
    <n v="0"/>
    <n v="2"/>
  </r>
  <r>
    <x v="4"/>
    <n v="2"/>
    <n v="0"/>
    <n v="0"/>
    <n v="2"/>
  </r>
  <r>
    <x v="1"/>
    <n v="2"/>
    <n v="0"/>
    <n v="0"/>
    <n v="2"/>
  </r>
  <r>
    <x v="4"/>
    <n v="2"/>
    <n v="0"/>
    <n v="0"/>
    <n v="2"/>
  </r>
  <r>
    <x v="3"/>
    <n v="2"/>
    <n v="0"/>
    <n v="0"/>
    <n v="2"/>
  </r>
  <r>
    <x v="4"/>
    <n v="2"/>
    <n v="0"/>
    <n v="0"/>
    <n v="2"/>
  </r>
  <r>
    <x v="1"/>
    <n v="2"/>
    <n v="0"/>
    <n v="0"/>
    <n v="2"/>
  </r>
  <r>
    <x v="4"/>
    <n v="3"/>
    <n v="0"/>
    <n v="1"/>
    <n v="2"/>
  </r>
  <r>
    <x v="4"/>
    <n v="3"/>
    <n v="0"/>
    <n v="1"/>
    <n v="2"/>
  </r>
  <r>
    <x v="4"/>
    <n v="3"/>
    <n v="0"/>
    <n v="1"/>
    <n v="2"/>
  </r>
  <r>
    <x v="1"/>
    <n v="3"/>
    <n v="0"/>
    <n v="0"/>
    <n v="3"/>
  </r>
  <r>
    <x v="1"/>
    <n v="3"/>
    <n v="0"/>
    <n v="0"/>
    <n v="3"/>
  </r>
  <r>
    <x v="1"/>
    <n v="3"/>
    <n v="0"/>
    <n v="0"/>
    <n v="3"/>
  </r>
  <r>
    <x v="1"/>
    <n v="3"/>
    <n v="0"/>
    <n v="0"/>
    <n v="3"/>
  </r>
  <r>
    <x v="1"/>
    <n v="3"/>
    <n v="0"/>
    <n v="0"/>
    <n v="3"/>
  </r>
  <r>
    <x v="1"/>
    <n v="3"/>
    <n v="0"/>
    <n v="0"/>
    <n v="3"/>
  </r>
  <r>
    <x v="1"/>
    <n v="3"/>
    <n v="0"/>
    <n v="0"/>
    <n v="3"/>
  </r>
  <r>
    <x v="1"/>
    <n v="3"/>
    <n v="0"/>
    <n v="0"/>
    <n v="3"/>
  </r>
  <r>
    <x v="1"/>
    <n v="3"/>
    <n v="0"/>
    <n v="0"/>
    <n v="3"/>
  </r>
  <r>
    <x v="4"/>
    <n v="3"/>
    <n v="0"/>
    <n v="0"/>
    <n v="3"/>
  </r>
  <r>
    <x v="1"/>
    <n v="4"/>
    <n v="0"/>
    <n v="0"/>
    <n v="4"/>
  </r>
  <r>
    <x v="1"/>
    <n v="4"/>
    <n v="0"/>
    <n v="0"/>
    <n v="4"/>
  </r>
  <r>
    <x v="1"/>
    <n v="4"/>
    <n v="0"/>
    <n v="0"/>
    <n v="4"/>
  </r>
  <r>
    <x v="1"/>
    <n v="4"/>
    <n v="0"/>
    <n v="0"/>
    <n v="4"/>
  </r>
  <r>
    <x v="1"/>
    <n v="4"/>
    <n v="0"/>
    <n v="0"/>
    <n v="4"/>
  </r>
  <r>
    <x v="1"/>
    <n v="4"/>
    <n v="0"/>
    <n v="0"/>
    <n v="4"/>
  </r>
  <r>
    <x v="1"/>
    <n v="4"/>
    <n v="0"/>
    <n v="0"/>
    <n v="4"/>
  </r>
  <r>
    <x v="1"/>
    <n v="4"/>
    <n v="0"/>
    <n v="0"/>
    <n v="4"/>
  </r>
  <r>
    <x v="1"/>
    <n v="4"/>
    <n v="0"/>
    <n v="0"/>
    <n v="4"/>
  </r>
  <r>
    <x v="1"/>
    <n v="4"/>
    <n v="0"/>
    <n v="0"/>
    <n v="4"/>
  </r>
  <r>
    <x v="1"/>
    <n v="5"/>
    <n v="0"/>
    <n v="0"/>
    <n v="5"/>
  </r>
  <r>
    <x v="1"/>
    <n v="5"/>
    <n v="0"/>
    <n v="0"/>
    <n v="5"/>
  </r>
  <r>
    <x v="1"/>
    <n v="5"/>
    <n v="0"/>
    <n v="0"/>
    <n v="5"/>
  </r>
  <r>
    <x v="1"/>
    <n v="5"/>
    <n v="0"/>
    <n v="0"/>
    <n v="5"/>
  </r>
  <r>
    <x v="1"/>
    <n v="5"/>
    <n v="0"/>
    <n v="0"/>
    <n v="5"/>
  </r>
  <r>
    <x v="1"/>
    <n v="5"/>
    <n v="0"/>
    <n v="0"/>
    <n v="5"/>
  </r>
  <r>
    <x v="1"/>
    <n v="5"/>
    <n v="0"/>
    <n v="0"/>
    <n v="5"/>
  </r>
  <r>
    <x v="1"/>
    <n v="6"/>
    <n v="0"/>
    <n v="0"/>
    <n v="6"/>
  </r>
  <r>
    <x v="1"/>
    <n v="6"/>
    <n v="0"/>
    <n v="0"/>
    <n v="6"/>
  </r>
  <r>
    <x v="3"/>
    <n v="6"/>
    <n v="0"/>
    <n v="0"/>
    <n v="6"/>
  </r>
  <r>
    <x v="1"/>
    <n v="6"/>
    <n v="0"/>
    <n v="0"/>
    <n v="6"/>
  </r>
  <r>
    <x v="1"/>
    <n v="6"/>
    <n v="0"/>
    <n v="0"/>
    <n v="6"/>
  </r>
  <r>
    <x v="1"/>
    <n v="6"/>
    <n v="0"/>
    <n v="0"/>
    <n v="6"/>
  </r>
  <r>
    <x v="1"/>
    <n v="7"/>
    <n v="0"/>
    <n v="2"/>
    <n v="5"/>
  </r>
  <r>
    <x v="1"/>
    <n v="7"/>
    <n v="0"/>
    <n v="0"/>
    <n v="7"/>
  </r>
  <r>
    <x v="3"/>
    <n v="7"/>
    <n v="0"/>
    <n v="0"/>
    <n v="7"/>
  </r>
  <r>
    <x v="3"/>
    <n v="7"/>
    <n v="0"/>
    <n v="0"/>
    <n v="7"/>
  </r>
  <r>
    <x v="1"/>
    <n v="8"/>
    <n v="0"/>
    <n v="0"/>
    <n v="8"/>
  </r>
  <r>
    <x v="1"/>
    <n v="8"/>
    <n v="0"/>
    <n v="0"/>
    <n v="8"/>
  </r>
  <r>
    <x v="1"/>
    <n v="8"/>
    <n v="0"/>
    <n v="0"/>
    <n v="8"/>
  </r>
  <r>
    <x v="3"/>
    <n v="8"/>
    <n v="0"/>
    <n v="0"/>
    <n v="8"/>
  </r>
  <r>
    <x v="1"/>
    <n v="8"/>
    <n v="0"/>
    <n v="0"/>
    <n v="8"/>
  </r>
  <r>
    <x v="1"/>
    <n v="8"/>
    <n v="0"/>
    <n v="0"/>
    <n v="8"/>
  </r>
  <r>
    <x v="3"/>
    <n v="8"/>
    <n v="0"/>
    <n v="0"/>
    <n v="8"/>
  </r>
  <r>
    <x v="1"/>
    <n v="8"/>
    <n v="0"/>
    <n v="0"/>
    <n v="8"/>
  </r>
  <r>
    <x v="1"/>
    <n v="9"/>
    <n v="0"/>
    <n v="0"/>
    <n v="9"/>
  </r>
  <r>
    <x v="1"/>
    <n v="9"/>
    <n v="0"/>
    <n v="0"/>
    <n v="9"/>
  </r>
  <r>
    <x v="1"/>
    <n v="9"/>
    <n v="0"/>
    <n v="0"/>
    <n v="9"/>
  </r>
  <r>
    <x v="1"/>
    <n v="9"/>
    <n v="0"/>
    <n v="0"/>
    <n v="9"/>
  </r>
  <r>
    <x v="1"/>
    <n v="9"/>
    <n v="0"/>
    <n v="0"/>
    <n v="9"/>
  </r>
  <r>
    <x v="1"/>
    <n v="9"/>
    <n v="0"/>
    <n v="0"/>
    <n v="9"/>
  </r>
  <r>
    <x v="1"/>
    <n v="9"/>
    <n v="0"/>
    <n v="0"/>
    <n v="9"/>
  </r>
  <r>
    <x v="1"/>
    <n v="9"/>
    <n v="0"/>
    <n v="0"/>
    <n v="9"/>
  </r>
  <r>
    <x v="1"/>
    <n v="9"/>
    <n v="0"/>
    <n v="0"/>
    <n v="9"/>
  </r>
  <r>
    <x v="1"/>
    <n v="9"/>
    <n v="0"/>
    <n v="0"/>
    <n v="9"/>
  </r>
  <r>
    <x v="1"/>
    <n v="9"/>
    <n v="0"/>
    <n v="0"/>
    <n v="9"/>
  </r>
  <r>
    <x v="1"/>
    <n v="9"/>
    <n v="0"/>
    <n v="0"/>
    <n v="9"/>
  </r>
</pivotCacheRecords>
</file>

<file path=xl/pivotCache/pivotCacheRecords3.xml><?xml version="1.0" encoding="utf-8"?>
<pivotCacheRecords xmlns="http://schemas.openxmlformats.org/spreadsheetml/2006/main" xmlns:r="http://schemas.openxmlformats.org/officeDocument/2006/relationships" count="14">
  <r>
    <n v="500"/>
    <x v="0"/>
  </r>
  <r>
    <n v="250"/>
    <x v="0"/>
  </r>
  <r>
    <n v="760"/>
    <x v="1"/>
  </r>
  <r>
    <n v="0"/>
    <x v="2"/>
  </r>
  <r>
    <n v="0"/>
    <x v="2"/>
  </r>
  <r>
    <n v="0"/>
    <x v="2"/>
  </r>
  <r>
    <n v="20"/>
    <x v="3"/>
  </r>
  <r>
    <n v="0"/>
    <x v="2"/>
  </r>
  <r>
    <n v="0"/>
    <x v="2"/>
  </r>
  <r>
    <n v="0"/>
    <x v="2"/>
  </r>
  <r>
    <n v="0"/>
    <x v="2"/>
  </r>
  <r>
    <n v="0"/>
    <x v="2"/>
  </r>
  <r>
    <n v="100"/>
    <x v="0"/>
  </r>
  <r>
    <n v="50"/>
    <x v="0"/>
  </r>
</pivotCacheRecords>
</file>

<file path=xl/pivotCache/pivotCacheRecords4.xml><?xml version="1.0" encoding="utf-8"?>
<pivotCacheRecords xmlns="http://schemas.openxmlformats.org/spreadsheetml/2006/main" xmlns:r="http://schemas.openxmlformats.org/officeDocument/2006/relationships" count="11">
  <r>
    <n v="425"/>
    <x v="0"/>
  </r>
  <r>
    <n v="1800"/>
    <x v="0"/>
  </r>
  <r>
    <n v="0"/>
    <x v="1"/>
  </r>
  <r>
    <n v="640"/>
    <x v="2"/>
  </r>
  <r>
    <n v="0"/>
    <x v="1"/>
  </r>
  <r>
    <n v="100"/>
    <x v="2"/>
  </r>
  <r>
    <n v="250"/>
    <x v="3"/>
  </r>
  <r>
    <n v="70"/>
    <x v="3"/>
  </r>
  <r>
    <n v="0"/>
    <x v="1"/>
  </r>
  <r>
    <n v="0"/>
    <x v="1"/>
  </r>
  <r>
    <n v="180"/>
    <x v="3"/>
  </r>
</pivotCacheRecords>
</file>

<file path=xl/pivotCache/pivotCacheRecords5.xml><?xml version="1.0" encoding="utf-8"?>
<pivotCacheRecords xmlns="http://schemas.openxmlformats.org/spreadsheetml/2006/main" xmlns:r="http://schemas.openxmlformats.org/officeDocument/2006/relationships" count="13">
  <r>
    <n v="0"/>
    <x v="0"/>
  </r>
  <r>
    <n v="215"/>
    <x v="1"/>
  </r>
  <r>
    <n v="250"/>
    <x v="1"/>
  </r>
  <r>
    <n v="0"/>
    <x v="0"/>
  </r>
  <r>
    <n v="140"/>
    <x v="1"/>
  </r>
  <r>
    <n v="130"/>
    <x v="1"/>
  </r>
  <r>
    <n v="0"/>
    <x v="0"/>
  </r>
  <r>
    <n v="100"/>
    <x v="1"/>
  </r>
  <r>
    <n v="0"/>
    <x v="0"/>
  </r>
  <r>
    <n v="75"/>
    <x v="1"/>
  </r>
  <r>
    <n v="0"/>
    <x v="0"/>
  </r>
  <r>
    <n v="0"/>
    <x v="0"/>
  </r>
  <r>
    <n v="20"/>
    <x v="2"/>
  </r>
</pivotCacheRecords>
</file>

<file path=xl/pivotCache/pivotCacheRecords6.xml><?xml version="1.0" encoding="utf-8"?>
<pivotCacheRecords xmlns="http://schemas.openxmlformats.org/spreadsheetml/2006/main" xmlns:r="http://schemas.openxmlformats.org/officeDocument/2006/relationships" count="4">
  <r>
    <n v="45"/>
    <x v="0"/>
  </r>
  <r>
    <n v="40"/>
    <x v="0"/>
  </r>
  <r>
    <n v="35"/>
    <x v="0"/>
  </r>
  <r>
    <n v="80"/>
    <x v="0"/>
  </r>
</pivotCacheRecords>
</file>

<file path=xl/pivotCache/pivotCacheRecords7.xml><?xml version="1.0" encoding="utf-8"?>
<pivotCacheRecords xmlns="http://schemas.openxmlformats.org/spreadsheetml/2006/main" xmlns:r="http://schemas.openxmlformats.org/officeDocument/2006/relationships" count="27">
  <r>
    <n v="0"/>
    <x v="0"/>
  </r>
  <r>
    <n v="0"/>
    <x v="0"/>
  </r>
  <r>
    <n v="35"/>
    <x v="0"/>
  </r>
  <r>
    <n v="65"/>
    <x v="0"/>
  </r>
  <r>
    <n v="95"/>
    <x v="0"/>
  </r>
  <r>
    <n v="130"/>
    <x v="0"/>
  </r>
  <r>
    <n v="115"/>
    <x v="0"/>
  </r>
  <r>
    <n v="30"/>
    <x v="0"/>
  </r>
  <r>
    <n v="6"/>
    <x v="0"/>
  </r>
  <r>
    <n v="12"/>
    <x v="0"/>
  </r>
  <r>
    <n v="0"/>
    <x v="0"/>
  </r>
  <r>
    <n v="0"/>
    <x v="0"/>
  </r>
  <r>
    <n v="60"/>
    <x v="0"/>
  </r>
  <r>
    <n v="0"/>
    <x v="0"/>
  </r>
  <r>
    <n v="12"/>
    <x v="0"/>
  </r>
  <r>
    <n v="45"/>
    <x v="0"/>
  </r>
  <r>
    <n v="30"/>
    <x v="0"/>
  </r>
  <r>
    <n v="0"/>
    <x v="0"/>
  </r>
  <r>
    <n v="80"/>
    <x v="0"/>
  </r>
  <r>
    <n v="90"/>
    <x v="0"/>
  </r>
  <r>
    <n v="120"/>
    <x v="0"/>
  </r>
  <r>
    <n v="55"/>
    <x v="0"/>
  </r>
  <r>
    <n v="0"/>
    <x v="0"/>
  </r>
  <r>
    <n v="0"/>
    <x v="0"/>
  </r>
  <r>
    <n v="0"/>
    <x v="0"/>
  </r>
  <r>
    <n v="115"/>
    <x v="0"/>
  </r>
  <r>
    <n v="5"/>
    <x v="0"/>
  </r>
</pivotCacheRecords>
</file>

<file path=xl/pivotCache/pivotCacheRecords8.xml><?xml version="1.0" encoding="utf-8"?>
<pivotCacheRecords xmlns="http://schemas.openxmlformats.org/spreadsheetml/2006/main" xmlns:r="http://schemas.openxmlformats.org/officeDocument/2006/relationships" count="3">
  <r>
    <n v="150"/>
    <x v="0"/>
  </r>
  <r>
    <n v="25"/>
    <x v="0"/>
  </r>
  <r>
    <n v="50"/>
    <x v="0"/>
  </r>
</pivotCacheRecords>
</file>

<file path=xl/pivotCache/pivotCacheRecords9.xml><?xml version="1.0" encoding="utf-8"?>
<pivotCacheRecords xmlns="http://schemas.openxmlformats.org/spreadsheetml/2006/main" xmlns:r="http://schemas.openxmlformats.org/officeDocument/2006/relationships" count="247">
  <r>
    <x v="0"/>
    <n v="735"/>
    <n v="0"/>
    <n v="0"/>
    <n v="735"/>
  </r>
  <r>
    <x v="0"/>
    <n v="46"/>
    <n v="0"/>
    <n v="0"/>
    <n v="46"/>
  </r>
  <r>
    <x v="0"/>
    <n v="34"/>
    <n v="0"/>
    <n v="0"/>
    <n v="34"/>
  </r>
  <r>
    <x v="0"/>
    <n v="51"/>
    <n v="0"/>
    <n v="0"/>
    <n v="51"/>
  </r>
  <r>
    <x v="0"/>
    <n v="93"/>
    <n v="0"/>
    <n v="0"/>
    <n v="93"/>
  </r>
  <r>
    <x v="0"/>
    <n v="900"/>
    <n v="0"/>
    <n v="0"/>
    <n v="900"/>
  </r>
  <r>
    <x v="0"/>
    <n v="425"/>
    <n v="0"/>
    <n v="0"/>
    <n v="425"/>
  </r>
  <r>
    <x v="0"/>
    <n v="450"/>
    <n v="0"/>
    <n v="0"/>
    <n v="450"/>
  </r>
  <r>
    <x v="0"/>
    <n v="88"/>
    <n v="37"/>
    <n v="39"/>
    <n v="49"/>
  </r>
  <r>
    <x v="0"/>
    <n v="15"/>
    <n v="15"/>
    <n v="15"/>
    <n v="0"/>
  </r>
  <r>
    <x v="0"/>
    <n v="31"/>
    <n v="25"/>
    <n v="29"/>
    <n v="2"/>
  </r>
  <r>
    <x v="0"/>
    <n v="140"/>
    <n v="0"/>
    <n v="0"/>
    <n v="140"/>
  </r>
  <r>
    <x v="0"/>
    <n v="174"/>
    <n v="0"/>
    <n v="0"/>
    <n v="174"/>
  </r>
  <r>
    <x v="0"/>
    <n v="210"/>
    <n v="0"/>
    <n v="0"/>
    <n v="210"/>
  </r>
  <r>
    <x v="0"/>
    <n v="261"/>
    <n v="0"/>
    <n v="0"/>
    <n v="261"/>
  </r>
  <r>
    <x v="0"/>
    <n v="36"/>
    <n v="0"/>
    <n v="0"/>
    <n v="36"/>
  </r>
  <r>
    <x v="0"/>
    <n v="54"/>
    <n v="0"/>
    <n v="0"/>
    <n v="54"/>
  </r>
  <r>
    <x v="0"/>
    <n v="110"/>
    <n v="0"/>
    <n v="0"/>
    <n v="110"/>
  </r>
  <r>
    <x v="0"/>
    <n v="520"/>
    <n v="0"/>
    <n v="0"/>
    <n v="520"/>
  </r>
  <r>
    <x v="0"/>
    <n v="23"/>
    <n v="0"/>
    <n v="0"/>
    <n v="23"/>
  </r>
  <r>
    <x v="1"/>
    <n v="18"/>
    <n v="0"/>
    <n v="0"/>
    <n v="18"/>
  </r>
  <r>
    <x v="0"/>
    <n v="1"/>
    <n v="0"/>
    <n v="0"/>
    <n v="1"/>
  </r>
  <r>
    <x v="0"/>
    <n v="1"/>
    <n v="0"/>
    <n v="0"/>
    <n v="1"/>
  </r>
  <r>
    <x v="0"/>
    <n v="17"/>
    <n v="0"/>
    <n v="0"/>
    <n v="17"/>
  </r>
  <r>
    <x v="0"/>
    <n v="52"/>
    <n v="0"/>
    <n v="0"/>
    <n v="52"/>
  </r>
  <r>
    <x v="0"/>
    <n v="160"/>
    <n v="0"/>
    <n v="0"/>
    <n v="160"/>
  </r>
  <r>
    <x v="0"/>
    <n v="55"/>
    <n v="0"/>
    <n v="0"/>
    <n v="55"/>
  </r>
  <r>
    <x v="0"/>
    <n v="88"/>
    <n v="0"/>
    <n v="0"/>
    <n v="88"/>
  </r>
  <r>
    <x v="0"/>
    <n v="39"/>
    <n v="0"/>
    <n v="0"/>
    <n v="39"/>
  </r>
  <r>
    <x v="0"/>
    <n v="1"/>
    <n v="0"/>
    <n v="0"/>
    <n v="1"/>
  </r>
  <r>
    <x v="2"/>
    <n v="1"/>
    <n v="0"/>
    <n v="0"/>
    <n v="1"/>
  </r>
  <r>
    <x v="0"/>
    <n v="15"/>
    <n v="0"/>
    <n v="0"/>
    <n v="15"/>
  </r>
  <r>
    <x v="0"/>
    <n v="12"/>
    <n v="0"/>
    <n v="0"/>
    <n v="12"/>
  </r>
  <r>
    <x v="0"/>
    <n v="18"/>
    <n v="0"/>
    <n v="0"/>
    <n v="18"/>
  </r>
  <r>
    <x v="0"/>
    <n v="17"/>
    <n v="0"/>
    <n v="0"/>
    <n v="17"/>
  </r>
  <r>
    <x v="0"/>
    <n v="15"/>
    <n v="0"/>
    <n v="0"/>
    <n v="15"/>
  </r>
  <r>
    <x v="0"/>
    <n v="16"/>
    <n v="0"/>
    <n v="0"/>
    <n v="16"/>
  </r>
  <r>
    <x v="0"/>
    <n v="18"/>
    <n v="0"/>
    <n v="0"/>
    <n v="18"/>
  </r>
  <r>
    <x v="0"/>
    <n v="13"/>
    <n v="0"/>
    <n v="0"/>
    <n v="13"/>
  </r>
  <r>
    <x v="0"/>
    <n v="68"/>
    <n v="34"/>
    <n v="68"/>
    <n v="0"/>
  </r>
  <r>
    <x v="0"/>
    <n v="103"/>
    <n v="35"/>
    <n v="101"/>
    <n v="2"/>
  </r>
  <r>
    <x v="0"/>
    <n v="83"/>
    <n v="50"/>
    <n v="50"/>
    <n v="33"/>
  </r>
  <r>
    <x v="0"/>
    <n v="162"/>
    <n v="12"/>
    <n v="12"/>
    <n v="150"/>
  </r>
  <r>
    <x v="0"/>
    <n v="1"/>
    <n v="0"/>
    <n v="0"/>
    <n v="1"/>
  </r>
  <r>
    <x v="0"/>
    <n v="5"/>
    <n v="0"/>
    <n v="0"/>
    <n v="5"/>
  </r>
  <r>
    <x v="0"/>
    <n v="30"/>
    <n v="0"/>
    <n v="0"/>
    <n v="30"/>
  </r>
  <r>
    <x v="0"/>
    <n v="24"/>
    <n v="0"/>
    <n v="0"/>
    <n v="24"/>
  </r>
  <r>
    <x v="0"/>
    <n v="2"/>
    <n v="2"/>
    <n v="2"/>
    <n v="0"/>
  </r>
  <r>
    <x v="0"/>
    <n v="5"/>
    <n v="0"/>
    <n v="0"/>
    <n v="5"/>
  </r>
  <r>
    <x v="0"/>
    <n v="1"/>
    <n v="0"/>
    <n v="0"/>
    <n v="1"/>
  </r>
  <r>
    <x v="0"/>
    <n v="1"/>
    <n v="0"/>
    <n v="0"/>
    <n v="1"/>
  </r>
  <r>
    <x v="0"/>
    <n v="81"/>
    <n v="0"/>
    <n v="0"/>
    <n v="81"/>
  </r>
  <r>
    <x v="0"/>
    <n v="132"/>
    <n v="66"/>
    <n v="102"/>
    <n v="30"/>
  </r>
  <r>
    <x v="0"/>
    <n v="125"/>
    <n v="36"/>
    <n v="45"/>
    <n v="80"/>
  </r>
  <r>
    <x v="0"/>
    <n v="84"/>
    <n v="27"/>
    <n v="32"/>
    <n v="52"/>
  </r>
  <r>
    <x v="0"/>
    <n v="42"/>
    <n v="12"/>
    <n v="12"/>
    <n v="30"/>
  </r>
  <r>
    <x v="0"/>
    <n v="62"/>
    <n v="17"/>
    <n v="26"/>
    <n v="36"/>
  </r>
  <r>
    <x v="0"/>
    <n v="1"/>
    <n v="0"/>
    <n v="0"/>
    <n v="1"/>
  </r>
  <r>
    <x v="0"/>
    <n v="1"/>
    <n v="0"/>
    <n v="0"/>
    <n v="1"/>
  </r>
  <r>
    <x v="0"/>
    <n v="21"/>
    <n v="0"/>
    <n v="0"/>
    <n v="21"/>
  </r>
  <r>
    <x v="0"/>
    <n v="1"/>
    <n v="0"/>
    <n v="0"/>
    <n v="1"/>
  </r>
  <r>
    <x v="0"/>
    <n v="57"/>
    <n v="0"/>
    <n v="0"/>
    <n v="57"/>
  </r>
  <r>
    <x v="0"/>
    <n v="31"/>
    <n v="0"/>
    <n v="0"/>
    <n v="31"/>
  </r>
  <r>
    <x v="0"/>
    <n v="60"/>
    <n v="0"/>
    <n v="0"/>
    <n v="60"/>
  </r>
  <r>
    <x v="0"/>
    <n v="14"/>
    <n v="0"/>
    <n v="0"/>
    <n v="14"/>
  </r>
  <r>
    <x v="0"/>
    <n v="24"/>
    <n v="0"/>
    <n v="22"/>
    <n v="2"/>
  </r>
  <r>
    <x v="0"/>
    <n v="227"/>
    <n v="0"/>
    <n v="67"/>
    <n v="160"/>
  </r>
  <r>
    <x v="0"/>
    <n v="10"/>
    <n v="0"/>
    <n v="0"/>
    <n v="10"/>
  </r>
  <r>
    <x v="0"/>
    <n v="167"/>
    <n v="0"/>
    <n v="0"/>
    <n v="167"/>
  </r>
  <r>
    <x v="0"/>
    <n v="16"/>
    <n v="0"/>
    <n v="0"/>
    <n v="16"/>
  </r>
  <r>
    <x v="0"/>
    <n v="24"/>
    <n v="0"/>
    <n v="0"/>
    <n v="24"/>
  </r>
  <r>
    <x v="0"/>
    <n v="99"/>
    <n v="0"/>
    <n v="0"/>
    <n v="99"/>
  </r>
  <r>
    <x v="0"/>
    <n v="135"/>
    <n v="9"/>
    <n v="9"/>
    <n v="126"/>
  </r>
  <r>
    <x v="0"/>
    <n v="49"/>
    <n v="0"/>
    <n v="0"/>
    <n v="49"/>
  </r>
  <r>
    <x v="0"/>
    <n v="0"/>
    <n v="0"/>
    <n v="0"/>
    <n v="0"/>
  </r>
  <r>
    <x v="0"/>
    <n v="1"/>
    <n v="0"/>
    <n v="0"/>
    <n v="1"/>
  </r>
  <r>
    <x v="0"/>
    <n v="1"/>
    <n v="0"/>
    <n v="0"/>
    <n v="1"/>
  </r>
  <r>
    <x v="0"/>
    <n v="1"/>
    <n v="0"/>
    <n v="0"/>
    <n v="1"/>
  </r>
  <r>
    <x v="0"/>
    <n v="1"/>
    <n v="0"/>
    <n v="0"/>
    <n v="1"/>
  </r>
  <r>
    <x v="0"/>
    <n v="1"/>
    <n v="0"/>
    <n v="0"/>
    <n v="1"/>
  </r>
  <r>
    <x v="0"/>
    <n v="1"/>
    <n v="0"/>
    <n v="0"/>
    <n v="1"/>
  </r>
  <r>
    <x v="0"/>
    <n v="1"/>
    <n v="0"/>
    <n v="0"/>
    <n v="1"/>
  </r>
  <r>
    <x v="3"/>
    <n v="1"/>
    <n v="0"/>
    <n v="0"/>
    <n v="1"/>
  </r>
  <r>
    <x v="3"/>
    <n v="1"/>
    <n v="0"/>
    <n v="0"/>
    <n v="1"/>
  </r>
  <r>
    <x v="0"/>
    <n v="1"/>
    <n v="0"/>
    <n v="0"/>
    <n v="1"/>
  </r>
  <r>
    <x v="4"/>
    <n v="1"/>
    <n v="0"/>
    <n v="0"/>
    <n v="1"/>
  </r>
  <r>
    <x v="5"/>
    <n v="1"/>
    <n v="0"/>
    <n v="0"/>
    <n v="1"/>
  </r>
  <r>
    <x v="0"/>
    <n v="1"/>
    <n v="0"/>
    <n v="0"/>
    <n v="1"/>
  </r>
  <r>
    <x v="3"/>
    <n v="1"/>
    <n v="0"/>
    <n v="0"/>
    <n v="1"/>
  </r>
  <r>
    <x v="3"/>
    <n v="1"/>
    <n v="0"/>
    <n v="0"/>
    <n v="1"/>
  </r>
  <r>
    <x v="0"/>
    <n v="1"/>
    <n v="0"/>
    <n v="0"/>
    <n v="1"/>
  </r>
  <r>
    <x v="6"/>
    <n v="1"/>
    <n v="0"/>
    <n v="0"/>
    <n v="1"/>
  </r>
  <r>
    <x v="0"/>
    <n v="1"/>
    <n v="0"/>
    <n v="0"/>
    <n v="1"/>
  </r>
  <r>
    <x v="1"/>
    <n v="1"/>
    <n v="0"/>
    <n v="0"/>
    <n v="1"/>
  </r>
  <r>
    <x v="0"/>
    <n v="1"/>
    <n v="0"/>
    <n v="0"/>
    <n v="1"/>
  </r>
  <r>
    <x v="0"/>
    <n v="1"/>
    <n v="0"/>
    <n v="0"/>
    <n v="1"/>
  </r>
  <r>
    <x v="0"/>
    <n v="1"/>
    <n v="0"/>
    <n v="0"/>
    <n v="1"/>
  </r>
  <r>
    <x v="0"/>
    <n v="1"/>
    <n v="0"/>
    <n v="0"/>
    <n v="1"/>
  </r>
  <r>
    <x v="0"/>
    <n v="1"/>
    <n v="0"/>
    <n v="0"/>
    <n v="1"/>
  </r>
  <r>
    <x v="0"/>
    <n v="1"/>
    <n v="0"/>
    <n v="0"/>
    <n v="1"/>
  </r>
  <r>
    <x v="0"/>
    <n v="1"/>
    <n v="0"/>
    <n v="0"/>
    <n v="1"/>
  </r>
  <r>
    <x v="0"/>
    <n v="2"/>
    <n v="0"/>
    <n v="0"/>
    <n v="2"/>
  </r>
  <r>
    <x v="0"/>
    <n v="1"/>
    <n v="0"/>
    <n v="0"/>
    <n v="1"/>
  </r>
  <r>
    <x v="0"/>
    <n v="1"/>
    <n v="0"/>
    <n v="0"/>
    <n v="1"/>
  </r>
  <r>
    <x v="0"/>
    <n v="1"/>
    <n v="0"/>
    <n v="0"/>
    <n v="1"/>
  </r>
  <r>
    <x v="0"/>
    <n v="1"/>
    <n v="0"/>
    <n v="0"/>
    <n v="1"/>
  </r>
  <r>
    <x v="7"/>
    <n v="2"/>
    <n v="0"/>
    <n v="0"/>
    <n v="2"/>
  </r>
  <r>
    <x v="0"/>
    <n v="2"/>
    <n v="0"/>
    <n v="0"/>
    <n v="2"/>
  </r>
  <r>
    <x v="0"/>
    <n v="2"/>
    <n v="0"/>
    <n v="0"/>
    <n v="2"/>
  </r>
  <r>
    <x v="0"/>
    <n v="2"/>
    <n v="0"/>
    <n v="0"/>
    <n v="2"/>
  </r>
  <r>
    <x v="0"/>
    <n v="1"/>
    <n v="0"/>
    <n v="0"/>
    <n v="1"/>
  </r>
  <r>
    <x v="0"/>
    <n v="1"/>
    <n v="0"/>
    <n v="0"/>
    <n v="1"/>
  </r>
  <r>
    <x v="1"/>
    <n v="2"/>
    <n v="0"/>
    <n v="0"/>
    <n v="2"/>
  </r>
  <r>
    <x v="0"/>
    <n v="1"/>
    <n v="0"/>
    <n v="0"/>
    <n v="1"/>
  </r>
  <r>
    <x v="0"/>
    <n v="1"/>
    <n v="0"/>
    <n v="0"/>
    <n v="1"/>
  </r>
  <r>
    <x v="0"/>
    <n v="1"/>
    <n v="0"/>
    <n v="0"/>
    <n v="1"/>
  </r>
  <r>
    <x v="0"/>
    <n v="1"/>
    <n v="0"/>
    <n v="0"/>
    <n v="1"/>
  </r>
  <r>
    <x v="8"/>
    <n v="3"/>
    <n v="0"/>
    <n v="1"/>
    <n v="2"/>
  </r>
  <r>
    <x v="9"/>
    <n v="3"/>
    <n v="0"/>
    <n v="1"/>
    <n v="2"/>
  </r>
  <r>
    <x v="0"/>
    <n v="1"/>
    <n v="0"/>
    <n v="0"/>
    <n v="1"/>
  </r>
  <r>
    <x v="0"/>
    <n v="3"/>
    <n v="0"/>
    <n v="1"/>
    <n v="2"/>
  </r>
  <r>
    <x v="0"/>
    <n v="3"/>
    <n v="0"/>
    <n v="0"/>
    <n v="3"/>
  </r>
  <r>
    <x v="10"/>
    <n v="24"/>
    <n v="0"/>
    <n v="0"/>
    <n v="24"/>
  </r>
  <r>
    <x v="0"/>
    <n v="1"/>
    <n v="0"/>
    <n v="0"/>
    <n v="1"/>
  </r>
  <r>
    <x v="0"/>
    <n v="1"/>
    <n v="0"/>
    <n v="0"/>
    <n v="1"/>
  </r>
  <r>
    <x v="10"/>
    <n v="36"/>
    <n v="0"/>
    <n v="0"/>
    <n v="36"/>
  </r>
  <r>
    <x v="0"/>
    <n v="1"/>
    <n v="0"/>
    <n v="0"/>
    <n v="1"/>
  </r>
  <r>
    <x v="0"/>
    <n v="1"/>
    <n v="0"/>
    <n v="0"/>
    <n v="1"/>
  </r>
  <r>
    <x v="0"/>
    <n v="1"/>
    <n v="0"/>
    <n v="0"/>
    <n v="1"/>
  </r>
  <r>
    <x v="0"/>
    <n v="1"/>
    <n v="0"/>
    <n v="0"/>
    <n v="1"/>
  </r>
  <r>
    <x v="0"/>
    <n v="1"/>
    <n v="0"/>
    <n v="0"/>
    <n v="1"/>
  </r>
  <r>
    <x v="0"/>
    <n v="1"/>
    <n v="0"/>
    <n v="0"/>
    <n v="1"/>
  </r>
  <r>
    <x v="0"/>
    <n v="1"/>
    <n v="0"/>
    <n v="0"/>
    <n v="1"/>
  </r>
  <r>
    <x v="11"/>
    <n v="60"/>
    <n v="0"/>
    <n v="0"/>
    <n v="60"/>
  </r>
  <r>
    <x v="0"/>
    <n v="1"/>
    <n v="0"/>
    <n v="0"/>
    <n v="1"/>
  </r>
  <r>
    <x v="11"/>
    <n v="90"/>
    <n v="0"/>
    <n v="0"/>
    <n v="90"/>
  </r>
  <r>
    <x v="12"/>
    <n v="24"/>
    <n v="0"/>
    <n v="0"/>
    <n v="24"/>
  </r>
  <r>
    <x v="0"/>
    <n v="1"/>
    <n v="0"/>
    <n v="0"/>
    <n v="1"/>
  </r>
  <r>
    <x v="0"/>
    <n v="1"/>
    <n v="0"/>
    <n v="0"/>
    <n v="1"/>
  </r>
  <r>
    <x v="0"/>
    <n v="1"/>
    <n v="0"/>
    <n v="0"/>
    <n v="1"/>
  </r>
  <r>
    <x v="0"/>
    <n v="1"/>
    <n v="0"/>
    <n v="0"/>
    <n v="1"/>
  </r>
  <r>
    <x v="0"/>
    <n v="1"/>
    <n v="0"/>
    <n v="0"/>
    <n v="1"/>
  </r>
  <r>
    <x v="0"/>
    <n v="1"/>
    <n v="0"/>
    <n v="0"/>
    <n v="1"/>
  </r>
  <r>
    <x v="0"/>
    <n v="1"/>
    <n v="0"/>
    <n v="0"/>
    <n v="1"/>
  </r>
  <r>
    <x v="12"/>
    <n v="36"/>
    <n v="32"/>
    <n v="32"/>
    <n v="4"/>
  </r>
  <r>
    <x v="10"/>
    <n v="26"/>
    <n v="0"/>
    <n v="0"/>
    <n v="26"/>
  </r>
  <r>
    <x v="0"/>
    <n v="1"/>
    <n v="0"/>
    <n v="0"/>
    <n v="1"/>
  </r>
  <r>
    <x v="0"/>
    <n v="1"/>
    <n v="0"/>
    <n v="0"/>
    <n v="1"/>
  </r>
  <r>
    <x v="0"/>
    <n v="1"/>
    <n v="0"/>
    <n v="0"/>
    <n v="1"/>
  </r>
  <r>
    <x v="0"/>
    <n v="1"/>
    <n v="0"/>
    <n v="0"/>
    <n v="1"/>
  </r>
  <r>
    <x v="0"/>
    <n v="1"/>
    <n v="0"/>
    <n v="0"/>
    <n v="1"/>
  </r>
  <r>
    <x v="0"/>
    <n v="1"/>
    <n v="0"/>
    <n v="0"/>
    <n v="1"/>
  </r>
  <r>
    <x v="0"/>
    <n v="1"/>
    <n v="0"/>
    <n v="0"/>
    <n v="1"/>
  </r>
  <r>
    <x v="0"/>
    <n v="1"/>
    <n v="0"/>
    <n v="0"/>
    <n v="1"/>
  </r>
  <r>
    <x v="10"/>
    <n v="39"/>
    <n v="0"/>
    <n v="0"/>
    <n v="39"/>
  </r>
  <r>
    <x v="12"/>
    <n v="10"/>
    <n v="0"/>
    <n v="0"/>
    <n v="10"/>
  </r>
  <r>
    <x v="12"/>
    <n v="16"/>
    <n v="0"/>
    <n v="0"/>
    <n v="16"/>
  </r>
  <r>
    <x v="13"/>
    <n v="1"/>
    <n v="0"/>
    <n v="0"/>
    <n v="1"/>
  </r>
  <r>
    <x v="13"/>
    <n v="1"/>
    <n v="0"/>
    <n v="0"/>
    <n v="1"/>
  </r>
  <r>
    <x v="0"/>
    <n v="1"/>
    <n v="0"/>
    <n v="0"/>
    <n v="1"/>
  </r>
  <r>
    <x v="13"/>
    <n v="1"/>
    <n v="0"/>
    <n v="0"/>
    <n v="1"/>
  </r>
  <r>
    <x v="0"/>
    <n v="2"/>
    <n v="0"/>
    <n v="0"/>
    <n v="2"/>
  </r>
  <r>
    <x v="0"/>
    <n v="2"/>
    <n v="0"/>
    <n v="0"/>
    <n v="2"/>
  </r>
  <r>
    <x v="0"/>
    <n v="2"/>
    <n v="0"/>
    <n v="0"/>
    <n v="2"/>
  </r>
  <r>
    <x v="13"/>
    <n v="1"/>
    <n v="0"/>
    <n v="0"/>
    <n v="1"/>
  </r>
  <r>
    <x v="13"/>
    <n v="1"/>
    <n v="0"/>
    <n v="0"/>
    <n v="1"/>
  </r>
  <r>
    <x v="0"/>
    <n v="2"/>
    <n v="0"/>
    <n v="0"/>
    <n v="2"/>
  </r>
  <r>
    <x v="0"/>
    <n v="2"/>
    <n v="0"/>
    <n v="0"/>
    <n v="2"/>
  </r>
  <r>
    <x v="12"/>
    <n v="1"/>
    <n v="0"/>
    <n v="0"/>
    <n v="1"/>
  </r>
  <r>
    <x v="0"/>
    <n v="2"/>
    <n v="0"/>
    <n v="0"/>
    <n v="2"/>
  </r>
  <r>
    <x v="0"/>
    <n v="2"/>
    <n v="0"/>
    <n v="0"/>
    <n v="2"/>
  </r>
  <r>
    <x v="0"/>
    <n v="2"/>
    <n v="0"/>
    <n v="0"/>
    <n v="2"/>
  </r>
  <r>
    <x v="0"/>
    <n v="2"/>
    <n v="0"/>
    <n v="0"/>
    <n v="2"/>
  </r>
  <r>
    <x v="0"/>
    <n v="2"/>
    <n v="0"/>
    <n v="0"/>
    <n v="2"/>
  </r>
  <r>
    <x v="0"/>
    <n v="2"/>
    <n v="0"/>
    <n v="0"/>
    <n v="2"/>
  </r>
  <r>
    <x v="0"/>
    <n v="2"/>
    <n v="0"/>
    <n v="0"/>
    <n v="2"/>
  </r>
  <r>
    <x v="0"/>
    <n v="2"/>
    <n v="0"/>
    <n v="0"/>
    <n v="2"/>
  </r>
  <r>
    <x v="0"/>
    <n v="2"/>
    <n v="0"/>
    <n v="0"/>
    <n v="2"/>
  </r>
  <r>
    <x v="8"/>
    <n v="1"/>
    <n v="0"/>
    <n v="0"/>
    <n v="1"/>
  </r>
  <r>
    <x v="0"/>
    <n v="2"/>
    <n v="0"/>
    <n v="0"/>
    <n v="2"/>
  </r>
  <r>
    <x v="0"/>
    <n v="2"/>
    <n v="0"/>
    <n v="0"/>
    <n v="2"/>
  </r>
  <r>
    <x v="14"/>
    <n v="1"/>
    <n v="0"/>
    <n v="0"/>
    <n v="1"/>
  </r>
  <r>
    <x v="0"/>
    <n v="2"/>
    <n v="0"/>
    <n v="0"/>
    <n v="2"/>
  </r>
  <r>
    <x v="0"/>
    <n v="2"/>
    <n v="0"/>
    <n v="0"/>
    <n v="2"/>
  </r>
  <r>
    <x v="0"/>
    <n v="2"/>
    <n v="0"/>
    <n v="0"/>
    <n v="2"/>
  </r>
  <r>
    <x v="0"/>
    <n v="2"/>
    <n v="0"/>
    <n v="0"/>
    <n v="2"/>
  </r>
  <r>
    <x v="13"/>
    <n v="1"/>
    <n v="0"/>
    <n v="0"/>
    <n v="1"/>
  </r>
  <r>
    <x v="0"/>
    <n v="2"/>
    <n v="0"/>
    <n v="0"/>
    <n v="2"/>
  </r>
  <r>
    <x v="0"/>
    <n v="2"/>
    <n v="0"/>
    <n v="0"/>
    <n v="2"/>
  </r>
  <r>
    <x v="0"/>
    <n v="2"/>
    <n v="0"/>
    <n v="0"/>
    <n v="2"/>
  </r>
  <r>
    <x v="10"/>
    <n v="1"/>
    <n v="0"/>
    <n v="0"/>
    <n v="1"/>
  </r>
  <r>
    <x v="13"/>
    <n v="1"/>
    <n v="0"/>
    <n v="0"/>
    <n v="1"/>
  </r>
  <r>
    <x v="0"/>
    <n v="2"/>
    <n v="0"/>
    <n v="0"/>
    <n v="2"/>
  </r>
  <r>
    <x v="13"/>
    <n v="1"/>
    <n v="0"/>
    <n v="0"/>
    <n v="1"/>
  </r>
  <r>
    <x v="13"/>
    <n v="1"/>
    <n v="0"/>
    <n v="0"/>
    <n v="1"/>
  </r>
  <r>
    <x v="0"/>
    <n v="2"/>
    <n v="0"/>
    <n v="0"/>
    <n v="2"/>
  </r>
  <r>
    <x v="8"/>
    <n v="2"/>
    <n v="0"/>
    <n v="0"/>
    <n v="2"/>
  </r>
  <r>
    <x v="12"/>
    <n v="2"/>
    <n v="0"/>
    <n v="0"/>
    <n v="2"/>
  </r>
  <r>
    <x v="13"/>
    <n v="2"/>
    <n v="0"/>
    <n v="0"/>
    <n v="2"/>
  </r>
  <r>
    <x v="0"/>
    <n v="2"/>
    <n v="0"/>
    <n v="0"/>
    <n v="2"/>
  </r>
  <r>
    <x v="1"/>
    <n v="2"/>
    <n v="0"/>
    <n v="0"/>
    <n v="2"/>
  </r>
  <r>
    <x v="15"/>
    <n v="2"/>
    <n v="0"/>
    <n v="0"/>
    <n v="2"/>
  </r>
  <r>
    <x v="13"/>
    <n v="2"/>
    <n v="0"/>
    <n v="0"/>
    <n v="2"/>
  </r>
  <r>
    <x v="0"/>
    <n v="3"/>
    <n v="0"/>
    <n v="0"/>
    <n v="3"/>
  </r>
  <r>
    <x v="0"/>
    <n v="3"/>
    <n v="0"/>
    <n v="0"/>
    <n v="3"/>
  </r>
  <r>
    <x v="0"/>
    <n v="3"/>
    <n v="0"/>
    <n v="0"/>
    <n v="3"/>
  </r>
  <r>
    <x v="0"/>
    <n v="3"/>
    <n v="0"/>
    <n v="0"/>
    <n v="3"/>
  </r>
  <r>
    <x v="0"/>
    <n v="3"/>
    <n v="0"/>
    <n v="0"/>
    <n v="3"/>
  </r>
  <r>
    <x v="0"/>
    <n v="3"/>
    <n v="0"/>
    <n v="0"/>
    <n v="3"/>
  </r>
  <r>
    <x v="0"/>
    <n v="3"/>
    <n v="0"/>
    <n v="0"/>
    <n v="3"/>
  </r>
  <r>
    <x v="0"/>
    <n v="3"/>
    <n v="0"/>
    <n v="0"/>
    <n v="3"/>
  </r>
  <r>
    <x v="0"/>
    <n v="3"/>
    <n v="0"/>
    <n v="0"/>
    <n v="3"/>
  </r>
  <r>
    <x v="13"/>
    <n v="2"/>
    <n v="0"/>
    <n v="0"/>
    <n v="2"/>
  </r>
  <r>
    <x v="0"/>
    <n v="4"/>
    <n v="0"/>
    <n v="0"/>
    <n v="4"/>
  </r>
  <r>
    <x v="0"/>
    <n v="4"/>
    <n v="0"/>
    <n v="0"/>
    <n v="4"/>
  </r>
  <r>
    <x v="0"/>
    <n v="4"/>
    <n v="0"/>
    <n v="0"/>
    <n v="4"/>
  </r>
  <r>
    <x v="0"/>
    <n v="4"/>
    <n v="0"/>
    <n v="0"/>
    <n v="4"/>
  </r>
  <r>
    <x v="0"/>
    <n v="4"/>
    <n v="0"/>
    <n v="0"/>
    <n v="4"/>
  </r>
  <r>
    <x v="0"/>
    <n v="4"/>
    <n v="0"/>
    <n v="0"/>
    <n v="4"/>
  </r>
  <r>
    <x v="0"/>
    <n v="4"/>
    <n v="0"/>
    <n v="0"/>
    <n v="4"/>
  </r>
  <r>
    <x v="0"/>
    <n v="4"/>
    <n v="0"/>
    <n v="0"/>
    <n v="4"/>
  </r>
  <r>
    <x v="0"/>
    <n v="4"/>
    <n v="0"/>
    <n v="0"/>
    <n v="4"/>
  </r>
  <r>
    <x v="0"/>
    <n v="4"/>
    <n v="0"/>
    <n v="0"/>
    <n v="4"/>
  </r>
  <r>
    <x v="0"/>
    <n v="5"/>
    <n v="0"/>
    <n v="0"/>
    <n v="5"/>
  </r>
  <r>
    <x v="0"/>
    <n v="5"/>
    <n v="0"/>
    <n v="0"/>
    <n v="5"/>
  </r>
  <r>
    <x v="0"/>
    <n v="5"/>
    <n v="0"/>
    <n v="0"/>
    <n v="5"/>
  </r>
  <r>
    <x v="0"/>
    <n v="5"/>
    <n v="0"/>
    <n v="0"/>
    <n v="5"/>
  </r>
  <r>
    <x v="0"/>
    <n v="5"/>
    <n v="0"/>
    <n v="0"/>
    <n v="5"/>
  </r>
  <r>
    <x v="0"/>
    <n v="5"/>
    <n v="0"/>
    <n v="0"/>
    <n v="5"/>
  </r>
  <r>
    <x v="0"/>
    <n v="5"/>
    <n v="0"/>
    <n v="0"/>
    <n v="5"/>
  </r>
  <r>
    <x v="0"/>
    <n v="6"/>
    <n v="0"/>
    <n v="0"/>
    <n v="6"/>
  </r>
  <r>
    <x v="0"/>
    <n v="6"/>
    <n v="0"/>
    <n v="0"/>
    <n v="6"/>
  </r>
  <r>
    <x v="12"/>
    <n v="6"/>
    <n v="0"/>
    <n v="0"/>
    <n v="6"/>
  </r>
  <r>
    <x v="0"/>
    <n v="6"/>
    <n v="0"/>
    <n v="0"/>
    <n v="6"/>
  </r>
  <r>
    <x v="0"/>
    <n v="6"/>
    <n v="0"/>
    <n v="0"/>
    <n v="6"/>
  </r>
  <r>
    <x v="0"/>
    <n v="6"/>
    <n v="0"/>
    <n v="0"/>
    <n v="6"/>
  </r>
  <r>
    <x v="0"/>
    <n v="7"/>
    <n v="0"/>
    <n v="2"/>
    <n v="5"/>
  </r>
  <r>
    <x v="0"/>
    <n v="7"/>
    <n v="0"/>
    <n v="0"/>
    <n v="7"/>
  </r>
  <r>
    <x v="8"/>
    <n v="7"/>
    <n v="0"/>
    <n v="0"/>
    <n v="7"/>
  </r>
  <r>
    <x v="12"/>
    <n v="7"/>
    <n v="0"/>
    <n v="0"/>
    <n v="7"/>
  </r>
  <r>
    <x v="0"/>
    <n v="8"/>
    <n v="0"/>
    <n v="0"/>
    <n v="8"/>
  </r>
  <r>
    <x v="0"/>
    <n v="8"/>
    <n v="0"/>
    <n v="0"/>
    <n v="8"/>
  </r>
  <r>
    <x v="0"/>
    <n v="8"/>
    <n v="0"/>
    <n v="0"/>
    <n v="8"/>
  </r>
  <r>
    <x v="13"/>
    <n v="8"/>
    <n v="0"/>
    <n v="0"/>
    <n v="8"/>
  </r>
  <r>
    <x v="0"/>
    <n v="8"/>
    <n v="0"/>
    <n v="0"/>
    <n v="8"/>
  </r>
  <r>
    <x v="0"/>
    <n v="8"/>
    <n v="0"/>
    <n v="0"/>
    <n v="8"/>
  </r>
  <r>
    <x v="12"/>
    <n v="8"/>
    <n v="0"/>
    <n v="0"/>
    <n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6000000}" name="PivotTable8"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52:B54" firstHeaderRow="1" firstDataRow="1" firstDataCol="1"/>
  <pivotFields count="2">
    <pivotField dataField="1" showAll="0"/>
    <pivotField axis="axisRow" showAll="0">
      <items count="2">
        <item x="0"/>
        <item t="default"/>
      </items>
    </pivotField>
  </pivotFields>
  <rowFields count="1">
    <field x="1"/>
  </rowFields>
  <rowItems count="2">
    <i>
      <x/>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PivotTable7"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22:H39" firstHeaderRow="1" firstDataRow="1" firstDataCol="1"/>
  <pivotFields count="5">
    <pivotField axis="axisRow" showAll="0">
      <items count="17">
        <item x="4"/>
        <item x="1"/>
        <item x="14"/>
        <item x="12"/>
        <item x="3"/>
        <item x="11"/>
        <item x="5"/>
        <item x="15"/>
        <item x="8"/>
        <item x="6"/>
        <item x="13"/>
        <item x="9"/>
        <item x="10"/>
        <item x="7"/>
        <item x="2"/>
        <item x="0"/>
        <item t="default"/>
      </items>
    </pivotField>
    <pivotField showAll="0"/>
    <pivotField showAll="0"/>
    <pivotField showAll="0"/>
    <pivotField dataField="1" showAll="0"/>
  </pivotFields>
  <rowFields count="1">
    <field x="0"/>
  </rowFields>
  <rowItems count="17">
    <i>
      <x/>
    </i>
    <i>
      <x v="1"/>
    </i>
    <i>
      <x v="2"/>
    </i>
    <i>
      <x v="3"/>
    </i>
    <i>
      <x v="4"/>
    </i>
    <i>
      <x v="5"/>
    </i>
    <i>
      <x v="6"/>
    </i>
    <i>
      <x v="7"/>
    </i>
    <i>
      <x v="8"/>
    </i>
    <i>
      <x v="9"/>
    </i>
    <i>
      <x v="10"/>
    </i>
    <i>
      <x v="11"/>
    </i>
    <i>
      <x v="12"/>
    </i>
    <i>
      <x v="13"/>
    </i>
    <i>
      <x v="14"/>
    </i>
    <i>
      <x v="15"/>
    </i>
    <i t="grand">
      <x/>
    </i>
  </rowItems>
  <colItems count="1">
    <i/>
  </colItems>
  <dataFields count="1">
    <dataField name="Sum of Remaining" fld="4" baseField="0" baseItem="0"/>
  </dataFields>
  <formats count="1">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B00-000002000000}" name="PivotTable9" cacheId="1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M22:N25" firstHeaderRow="1" firstDataRow="1" firstDataCol="1"/>
  <pivotFields count="3">
    <pivotField dataField="1" showAll="0"/>
    <pivotField showAll="0"/>
    <pivotField axis="axisRow" showAll="0">
      <items count="3">
        <item x="1"/>
        <item x="0"/>
        <item t="default"/>
      </items>
    </pivotField>
  </pivotFields>
  <rowFields count="1">
    <field x="2"/>
  </rowFields>
  <rowItems count="3">
    <i>
      <x/>
    </i>
    <i>
      <x v="1"/>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3000000}" name="PivotTable4"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44:B49" firstHeaderRow="1" firstDataRow="1" firstDataCol="1"/>
  <pivotFields count="2">
    <pivotField dataField="1" showAll="0"/>
    <pivotField axis="axisRow" showAll="0">
      <items count="5">
        <item x="0"/>
        <item x="2"/>
        <item x="3"/>
        <item x="1"/>
        <item t="default"/>
      </items>
    </pivotField>
  </pivotFields>
  <rowFields count="1">
    <field x="1"/>
  </rowFields>
  <rowItems count="5">
    <i>
      <x/>
    </i>
    <i>
      <x v="1"/>
    </i>
    <i>
      <x v="2"/>
    </i>
    <i>
      <x v="3"/>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A00-000001000000}" name="PivotTable13"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24:B28" firstHeaderRow="1" firstDataRow="1" firstDataCol="1"/>
  <pivotFields count="2">
    <pivotField dataField="1" showAll="0"/>
    <pivotField axis="axisRow" showAll="0">
      <items count="4">
        <item x="2"/>
        <item x="1"/>
        <item x="0"/>
        <item t="default"/>
      </items>
    </pivotField>
  </pivotFields>
  <rowFields count="1">
    <field x="1"/>
  </rowFields>
  <rowItems count="4">
    <i>
      <x/>
    </i>
    <i>
      <x v="1"/>
    </i>
    <i>
      <x v="2"/>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A00-000007000000}" name="PivotTable9"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2:B9" firstHeaderRow="1" firstDataRow="1" firstDataCol="1"/>
  <pivotFields count="5">
    <pivotField axis="axisRow" showAll="0">
      <items count="7">
        <item x="4"/>
        <item x="5"/>
        <item x="2"/>
        <item x="0"/>
        <item x="3"/>
        <item x="1"/>
        <item t="default"/>
      </items>
    </pivotField>
    <pivotField showAll="0"/>
    <pivotField showAll="0"/>
    <pivotField showAll="0"/>
    <pivotField dataField="1" showAll="0"/>
  </pivotFields>
  <rowFields count="1">
    <field x="0"/>
  </rowFields>
  <rowItems count="7">
    <i>
      <x/>
    </i>
    <i>
      <x v="1"/>
    </i>
    <i>
      <x v="2"/>
    </i>
    <i>
      <x v="3"/>
    </i>
    <i>
      <x v="4"/>
    </i>
    <i>
      <x v="5"/>
    </i>
    <i t="grand">
      <x/>
    </i>
  </rowItems>
  <colItems count="1">
    <i/>
  </colItems>
  <dataFields count="1">
    <dataField name="Sum of Remaining"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12:B16" firstHeaderRow="1" firstDataRow="1" firstDataCol="1"/>
  <pivotFields count="2">
    <pivotField dataField="1" showAll="0"/>
    <pivotField axis="axisRow" showAll="0">
      <items count="4">
        <item x="2"/>
        <item x="1"/>
        <item x="0"/>
        <item t="default"/>
      </items>
    </pivotField>
  </pivotFields>
  <rowFields count="1">
    <field x="1"/>
  </rowFields>
  <rowItems count="4">
    <i>
      <x/>
    </i>
    <i>
      <x v="1"/>
    </i>
    <i>
      <x v="2"/>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A00-000004000000}" name="PivotTable6"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19:B21" firstHeaderRow="1" firstDataRow="1" firstDataCol="1"/>
  <pivotFields count="2">
    <pivotField dataField="1" showAll="0"/>
    <pivotField axis="axisRow" showAll="0">
      <items count="2">
        <item x="0"/>
        <item t="default"/>
      </items>
    </pivotField>
  </pivotFields>
  <rowFields count="1">
    <field x="1"/>
  </rowFields>
  <rowItems count="2">
    <i>
      <x/>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A00-000002000000}" name="PivotTable3"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1:B36" firstHeaderRow="1" firstDataRow="1" firstDataCol="1"/>
  <pivotFields count="2">
    <pivotField dataField="1" showAll="0"/>
    <pivotField axis="axisRow" showAll="0">
      <items count="5">
        <item x="3"/>
        <item x="1"/>
        <item x="0"/>
        <item x="2"/>
        <item t="default"/>
      </items>
    </pivotField>
  </pivotFields>
  <rowFields count="1">
    <field x="1"/>
  </rowFields>
  <rowItems count="5">
    <i>
      <x/>
    </i>
    <i>
      <x v="1"/>
    </i>
    <i>
      <x v="2"/>
    </i>
    <i>
      <x v="3"/>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A00-000005000000}" name="PivotTable7" cacheId="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9:B41" firstHeaderRow="1" firstDataRow="1" firstDataCol="1"/>
  <pivotFields count="2">
    <pivotField dataField="1" showAll="0"/>
    <pivotField axis="axisRow" showAll="0">
      <items count="2">
        <item x="0"/>
        <item t="default"/>
      </items>
    </pivotField>
  </pivotFields>
  <rowFields count="1">
    <field x="1"/>
  </rowFields>
  <rowItems count="2">
    <i>
      <x/>
    </i>
    <i t="grand">
      <x/>
    </i>
  </rowItems>
  <colItems count="1">
    <i/>
  </colItems>
  <dataFields count="1">
    <dataField name="Sum of Total"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B00-000001000000}" name="PivotTable8"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J22:K34" firstHeaderRow="1" firstDataRow="1" firstDataCol="1"/>
  <pivotFields count="3">
    <pivotField dataField="1" showAll="0"/>
    <pivotField axis="axisRow" showAll="0">
      <items count="2">
        <item x="0"/>
        <item t="default"/>
      </items>
    </pivotField>
    <pivotField axis="axisRow" showAll="0">
      <items count="11">
        <item x="6"/>
        <item x="5"/>
        <item x="0"/>
        <item x="7"/>
        <item x="1"/>
        <item x="2"/>
        <item x="8"/>
        <item x="3"/>
        <item x="9"/>
        <item x="4"/>
        <item t="default"/>
      </items>
    </pivotField>
  </pivotFields>
  <rowFields count="2">
    <field x="1"/>
    <field x="2"/>
  </rowFields>
  <rowItems count="12">
    <i>
      <x/>
    </i>
    <i r="1">
      <x/>
    </i>
    <i r="1">
      <x v="1"/>
    </i>
    <i r="1">
      <x v="2"/>
    </i>
    <i r="1">
      <x v="3"/>
    </i>
    <i r="1">
      <x v="4"/>
    </i>
    <i r="1">
      <x v="5"/>
    </i>
    <i r="1">
      <x v="6"/>
    </i>
    <i r="1">
      <x v="7"/>
    </i>
    <i r="1">
      <x v="8"/>
    </i>
    <i r="1">
      <x v="9"/>
    </i>
    <i t="grand">
      <x/>
    </i>
  </rowItems>
  <colItems count="1">
    <i/>
  </colItems>
  <dataFields count="1">
    <dataField name="Sum of Total" fld="0" baseField="0" baseItem="0"/>
  </dataFields>
  <formats count="1">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 dT="2024-12-05T11:13:48.65" personId="{079A2CB0-2069-46EA-A1F0-5E780C9ACCE6}" id="{2061ADE2-A0CA-4C01-AAA5-6A037EFA1897}">
    <text>The figures provided in light grey reflect the Local Plan requirements and are provided for information only. With the plan becoming over 5 years old, from 2023/24 the Standard Method is now used to calculate the WDC requirement and so supersedes the Local Plan requirement.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ivotTable" Target="../pivotTables/pivotTable11.xml"/><Relationship Id="rId2" Type="http://schemas.openxmlformats.org/officeDocument/2006/relationships/pivotTable" Target="../pivotTables/pivotTable10.xml"/><Relationship Id="rId1" Type="http://schemas.openxmlformats.org/officeDocument/2006/relationships/pivotTable" Target="../pivotTables/pivotTable9.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4"/>
  <sheetViews>
    <sheetView tabSelected="1" topLeftCell="B21" zoomScale="90" zoomScaleNormal="90" workbookViewId="0">
      <selection activeCell="T35" sqref="T35"/>
    </sheetView>
  </sheetViews>
  <sheetFormatPr defaultRowHeight="15" x14ac:dyDescent="0.25"/>
  <cols>
    <col min="1" max="1" width="75.85546875" customWidth="1"/>
    <col min="2" max="2" width="13.140625" customWidth="1"/>
    <col min="3" max="15" width="9.140625" customWidth="1"/>
    <col min="16" max="16" width="10.140625" customWidth="1"/>
    <col min="17" max="19" width="9.140625" customWidth="1"/>
    <col min="20" max="20" width="10.5703125" customWidth="1"/>
    <col min="21" max="21" width="10.85546875" customWidth="1"/>
    <col min="22" max="22" width="9.140625" customWidth="1"/>
    <col min="23" max="23" width="16.42578125" customWidth="1"/>
    <col min="24" max="25" width="0" hidden="1" customWidth="1"/>
    <col min="26" max="26" width="39.42578125" customWidth="1"/>
  </cols>
  <sheetData>
    <row r="1" spans="1:37" s="3" customFormat="1" ht="21" x14ac:dyDescent="0.35">
      <c r="A1" s="18" t="s">
        <v>136</v>
      </c>
    </row>
    <row r="2" spans="1:37" ht="15.75" thickBot="1" x14ac:dyDescent="0.3">
      <c r="G2" s="12"/>
      <c r="H2" s="12"/>
      <c r="I2" s="12"/>
      <c r="M2" s="12"/>
      <c r="N2" s="12"/>
      <c r="O2" s="12"/>
      <c r="Q2" s="329" t="s">
        <v>50</v>
      </c>
      <c r="R2" s="329" t="s">
        <v>51</v>
      </c>
      <c r="S2" s="329" t="s">
        <v>52</v>
      </c>
      <c r="T2" s="329" t="s">
        <v>53</v>
      </c>
      <c r="U2" s="329" t="s">
        <v>54</v>
      </c>
    </row>
    <row r="3" spans="1:37" ht="15.75" thickBot="1" x14ac:dyDescent="0.3">
      <c r="A3" s="41"/>
      <c r="B3" s="55" t="s">
        <v>74</v>
      </c>
      <c r="C3" s="51" t="s">
        <v>0</v>
      </c>
      <c r="D3" s="43" t="s">
        <v>1</v>
      </c>
      <c r="E3" s="43" t="s">
        <v>2</v>
      </c>
      <c r="F3" s="43" t="s">
        <v>3</v>
      </c>
      <c r="G3" s="43" t="s">
        <v>4</v>
      </c>
      <c r="H3" s="43" t="s">
        <v>5</v>
      </c>
      <c r="I3" s="43" t="s">
        <v>6</v>
      </c>
      <c r="J3" s="43" t="s">
        <v>7</v>
      </c>
      <c r="K3" s="43" t="s">
        <v>8</v>
      </c>
      <c r="L3" s="43" t="s">
        <v>9</v>
      </c>
      <c r="M3" s="43" t="s">
        <v>10</v>
      </c>
      <c r="N3" s="43" t="s">
        <v>42</v>
      </c>
      <c r="O3" s="43" t="s">
        <v>11</v>
      </c>
      <c r="P3" s="43" t="s">
        <v>12</v>
      </c>
      <c r="Q3" s="43" t="s">
        <v>13</v>
      </c>
      <c r="R3" s="43" t="s">
        <v>14</v>
      </c>
      <c r="S3" s="43" t="s">
        <v>15</v>
      </c>
      <c r="T3" s="44" t="s">
        <v>16</v>
      </c>
      <c r="U3" s="114" t="s">
        <v>205</v>
      </c>
      <c r="V3" s="55" t="s">
        <v>17</v>
      </c>
    </row>
    <row r="4" spans="1:37" s="5" customFormat="1" x14ac:dyDescent="0.25">
      <c r="A4" s="289" t="s">
        <v>713</v>
      </c>
      <c r="B4" s="233">
        <f>SUM(C4:T4)</f>
        <v>11004</v>
      </c>
      <c r="C4" s="234">
        <v>144</v>
      </c>
      <c r="D4" s="235">
        <v>262</v>
      </c>
      <c r="E4" s="235">
        <v>294</v>
      </c>
      <c r="F4" s="235">
        <v>732</v>
      </c>
      <c r="G4" s="235">
        <v>619</v>
      </c>
      <c r="H4" s="235">
        <v>1094</v>
      </c>
      <c r="I4" s="235">
        <v>1031</v>
      </c>
      <c r="J4" s="235">
        <v>1050</v>
      </c>
      <c r="K4" s="235">
        <v>1168</v>
      </c>
      <c r="L4" s="235">
        <v>841</v>
      </c>
      <c r="M4" s="235">
        <v>1111</v>
      </c>
      <c r="N4" s="235">
        <v>915</v>
      </c>
      <c r="O4" s="331">
        <v>893</v>
      </c>
      <c r="P4" s="235">
        <v>850</v>
      </c>
      <c r="Q4" s="235">
        <v>0</v>
      </c>
      <c r="R4" s="235">
        <v>0</v>
      </c>
      <c r="S4" s="235">
        <v>0</v>
      </c>
      <c r="T4" s="327">
        <v>0</v>
      </c>
      <c r="U4" s="233">
        <v>0</v>
      </c>
      <c r="V4" s="233">
        <f t="shared" ref="V4:V14" si="0">SUM(C4:U4)</f>
        <v>11004</v>
      </c>
      <c r="Y4"/>
      <c r="Z4"/>
      <c r="AA4"/>
      <c r="AB4"/>
      <c r="AC4"/>
      <c r="AE4"/>
      <c r="AF4"/>
      <c r="AG4"/>
      <c r="AH4"/>
      <c r="AI4"/>
      <c r="AJ4"/>
      <c r="AK4"/>
    </row>
    <row r="5" spans="1:37" s="5" customFormat="1" x14ac:dyDescent="0.25">
      <c r="A5" s="240" t="s">
        <v>714</v>
      </c>
      <c r="B5" s="239">
        <f>'b1) Commitments outline'!D17</f>
        <v>2823</v>
      </c>
      <c r="C5" s="237">
        <v>0</v>
      </c>
      <c r="D5" s="36">
        <v>0</v>
      </c>
      <c r="E5" s="36">
        <v>0</v>
      </c>
      <c r="F5" s="36">
        <v>0</v>
      </c>
      <c r="G5" s="36">
        <v>0</v>
      </c>
      <c r="H5" s="36">
        <v>0</v>
      </c>
      <c r="I5" s="36">
        <v>0</v>
      </c>
      <c r="J5" s="36">
        <v>0</v>
      </c>
      <c r="K5" s="238">
        <v>0</v>
      </c>
      <c r="L5" s="238">
        <v>0</v>
      </c>
      <c r="M5" s="238">
        <v>0</v>
      </c>
      <c r="N5" s="238">
        <v>0</v>
      </c>
      <c r="O5" s="242">
        <v>0</v>
      </c>
      <c r="P5" s="238">
        <v>0</v>
      </c>
      <c r="Q5" s="238">
        <f>'b1) Commitments outline'!F17</f>
        <v>0</v>
      </c>
      <c r="R5" s="238">
        <f>'b1) Commitments outline'!G17</f>
        <v>20</v>
      </c>
      <c r="S5" s="238">
        <f>'b1) Commitments outline'!H17</f>
        <v>113</v>
      </c>
      <c r="T5" s="328">
        <f>'b1) Commitments outline'!I17</f>
        <v>123</v>
      </c>
      <c r="U5" s="239">
        <f>'b1) Commitments outline'!K17</f>
        <v>187</v>
      </c>
      <c r="V5" s="239">
        <f t="shared" si="0"/>
        <v>443</v>
      </c>
    </row>
    <row r="6" spans="1:37" s="5" customFormat="1" x14ac:dyDescent="0.25">
      <c r="A6" s="240" t="s">
        <v>715</v>
      </c>
      <c r="B6" s="239">
        <f>'b2) Commitments full'!H162</f>
        <v>2747</v>
      </c>
      <c r="C6" s="237">
        <v>0</v>
      </c>
      <c r="D6" s="36">
        <v>0</v>
      </c>
      <c r="E6" s="36">
        <v>0</v>
      </c>
      <c r="F6" s="36">
        <v>0</v>
      </c>
      <c r="G6" s="36">
        <v>0</v>
      </c>
      <c r="H6" s="36">
        <v>0</v>
      </c>
      <c r="I6" s="36">
        <v>0</v>
      </c>
      <c r="J6" s="36">
        <v>0</v>
      </c>
      <c r="K6" s="238">
        <v>0</v>
      </c>
      <c r="L6" s="238">
        <v>0</v>
      </c>
      <c r="M6" s="238">
        <v>0</v>
      </c>
      <c r="N6" s="238">
        <v>0</v>
      </c>
      <c r="O6" s="242">
        <v>0</v>
      </c>
      <c r="P6" s="238">
        <v>0</v>
      </c>
      <c r="Q6" s="238">
        <f>'b2) Commitments full'!J162</f>
        <v>613.66666666666663</v>
      </c>
      <c r="R6" s="238">
        <f>'b2) Commitments full'!K162</f>
        <v>703.66666666666663</v>
      </c>
      <c r="S6" s="238">
        <f>'b2) Commitments full'!L162</f>
        <v>617.66666666666663</v>
      </c>
      <c r="T6" s="328">
        <f>'b2) Commitments full'!M162</f>
        <v>518</v>
      </c>
      <c r="U6" s="239">
        <f>'b2) Commitments full'!N162</f>
        <v>296</v>
      </c>
      <c r="V6" s="239">
        <f t="shared" si="0"/>
        <v>2749</v>
      </c>
    </row>
    <row r="7" spans="1:37" s="5" customFormat="1" x14ac:dyDescent="0.25">
      <c r="A7" s="240" t="s">
        <v>716</v>
      </c>
      <c r="B7" s="239">
        <f>'b3) Commitments shared accom'!D97</f>
        <v>11.052631578947368</v>
      </c>
      <c r="C7" s="237">
        <v>0</v>
      </c>
      <c r="D7" s="36">
        <v>0</v>
      </c>
      <c r="E7" s="36">
        <v>0</v>
      </c>
      <c r="F7" s="36">
        <v>0</v>
      </c>
      <c r="G7" s="36">
        <v>0</v>
      </c>
      <c r="H7" s="36">
        <v>0</v>
      </c>
      <c r="I7" s="36">
        <v>0</v>
      </c>
      <c r="J7" s="36">
        <v>0</v>
      </c>
      <c r="K7" s="238">
        <v>0</v>
      </c>
      <c r="L7" s="238">
        <v>0</v>
      </c>
      <c r="M7" s="238">
        <v>0</v>
      </c>
      <c r="N7" s="238">
        <v>0</v>
      </c>
      <c r="O7" s="242">
        <v>0</v>
      </c>
      <c r="P7" s="238">
        <v>0</v>
      </c>
      <c r="Q7" s="238">
        <f>'b3) Commitments shared accom'!K97</f>
        <v>3.6842105263157894</v>
      </c>
      <c r="R7" s="238">
        <f>'b3) Commitments shared accom'!L97</f>
        <v>3.6842105263157894</v>
      </c>
      <c r="S7" s="238">
        <f>'b3) Commitments shared accom'!M97</f>
        <v>3.6842105263157894</v>
      </c>
      <c r="T7" s="328">
        <f>'b3) Commitments shared accom'!O97</f>
        <v>0</v>
      </c>
      <c r="U7" s="239">
        <f>'b3) Commitments shared accom'!P97</f>
        <v>0</v>
      </c>
      <c r="V7" s="239">
        <f t="shared" si="0"/>
        <v>11.052631578947368</v>
      </c>
    </row>
    <row r="8" spans="1:37" s="5" customFormat="1" x14ac:dyDescent="0.25">
      <c r="A8" s="240" t="s">
        <v>717</v>
      </c>
      <c r="B8" s="239">
        <f>'b3) Commitments shared accom'!D98</f>
        <v>100.41666666666667</v>
      </c>
      <c r="C8" s="237">
        <v>0</v>
      </c>
      <c r="D8" s="36">
        <v>0</v>
      </c>
      <c r="E8" s="36">
        <v>0</v>
      </c>
      <c r="F8" s="36">
        <v>0</v>
      </c>
      <c r="G8" s="36">
        <v>0</v>
      </c>
      <c r="H8" s="36">
        <v>0</v>
      </c>
      <c r="I8" s="36">
        <v>0</v>
      </c>
      <c r="J8" s="36">
        <v>0</v>
      </c>
      <c r="K8" s="238">
        <v>0</v>
      </c>
      <c r="L8" s="238">
        <v>0</v>
      </c>
      <c r="M8" s="238">
        <v>0</v>
      </c>
      <c r="N8" s="238">
        <v>0</v>
      </c>
      <c r="O8" s="242">
        <v>0</v>
      </c>
      <c r="P8" s="238">
        <v>0</v>
      </c>
      <c r="Q8" s="238">
        <f>'b3) Commitments shared accom'!K98</f>
        <v>33.472222222222221</v>
      </c>
      <c r="R8" s="238">
        <f>'b3) Commitments shared accom'!L98</f>
        <v>33.472222222222221</v>
      </c>
      <c r="S8" s="238">
        <f>'b3) Commitments shared accom'!M98</f>
        <v>33.472222222222221</v>
      </c>
      <c r="T8" s="328">
        <f>'b3) Commitments shared accom'!O98</f>
        <v>0</v>
      </c>
      <c r="U8" s="239">
        <f>'b3) Commitments shared accom'!P98</f>
        <v>0</v>
      </c>
      <c r="V8" s="239">
        <f t="shared" si="0"/>
        <v>100.41666666666666</v>
      </c>
      <c r="Z8" s="238"/>
    </row>
    <row r="9" spans="1:37" s="5" customFormat="1" x14ac:dyDescent="0.25">
      <c r="A9" s="240" t="s">
        <v>126</v>
      </c>
      <c r="B9" s="239">
        <f>'c) Small SHLAA Sites'!C12</f>
        <v>0</v>
      </c>
      <c r="C9" s="237">
        <v>0</v>
      </c>
      <c r="D9" s="36">
        <v>0</v>
      </c>
      <c r="E9" s="36">
        <v>0</v>
      </c>
      <c r="F9" s="36">
        <v>0</v>
      </c>
      <c r="G9" s="36">
        <v>0</v>
      </c>
      <c r="H9" s="36">
        <v>0</v>
      </c>
      <c r="I9" s="36">
        <v>0</v>
      </c>
      <c r="J9" s="36">
        <v>0</v>
      </c>
      <c r="K9" s="238">
        <v>0</v>
      </c>
      <c r="L9" s="238">
        <v>0</v>
      </c>
      <c r="M9" s="238">
        <v>0</v>
      </c>
      <c r="N9" s="238">
        <v>0</v>
      </c>
      <c r="O9" s="242">
        <v>0</v>
      </c>
      <c r="P9" s="238">
        <v>0</v>
      </c>
      <c r="Q9" s="238">
        <f>'c) Small SHLAA Sites'!D12</f>
        <v>0</v>
      </c>
      <c r="R9" s="238">
        <f>'c) Small SHLAA Sites'!E12</f>
        <v>0</v>
      </c>
      <c r="S9" s="238">
        <f>'c) Small SHLAA Sites'!F12</f>
        <v>0</v>
      </c>
      <c r="T9" s="328">
        <f>'c) Small SHLAA Sites'!G12</f>
        <v>0</v>
      </c>
      <c r="U9" s="239">
        <f>'c) Small SHLAA Sites'!I12</f>
        <v>0</v>
      </c>
      <c r="V9" s="239">
        <f t="shared" si="0"/>
        <v>0</v>
      </c>
    </row>
    <row r="10" spans="1:37" s="5" customFormat="1" x14ac:dyDescent="0.25">
      <c r="A10" s="240" t="s">
        <v>76</v>
      </c>
      <c r="B10" s="290">
        <f>'d) Windfalls'!B3</f>
        <v>404</v>
      </c>
      <c r="C10" s="237">
        <v>0</v>
      </c>
      <c r="D10" s="36">
        <v>0</v>
      </c>
      <c r="E10" s="36">
        <v>0</v>
      </c>
      <c r="F10" s="36">
        <v>0</v>
      </c>
      <c r="G10" s="36">
        <v>0</v>
      </c>
      <c r="H10" s="36">
        <v>0</v>
      </c>
      <c r="I10" s="36">
        <v>0</v>
      </c>
      <c r="J10" s="36">
        <v>0</v>
      </c>
      <c r="K10" s="242">
        <v>0</v>
      </c>
      <c r="L10" s="242">
        <v>0</v>
      </c>
      <c r="M10" s="242">
        <v>0</v>
      </c>
      <c r="N10" s="242">
        <v>0</v>
      </c>
      <c r="O10" s="242">
        <v>0</v>
      </c>
      <c r="P10" s="242">
        <v>0</v>
      </c>
      <c r="Q10" s="242">
        <f>'d) Windfalls'!C3</f>
        <v>101</v>
      </c>
      <c r="R10" s="242">
        <f>'d) Windfalls'!D3</f>
        <v>101</v>
      </c>
      <c r="S10" s="242">
        <f>'d) Windfalls'!E3</f>
        <v>101</v>
      </c>
      <c r="T10" s="243">
        <f>'d) Windfalls'!F3</f>
        <v>101</v>
      </c>
      <c r="U10" s="311">
        <f>'d) Windfalls'!H3</f>
        <v>101</v>
      </c>
      <c r="V10" s="239">
        <f t="shared" si="0"/>
        <v>505</v>
      </c>
    </row>
    <row r="11" spans="1:37" s="5" customFormat="1" x14ac:dyDescent="0.25">
      <c r="A11" s="240" t="s">
        <v>77</v>
      </c>
      <c r="B11" s="239">
        <f>'e) Canalside &amp; Emp Areas'!B6</f>
        <v>0</v>
      </c>
      <c r="C11" s="237">
        <v>0</v>
      </c>
      <c r="D11" s="36">
        <v>0</v>
      </c>
      <c r="E11" s="36">
        <v>0</v>
      </c>
      <c r="F11" s="36">
        <v>0</v>
      </c>
      <c r="G11" s="36">
        <v>0</v>
      </c>
      <c r="H11" s="36">
        <v>0</v>
      </c>
      <c r="I11" s="36">
        <v>0</v>
      </c>
      <c r="J11" s="36">
        <v>0</v>
      </c>
      <c r="K11" s="238">
        <v>0</v>
      </c>
      <c r="L11" s="238">
        <v>0</v>
      </c>
      <c r="M11" s="238">
        <v>0</v>
      </c>
      <c r="N11" s="238">
        <v>0</v>
      </c>
      <c r="O11" s="242">
        <v>0</v>
      </c>
      <c r="P11" s="238">
        <v>0</v>
      </c>
      <c r="Q11" s="238">
        <f>'e) Canalside &amp; Emp Areas'!C6</f>
        <v>0</v>
      </c>
      <c r="R11" s="238">
        <f>'e) Canalside &amp; Emp Areas'!D6</f>
        <v>0</v>
      </c>
      <c r="S11" s="238">
        <f>'e) Canalside &amp; Emp Areas'!E6</f>
        <v>0</v>
      </c>
      <c r="T11" s="241">
        <f>'e) Canalside &amp; Emp Areas'!F6</f>
        <v>0</v>
      </c>
      <c r="U11" s="310">
        <f>'e) Canalside &amp; Emp Areas'!H6</f>
        <v>0</v>
      </c>
      <c r="V11" s="239">
        <f t="shared" si="0"/>
        <v>0</v>
      </c>
      <c r="Z11" s="8"/>
    </row>
    <row r="12" spans="1:37" s="5" customFormat="1" x14ac:dyDescent="0.25">
      <c r="A12" s="240" t="s">
        <v>414</v>
      </c>
      <c r="B12" s="239">
        <f>'f) Allocated Bfield Sites'!C8</f>
        <v>136</v>
      </c>
      <c r="C12" s="237">
        <v>0</v>
      </c>
      <c r="D12" s="36">
        <v>0</v>
      </c>
      <c r="E12" s="36">
        <v>0</v>
      </c>
      <c r="F12" s="36">
        <v>0</v>
      </c>
      <c r="G12" s="36">
        <v>0</v>
      </c>
      <c r="H12" s="36">
        <v>0</v>
      </c>
      <c r="I12" s="36">
        <v>0</v>
      </c>
      <c r="J12" s="36">
        <v>0</v>
      </c>
      <c r="K12" s="238">
        <v>0</v>
      </c>
      <c r="L12" s="238">
        <v>0</v>
      </c>
      <c r="M12" s="238">
        <v>0</v>
      </c>
      <c r="N12" s="238">
        <v>0</v>
      </c>
      <c r="O12" s="242">
        <v>0</v>
      </c>
      <c r="P12" s="238">
        <v>0</v>
      </c>
      <c r="Q12" s="238">
        <f>'f) Allocated Bfield Sites'!D8</f>
        <v>0</v>
      </c>
      <c r="R12" s="238">
        <f>'f) Allocated Bfield Sites'!E8</f>
        <v>0</v>
      </c>
      <c r="S12" s="238">
        <f>'f) Allocated Bfield Sites'!F8</f>
        <v>40</v>
      </c>
      <c r="T12" s="241">
        <f>'f) Allocated Bfield Sites'!G8</f>
        <v>86</v>
      </c>
      <c r="U12" s="310">
        <f>'f) Allocated Bfield Sites'!I8</f>
        <v>90</v>
      </c>
      <c r="V12" s="239">
        <f t="shared" si="0"/>
        <v>216</v>
      </c>
      <c r="AA12"/>
      <c r="AB12"/>
      <c r="AC12"/>
      <c r="AD12"/>
      <c r="AE12"/>
    </row>
    <row r="13" spans="1:37" s="5" customFormat="1" x14ac:dyDescent="0.25">
      <c r="A13" s="244" t="s">
        <v>415</v>
      </c>
      <c r="B13" s="290">
        <f>'g) Allocated Gfield Sites'!C11</f>
        <v>55</v>
      </c>
      <c r="C13" s="237">
        <v>0</v>
      </c>
      <c r="D13" s="36">
        <v>0</v>
      </c>
      <c r="E13" s="36">
        <v>0</v>
      </c>
      <c r="F13" s="36">
        <v>0</v>
      </c>
      <c r="G13" s="36">
        <v>0</v>
      </c>
      <c r="H13" s="36">
        <v>0</v>
      </c>
      <c r="I13" s="36">
        <v>0</v>
      </c>
      <c r="J13" s="36">
        <v>0</v>
      </c>
      <c r="K13" s="242">
        <v>0</v>
      </c>
      <c r="L13" s="242">
        <v>0</v>
      </c>
      <c r="M13" s="242">
        <v>0</v>
      </c>
      <c r="N13" s="242">
        <v>0</v>
      </c>
      <c r="O13" s="242">
        <v>0</v>
      </c>
      <c r="P13" s="242">
        <v>0</v>
      </c>
      <c r="Q13" s="242">
        <f>'g) Allocated Gfield Sites'!D11</f>
        <v>0</v>
      </c>
      <c r="R13" s="242">
        <f>'g) Allocated Gfield Sites'!E11</f>
        <v>0</v>
      </c>
      <c r="S13" s="242">
        <f>'g) Allocated Gfield Sites'!F11</f>
        <v>10</v>
      </c>
      <c r="T13" s="243">
        <f>'g) Allocated Gfield Sites'!G11</f>
        <v>45</v>
      </c>
      <c r="U13" s="311">
        <f>'g) Allocated Gfield Sites'!I11</f>
        <v>0</v>
      </c>
      <c r="V13" s="239">
        <f t="shared" si="0"/>
        <v>55</v>
      </c>
      <c r="Z13" s="8"/>
    </row>
    <row r="14" spans="1:37" s="5" customFormat="1" ht="15.75" thickBot="1" x14ac:dyDescent="0.3">
      <c r="A14" s="245" t="s">
        <v>416</v>
      </c>
      <c r="B14" s="249">
        <f>'h) Allocated Sites Villages'!D4</f>
        <v>1</v>
      </c>
      <c r="C14" s="246">
        <v>0</v>
      </c>
      <c r="D14" s="206">
        <v>0</v>
      </c>
      <c r="E14" s="206">
        <v>0</v>
      </c>
      <c r="F14" s="206">
        <v>0</v>
      </c>
      <c r="G14" s="206">
        <v>0</v>
      </c>
      <c r="H14" s="206">
        <v>0</v>
      </c>
      <c r="I14" s="206">
        <v>0</v>
      </c>
      <c r="J14" s="206">
        <v>0</v>
      </c>
      <c r="K14" s="247">
        <v>0</v>
      </c>
      <c r="L14" s="247">
        <v>0</v>
      </c>
      <c r="M14" s="247">
        <v>0</v>
      </c>
      <c r="N14" s="247">
        <v>0</v>
      </c>
      <c r="O14" s="332">
        <v>0</v>
      </c>
      <c r="P14" s="247">
        <v>0</v>
      </c>
      <c r="Q14" s="247">
        <f>'h) Allocated Sites Villages'!E4</f>
        <v>0</v>
      </c>
      <c r="R14" s="247">
        <f>'h) Allocated Sites Villages'!F4</f>
        <v>1</v>
      </c>
      <c r="S14" s="247">
        <f>'h) Allocated Sites Villages'!G4</f>
        <v>0</v>
      </c>
      <c r="T14" s="248">
        <f>'h) Allocated Sites Villages'!H4</f>
        <v>0</v>
      </c>
      <c r="U14" s="312">
        <f>'h) Allocated Sites Villages'!J4</f>
        <v>0</v>
      </c>
      <c r="V14" s="249">
        <f t="shared" si="0"/>
        <v>1</v>
      </c>
    </row>
    <row r="15" spans="1:37" s="8" customFormat="1" x14ac:dyDescent="0.25">
      <c r="A15" s="250" t="s">
        <v>17</v>
      </c>
      <c r="B15" s="251">
        <f t="shared" ref="B15:M15" si="1">SUM(B4:B14)</f>
        <v>17281.469298245614</v>
      </c>
      <c r="C15" s="252">
        <f>SUM(C4:C14)</f>
        <v>144</v>
      </c>
      <c r="D15" s="253">
        <f t="shared" si="1"/>
        <v>262</v>
      </c>
      <c r="E15" s="253">
        <f t="shared" si="1"/>
        <v>294</v>
      </c>
      <c r="F15" s="253">
        <f t="shared" si="1"/>
        <v>732</v>
      </c>
      <c r="G15" s="253">
        <f t="shared" si="1"/>
        <v>619</v>
      </c>
      <c r="H15" s="253">
        <f t="shared" si="1"/>
        <v>1094</v>
      </c>
      <c r="I15" s="253">
        <f t="shared" si="1"/>
        <v>1031</v>
      </c>
      <c r="J15" s="253">
        <f t="shared" si="1"/>
        <v>1050</v>
      </c>
      <c r="K15" s="253">
        <f t="shared" si="1"/>
        <v>1168</v>
      </c>
      <c r="L15" s="253">
        <f t="shared" si="1"/>
        <v>841</v>
      </c>
      <c r="M15" s="253">
        <f t="shared" si="1"/>
        <v>1111</v>
      </c>
      <c r="N15" s="253">
        <v>915</v>
      </c>
      <c r="O15" s="333">
        <v>893</v>
      </c>
      <c r="P15" s="253">
        <f t="shared" ref="P15:V15" si="2">SUM(P4:P14)</f>
        <v>850</v>
      </c>
      <c r="Q15" s="253">
        <f t="shared" si="2"/>
        <v>751.82309941520464</v>
      </c>
      <c r="R15" s="253">
        <f t="shared" si="2"/>
        <v>862.82309941520464</v>
      </c>
      <c r="S15" s="253">
        <f t="shared" si="2"/>
        <v>918.82309941520464</v>
      </c>
      <c r="T15" s="254">
        <f t="shared" si="2"/>
        <v>873</v>
      </c>
      <c r="U15" s="313">
        <f>SUM(U4:U14)</f>
        <v>674</v>
      </c>
      <c r="V15" s="251">
        <f t="shared" si="2"/>
        <v>15084.469298245613</v>
      </c>
    </row>
    <row r="16" spans="1:37" ht="15.75" thickBot="1" x14ac:dyDescent="0.3">
      <c r="A16" s="255" t="s">
        <v>47</v>
      </c>
      <c r="B16" s="256"/>
      <c r="C16" s="257">
        <f>SUM($C$15:C15)</f>
        <v>144</v>
      </c>
      <c r="D16" s="258">
        <f>SUM($C$15:D15)</f>
        <v>406</v>
      </c>
      <c r="E16" s="258">
        <f>SUM($C$15:E15)</f>
        <v>700</v>
      </c>
      <c r="F16" s="258">
        <f>SUM($C$15:F15)</f>
        <v>1432</v>
      </c>
      <c r="G16" s="258">
        <f>SUM($C$15:G15)</f>
        <v>2051</v>
      </c>
      <c r="H16" s="258">
        <f>SUM($C$15:H15)</f>
        <v>3145</v>
      </c>
      <c r="I16" s="258">
        <f>SUM($C$15:I15)</f>
        <v>4176</v>
      </c>
      <c r="J16" s="258">
        <f>SUM($C$15:J15)</f>
        <v>5226</v>
      </c>
      <c r="K16" s="258">
        <f>SUM($C$15:K15)</f>
        <v>6394</v>
      </c>
      <c r="L16" s="258">
        <f>SUM($C$15:L15)</f>
        <v>7235</v>
      </c>
      <c r="M16" s="258">
        <f>SUM($C$15:M15)</f>
        <v>8346</v>
      </c>
      <c r="N16" s="258">
        <f>SUM($C$15:N15)</f>
        <v>9261</v>
      </c>
      <c r="O16" s="334">
        <f>SUM($C$15:O15)</f>
        <v>10154</v>
      </c>
      <c r="P16" s="258">
        <f>SUM($C$15:P15)</f>
        <v>11004</v>
      </c>
      <c r="Q16" s="258">
        <f>SUM($C$15:Q15)</f>
        <v>11755.823099415205</v>
      </c>
      <c r="R16" s="258">
        <f>SUM($C$15:R15)</f>
        <v>12618.646198830411</v>
      </c>
      <c r="S16" s="258">
        <f>SUM($C$15:S15)</f>
        <v>13537.469298245616</v>
      </c>
      <c r="T16" s="259">
        <f>SUM($C$15:T15)</f>
        <v>14410.469298245616</v>
      </c>
      <c r="U16" s="259">
        <f>SUM($C$15:U15)</f>
        <v>15084.469298245616</v>
      </c>
      <c r="V16" s="260"/>
    </row>
    <row r="17" spans="1:22" x14ac:dyDescent="0.25">
      <c r="A17" s="15"/>
      <c r="B17" s="16"/>
      <c r="C17" s="17"/>
      <c r="D17" s="17"/>
      <c r="E17" s="17"/>
      <c r="F17" s="17"/>
      <c r="G17" s="17"/>
      <c r="H17" s="17"/>
      <c r="I17" s="17"/>
      <c r="J17" s="17"/>
      <c r="K17" s="17"/>
      <c r="L17" s="17"/>
      <c r="M17" s="17"/>
      <c r="N17" s="17"/>
      <c r="O17" s="335"/>
      <c r="P17" s="17"/>
      <c r="Q17" s="17"/>
      <c r="R17" s="17"/>
      <c r="S17" s="17"/>
      <c r="T17" s="17"/>
      <c r="U17" s="17"/>
      <c r="V17" s="17"/>
    </row>
    <row r="18" spans="1:22" x14ac:dyDescent="0.25">
      <c r="O18" s="14"/>
    </row>
    <row r="19" spans="1:22" x14ac:dyDescent="0.25">
      <c r="A19" s="13" t="s">
        <v>49</v>
      </c>
      <c r="O19" s="14"/>
    </row>
    <row r="20" spans="1:22" ht="15.75" thickBot="1" x14ac:dyDescent="0.3">
      <c r="O20" s="14"/>
      <c r="U20" s="438"/>
    </row>
    <row r="21" spans="1:22" ht="15.75" thickBot="1" x14ac:dyDescent="0.3">
      <c r="A21" s="58" t="s">
        <v>31</v>
      </c>
      <c r="B21" s="59"/>
      <c r="C21" s="56" t="s">
        <v>0</v>
      </c>
      <c r="D21" s="57" t="s">
        <v>1</v>
      </c>
      <c r="E21" s="57" t="s">
        <v>2</v>
      </c>
      <c r="F21" s="57" t="s">
        <v>3</v>
      </c>
      <c r="G21" s="57" t="s">
        <v>4</v>
      </c>
      <c r="H21" s="57" t="s">
        <v>5</v>
      </c>
      <c r="I21" s="57" t="s">
        <v>6</v>
      </c>
      <c r="J21" s="57" t="s">
        <v>7</v>
      </c>
      <c r="K21" s="57" t="s">
        <v>8</v>
      </c>
      <c r="L21" s="57" t="s">
        <v>9</v>
      </c>
      <c r="M21" s="57" t="s">
        <v>10</v>
      </c>
      <c r="N21" s="115" t="s">
        <v>42</v>
      </c>
      <c r="O21" s="336" t="s">
        <v>11</v>
      </c>
      <c r="P21" s="57" t="s">
        <v>12</v>
      </c>
      <c r="Q21" s="57" t="s">
        <v>13</v>
      </c>
      <c r="R21" s="57" t="s">
        <v>14</v>
      </c>
      <c r="S21" s="57" t="s">
        <v>15</v>
      </c>
      <c r="T21" s="435" t="s">
        <v>16</v>
      </c>
      <c r="U21" s="439" t="s">
        <v>205</v>
      </c>
    </row>
    <row r="22" spans="1:22" s="5" customFormat="1" x14ac:dyDescent="0.25">
      <c r="A22" s="261" t="s">
        <v>32</v>
      </c>
      <c r="B22" s="236"/>
      <c r="C22" s="261">
        <f t="shared" ref="C22:H22" si="3">C15</f>
        <v>144</v>
      </c>
      <c r="D22" s="235">
        <f t="shared" si="3"/>
        <v>262</v>
      </c>
      <c r="E22" s="235">
        <f t="shared" si="3"/>
        <v>294</v>
      </c>
      <c r="F22" s="235">
        <f t="shared" si="3"/>
        <v>732</v>
      </c>
      <c r="G22" s="235">
        <f t="shared" si="3"/>
        <v>619</v>
      </c>
      <c r="H22" s="235">
        <f t="shared" si="3"/>
        <v>1094</v>
      </c>
      <c r="I22" s="235">
        <f>I4</f>
        <v>1031</v>
      </c>
      <c r="J22" s="235">
        <f>J4</f>
        <v>1050</v>
      </c>
      <c r="K22" s="235">
        <f>K4</f>
        <v>1168</v>
      </c>
      <c r="L22" s="235">
        <f>L4</f>
        <v>841</v>
      </c>
      <c r="M22" s="235">
        <f>M4</f>
        <v>1111</v>
      </c>
      <c r="N22" s="235">
        <v>915</v>
      </c>
      <c r="O22" s="331">
        <v>893</v>
      </c>
      <c r="P22" s="235">
        <v>850</v>
      </c>
      <c r="Q22" s="235"/>
      <c r="R22" s="235"/>
      <c r="S22" s="235"/>
      <c r="T22" s="327"/>
      <c r="U22" s="437"/>
    </row>
    <row r="23" spans="1:22" s="5" customFormat="1" x14ac:dyDescent="0.25">
      <c r="A23" s="262" t="s">
        <v>33</v>
      </c>
      <c r="B23" s="241"/>
      <c r="C23" s="262"/>
      <c r="D23" s="238"/>
      <c r="E23" s="238"/>
      <c r="F23" s="238"/>
      <c r="G23" s="238"/>
      <c r="H23" s="238"/>
      <c r="I23" s="238"/>
      <c r="J23" s="238"/>
      <c r="K23" s="238"/>
      <c r="L23" s="238"/>
      <c r="M23" s="238"/>
      <c r="N23" s="238"/>
      <c r="O23" s="238"/>
      <c r="P23" s="238"/>
      <c r="Q23" s="238">
        <f t="shared" ref="Q23:T23" si="4">Q15</f>
        <v>751.82309941520464</v>
      </c>
      <c r="R23" s="238">
        <f t="shared" si="4"/>
        <v>862.82309941520464</v>
      </c>
      <c r="S23" s="238">
        <f t="shared" si="4"/>
        <v>918.82309941520464</v>
      </c>
      <c r="T23" s="328">
        <f t="shared" si="4"/>
        <v>873</v>
      </c>
      <c r="U23" s="238">
        <f>U15</f>
        <v>674</v>
      </c>
    </row>
    <row r="24" spans="1:22" s="5" customFormat="1" ht="15.75" thickBot="1" x14ac:dyDescent="0.3">
      <c r="A24" s="263" t="s">
        <v>209</v>
      </c>
      <c r="B24" s="248"/>
      <c r="C24" s="263">
        <v>600</v>
      </c>
      <c r="D24" s="247">
        <v>600</v>
      </c>
      <c r="E24" s="247">
        <v>600</v>
      </c>
      <c r="F24" s="247">
        <v>600</v>
      </c>
      <c r="G24" s="247">
        <v>600</v>
      </c>
      <c r="H24" s="247">
        <v>600</v>
      </c>
      <c r="I24" s="247">
        <v>1098</v>
      </c>
      <c r="J24" s="247">
        <v>1098</v>
      </c>
      <c r="K24" s="247">
        <v>1098</v>
      </c>
      <c r="L24" s="247">
        <v>1098</v>
      </c>
      <c r="M24" s="247">
        <v>1098</v>
      </c>
      <c r="N24" s="247">
        <v>1098</v>
      </c>
      <c r="O24" s="247">
        <v>1098</v>
      </c>
      <c r="P24" s="247">
        <v>1098</v>
      </c>
      <c r="Q24" s="247">
        <v>1098</v>
      </c>
      <c r="R24" s="247">
        <v>1098</v>
      </c>
      <c r="S24" s="247">
        <v>1098</v>
      </c>
      <c r="T24" s="436">
        <v>1098</v>
      </c>
      <c r="U24" s="247">
        <v>1098</v>
      </c>
    </row>
    <row r="27" spans="1:22" x14ac:dyDescent="0.25">
      <c r="A27" s="13" t="s">
        <v>75</v>
      </c>
      <c r="B27" s="16"/>
      <c r="C27" s="17"/>
    </row>
    <row r="28" spans="1:22" ht="15.75" thickBot="1" x14ac:dyDescent="0.3">
      <c r="A28" s="13"/>
      <c r="B28" s="16"/>
      <c r="C28" s="17"/>
      <c r="N28" s="1"/>
      <c r="O28" s="1"/>
      <c r="P28" s="1"/>
    </row>
    <row r="29" spans="1:22" ht="15.75" thickBot="1" x14ac:dyDescent="0.3">
      <c r="A29" s="61" t="s">
        <v>198</v>
      </c>
      <c r="B29" s="62"/>
      <c r="C29" s="17"/>
      <c r="N29" s="1"/>
      <c r="O29" s="1"/>
      <c r="P29" s="1"/>
    </row>
    <row r="30" spans="1:22" x14ac:dyDescent="0.25">
      <c r="A30" s="372" t="s">
        <v>197</v>
      </c>
      <c r="B30" s="373">
        <v>600</v>
      </c>
      <c r="C30" s="17"/>
      <c r="N30" s="2"/>
      <c r="O30" s="5"/>
    </row>
    <row r="31" spans="1:22" x14ac:dyDescent="0.25">
      <c r="A31" s="374" t="s">
        <v>725</v>
      </c>
      <c r="B31" s="375">
        <v>1098</v>
      </c>
      <c r="C31" s="17"/>
      <c r="N31" s="2"/>
    </row>
    <row r="32" spans="1:22" x14ac:dyDescent="0.25">
      <c r="A32" s="374" t="s">
        <v>720</v>
      </c>
      <c r="B32" s="376">
        <f>SUM(C24:P24)</f>
        <v>12384</v>
      </c>
      <c r="C32" s="17"/>
      <c r="N32" s="2"/>
      <c r="P32" s="1"/>
      <c r="Q32" s="1"/>
      <c r="R32" s="1"/>
      <c r="S32" s="1"/>
    </row>
    <row r="33" spans="1:15" x14ac:dyDescent="0.25">
      <c r="A33" s="374" t="s">
        <v>719</v>
      </c>
      <c r="B33" s="376">
        <f>SUM(C22:P22)</f>
        <v>11004</v>
      </c>
      <c r="C33" s="17"/>
      <c r="N33" s="2"/>
    </row>
    <row r="34" spans="1:15" ht="61.5" customHeight="1" x14ac:dyDescent="0.25">
      <c r="A34" s="342" t="s">
        <v>722</v>
      </c>
      <c r="B34" s="290">
        <v>5425</v>
      </c>
      <c r="C34" s="17"/>
      <c r="N34" s="2"/>
      <c r="O34" s="5"/>
    </row>
    <row r="35" spans="1:15" ht="43.9" customHeight="1" thickBot="1" x14ac:dyDescent="0.3">
      <c r="A35" s="343" t="s">
        <v>524</v>
      </c>
      <c r="B35" s="344">
        <f>SUM(5/100)*B34</f>
        <v>271.25</v>
      </c>
      <c r="C35" s="17"/>
      <c r="N35" s="2"/>
      <c r="O35" s="5"/>
    </row>
    <row r="36" spans="1:15" x14ac:dyDescent="0.25">
      <c r="A36" s="345" t="s">
        <v>199</v>
      </c>
      <c r="B36" s="346">
        <f>B34+B35</f>
        <v>5696.25</v>
      </c>
      <c r="C36" s="17"/>
    </row>
    <row r="37" spans="1:15" ht="15.75" thickBot="1" x14ac:dyDescent="0.3">
      <c r="A37" s="347" t="s">
        <v>202</v>
      </c>
      <c r="B37" s="348">
        <f>B36/5</f>
        <v>1139.25</v>
      </c>
      <c r="C37" s="17"/>
    </row>
    <row r="38" spans="1:15" ht="15.75" thickBot="1" x14ac:dyDescent="0.3">
      <c r="C38" s="17"/>
      <c r="N38" s="1"/>
    </row>
    <row r="39" spans="1:15" ht="15.75" thickBot="1" x14ac:dyDescent="0.3">
      <c r="A39" s="296" t="s">
        <v>523</v>
      </c>
      <c r="B39" s="63"/>
      <c r="C39" s="17"/>
      <c r="N39" s="1"/>
    </row>
    <row r="40" spans="1:15" x14ac:dyDescent="0.25">
      <c r="A40" s="264" t="s">
        <v>203</v>
      </c>
      <c r="B40" s="292">
        <f>SUM(Q5:U6)</f>
        <v>3191.9999999999995</v>
      </c>
      <c r="C40" s="17"/>
      <c r="N40" s="1"/>
    </row>
    <row r="41" spans="1:15" x14ac:dyDescent="0.25">
      <c r="A41" s="265" t="s">
        <v>525</v>
      </c>
      <c r="B41" s="239">
        <f>SUM(Q7:U7)</f>
        <v>11.052631578947368</v>
      </c>
      <c r="C41" s="17"/>
      <c r="N41" s="1"/>
    </row>
    <row r="42" spans="1:15" x14ac:dyDescent="0.25">
      <c r="A42" s="265" t="s">
        <v>526</v>
      </c>
      <c r="B42" s="239">
        <f>SUM(Q8:U8)</f>
        <v>100.41666666666666</v>
      </c>
      <c r="C42" s="17"/>
      <c r="N42" s="1"/>
    </row>
    <row r="43" spans="1:15" x14ac:dyDescent="0.25">
      <c r="A43" s="265" t="s">
        <v>277</v>
      </c>
      <c r="B43" s="239">
        <f>SUM(Q9:U9)</f>
        <v>0</v>
      </c>
      <c r="C43" s="17"/>
      <c r="N43" s="1"/>
    </row>
    <row r="44" spans="1:15" x14ac:dyDescent="0.25">
      <c r="A44" s="265" t="s">
        <v>84</v>
      </c>
      <c r="B44" s="239">
        <f>SUM(Q10:U10)</f>
        <v>505</v>
      </c>
      <c r="C44" s="17"/>
      <c r="N44" s="1"/>
    </row>
    <row r="45" spans="1:15" x14ac:dyDescent="0.25">
      <c r="A45" s="265" t="s">
        <v>418</v>
      </c>
      <c r="B45" s="239">
        <f>SUM(Q11:U11)</f>
        <v>0</v>
      </c>
      <c r="C45" s="17"/>
      <c r="N45" s="1"/>
    </row>
    <row r="46" spans="1:15" ht="15.75" thickBot="1" x14ac:dyDescent="0.3">
      <c r="A46" s="266" t="s">
        <v>417</v>
      </c>
      <c r="B46" s="291">
        <f>SUM(Q12:U14)</f>
        <v>272</v>
      </c>
      <c r="C46" s="17"/>
      <c r="N46" s="1"/>
    </row>
    <row r="47" spans="1:15" ht="15.75" thickBot="1" x14ac:dyDescent="0.3">
      <c r="A47" s="337" t="s">
        <v>721</v>
      </c>
      <c r="B47" s="338">
        <f>SUM(B40:B46)</f>
        <v>4080.4692982456136</v>
      </c>
      <c r="C47" s="17"/>
      <c r="D47" s="14" t="s">
        <v>522</v>
      </c>
      <c r="N47" s="1"/>
    </row>
    <row r="48" spans="1:15" ht="45.75" thickBot="1" x14ac:dyDescent="0.3">
      <c r="A48" s="339" t="s">
        <v>723</v>
      </c>
      <c r="B48" s="340">
        <f>SUM(5976/13176)*B47</f>
        <v>1850.7046543955514</v>
      </c>
      <c r="C48" s="17"/>
      <c r="N48" s="1"/>
    </row>
    <row r="49" spans="1:14" ht="45.75" thickBot="1" x14ac:dyDescent="0.3">
      <c r="A49" s="341" t="s">
        <v>724</v>
      </c>
      <c r="B49" s="60">
        <f>SUM(7200/13176)*B47</f>
        <v>2229.7646438500624</v>
      </c>
      <c r="C49" s="17"/>
      <c r="N49" s="1"/>
    </row>
    <row r="50" spans="1:14" ht="15.75" thickBot="1" x14ac:dyDescent="0.3">
      <c r="A50" s="267" t="s">
        <v>537</v>
      </c>
      <c r="B50" s="293">
        <f>B49-B36</f>
        <v>-3466.4853561499376</v>
      </c>
      <c r="C50" s="17"/>
      <c r="N50" s="1"/>
    </row>
    <row r="51" spans="1:14" x14ac:dyDescent="0.25">
      <c r="B51" s="5"/>
      <c r="C51" s="17"/>
      <c r="N51" s="1"/>
    </row>
    <row r="52" spans="1:14" ht="15.75" thickBot="1" x14ac:dyDescent="0.3">
      <c r="B52" s="8"/>
      <c r="C52" s="17"/>
      <c r="N52" s="1"/>
    </row>
    <row r="53" spans="1:14" ht="15.75" thickBot="1" x14ac:dyDescent="0.3">
      <c r="A53" s="221" t="s">
        <v>200</v>
      </c>
      <c r="B53" s="295">
        <f>B49/B37</f>
        <v>1.9572215438666336</v>
      </c>
      <c r="C53" s="268" t="s">
        <v>201</v>
      </c>
      <c r="N53" s="1"/>
    </row>
    <row r="54" spans="1:14" x14ac:dyDescent="0.25">
      <c r="C54" s="17"/>
    </row>
  </sheetData>
  <pageMargins left="0.23622047244094491" right="0.23622047244094491" top="0.74803149606299213" bottom="0.74803149606299213" header="0.31496062992125984" footer="0.31496062992125984"/>
  <pageSetup paperSize="8" scale="77" fitToHeight="0" orientation="landscape" r:id="rId1"/>
  <headerFooter>
    <oddFooter>&amp;C&amp;P of &amp;N</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7"/>
  <sheetViews>
    <sheetView zoomScaleNormal="100" workbookViewId="0">
      <selection activeCell="J5" sqref="J5"/>
    </sheetView>
  </sheetViews>
  <sheetFormatPr defaultColWidth="9.140625" defaultRowHeight="15" x14ac:dyDescent="0.25"/>
  <cols>
    <col min="1" max="1" width="10.85546875" customWidth="1"/>
    <col min="2" max="2" width="18.42578125" customWidth="1"/>
    <col min="3" max="3" width="26" style="2" customWidth="1"/>
    <col min="4" max="8" width="9.28515625" customWidth="1"/>
  </cols>
  <sheetData>
    <row r="1" spans="1:10" ht="21.75" thickBot="1" x14ac:dyDescent="0.4">
      <c r="A1" s="18" t="s">
        <v>131</v>
      </c>
      <c r="B1" s="1"/>
      <c r="C1" s="6"/>
      <c r="D1" s="1"/>
      <c r="E1" s="1"/>
      <c r="F1" s="1"/>
      <c r="G1" s="1"/>
      <c r="H1" s="1"/>
    </row>
    <row r="2" spans="1:10" ht="45.75" thickBot="1" x14ac:dyDescent="0.3">
      <c r="A2" s="113" t="s">
        <v>250</v>
      </c>
      <c r="B2" s="43" t="s">
        <v>264</v>
      </c>
      <c r="C2" s="128" t="s">
        <v>256</v>
      </c>
      <c r="D2" s="110" t="s">
        <v>204</v>
      </c>
      <c r="E2" s="43" t="s">
        <v>13</v>
      </c>
      <c r="F2" s="43" t="s">
        <v>14</v>
      </c>
      <c r="G2" s="43" t="s">
        <v>15</v>
      </c>
      <c r="H2" s="48" t="s">
        <v>16</v>
      </c>
      <c r="I2" s="307" t="s">
        <v>204</v>
      </c>
      <c r="J2" s="446" t="s">
        <v>205</v>
      </c>
    </row>
    <row r="3" spans="1:10" ht="15.75" thickBot="1" x14ac:dyDescent="0.3">
      <c r="A3" s="198" t="s">
        <v>265</v>
      </c>
      <c r="B3" s="37" t="s">
        <v>22</v>
      </c>
      <c r="C3" s="368" t="s">
        <v>266</v>
      </c>
      <c r="D3" s="369">
        <v>1</v>
      </c>
      <c r="E3" s="37"/>
      <c r="F3" s="37">
        <v>1</v>
      </c>
      <c r="G3" s="37"/>
      <c r="H3" s="201"/>
      <c r="I3" s="451">
        <v>1</v>
      </c>
      <c r="J3" s="453">
        <v>0</v>
      </c>
    </row>
    <row r="4" spans="1:10" ht="15.75" thickBot="1" x14ac:dyDescent="0.3">
      <c r="A4" s="231"/>
      <c r="B4" s="223"/>
      <c r="C4" s="232" t="s">
        <v>17</v>
      </c>
      <c r="D4" s="294">
        <f t="shared" ref="D4:H4" si="0">SUM(D3:D3)</f>
        <v>1</v>
      </c>
      <c r="E4" s="314">
        <f t="shared" si="0"/>
        <v>0</v>
      </c>
      <c r="F4" s="314">
        <f t="shared" si="0"/>
        <v>1</v>
      </c>
      <c r="G4" s="314">
        <f t="shared" si="0"/>
        <v>0</v>
      </c>
      <c r="H4" s="315">
        <f t="shared" si="0"/>
        <v>0</v>
      </c>
      <c r="I4" s="454">
        <f>SUM(E4:H4)</f>
        <v>1</v>
      </c>
      <c r="J4" s="452">
        <v>0</v>
      </c>
    </row>
    <row r="5" spans="1:10" x14ac:dyDescent="0.25">
      <c r="B5" s="1"/>
    </row>
    <row r="7" spans="1:10" x14ac:dyDescent="0.25">
      <c r="C7" s="130"/>
    </row>
  </sheetData>
  <pageMargins left="0.23622047244094491" right="0.23622047244094491" top="0.74803149606299213" bottom="0.74803149606299213" header="0.31496062992125984" footer="0.31496062992125984"/>
  <pageSetup paperSize="8" scale="76" fitToHeight="0" orientation="landscape" r:id="rId1"/>
  <headerFooter>
    <oddFooter>&amp;C&amp;P of &amp;N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499984740745262"/>
  </sheetPr>
  <dimension ref="A1:D80"/>
  <sheetViews>
    <sheetView topLeftCell="A28" zoomScale="55" zoomScaleNormal="55" workbookViewId="0">
      <selection activeCell="B51" sqref="B51"/>
    </sheetView>
  </sheetViews>
  <sheetFormatPr defaultRowHeight="15" x14ac:dyDescent="0.25"/>
  <cols>
    <col min="1" max="1" width="61.42578125" customWidth="1"/>
    <col min="2" max="2" width="12" customWidth="1"/>
    <col min="3" max="3" width="16.42578125" customWidth="1"/>
  </cols>
  <sheetData>
    <row r="1" spans="1:3" x14ac:dyDescent="0.25">
      <c r="A1" s="21" t="s">
        <v>95</v>
      </c>
    </row>
    <row r="2" spans="1:3" x14ac:dyDescent="0.25">
      <c r="A2" s="19" t="s">
        <v>88</v>
      </c>
      <c r="B2" t="s">
        <v>90</v>
      </c>
    </row>
    <row r="3" spans="1:3" x14ac:dyDescent="0.25">
      <c r="A3" s="20" t="s">
        <v>82</v>
      </c>
      <c r="B3">
        <v>88</v>
      </c>
    </row>
    <row r="4" spans="1:3" x14ac:dyDescent="0.25">
      <c r="A4" s="20" t="s">
        <v>80</v>
      </c>
      <c r="B4">
        <v>167</v>
      </c>
    </row>
    <row r="5" spans="1:3" x14ac:dyDescent="0.25">
      <c r="A5" s="20" t="s">
        <v>79</v>
      </c>
      <c r="B5">
        <v>96</v>
      </c>
    </row>
    <row r="6" spans="1:3" x14ac:dyDescent="0.25">
      <c r="A6" s="20" t="s">
        <v>83</v>
      </c>
      <c r="B6">
        <v>4845</v>
      </c>
    </row>
    <row r="7" spans="1:3" x14ac:dyDescent="0.25">
      <c r="A7" s="20" t="s">
        <v>81</v>
      </c>
      <c r="B7">
        <v>392</v>
      </c>
    </row>
    <row r="8" spans="1:3" x14ac:dyDescent="0.25">
      <c r="A8" s="20" t="s">
        <v>78</v>
      </c>
      <c r="B8">
        <v>1510</v>
      </c>
    </row>
    <row r="9" spans="1:3" x14ac:dyDescent="0.25">
      <c r="A9" s="20" t="s">
        <v>89</v>
      </c>
      <c r="B9">
        <v>7098</v>
      </c>
    </row>
    <row r="11" spans="1:3" x14ac:dyDescent="0.25">
      <c r="A11" s="13" t="s">
        <v>94</v>
      </c>
    </row>
    <row r="12" spans="1:3" x14ac:dyDescent="0.25">
      <c r="A12" s="19" t="s">
        <v>88</v>
      </c>
      <c r="B12" t="s">
        <v>87</v>
      </c>
      <c r="C12" s="1" t="s">
        <v>91</v>
      </c>
    </row>
    <row r="13" spans="1:3" x14ac:dyDescent="0.25">
      <c r="A13" s="20" t="s">
        <v>82</v>
      </c>
      <c r="B13">
        <v>15</v>
      </c>
      <c r="C13" s="8">
        <f>GETPIVOTDATA("Total",$A$12,"Spatial Area","Elsewhere")*90%</f>
        <v>13.5</v>
      </c>
    </row>
    <row r="14" spans="1:3" x14ac:dyDescent="0.25">
      <c r="A14" s="20" t="s">
        <v>83</v>
      </c>
      <c r="B14">
        <v>5</v>
      </c>
      <c r="C14" s="8">
        <f>GETPIVOTDATA("Total",$A$12,"Spatial Area","Greenfield edge of Warwick, Leamington and Whitnash")*90%</f>
        <v>4.5</v>
      </c>
    </row>
    <row r="15" spans="1:3" x14ac:dyDescent="0.25">
      <c r="A15" s="20" t="s">
        <v>78</v>
      </c>
      <c r="B15">
        <v>271</v>
      </c>
      <c r="C15" s="8">
        <f>GETPIVOTDATA("Total",$A$12,"Spatial Area","Urban brownfield")*90%</f>
        <v>243.9</v>
      </c>
    </row>
    <row r="16" spans="1:3" x14ac:dyDescent="0.25">
      <c r="A16" s="20" t="s">
        <v>89</v>
      </c>
      <c r="B16">
        <v>291</v>
      </c>
      <c r="C16" s="8">
        <f>SUM(C13:C15)</f>
        <v>261.89999999999998</v>
      </c>
    </row>
    <row r="17" spans="1:3" x14ac:dyDescent="0.25">
      <c r="A17" s="20"/>
      <c r="C17" s="8"/>
    </row>
    <row r="18" spans="1:3" x14ac:dyDescent="0.25">
      <c r="A18" s="13" t="s">
        <v>99</v>
      </c>
    </row>
    <row r="19" spans="1:3" x14ac:dyDescent="0.25">
      <c r="A19" s="19" t="s">
        <v>88</v>
      </c>
      <c r="B19" t="s">
        <v>87</v>
      </c>
    </row>
    <row r="20" spans="1:3" x14ac:dyDescent="0.25">
      <c r="A20" s="20" t="s">
        <v>78</v>
      </c>
      <c r="B20">
        <v>200</v>
      </c>
    </row>
    <row r="21" spans="1:3" x14ac:dyDescent="0.25">
      <c r="A21" s="20" t="s">
        <v>89</v>
      </c>
      <c r="B21">
        <v>200</v>
      </c>
    </row>
    <row r="22" spans="1:3" x14ac:dyDescent="0.25">
      <c r="A22" s="20"/>
    </row>
    <row r="23" spans="1:3" x14ac:dyDescent="0.25">
      <c r="A23" s="13" t="s">
        <v>98</v>
      </c>
    </row>
    <row r="24" spans="1:3" x14ac:dyDescent="0.25">
      <c r="A24" s="19" t="s">
        <v>88</v>
      </c>
      <c r="B24" t="s">
        <v>87</v>
      </c>
    </row>
    <row r="25" spans="1:3" x14ac:dyDescent="0.25">
      <c r="A25" s="20" t="s">
        <v>82</v>
      </c>
      <c r="B25">
        <v>20</v>
      </c>
    </row>
    <row r="26" spans="1:3" x14ac:dyDescent="0.25">
      <c r="A26" s="20" t="s">
        <v>78</v>
      </c>
      <c r="B26">
        <v>910</v>
      </c>
    </row>
    <row r="27" spans="1:3" x14ac:dyDescent="0.25">
      <c r="A27" s="20" t="s">
        <v>92</v>
      </c>
      <c r="B27">
        <v>0</v>
      </c>
    </row>
    <row r="28" spans="1:3" x14ac:dyDescent="0.25">
      <c r="A28" s="20" t="s">
        <v>89</v>
      </c>
      <c r="B28">
        <v>930</v>
      </c>
    </row>
    <row r="29" spans="1:3" x14ac:dyDescent="0.25">
      <c r="A29" s="20"/>
    </row>
    <row r="30" spans="1:3" x14ac:dyDescent="0.25">
      <c r="A30" s="13" t="s">
        <v>96</v>
      </c>
    </row>
    <row r="31" spans="1:3" x14ac:dyDescent="0.25">
      <c r="A31" s="19" t="s">
        <v>88</v>
      </c>
      <c r="B31" t="s">
        <v>87</v>
      </c>
    </row>
    <row r="32" spans="1:3" x14ac:dyDescent="0.25">
      <c r="A32" s="20" t="s">
        <v>80</v>
      </c>
      <c r="B32">
        <v>20</v>
      </c>
    </row>
    <row r="33" spans="1:2" x14ac:dyDescent="0.25">
      <c r="A33" s="20" t="s">
        <v>79</v>
      </c>
      <c r="B33">
        <v>760</v>
      </c>
    </row>
    <row r="34" spans="1:2" x14ac:dyDescent="0.25">
      <c r="A34" s="20" t="s">
        <v>83</v>
      </c>
      <c r="B34">
        <v>900</v>
      </c>
    </row>
    <row r="35" spans="1:2" x14ac:dyDescent="0.25">
      <c r="A35" s="20" t="s">
        <v>92</v>
      </c>
      <c r="B35">
        <v>0</v>
      </c>
    </row>
    <row r="36" spans="1:2" x14ac:dyDescent="0.25">
      <c r="A36" s="20" t="s">
        <v>89</v>
      </c>
      <c r="B36">
        <v>1680</v>
      </c>
    </row>
    <row r="37" spans="1:2" x14ac:dyDescent="0.25">
      <c r="A37" s="20"/>
    </row>
    <row r="38" spans="1:2" x14ac:dyDescent="0.25">
      <c r="A38" s="13" t="s">
        <v>100</v>
      </c>
    </row>
    <row r="39" spans="1:2" x14ac:dyDescent="0.25">
      <c r="A39" s="19" t="s">
        <v>88</v>
      </c>
      <c r="B39" t="s">
        <v>87</v>
      </c>
    </row>
    <row r="40" spans="1:2" x14ac:dyDescent="0.25">
      <c r="A40" s="20" t="s">
        <v>93</v>
      </c>
      <c r="B40">
        <v>1100</v>
      </c>
    </row>
    <row r="41" spans="1:2" x14ac:dyDescent="0.25">
      <c r="A41" s="20" t="s">
        <v>89</v>
      </c>
      <c r="B41">
        <v>1100</v>
      </c>
    </row>
    <row r="43" spans="1:2" x14ac:dyDescent="0.25">
      <c r="A43" s="13" t="s">
        <v>97</v>
      </c>
    </row>
    <row r="44" spans="1:2" x14ac:dyDescent="0.25">
      <c r="A44" s="19" t="s">
        <v>88</v>
      </c>
      <c r="B44" t="s">
        <v>87</v>
      </c>
    </row>
    <row r="45" spans="1:2" x14ac:dyDescent="0.25">
      <c r="A45" s="20" t="s">
        <v>80</v>
      </c>
      <c r="B45">
        <v>2225</v>
      </c>
    </row>
    <row r="46" spans="1:2" x14ac:dyDescent="0.25">
      <c r="A46" s="20" t="s">
        <v>79</v>
      </c>
      <c r="B46">
        <v>740</v>
      </c>
    </row>
    <row r="47" spans="1:2" x14ac:dyDescent="0.25">
      <c r="A47" s="20" t="s">
        <v>83</v>
      </c>
      <c r="B47">
        <v>500</v>
      </c>
    </row>
    <row r="48" spans="1:2" x14ac:dyDescent="0.25">
      <c r="A48" s="20" t="s">
        <v>92</v>
      </c>
      <c r="B48">
        <v>0</v>
      </c>
    </row>
    <row r="49" spans="1:2" x14ac:dyDescent="0.25">
      <c r="A49" s="20" t="s">
        <v>89</v>
      </c>
      <c r="B49">
        <v>3465</v>
      </c>
    </row>
    <row r="51" spans="1:2" x14ac:dyDescent="0.25">
      <c r="A51" s="1" t="s">
        <v>101</v>
      </c>
    </row>
    <row r="52" spans="1:2" x14ac:dyDescent="0.25">
      <c r="A52" s="19" t="s">
        <v>88</v>
      </c>
      <c r="B52" t="s">
        <v>87</v>
      </c>
    </row>
    <row r="53" spans="1:2" x14ac:dyDescent="0.25">
      <c r="A53" s="20" t="s">
        <v>93</v>
      </c>
      <c r="B53">
        <v>225</v>
      </c>
    </row>
    <row r="54" spans="1:2" x14ac:dyDescent="0.25">
      <c r="A54" s="20" t="s">
        <v>89</v>
      </c>
      <c r="B54">
        <v>225</v>
      </c>
    </row>
    <row r="55" spans="1:2" ht="16.5" customHeight="1" x14ac:dyDescent="0.25"/>
    <row r="56" spans="1:2" ht="16.5" customHeight="1" x14ac:dyDescent="0.25"/>
    <row r="57" spans="1:2" ht="16.5" customHeight="1" x14ac:dyDescent="0.25"/>
    <row r="58" spans="1:2" ht="16.5" customHeight="1" x14ac:dyDescent="0.25">
      <c r="A58" s="1" t="s">
        <v>44</v>
      </c>
    </row>
    <row r="59" spans="1:2" ht="16.5" customHeight="1" x14ac:dyDescent="0.25">
      <c r="A59" s="1" t="s">
        <v>85</v>
      </c>
      <c r="B59" s="1" t="s">
        <v>86</v>
      </c>
    </row>
    <row r="60" spans="1:2" ht="16.5" customHeight="1" x14ac:dyDescent="0.25">
      <c r="A60" t="s">
        <v>78</v>
      </c>
      <c r="B60">
        <v>1399</v>
      </c>
    </row>
    <row r="61" spans="1:2" ht="16.5" customHeight="1" x14ac:dyDescent="0.25">
      <c r="A61" t="s">
        <v>79</v>
      </c>
      <c r="B61">
        <v>8</v>
      </c>
    </row>
    <row r="62" spans="1:2" ht="16.5" customHeight="1" x14ac:dyDescent="0.25">
      <c r="A62" t="s">
        <v>83</v>
      </c>
      <c r="B62">
        <v>518</v>
      </c>
    </row>
    <row r="63" spans="1:2" ht="16.5" customHeight="1" x14ac:dyDescent="0.25">
      <c r="A63" t="s">
        <v>80</v>
      </c>
      <c r="B63">
        <v>59</v>
      </c>
    </row>
    <row r="64" spans="1:2" ht="16.5" customHeight="1" x14ac:dyDescent="0.25">
      <c r="A64" t="s">
        <v>81</v>
      </c>
      <c r="B64">
        <v>126</v>
      </c>
    </row>
    <row r="65" spans="1:4" ht="16.5" customHeight="1" x14ac:dyDescent="0.25">
      <c r="A65" t="s">
        <v>82</v>
      </c>
      <c r="B65">
        <v>93</v>
      </c>
    </row>
    <row r="66" spans="1:4" ht="16.5" customHeight="1" x14ac:dyDescent="0.25">
      <c r="A66" t="s">
        <v>102</v>
      </c>
      <c r="B66">
        <v>2203</v>
      </c>
    </row>
    <row r="67" spans="1:4" ht="16.5" customHeight="1" x14ac:dyDescent="0.25"/>
    <row r="68" spans="1:4" ht="63.75" customHeight="1" x14ac:dyDescent="0.25">
      <c r="A68" s="6" t="s">
        <v>85</v>
      </c>
      <c r="B68" s="6" t="s">
        <v>86</v>
      </c>
      <c r="C68" s="6" t="s">
        <v>103</v>
      </c>
      <c r="D68" s="2"/>
    </row>
    <row r="69" spans="1:4" x14ac:dyDescent="0.25">
      <c r="A69" s="2" t="s">
        <v>78</v>
      </c>
      <c r="B69" s="5">
        <f>B60+GETPIVOTDATA("Remaining",$A$2,"Spatial Area","Urban brownfield")+C15+GETPIVOTDATA("Total",$A$19,"Spatial Area","Urban brownfield")+GETPIVOTDATA("Total",$A$24,"Spatial Area","Urban brownfield")</f>
        <v>4262.8999999999996</v>
      </c>
      <c r="C69" s="23">
        <f t="shared" ref="C69:C75" si="0">B69/$B$75</f>
        <v>0.2483715347774916</v>
      </c>
    </row>
    <row r="70" spans="1:4" x14ac:dyDescent="0.25">
      <c r="A70" s="2" t="s">
        <v>79</v>
      </c>
      <c r="B70">
        <f>B61+GETPIVOTDATA("Remaining",$A$2,"Spatial Area","Greenfield edge of Kenilworth")+GETPIVOTDATA("Total",$A$31,"Spatial Area","Greenfield edge of Kenilworth")+GETPIVOTDATA("Total",$A$44,"Spatial Area","Greenfield edge of Kenilworth")</f>
        <v>1604</v>
      </c>
      <c r="C70" s="23">
        <f t="shared" si="0"/>
        <v>9.34546768122866E-2</v>
      </c>
    </row>
    <row r="71" spans="1:4" x14ac:dyDescent="0.25">
      <c r="A71" s="2" t="s">
        <v>83</v>
      </c>
      <c r="B71">
        <f>B62+GETPIVOTDATA("Remaining",$A$2,"Spatial Area","Greenfield edge of Warwick, Leamington and Whitnash")+GETPIVOTDATA("Total",$A$12,"Spatial Area","Greenfield edge of Warwick, Leamington and Whitnash")+GETPIVOTDATA("Total",$A$31,"Spatial Area","Greenfield edge of Warwick, Leamington and Whitnash")+GETPIVOTDATA("Total",$A$44,"Spatial Area","Greenfield edge of Warwick, Leamington and Whitnash")</f>
        <v>6768</v>
      </c>
      <c r="C71" s="23">
        <f t="shared" si="0"/>
        <v>0.39432746425533399</v>
      </c>
    </row>
    <row r="72" spans="1:4" x14ac:dyDescent="0.25">
      <c r="A72" s="2" t="s">
        <v>80</v>
      </c>
      <c r="B72">
        <f>B63+GETPIVOTDATA("Remaining",$A$2,"Spatial Area","Greenfield edge of Coventry")+GETPIVOTDATA("Total",$A$31,"Spatial Area","Greenfield edge of Coventry")+GETPIVOTDATA("Total",$A$44,"Spatial Area","Greenfield edge of Coventry")</f>
        <v>2471</v>
      </c>
      <c r="C72" s="23">
        <f t="shared" si="0"/>
        <v>0.14396914364286795</v>
      </c>
    </row>
    <row r="73" spans="1:4" x14ac:dyDescent="0.25">
      <c r="A73" s="2" t="s">
        <v>81</v>
      </c>
      <c r="B73">
        <f>B64+GETPIVOTDATA("Remaining",$A$2,"Spatial Area","Growth villages")+GETPIVOTDATA("Total",$A$39,"Spatial Area","Growth Villages")+GETPIVOTDATA("Total",$A$52,"Spatial Area","Growth Villages")</f>
        <v>1843</v>
      </c>
      <c r="C73" s="23">
        <f t="shared" si="0"/>
        <v>0.1073796567113742</v>
      </c>
    </row>
    <row r="74" spans="1:4" x14ac:dyDescent="0.25">
      <c r="A74" s="2" t="s">
        <v>82</v>
      </c>
      <c r="B74" s="5">
        <f>B65+GETPIVOTDATA("Remaining",$A$2,"Spatial Area","Elsewhere")+C13+GETPIVOTDATA("Total",$A$24,"Spatial Area","Elsewhere")</f>
        <v>214.5</v>
      </c>
      <c r="C74" s="23">
        <f t="shared" si="0"/>
        <v>1.2497523800645558E-2</v>
      </c>
    </row>
    <row r="75" spans="1:4" x14ac:dyDescent="0.25">
      <c r="A75" s="2" t="s">
        <v>102</v>
      </c>
      <c r="B75" s="22">
        <f>SUM(B69:B74)</f>
        <v>17163.400000000001</v>
      </c>
      <c r="C75" s="23">
        <f t="shared" si="0"/>
        <v>1</v>
      </c>
    </row>
    <row r="76" spans="1:4" x14ac:dyDescent="0.25">
      <c r="A76" s="2" t="s">
        <v>84</v>
      </c>
      <c r="B76" s="5">
        <f>'a) All Sites'!B10</f>
        <v>404</v>
      </c>
    </row>
    <row r="77" spans="1:4" x14ac:dyDescent="0.25">
      <c r="A77" s="2" t="s">
        <v>17</v>
      </c>
      <c r="B77" s="11">
        <f>SUM(B69:B74,B76:B76)</f>
        <v>17567.400000000001</v>
      </c>
    </row>
    <row r="79" spans="1:4" ht="30" x14ac:dyDescent="0.25">
      <c r="A79" s="2" t="s">
        <v>105</v>
      </c>
    </row>
    <row r="80" spans="1:4" ht="30" x14ac:dyDescent="0.25">
      <c r="A80" s="2" t="s">
        <v>104</v>
      </c>
    </row>
  </sheetData>
  <pageMargins left="0.7" right="0.7" top="0.75" bottom="0.75" header="0.3" footer="0.3"/>
  <pageSetup paperSize="8" fitToHeight="0" orientation="landscape"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A1:N41"/>
  <sheetViews>
    <sheetView topLeftCell="A10" workbookViewId="0">
      <selection activeCell="K34" sqref="J22:K34"/>
    </sheetView>
  </sheetViews>
  <sheetFormatPr defaultColWidth="9.140625" defaultRowHeight="15.75" customHeight="1" x14ac:dyDescent="0.25"/>
  <cols>
    <col min="1" max="1" width="31.140625" customWidth="1"/>
    <col min="2" max="2" width="15.42578125" customWidth="1"/>
    <col min="3" max="3" width="15.7109375" customWidth="1"/>
    <col min="4" max="4" width="12.28515625" customWidth="1"/>
    <col min="7" max="7" width="18.28515625" bestFit="1" customWidth="1"/>
    <col min="8" max="8" width="17.28515625" bestFit="1" customWidth="1"/>
    <col min="10" max="10" width="22" bestFit="1" customWidth="1"/>
    <col min="11" max="11" width="12" bestFit="1" customWidth="1"/>
    <col min="13" max="13" width="17.7109375" bestFit="1" customWidth="1"/>
    <col min="14" max="14" width="12" bestFit="1" customWidth="1"/>
  </cols>
  <sheetData>
    <row r="1" spans="1:5" ht="15.75" customHeight="1" x14ac:dyDescent="0.25">
      <c r="A1" s="26" t="s">
        <v>93</v>
      </c>
      <c r="B1" s="25" t="s">
        <v>44</v>
      </c>
      <c r="C1" s="25" t="s">
        <v>95</v>
      </c>
      <c r="D1" s="25" t="s">
        <v>122</v>
      </c>
      <c r="E1" s="25" t="s">
        <v>17</v>
      </c>
    </row>
    <row r="2" spans="1:5" ht="15.75" customHeight="1" x14ac:dyDescent="0.25">
      <c r="A2" s="27" t="s">
        <v>25</v>
      </c>
      <c r="B2" s="24">
        <v>0</v>
      </c>
      <c r="C2" s="24">
        <f>GETPIVOTDATA("Remaining",$G$22,"Village","Baginton")</f>
        <v>1</v>
      </c>
      <c r="D2" s="24">
        <f>GETPIVOTDATA("Total",$J$22,"Spatial Area","Growth Villages","Village","Baginton")</f>
        <v>80</v>
      </c>
      <c r="E2" s="28">
        <f>SUM(B2:D2)</f>
        <v>81</v>
      </c>
    </row>
    <row r="3" spans="1:5" ht="15.75" customHeight="1" x14ac:dyDescent="0.25">
      <c r="A3" s="27" t="s">
        <v>24</v>
      </c>
      <c r="B3" s="24">
        <v>42</v>
      </c>
      <c r="C3" s="24">
        <f>GETPIVOTDATA("Remaining",$G$22,"Village","Barford")</f>
        <v>78</v>
      </c>
      <c r="D3" s="24">
        <f>GETPIVOTDATA("Total",$J$22,"Spatial Area","Growth Villages","Village","Barford")</f>
        <v>87</v>
      </c>
      <c r="E3" s="28">
        <f t="shared" ref="E3:E38" si="0">SUM(B3:D3)</f>
        <v>207</v>
      </c>
    </row>
    <row r="4" spans="1:5" ht="15.75" customHeight="1" x14ac:dyDescent="0.25">
      <c r="A4" s="27" t="s">
        <v>121</v>
      </c>
      <c r="B4" s="24">
        <v>2</v>
      </c>
      <c r="C4" s="24">
        <f>GETPIVOTDATA("Remaining",$G$22,"Village","Bishop’s Tachbrook")+GETPIVOTDATA("Total",$M$22,"Village","Bishops Tachbrook")</f>
        <v>200</v>
      </c>
      <c r="D4" s="24">
        <f>GETPIVOTDATA("Total",$J$22,"Spatial Area","Growth Villages","Village","Bishop’s Tachbrook")</f>
        <v>0</v>
      </c>
      <c r="E4" s="28">
        <f t="shared" si="0"/>
        <v>202</v>
      </c>
    </row>
    <row r="5" spans="1:5" ht="15.75" customHeight="1" x14ac:dyDescent="0.25">
      <c r="A5" s="27" t="s">
        <v>26</v>
      </c>
      <c r="B5" s="24">
        <v>34</v>
      </c>
      <c r="C5" s="24">
        <f>GETPIVOTDATA("Remaining",$G$22,"Village","Burton Green")</f>
        <v>2</v>
      </c>
      <c r="D5" s="24">
        <f>GETPIVOTDATA("Total",$J$22,"Spatial Area","Growth Villages","Village","Burton Green")</f>
        <v>90</v>
      </c>
      <c r="E5" s="28">
        <f t="shared" si="0"/>
        <v>126</v>
      </c>
    </row>
    <row r="6" spans="1:5" ht="15.75" customHeight="1" x14ac:dyDescent="0.25">
      <c r="A6" s="27" t="s">
        <v>21</v>
      </c>
      <c r="B6" s="24">
        <v>7</v>
      </c>
      <c r="C6" s="24">
        <f>GETPIVOTDATA("Remaining",$G$22,"Village","Cubbington")</f>
        <v>12</v>
      </c>
      <c r="D6" s="24">
        <f>GETPIVOTDATA("Total",$J$22,"Spatial Area","Growth Villages","Village","Cubbington")</f>
        <v>195</v>
      </c>
      <c r="E6" s="28">
        <f t="shared" si="0"/>
        <v>214</v>
      </c>
    </row>
    <row r="7" spans="1:5" ht="15.75" customHeight="1" x14ac:dyDescent="0.25">
      <c r="A7" s="27" t="s">
        <v>29</v>
      </c>
      <c r="B7" s="24">
        <v>0</v>
      </c>
      <c r="C7" s="24">
        <v>0</v>
      </c>
      <c r="D7" s="24">
        <f>GETPIVOTDATA("Total",$J$22,"Spatial Area","Growth Villages","Village","Hampton Magna")</f>
        <v>245</v>
      </c>
      <c r="E7" s="28">
        <f t="shared" si="0"/>
        <v>245</v>
      </c>
    </row>
    <row r="8" spans="1:5" ht="15.75" customHeight="1" x14ac:dyDescent="0.25">
      <c r="A8" s="27" t="s">
        <v>27</v>
      </c>
      <c r="B8" s="24">
        <v>13</v>
      </c>
      <c r="C8" s="24">
        <v>0</v>
      </c>
      <c r="D8" s="24">
        <f>GETPIVOTDATA("Total",$J$22,"Spatial Area","Growth Villages","Village","Hatton Park")</f>
        <v>175</v>
      </c>
      <c r="E8" s="28">
        <f t="shared" si="0"/>
        <v>188</v>
      </c>
    </row>
    <row r="9" spans="1:5" ht="15.75" customHeight="1" x14ac:dyDescent="0.25">
      <c r="A9" s="27" t="s">
        <v>22</v>
      </c>
      <c r="B9" s="24">
        <v>12</v>
      </c>
      <c r="C9" s="24">
        <f>GETPIVOTDATA("Remaining",$G$22,"Village","Kingswood")</f>
        <v>23</v>
      </c>
      <c r="D9" s="24">
        <f>GETPIVOTDATA("Total",$J$22,"Spatial Area","Growth Villages","Village","Kingswood")</f>
        <v>48</v>
      </c>
      <c r="E9" s="28">
        <f t="shared" si="0"/>
        <v>83</v>
      </c>
    </row>
    <row r="10" spans="1:5" ht="15.75" customHeight="1" x14ac:dyDescent="0.25">
      <c r="A10" s="27" t="s">
        <v>28</v>
      </c>
      <c r="B10" s="24">
        <v>0</v>
      </c>
      <c r="C10" s="24">
        <v>0</v>
      </c>
      <c r="D10" s="24">
        <f>GETPIVOTDATA("Total",$J$22,"Spatial Area","Growth Villages","Village","Leek Wootton")</f>
        <v>120</v>
      </c>
      <c r="E10" s="28">
        <f t="shared" si="0"/>
        <v>120</v>
      </c>
    </row>
    <row r="11" spans="1:5" ht="15.75" customHeight="1" x14ac:dyDescent="0.25">
      <c r="A11" s="27" t="s">
        <v>23</v>
      </c>
      <c r="B11" s="24">
        <v>16</v>
      </c>
      <c r="C11" s="24">
        <f>GETPIVOTDATA("Remaining",$G$22,"Village","Radford Semele")+GETPIVOTDATA("Total",$M$22,"Village","Radford Semele")</f>
        <v>301</v>
      </c>
      <c r="D11" s="24">
        <f>GETPIVOTDATA("Total",$J$22,"Spatial Area","Growth Villages","Village","Radford Semele")</f>
        <v>60</v>
      </c>
      <c r="E11" s="28">
        <f t="shared" si="0"/>
        <v>377</v>
      </c>
    </row>
    <row r="12" spans="1:5" ht="15.75" customHeight="1" x14ac:dyDescent="0.25">
      <c r="A12" s="29" t="s">
        <v>123</v>
      </c>
      <c r="B12" s="28">
        <f t="shared" ref="B12:D12" si="1">SUM(B2:B11)</f>
        <v>126</v>
      </c>
      <c r="C12" s="28">
        <f t="shared" si="1"/>
        <v>617</v>
      </c>
      <c r="D12" s="28">
        <f t="shared" si="1"/>
        <v>1100</v>
      </c>
      <c r="E12" s="28">
        <f>SUM(E2:E11)</f>
        <v>1843</v>
      </c>
    </row>
    <row r="13" spans="1:5" ht="15.75" customHeight="1" x14ac:dyDescent="0.25">
      <c r="A13" s="27"/>
      <c r="B13" s="28"/>
      <c r="C13" s="28"/>
      <c r="D13" s="28"/>
      <c r="E13" s="28"/>
    </row>
    <row r="14" spans="1:5" ht="15.75" customHeight="1" x14ac:dyDescent="0.25">
      <c r="A14" s="26" t="s">
        <v>106</v>
      </c>
      <c r="B14" s="24"/>
      <c r="C14" s="24"/>
      <c r="D14" s="24"/>
      <c r="E14" s="28"/>
    </row>
    <row r="15" spans="1:5" ht="15.75" customHeight="1" x14ac:dyDescent="0.25">
      <c r="A15" s="27" t="s">
        <v>63</v>
      </c>
      <c r="B15" s="24">
        <v>0</v>
      </c>
      <c r="C15" s="24">
        <f>GETPIVOTDATA("Remaining",$G$22,"Village","Ashow")</f>
        <v>1</v>
      </c>
      <c r="D15" s="24">
        <v>0</v>
      </c>
      <c r="E15" s="28">
        <f t="shared" si="0"/>
        <v>1</v>
      </c>
    </row>
    <row r="16" spans="1:5" ht="15.75" customHeight="1" x14ac:dyDescent="0.25">
      <c r="A16" s="27" t="s">
        <v>59</v>
      </c>
      <c r="B16" s="24">
        <v>2</v>
      </c>
      <c r="C16" s="24">
        <f>GETPIVOTDATA("Remaining",$G$22,"Village","Baddesley Clinton")</f>
        <v>23</v>
      </c>
      <c r="D16" s="24">
        <v>0</v>
      </c>
      <c r="E16" s="28">
        <f t="shared" si="0"/>
        <v>25</v>
      </c>
    </row>
    <row r="17" spans="1:14" ht="15.75" customHeight="1" x14ac:dyDescent="0.25">
      <c r="A17" s="27" t="s">
        <v>62</v>
      </c>
      <c r="B17" s="24">
        <v>1</v>
      </c>
      <c r="C17" s="24">
        <f>GETPIVOTDATA("Remaining",$G$22,"Village","Beausale")</f>
        <v>4</v>
      </c>
      <c r="D17" s="24">
        <v>0</v>
      </c>
      <c r="E17" s="28">
        <f t="shared" si="0"/>
        <v>5</v>
      </c>
    </row>
    <row r="18" spans="1:14" ht="15.75" customHeight="1" x14ac:dyDescent="0.25">
      <c r="A18" s="27" t="s">
        <v>64</v>
      </c>
      <c r="B18" s="24">
        <v>1</v>
      </c>
      <c r="C18" s="24">
        <f>GETPIVOTDATA("Remaining",$G$22,"Village","Bubbenhall")</f>
        <v>1</v>
      </c>
      <c r="D18" s="24">
        <v>0</v>
      </c>
      <c r="E18" s="28">
        <f t="shared" si="0"/>
        <v>2</v>
      </c>
    </row>
    <row r="19" spans="1:14" ht="15.75" customHeight="1" x14ac:dyDescent="0.25">
      <c r="A19" s="27" t="s">
        <v>107</v>
      </c>
      <c r="B19" s="24">
        <v>0</v>
      </c>
      <c r="C19" s="24">
        <v>0</v>
      </c>
      <c r="D19" s="24">
        <v>0</v>
      </c>
      <c r="E19" s="28">
        <f t="shared" si="0"/>
        <v>0</v>
      </c>
    </row>
    <row r="20" spans="1:14" ht="15.75" customHeight="1" x14ac:dyDescent="0.25">
      <c r="A20" s="27" t="s">
        <v>108</v>
      </c>
      <c r="B20" s="24">
        <v>0</v>
      </c>
      <c r="C20" s="24">
        <v>0</v>
      </c>
      <c r="D20" s="24">
        <v>0</v>
      </c>
      <c r="E20" s="28">
        <f t="shared" si="0"/>
        <v>0</v>
      </c>
    </row>
    <row r="21" spans="1:14" ht="15.75" customHeight="1" x14ac:dyDescent="0.25">
      <c r="A21" s="27" t="s">
        <v>109</v>
      </c>
      <c r="B21" s="24">
        <v>0</v>
      </c>
      <c r="C21" s="24">
        <v>0</v>
      </c>
      <c r="D21" s="24">
        <v>0</v>
      </c>
      <c r="E21" s="28">
        <f t="shared" si="0"/>
        <v>0</v>
      </c>
    </row>
    <row r="22" spans="1:14" ht="15.75" customHeight="1" x14ac:dyDescent="0.25">
      <c r="A22" s="27" t="s">
        <v>71</v>
      </c>
      <c r="B22" s="24">
        <v>0</v>
      </c>
      <c r="C22" s="24">
        <v>0</v>
      </c>
      <c r="D22" s="24">
        <v>0</v>
      </c>
      <c r="E22" s="28">
        <f t="shared" si="0"/>
        <v>0</v>
      </c>
      <c r="G22" s="32" t="s">
        <v>88</v>
      </c>
      <c r="H22" s="24" t="s">
        <v>90</v>
      </c>
      <c r="J22" s="32" t="s">
        <v>88</v>
      </c>
      <c r="K22" s="24" t="s">
        <v>87</v>
      </c>
      <c r="M22" s="19" t="s">
        <v>88</v>
      </c>
      <c r="N22" t="s">
        <v>87</v>
      </c>
    </row>
    <row r="23" spans="1:14" ht="15.75" customHeight="1" x14ac:dyDescent="0.25">
      <c r="A23" s="27" t="s">
        <v>110</v>
      </c>
      <c r="B23" s="24">
        <v>0</v>
      </c>
      <c r="C23" s="24">
        <v>0</v>
      </c>
      <c r="D23" s="24">
        <v>0</v>
      </c>
      <c r="E23" s="28">
        <f t="shared" si="0"/>
        <v>0</v>
      </c>
      <c r="G23" s="33" t="s">
        <v>63</v>
      </c>
      <c r="H23" s="24">
        <v>1</v>
      </c>
      <c r="J23" s="33" t="s">
        <v>93</v>
      </c>
      <c r="K23" s="24">
        <v>1100</v>
      </c>
      <c r="M23" s="20" t="s">
        <v>48</v>
      </c>
      <c r="N23">
        <v>50</v>
      </c>
    </row>
    <row r="24" spans="1:14" ht="15.75" customHeight="1" x14ac:dyDescent="0.25">
      <c r="A24" s="27" t="s">
        <v>111</v>
      </c>
      <c r="B24" s="24">
        <v>0</v>
      </c>
      <c r="C24" s="24">
        <v>0</v>
      </c>
      <c r="D24" s="24">
        <v>0</v>
      </c>
      <c r="E24" s="28">
        <f t="shared" si="0"/>
        <v>0</v>
      </c>
      <c r="G24" s="33" t="s">
        <v>59</v>
      </c>
      <c r="H24" s="24">
        <v>23</v>
      </c>
      <c r="J24" s="34" t="s">
        <v>25</v>
      </c>
      <c r="K24" s="24">
        <v>80</v>
      </c>
      <c r="M24" s="20" t="s">
        <v>23</v>
      </c>
      <c r="N24">
        <v>175</v>
      </c>
    </row>
    <row r="25" spans="1:14" ht="15.75" customHeight="1" x14ac:dyDescent="0.25">
      <c r="A25" s="27" t="s">
        <v>112</v>
      </c>
      <c r="B25" s="24">
        <v>0</v>
      </c>
      <c r="C25" s="24">
        <f>GETPIVOTDATA("Remaining",$G$22,"Village","Hill wootton")</f>
        <v>1</v>
      </c>
      <c r="D25" s="24">
        <v>0</v>
      </c>
      <c r="E25" s="28">
        <f t="shared" si="0"/>
        <v>1</v>
      </c>
      <c r="G25" s="33" t="s">
        <v>25</v>
      </c>
      <c r="H25" s="24">
        <v>1</v>
      </c>
      <c r="J25" s="34" t="s">
        <v>24</v>
      </c>
      <c r="K25" s="24">
        <v>87</v>
      </c>
      <c r="M25" s="20" t="s">
        <v>89</v>
      </c>
      <c r="N25">
        <v>225</v>
      </c>
    </row>
    <row r="26" spans="1:14" ht="15.75" customHeight="1" x14ac:dyDescent="0.25">
      <c r="A26" s="27" t="s">
        <v>61</v>
      </c>
      <c r="B26" s="24">
        <v>0</v>
      </c>
      <c r="C26" s="24">
        <v>0</v>
      </c>
      <c r="D26" s="24">
        <v>0</v>
      </c>
      <c r="E26" s="28">
        <f t="shared" si="0"/>
        <v>0</v>
      </c>
      <c r="G26" s="33" t="s">
        <v>24</v>
      </c>
      <c r="H26" s="24">
        <v>78</v>
      </c>
      <c r="J26" s="34" t="s">
        <v>121</v>
      </c>
      <c r="K26" s="24">
        <v>0</v>
      </c>
    </row>
    <row r="27" spans="1:14" ht="15.75" customHeight="1" x14ac:dyDescent="0.25">
      <c r="A27" s="27" t="s">
        <v>113</v>
      </c>
      <c r="B27" s="24">
        <v>0</v>
      </c>
      <c r="C27" s="24">
        <v>0</v>
      </c>
      <c r="D27" s="24">
        <v>0</v>
      </c>
      <c r="E27" s="28">
        <f t="shared" si="0"/>
        <v>0</v>
      </c>
      <c r="G27" s="33" t="s">
        <v>62</v>
      </c>
      <c r="H27" s="24">
        <v>4</v>
      </c>
      <c r="J27" s="34" t="s">
        <v>26</v>
      </c>
      <c r="K27" s="24">
        <v>90</v>
      </c>
    </row>
    <row r="28" spans="1:14" ht="15.75" customHeight="1" x14ac:dyDescent="0.25">
      <c r="A28" s="27" t="s">
        <v>114</v>
      </c>
      <c r="B28" s="24">
        <v>0</v>
      </c>
      <c r="C28" s="24">
        <v>0</v>
      </c>
      <c r="D28" s="24">
        <v>0</v>
      </c>
      <c r="E28" s="28">
        <f t="shared" si="0"/>
        <v>0</v>
      </c>
      <c r="G28" s="33" t="s">
        <v>121</v>
      </c>
      <c r="H28" s="24">
        <v>150</v>
      </c>
      <c r="J28" s="34" t="s">
        <v>21</v>
      </c>
      <c r="K28" s="24">
        <v>195</v>
      </c>
    </row>
    <row r="29" spans="1:14" ht="15.75" customHeight="1" x14ac:dyDescent="0.25">
      <c r="A29" s="27" t="s">
        <v>115</v>
      </c>
      <c r="B29" s="24">
        <v>3</v>
      </c>
      <c r="C29" s="24">
        <v>0</v>
      </c>
      <c r="D29" s="24">
        <v>0</v>
      </c>
      <c r="E29" s="28">
        <f t="shared" si="0"/>
        <v>3</v>
      </c>
      <c r="G29" s="33" t="s">
        <v>64</v>
      </c>
      <c r="H29" s="24">
        <v>1</v>
      </c>
      <c r="J29" s="34" t="s">
        <v>29</v>
      </c>
      <c r="K29" s="24">
        <v>245</v>
      </c>
    </row>
    <row r="30" spans="1:14" ht="15.75" customHeight="1" x14ac:dyDescent="0.25">
      <c r="A30" s="27" t="s">
        <v>72</v>
      </c>
      <c r="B30" s="24">
        <v>0</v>
      </c>
      <c r="C30" s="24">
        <f>GETPIVOTDATA("Remaining",$G$22,"Village","Offchurch")</f>
        <v>2</v>
      </c>
      <c r="D30" s="24">
        <v>0</v>
      </c>
      <c r="E30" s="28">
        <f t="shared" si="0"/>
        <v>2</v>
      </c>
      <c r="G30" s="33" t="s">
        <v>26</v>
      </c>
      <c r="H30" s="24">
        <v>2</v>
      </c>
      <c r="J30" s="34" t="s">
        <v>27</v>
      </c>
      <c r="K30" s="24">
        <v>175</v>
      </c>
    </row>
    <row r="31" spans="1:14" ht="15.75" customHeight="1" x14ac:dyDescent="0.25">
      <c r="A31" s="27" t="s">
        <v>116</v>
      </c>
      <c r="B31" s="24">
        <v>1</v>
      </c>
      <c r="C31" s="24">
        <v>0</v>
      </c>
      <c r="D31" s="24">
        <v>0</v>
      </c>
      <c r="E31" s="28">
        <f t="shared" si="0"/>
        <v>1</v>
      </c>
      <c r="G31" s="33" t="s">
        <v>21</v>
      </c>
      <c r="H31" s="24">
        <v>12</v>
      </c>
      <c r="J31" s="34" t="s">
        <v>22</v>
      </c>
      <c r="K31" s="24">
        <v>48</v>
      </c>
    </row>
    <row r="32" spans="1:14" ht="15.75" customHeight="1" x14ac:dyDescent="0.25">
      <c r="A32" s="27" t="s">
        <v>70</v>
      </c>
      <c r="B32" s="24">
        <v>1</v>
      </c>
      <c r="C32" s="24">
        <v>0</v>
      </c>
      <c r="D32" s="24">
        <v>0</v>
      </c>
      <c r="E32" s="28">
        <f t="shared" si="0"/>
        <v>1</v>
      </c>
      <c r="G32" s="33" t="s">
        <v>112</v>
      </c>
      <c r="H32" s="24">
        <v>1</v>
      </c>
      <c r="J32" s="34" t="s">
        <v>28</v>
      </c>
      <c r="K32" s="24">
        <v>120</v>
      </c>
    </row>
    <row r="33" spans="1:11" ht="15.75" customHeight="1" x14ac:dyDescent="0.25">
      <c r="A33" s="27" t="s">
        <v>69</v>
      </c>
      <c r="B33" s="24">
        <v>1</v>
      </c>
      <c r="C33" s="24">
        <f>GETPIVOTDATA("Remaining",$G$22,"Village","Rowington Green")</f>
        <v>2</v>
      </c>
      <c r="D33" s="24">
        <v>0</v>
      </c>
      <c r="E33" s="28">
        <f t="shared" si="0"/>
        <v>3</v>
      </c>
      <c r="G33" s="33" t="s">
        <v>22</v>
      </c>
      <c r="H33" s="24">
        <v>23</v>
      </c>
      <c r="J33" s="34" t="s">
        <v>23</v>
      </c>
      <c r="K33" s="24">
        <v>60</v>
      </c>
    </row>
    <row r="34" spans="1:11" ht="15.75" customHeight="1" x14ac:dyDescent="0.25">
      <c r="A34" s="27" t="s">
        <v>117</v>
      </c>
      <c r="B34" s="24">
        <v>4</v>
      </c>
      <c r="C34" s="24">
        <v>0</v>
      </c>
      <c r="D34" s="24">
        <v>0</v>
      </c>
      <c r="E34" s="28">
        <f t="shared" si="0"/>
        <v>4</v>
      </c>
      <c r="G34" s="33" t="s">
        <v>72</v>
      </c>
      <c r="H34" s="24">
        <v>2</v>
      </c>
      <c r="J34" s="33" t="s">
        <v>89</v>
      </c>
      <c r="K34" s="24">
        <v>1100</v>
      </c>
    </row>
    <row r="35" spans="1:11" ht="15.75" customHeight="1" x14ac:dyDescent="0.25">
      <c r="A35" s="27" t="s">
        <v>118</v>
      </c>
      <c r="B35" s="24">
        <v>2</v>
      </c>
      <c r="C35" s="24">
        <v>0</v>
      </c>
      <c r="D35" s="24">
        <v>0</v>
      </c>
      <c r="E35" s="28">
        <f t="shared" si="0"/>
        <v>2</v>
      </c>
      <c r="G35" s="33" t="s">
        <v>23</v>
      </c>
      <c r="H35" s="24">
        <v>126</v>
      </c>
    </row>
    <row r="36" spans="1:11" ht="15.75" customHeight="1" x14ac:dyDescent="0.25">
      <c r="A36" s="27" t="s">
        <v>60</v>
      </c>
      <c r="B36" s="24">
        <v>2</v>
      </c>
      <c r="C36" s="24">
        <f>GETPIVOTDATA("Remaining",$G$22,"Village","Stoneleigh")</f>
        <v>1</v>
      </c>
      <c r="D36" s="24">
        <v>0</v>
      </c>
      <c r="E36" s="28">
        <f t="shared" si="0"/>
        <v>3</v>
      </c>
      <c r="G36" s="33" t="s">
        <v>69</v>
      </c>
      <c r="H36" s="24">
        <v>2</v>
      </c>
    </row>
    <row r="37" spans="1:11" ht="15.75" customHeight="1" x14ac:dyDescent="0.25">
      <c r="A37" s="27" t="s">
        <v>119</v>
      </c>
      <c r="B37" s="24">
        <v>1</v>
      </c>
      <c r="C37" s="24">
        <v>0</v>
      </c>
      <c r="D37" s="24">
        <v>0</v>
      </c>
      <c r="E37" s="28">
        <f t="shared" si="0"/>
        <v>1</v>
      </c>
      <c r="G37" s="33" t="s">
        <v>60</v>
      </c>
      <c r="H37" s="24">
        <v>1</v>
      </c>
    </row>
    <row r="38" spans="1:11" ht="15.75" customHeight="1" x14ac:dyDescent="0.25">
      <c r="A38" s="27" t="s">
        <v>120</v>
      </c>
      <c r="B38" s="24">
        <v>0</v>
      </c>
      <c r="C38" s="24">
        <v>0</v>
      </c>
      <c r="D38" s="24">
        <v>0</v>
      </c>
      <c r="E38" s="28">
        <f t="shared" si="0"/>
        <v>0</v>
      </c>
      <c r="G38" s="33" t="s">
        <v>92</v>
      </c>
      <c r="H38" s="24">
        <v>6555</v>
      </c>
    </row>
    <row r="39" spans="1:11" ht="15.75" customHeight="1" x14ac:dyDescent="0.25">
      <c r="A39" s="29" t="s">
        <v>124</v>
      </c>
      <c r="B39" s="28">
        <f t="shared" ref="B39:D39" si="2">SUM(B15:B38)</f>
        <v>19</v>
      </c>
      <c r="C39" s="28">
        <f t="shared" si="2"/>
        <v>35</v>
      </c>
      <c r="D39" s="28">
        <f t="shared" si="2"/>
        <v>0</v>
      </c>
      <c r="E39" s="28">
        <f>SUM(E15:E38)</f>
        <v>54</v>
      </c>
      <c r="G39" s="33" t="s">
        <v>89</v>
      </c>
      <c r="H39" s="24">
        <v>6982</v>
      </c>
    </row>
    <row r="40" spans="1:11" ht="15.75" customHeight="1" x14ac:dyDescent="0.25">
      <c r="A40" s="24"/>
      <c r="B40" s="24"/>
      <c r="C40" s="24"/>
      <c r="D40" s="24"/>
      <c r="E40" s="24"/>
    </row>
    <row r="41" spans="1:11" ht="15.75" customHeight="1" x14ac:dyDescent="0.25">
      <c r="A41" s="30" t="s">
        <v>125</v>
      </c>
      <c r="B41" s="31">
        <f>B39+B12</f>
        <v>145</v>
      </c>
      <c r="C41" s="31">
        <f t="shared" ref="C41:E41" si="3">C39+C12</f>
        <v>652</v>
      </c>
      <c r="D41" s="31">
        <f t="shared" si="3"/>
        <v>1100</v>
      </c>
      <c r="E41" s="31">
        <f t="shared" si="3"/>
        <v>1897</v>
      </c>
    </row>
  </sheetData>
  <pageMargins left="0.7" right="0.7" top="0.75" bottom="0.75" header="0.3" footer="0.3"/>
  <pageSetup paperSize="8" scale="91" orientation="landscap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H27"/>
  <sheetViews>
    <sheetView zoomScale="69" zoomScaleNormal="69" workbookViewId="0">
      <pane xSplit="4" ySplit="4" topLeftCell="E5" activePane="bottomRight" state="frozen"/>
      <selection pane="topRight" activeCell="E1" sqref="E1"/>
      <selection pane="bottomLeft" activeCell="A4" sqref="A4"/>
      <selection pane="bottomRight" activeCell="C30" sqref="C30"/>
    </sheetView>
  </sheetViews>
  <sheetFormatPr defaultColWidth="6.85546875" defaultRowHeight="12.75" customHeight="1" x14ac:dyDescent="0.2"/>
  <cols>
    <col min="1" max="1" width="13.140625" style="147" customWidth="1"/>
    <col min="2" max="2" width="39.5703125" style="145" customWidth="1"/>
    <col min="3" max="3" width="44.5703125" style="404" customWidth="1"/>
    <col min="4" max="4" width="11.28515625" style="145" customWidth="1"/>
    <col min="5" max="5" width="2.7109375" style="145" customWidth="1"/>
    <col min="6" max="8" width="8.28515625" style="145" customWidth="1"/>
    <col min="9" max="9" width="8.42578125" style="145" customWidth="1"/>
    <col min="10" max="10" width="8.28515625" style="147" customWidth="1"/>
    <col min="11" max="11" width="8.28515625" style="145" customWidth="1"/>
    <col min="12" max="12" width="9.28515625" style="145" customWidth="1"/>
    <col min="13" max="13" width="7.7109375" style="145" customWidth="1"/>
    <col min="14" max="14" width="7.85546875" style="145" customWidth="1"/>
    <col min="15" max="15" width="7.7109375" style="145" customWidth="1"/>
    <col min="16" max="16" width="8.42578125" style="145" customWidth="1"/>
    <col min="17" max="18" width="8.28515625" style="145" customWidth="1"/>
    <col min="19" max="21" width="7.85546875" style="145" customWidth="1"/>
    <col min="22" max="22" width="8.140625" style="145" customWidth="1"/>
    <col min="23" max="16384" width="6.85546875" style="145"/>
  </cols>
  <sheetData>
    <row r="1" spans="1:34" ht="15.75" x14ac:dyDescent="0.2">
      <c r="A1" s="68" t="s">
        <v>247</v>
      </c>
      <c r="C1" s="397"/>
    </row>
    <row r="2" spans="1:34" ht="12.75" customHeight="1" x14ac:dyDescent="0.2">
      <c r="A2" s="146"/>
      <c r="C2" s="397"/>
      <c r="F2" s="45"/>
      <c r="G2" s="45"/>
      <c r="H2" s="45"/>
      <c r="I2" s="45"/>
      <c r="J2" s="83"/>
      <c r="K2" s="45"/>
    </row>
    <row r="3" spans="1:34" ht="12.75" customHeight="1" thickBot="1" x14ac:dyDescent="0.25">
      <c r="A3" s="146"/>
      <c r="C3" s="397"/>
      <c r="F3" s="45"/>
      <c r="G3" s="45"/>
      <c r="H3" s="45"/>
      <c r="I3" s="45"/>
      <c r="J3" s="83"/>
      <c r="K3" s="45"/>
      <c r="V3" s="433"/>
    </row>
    <row r="4" spans="1:34" ht="26.25" thickBot="1" x14ac:dyDescent="0.25">
      <c r="A4" s="176"/>
      <c r="B4" s="177"/>
      <c r="C4" s="398"/>
      <c r="D4" s="178" t="s">
        <v>194</v>
      </c>
      <c r="E4" s="179"/>
      <c r="F4" s="180" t="s">
        <v>13</v>
      </c>
      <c r="G4" s="180" t="s">
        <v>14</v>
      </c>
      <c r="H4" s="180" t="s">
        <v>15</v>
      </c>
      <c r="I4" s="181" t="s">
        <v>16</v>
      </c>
      <c r="J4" s="281" t="s">
        <v>17</v>
      </c>
      <c r="K4" s="287" t="s">
        <v>205</v>
      </c>
      <c r="L4" s="280" t="s">
        <v>206</v>
      </c>
      <c r="M4" s="280" t="s">
        <v>207</v>
      </c>
      <c r="N4" s="280" t="s">
        <v>272</v>
      </c>
      <c r="O4" s="280" t="s">
        <v>273</v>
      </c>
      <c r="P4" s="280" t="s">
        <v>274</v>
      </c>
      <c r="Q4" s="280" t="s">
        <v>275</v>
      </c>
      <c r="R4" s="280" t="s">
        <v>276</v>
      </c>
      <c r="S4" s="280" t="s">
        <v>306</v>
      </c>
      <c r="T4" s="280" t="s">
        <v>307</v>
      </c>
      <c r="U4" s="432" t="s">
        <v>344</v>
      </c>
      <c r="V4" s="434" t="s">
        <v>712</v>
      </c>
      <c r="W4" s="305"/>
    </row>
    <row r="5" spans="1:34" ht="12.75" customHeight="1" x14ac:dyDescent="0.2">
      <c r="A5" s="186" t="s">
        <v>145</v>
      </c>
      <c r="B5" s="173"/>
      <c r="C5" s="399"/>
      <c r="D5" s="187"/>
      <c r="E5" s="188"/>
      <c r="F5" s="173"/>
      <c r="G5" s="173"/>
      <c r="H5" s="173"/>
      <c r="I5" s="175"/>
      <c r="J5" s="282"/>
      <c r="K5" s="285"/>
      <c r="L5" s="286"/>
      <c r="M5" s="286"/>
      <c r="N5" s="286"/>
      <c r="O5" s="286"/>
      <c r="P5" s="286"/>
      <c r="Q5" s="286"/>
      <c r="R5" s="286"/>
      <c r="S5" s="286"/>
      <c r="T5" s="286"/>
      <c r="U5" s="286"/>
      <c r="V5" s="286"/>
      <c r="W5" s="306"/>
    </row>
    <row r="6" spans="1:34" ht="14.25" customHeight="1" x14ac:dyDescent="0.2">
      <c r="A6" s="526" t="s">
        <v>308</v>
      </c>
      <c r="B6" s="527" t="s">
        <v>309</v>
      </c>
      <c r="C6" s="528" t="s">
        <v>310</v>
      </c>
      <c r="D6" s="529">
        <v>29</v>
      </c>
      <c r="E6" s="530"/>
      <c r="F6" s="522"/>
      <c r="G6" s="522"/>
      <c r="H6" s="522"/>
      <c r="I6" s="520"/>
      <c r="J6" s="531"/>
      <c r="K6" s="532"/>
      <c r="L6" s="533"/>
      <c r="M6" s="475"/>
      <c r="N6" s="475"/>
      <c r="O6" s="475"/>
      <c r="P6" s="475"/>
      <c r="Q6" s="475"/>
      <c r="R6" s="475"/>
      <c r="S6" s="475"/>
      <c r="T6" s="475"/>
      <c r="U6" s="475"/>
      <c r="V6" s="475"/>
      <c r="W6" s="306"/>
    </row>
    <row r="7" spans="1:34" ht="12.75" customHeight="1" x14ac:dyDescent="0.2">
      <c r="A7" s="534" t="s">
        <v>540</v>
      </c>
      <c r="B7" s="535" t="s">
        <v>541</v>
      </c>
      <c r="C7" s="536" t="s">
        <v>542</v>
      </c>
      <c r="D7" s="537">
        <v>74</v>
      </c>
      <c r="E7" s="538"/>
      <c r="F7" s="522"/>
      <c r="G7" s="522"/>
      <c r="H7" s="522">
        <v>35</v>
      </c>
      <c r="I7" s="520">
        <v>39</v>
      </c>
      <c r="J7" s="539">
        <f>SUM(F7:I7)</f>
        <v>74</v>
      </c>
      <c r="K7" s="540"/>
      <c r="L7" s="522"/>
      <c r="M7" s="522"/>
      <c r="N7" s="522"/>
      <c r="O7" s="522"/>
      <c r="P7" s="522"/>
      <c r="Q7" s="522"/>
      <c r="R7" s="522"/>
      <c r="S7" s="522"/>
      <c r="T7" s="522"/>
      <c r="U7" s="522"/>
      <c r="V7" s="541"/>
      <c r="W7" s="306"/>
    </row>
    <row r="8" spans="1:34" ht="12.75" customHeight="1" x14ac:dyDescent="0.2">
      <c r="A8" s="542" t="s">
        <v>57</v>
      </c>
      <c r="B8" s="475"/>
      <c r="C8" s="543"/>
      <c r="D8" s="544"/>
      <c r="E8" s="545"/>
      <c r="F8" s="522"/>
      <c r="G8" s="522"/>
      <c r="H8" s="522"/>
      <c r="I8" s="520"/>
      <c r="J8" s="546"/>
      <c r="K8" s="547"/>
      <c r="L8" s="475"/>
      <c r="M8" s="475"/>
      <c r="N8" s="475"/>
      <c r="O8" s="475"/>
      <c r="P8" s="475"/>
      <c r="Q8" s="475"/>
      <c r="R8" s="475"/>
      <c r="S8" s="475"/>
      <c r="T8" s="475"/>
      <c r="U8" s="475"/>
      <c r="V8" s="475"/>
      <c r="W8" s="306"/>
    </row>
    <row r="9" spans="1:34" ht="12.75" customHeight="1" x14ac:dyDescent="0.2">
      <c r="A9" s="542" t="s">
        <v>311</v>
      </c>
      <c r="B9" s="533" t="s">
        <v>345</v>
      </c>
      <c r="C9" s="543" t="s">
        <v>312</v>
      </c>
      <c r="D9" s="544">
        <v>2500</v>
      </c>
      <c r="E9" s="545"/>
      <c r="F9" s="522"/>
      <c r="G9" s="522"/>
      <c r="H9" s="522"/>
      <c r="I9" s="145">
        <v>50</v>
      </c>
      <c r="J9" s="546">
        <f>SUM(F9:I9)</f>
        <v>50</v>
      </c>
      <c r="K9" s="520">
        <v>100</v>
      </c>
      <c r="L9" s="548">
        <v>210</v>
      </c>
      <c r="M9" s="549">
        <v>210</v>
      </c>
      <c r="N9" s="549">
        <v>210</v>
      </c>
      <c r="O9" s="549">
        <v>210</v>
      </c>
      <c r="P9" s="549">
        <v>210</v>
      </c>
      <c r="Q9" s="549">
        <v>210</v>
      </c>
      <c r="R9" s="549">
        <v>210</v>
      </c>
      <c r="S9" s="549">
        <v>210</v>
      </c>
      <c r="T9" s="549">
        <v>225</v>
      </c>
      <c r="U9" s="549">
        <v>225</v>
      </c>
      <c r="V9" s="522">
        <v>220</v>
      </c>
      <c r="W9" s="306"/>
    </row>
    <row r="10" spans="1:34" ht="12.75" customHeight="1" x14ac:dyDescent="0.2">
      <c r="A10" s="542" t="s">
        <v>424</v>
      </c>
      <c r="B10" s="533" t="s">
        <v>425</v>
      </c>
      <c r="C10" s="550" t="s">
        <v>536</v>
      </c>
      <c r="D10" s="544">
        <v>63</v>
      </c>
      <c r="E10" s="545"/>
      <c r="F10" s="522"/>
      <c r="G10" s="522">
        <v>10</v>
      </c>
      <c r="H10" s="522">
        <v>30</v>
      </c>
      <c r="I10" s="520">
        <v>22</v>
      </c>
      <c r="J10" s="546">
        <f>SUM(F10:I10)</f>
        <v>62</v>
      </c>
      <c r="K10" s="547"/>
      <c r="L10" s="475"/>
      <c r="M10" s="475"/>
      <c r="N10" s="475"/>
      <c r="O10" s="475"/>
      <c r="P10" s="475"/>
      <c r="Q10" s="475"/>
      <c r="R10" s="475"/>
      <c r="S10" s="475"/>
      <c r="T10" s="475"/>
      <c r="U10" s="475"/>
      <c r="V10" s="475"/>
      <c r="W10" s="450"/>
      <c r="X10" s="306"/>
      <c r="Y10" s="306"/>
      <c r="Z10" s="306"/>
      <c r="AA10" s="306"/>
      <c r="AB10" s="306"/>
      <c r="AC10" s="306"/>
      <c r="AD10" s="306"/>
      <c r="AE10" s="306"/>
      <c r="AF10" s="306"/>
      <c r="AG10" s="306"/>
      <c r="AH10" s="306"/>
    </row>
    <row r="11" spans="1:34" ht="12.75" customHeight="1" x14ac:dyDescent="0.2">
      <c r="A11" s="542" t="s">
        <v>58</v>
      </c>
      <c r="B11" s="475" t="s">
        <v>146</v>
      </c>
      <c r="C11" s="543" t="s">
        <v>214</v>
      </c>
      <c r="D11" s="529">
        <v>50</v>
      </c>
      <c r="E11" s="545"/>
      <c r="F11" s="522"/>
      <c r="G11" s="522"/>
      <c r="H11" s="522"/>
      <c r="I11" s="520"/>
      <c r="J11" s="546">
        <f>SUM(F11:I11)</f>
        <v>0</v>
      </c>
      <c r="K11" s="547">
        <v>50</v>
      </c>
      <c r="L11" s="475"/>
      <c r="M11" s="475"/>
      <c r="N11" s="475"/>
      <c r="O11" s="475"/>
      <c r="P11" s="475"/>
      <c r="Q11" s="475"/>
      <c r="R11" s="475"/>
      <c r="S11" s="475"/>
      <c r="T11" s="475"/>
      <c r="U11" s="475"/>
      <c r="V11" s="541"/>
      <c r="W11" s="306"/>
    </row>
    <row r="12" spans="1:34" ht="12.75" customHeight="1" x14ac:dyDescent="0.2">
      <c r="A12" s="542" t="s">
        <v>56</v>
      </c>
      <c r="B12" s="475" t="s">
        <v>147</v>
      </c>
      <c r="C12" s="543" t="s">
        <v>215</v>
      </c>
      <c r="D12" s="529">
        <v>37</v>
      </c>
      <c r="E12" s="545"/>
      <c r="F12" s="522"/>
      <c r="G12" s="522"/>
      <c r="H12" s="522"/>
      <c r="I12" s="520"/>
      <c r="J12" s="546">
        <f>SUM(F12:I12)</f>
        <v>0</v>
      </c>
      <c r="K12" s="547">
        <v>37</v>
      </c>
      <c r="L12" s="475"/>
      <c r="M12" s="475"/>
      <c r="N12" s="475"/>
      <c r="O12" s="475"/>
      <c r="P12" s="475"/>
      <c r="Q12" s="475"/>
      <c r="R12" s="475"/>
      <c r="S12" s="475"/>
      <c r="T12" s="475"/>
      <c r="U12" s="475"/>
      <c r="V12" s="541"/>
      <c r="W12" s="306"/>
    </row>
    <row r="13" spans="1:34" ht="12.75" customHeight="1" x14ac:dyDescent="0.2">
      <c r="A13" s="542" t="s">
        <v>543</v>
      </c>
      <c r="B13" s="533" t="s">
        <v>544</v>
      </c>
      <c r="C13" s="550" t="s">
        <v>545</v>
      </c>
      <c r="D13" s="529">
        <v>70</v>
      </c>
      <c r="E13" s="545"/>
      <c r="F13" s="522"/>
      <c r="G13" s="522">
        <v>10</v>
      </c>
      <c r="H13" s="522">
        <v>48</v>
      </c>
      <c r="I13" s="520">
        <v>12</v>
      </c>
      <c r="J13" s="551">
        <f>SUM(F13:I13)</f>
        <v>70</v>
      </c>
      <c r="K13" s="547"/>
      <c r="L13" s="475"/>
      <c r="M13" s="475"/>
      <c r="N13" s="475"/>
      <c r="O13" s="475"/>
      <c r="P13" s="475"/>
      <c r="Q13" s="475"/>
      <c r="R13" s="475"/>
      <c r="S13" s="475"/>
      <c r="T13" s="475"/>
      <c r="U13" s="475"/>
      <c r="V13" s="475"/>
      <c r="W13" s="450"/>
      <c r="X13" s="306"/>
      <c r="Y13" s="306"/>
      <c r="Z13" s="306"/>
      <c r="AA13" s="306"/>
      <c r="AB13" s="306"/>
      <c r="AC13" s="306"/>
      <c r="AD13" s="306"/>
      <c r="AE13" s="306"/>
      <c r="AF13" s="306"/>
      <c r="AG13" s="306"/>
      <c r="AH13" s="306"/>
    </row>
    <row r="14" spans="1:34" ht="12.75" customHeight="1" thickBot="1" x14ac:dyDescent="0.25">
      <c r="A14" s="182"/>
      <c r="B14" s="183"/>
      <c r="C14" s="400"/>
      <c r="D14" s="184"/>
      <c r="F14" s="183"/>
      <c r="G14" s="183"/>
      <c r="H14" s="183"/>
      <c r="I14" s="185"/>
      <c r="J14" s="283"/>
      <c r="K14" s="284"/>
      <c r="L14" s="167"/>
      <c r="M14" s="167"/>
      <c r="N14" s="167"/>
      <c r="O14" s="167"/>
      <c r="P14" s="167"/>
      <c r="Q14" s="167"/>
      <c r="R14" s="167"/>
      <c r="S14" s="167"/>
      <c r="T14" s="167"/>
      <c r="U14" s="167"/>
      <c r="V14" s="455"/>
      <c r="W14" s="305"/>
    </row>
    <row r="15" spans="1:34" ht="12.75" customHeight="1" x14ac:dyDescent="0.2">
      <c r="A15" s="172"/>
      <c r="B15" s="173"/>
      <c r="C15" s="401" t="s">
        <v>196</v>
      </c>
      <c r="D15" s="297">
        <f>D6+D7+SUM(D9:D13)</f>
        <v>2823</v>
      </c>
      <c r="E15" s="174"/>
      <c r="F15" s="173">
        <f>F6+F7+SUM(F9:F13)</f>
        <v>0</v>
      </c>
      <c r="G15" s="173">
        <f t="shared" ref="G15:V15" si="0">G6+G7+SUM(G9:G13)</f>
        <v>20</v>
      </c>
      <c r="H15" s="173">
        <f t="shared" si="0"/>
        <v>113</v>
      </c>
      <c r="I15" s="456">
        <f t="shared" si="0"/>
        <v>123</v>
      </c>
      <c r="J15" s="462">
        <f t="shared" si="0"/>
        <v>256</v>
      </c>
      <c r="K15" s="459">
        <f t="shared" si="0"/>
        <v>187</v>
      </c>
      <c r="L15" s="173">
        <f t="shared" si="0"/>
        <v>210</v>
      </c>
      <c r="M15" s="173">
        <f t="shared" si="0"/>
        <v>210</v>
      </c>
      <c r="N15" s="173">
        <f t="shared" si="0"/>
        <v>210</v>
      </c>
      <c r="O15" s="173">
        <f t="shared" si="0"/>
        <v>210</v>
      </c>
      <c r="P15" s="173">
        <f t="shared" si="0"/>
        <v>210</v>
      </c>
      <c r="Q15" s="173">
        <f t="shared" si="0"/>
        <v>210</v>
      </c>
      <c r="R15" s="173">
        <f t="shared" si="0"/>
        <v>210</v>
      </c>
      <c r="S15" s="173">
        <f t="shared" si="0"/>
        <v>210</v>
      </c>
      <c r="T15" s="173">
        <f t="shared" si="0"/>
        <v>225</v>
      </c>
      <c r="U15" s="173">
        <f t="shared" si="0"/>
        <v>225</v>
      </c>
      <c r="V15" s="173">
        <f t="shared" si="0"/>
        <v>220</v>
      </c>
      <c r="W15" s="306"/>
    </row>
    <row r="16" spans="1:34" ht="12.75" customHeight="1" thickBot="1" x14ac:dyDescent="0.25">
      <c r="A16" s="166"/>
      <c r="B16" s="167"/>
      <c r="C16" s="402" t="s">
        <v>195</v>
      </c>
      <c r="D16" s="298">
        <v>0</v>
      </c>
      <c r="E16" s="168"/>
      <c r="F16" s="304">
        <f t="shared" ref="F16:V16" si="1">$D16/3</f>
        <v>0</v>
      </c>
      <c r="G16" s="304">
        <f t="shared" si="1"/>
        <v>0</v>
      </c>
      <c r="H16" s="304">
        <f t="shared" si="1"/>
        <v>0</v>
      </c>
      <c r="I16" s="457">
        <f t="shared" si="1"/>
        <v>0</v>
      </c>
      <c r="J16" s="463">
        <f t="shared" si="1"/>
        <v>0</v>
      </c>
      <c r="K16" s="460">
        <f t="shared" si="1"/>
        <v>0</v>
      </c>
      <c r="L16" s="304">
        <f t="shared" si="1"/>
        <v>0</v>
      </c>
      <c r="M16" s="304">
        <f t="shared" si="1"/>
        <v>0</v>
      </c>
      <c r="N16" s="304">
        <f t="shared" si="1"/>
        <v>0</v>
      </c>
      <c r="O16" s="304">
        <f t="shared" si="1"/>
        <v>0</v>
      </c>
      <c r="P16" s="304">
        <f t="shared" si="1"/>
        <v>0</v>
      </c>
      <c r="Q16" s="304">
        <f t="shared" si="1"/>
        <v>0</v>
      </c>
      <c r="R16" s="304">
        <f t="shared" si="1"/>
        <v>0</v>
      </c>
      <c r="S16" s="304">
        <f t="shared" si="1"/>
        <v>0</v>
      </c>
      <c r="T16" s="304">
        <f t="shared" si="1"/>
        <v>0</v>
      </c>
      <c r="U16" s="304">
        <f t="shared" si="1"/>
        <v>0</v>
      </c>
      <c r="V16" s="304">
        <f t="shared" si="1"/>
        <v>0</v>
      </c>
      <c r="W16" s="306"/>
    </row>
    <row r="17" spans="1:23" ht="12.75" customHeight="1" thickBot="1" x14ac:dyDescent="0.25">
      <c r="A17" s="169"/>
      <c r="B17" s="170"/>
      <c r="C17" s="403" t="s">
        <v>17</v>
      </c>
      <c r="D17" s="299">
        <f>SUM(D6:D13)</f>
        <v>2823</v>
      </c>
      <c r="E17" s="171"/>
      <c r="F17" s="301">
        <f t="shared" ref="F17:V17" si="2">F15+F16</f>
        <v>0</v>
      </c>
      <c r="G17" s="301">
        <f t="shared" si="2"/>
        <v>20</v>
      </c>
      <c r="H17" s="301">
        <f t="shared" si="2"/>
        <v>113</v>
      </c>
      <c r="I17" s="458">
        <f t="shared" si="2"/>
        <v>123</v>
      </c>
      <c r="J17" s="464">
        <f t="shared" si="2"/>
        <v>256</v>
      </c>
      <c r="K17" s="461">
        <f t="shared" si="2"/>
        <v>187</v>
      </c>
      <c r="L17" s="301">
        <f t="shared" si="2"/>
        <v>210</v>
      </c>
      <c r="M17" s="301">
        <f t="shared" si="2"/>
        <v>210</v>
      </c>
      <c r="N17" s="301">
        <f t="shared" si="2"/>
        <v>210</v>
      </c>
      <c r="O17" s="301">
        <f t="shared" si="2"/>
        <v>210</v>
      </c>
      <c r="P17" s="301">
        <f t="shared" si="2"/>
        <v>210</v>
      </c>
      <c r="Q17" s="301">
        <f t="shared" si="2"/>
        <v>210</v>
      </c>
      <c r="R17" s="301">
        <f t="shared" si="2"/>
        <v>210</v>
      </c>
      <c r="S17" s="301">
        <f t="shared" si="2"/>
        <v>210</v>
      </c>
      <c r="T17" s="301">
        <f t="shared" si="2"/>
        <v>225</v>
      </c>
      <c r="U17" s="301">
        <f t="shared" si="2"/>
        <v>225</v>
      </c>
      <c r="V17" s="301">
        <f t="shared" si="2"/>
        <v>220</v>
      </c>
      <c r="W17" s="306"/>
    </row>
    <row r="19" spans="1:23" ht="12.75" customHeight="1" x14ac:dyDescent="0.25">
      <c r="B19" s="14" t="s">
        <v>726</v>
      </c>
      <c r="M19"/>
    </row>
    <row r="20" spans="1:23" ht="12.75" customHeight="1" x14ac:dyDescent="0.2">
      <c r="M20" s="300"/>
    </row>
    <row r="22" spans="1:23" ht="12.75" customHeight="1" x14ac:dyDescent="0.2">
      <c r="B22" s="300"/>
    </row>
    <row r="23" spans="1:23" ht="12.75" customHeight="1" x14ac:dyDescent="0.2">
      <c r="B23" s="300"/>
    </row>
    <row r="24" spans="1:23" ht="12.75" customHeight="1" x14ac:dyDescent="0.2">
      <c r="B24" s="300"/>
    </row>
    <row r="25" spans="1:23" ht="12.75" customHeight="1" x14ac:dyDescent="0.2">
      <c r="B25" s="300"/>
    </row>
    <row r="27" spans="1:23" ht="12.75" customHeight="1" x14ac:dyDescent="0.2">
      <c r="B27" s="300"/>
    </row>
  </sheetData>
  <sortState xmlns:xlrd2="http://schemas.microsoft.com/office/spreadsheetml/2017/richdata2" ref="A14:K20">
    <sortCondition descending="1" ref="D14:D20"/>
  </sortState>
  <pageMargins left="0" right="0" top="0" bottom="0" header="0" footer="0"/>
  <pageSetup paperSize="9" fitToWidth="0" fitToHeight="0"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X162"/>
  <sheetViews>
    <sheetView zoomScale="87" zoomScaleNormal="87" workbookViewId="0">
      <pane xSplit="4" ySplit="3" topLeftCell="E4" activePane="bottomRight" state="frozen"/>
      <selection pane="topRight" activeCell="E1" sqref="E1"/>
      <selection pane="bottomLeft" activeCell="A4" sqref="A4"/>
      <selection pane="bottomRight" activeCell="P169" sqref="P169"/>
    </sheetView>
  </sheetViews>
  <sheetFormatPr defaultColWidth="6.85546875" defaultRowHeight="12.75" customHeight="1" x14ac:dyDescent="0.2"/>
  <cols>
    <col min="1" max="1" width="12.28515625" style="81" customWidth="1"/>
    <col min="2" max="2" width="33.7109375" style="70" customWidth="1"/>
    <col min="3" max="3" width="35.42578125" style="70" customWidth="1"/>
    <col min="4" max="4" width="11.5703125" style="70" customWidth="1"/>
    <col min="5" max="8" width="11.7109375" style="70" customWidth="1"/>
    <col min="9" max="9" width="2.28515625" style="70" customWidth="1"/>
    <col min="10" max="14" width="8.5703125" style="70" customWidth="1"/>
    <col min="15" max="15" width="8.5703125" style="81" customWidth="1"/>
    <col min="16" max="16" width="66" style="330" customWidth="1"/>
    <col min="17" max="16384" width="6.85546875" style="70"/>
  </cols>
  <sheetData>
    <row r="1" spans="1:24" ht="15.75" x14ac:dyDescent="0.2">
      <c r="A1" s="66" t="s">
        <v>248</v>
      </c>
    </row>
    <row r="2" spans="1:24" ht="12.75" customHeight="1" thickBot="1" x14ac:dyDescent="0.25">
      <c r="J2" s="45"/>
      <c r="K2" s="45"/>
      <c r="L2" s="45"/>
      <c r="M2" s="45"/>
      <c r="N2" s="45"/>
      <c r="O2" s="83"/>
    </row>
    <row r="3" spans="1:24" ht="38.25" x14ac:dyDescent="0.2">
      <c r="A3" s="134"/>
      <c r="B3" s="135"/>
      <c r="C3" s="317"/>
      <c r="D3" s="320" t="s">
        <v>278</v>
      </c>
      <c r="E3" s="136" t="s">
        <v>148</v>
      </c>
      <c r="F3" s="136" t="s">
        <v>149</v>
      </c>
      <c r="G3" s="136" t="s">
        <v>279</v>
      </c>
      <c r="H3" s="138" t="s">
        <v>280</v>
      </c>
      <c r="I3" s="141"/>
      <c r="J3" s="137" t="s">
        <v>13</v>
      </c>
      <c r="K3" s="137" t="s">
        <v>14</v>
      </c>
      <c r="L3" s="137" t="s">
        <v>15</v>
      </c>
      <c r="M3" s="323" t="s">
        <v>16</v>
      </c>
      <c r="N3" s="440" t="s">
        <v>205</v>
      </c>
      <c r="O3" s="426" t="s">
        <v>17</v>
      </c>
      <c r="P3" s="424"/>
    </row>
    <row r="4" spans="1:24" ht="12.75" customHeight="1" thickBot="1" x14ac:dyDescent="0.25">
      <c r="A4" s="271" t="s">
        <v>150</v>
      </c>
      <c r="B4" s="87"/>
      <c r="C4" s="318"/>
      <c r="D4" s="321"/>
      <c r="E4" s="87"/>
      <c r="F4" s="87"/>
      <c r="G4" s="87"/>
      <c r="H4" s="101"/>
      <c r="I4" s="189"/>
      <c r="J4" s="87"/>
      <c r="K4" s="87"/>
      <c r="L4" s="87"/>
      <c r="M4" s="318"/>
      <c r="N4" s="318"/>
      <c r="O4" s="427"/>
    </row>
    <row r="5" spans="1:24" ht="12.75" customHeight="1" x14ac:dyDescent="0.2">
      <c r="A5" s="471" t="s">
        <v>413</v>
      </c>
      <c r="B5" s="472" t="s">
        <v>343</v>
      </c>
      <c r="C5" s="473" t="s">
        <v>216</v>
      </c>
      <c r="D5" s="514">
        <v>450</v>
      </c>
      <c r="E5" s="515">
        <v>0</v>
      </c>
      <c r="F5" s="515">
        <v>223</v>
      </c>
      <c r="G5" s="515">
        <v>227</v>
      </c>
      <c r="H5" s="516">
        <v>227</v>
      </c>
      <c r="I5" s="191"/>
      <c r="J5" s="349"/>
      <c r="K5" s="349"/>
      <c r="L5" s="349">
        <v>20</v>
      </c>
      <c r="M5" s="350">
        <v>50</v>
      </c>
      <c r="N5" s="517">
        <v>50</v>
      </c>
      <c r="O5" s="518">
        <f>SUM(J5:N5)</f>
        <v>120</v>
      </c>
      <c r="P5" s="449"/>
    </row>
    <row r="6" spans="1:24" s="145" customFormat="1" ht="12.75" customHeight="1" x14ac:dyDescent="0.2">
      <c r="A6" s="474" t="s">
        <v>410</v>
      </c>
      <c r="B6" s="475" t="s">
        <v>299</v>
      </c>
      <c r="C6" s="476" t="s">
        <v>300</v>
      </c>
      <c r="D6" s="519">
        <v>620</v>
      </c>
      <c r="E6" s="351">
        <v>186</v>
      </c>
      <c r="F6" s="351">
        <v>135</v>
      </c>
      <c r="G6" s="351">
        <v>298</v>
      </c>
      <c r="H6" s="520">
        <v>484</v>
      </c>
      <c r="I6" s="521"/>
      <c r="J6" s="522">
        <v>145</v>
      </c>
      <c r="K6" s="522">
        <v>120</v>
      </c>
      <c r="L6" s="521">
        <v>120</v>
      </c>
      <c r="M6" s="523">
        <v>99</v>
      </c>
      <c r="N6" s="523"/>
      <c r="O6" s="428">
        <f>SUM(J6:N6)</f>
        <v>484</v>
      </c>
      <c r="P6" s="465"/>
      <c r="Q6" s="300"/>
      <c r="W6" s="147"/>
      <c r="X6" s="306"/>
    </row>
    <row r="7" spans="1:24" ht="12.75" customHeight="1" x14ac:dyDescent="0.2">
      <c r="A7" s="477" t="s">
        <v>419</v>
      </c>
      <c r="B7" s="478" t="s">
        <v>420</v>
      </c>
      <c r="C7" s="479" t="s">
        <v>348</v>
      </c>
      <c r="D7" s="351">
        <v>226</v>
      </c>
      <c r="E7" s="351">
        <v>41</v>
      </c>
      <c r="F7" s="351">
        <v>0</v>
      </c>
      <c r="G7" s="351">
        <v>185</v>
      </c>
      <c r="H7" s="353">
        <v>226</v>
      </c>
      <c r="I7" s="79"/>
      <c r="J7" s="302">
        <v>25</v>
      </c>
      <c r="K7" s="302">
        <v>33</v>
      </c>
      <c r="L7" s="302">
        <v>34</v>
      </c>
      <c r="M7" s="316">
        <v>34</v>
      </c>
      <c r="N7" s="316">
        <v>10</v>
      </c>
      <c r="O7" s="524">
        <f>SUM(J7:N7)</f>
        <v>136</v>
      </c>
      <c r="P7" s="425"/>
    </row>
    <row r="8" spans="1:24" ht="12.75" customHeight="1" x14ac:dyDescent="0.2">
      <c r="A8" s="480" t="s">
        <v>549</v>
      </c>
      <c r="B8" s="481" t="s">
        <v>309</v>
      </c>
      <c r="C8" s="479" t="s">
        <v>550</v>
      </c>
      <c r="D8" s="525">
        <v>279</v>
      </c>
      <c r="E8" s="351">
        <v>0</v>
      </c>
      <c r="F8" s="351">
        <v>0</v>
      </c>
      <c r="G8" s="351">
        <v>279</v>
      </c>
      <c r="H8" s="353">
        <v>279</v>
      </c>
      <c r="I8" s="79"/>
      <c r="J8" s="302">
        <v>0</v>
      </c>
      <c r="K8" s="302">
        <v>0</v>
      </c>
      <c r="L8" s="302">
        <v>20</v>
      </c>
      <c r="M8" s="316">
        <v>35</v>
      </c>
      <c r="N8" s="316">
        <v>35</v>
      </c>
      <c r="O8" s="524">
        <f>SUM(J8:N8)</f>
        <v>90</v>
      </c>
      <c r="P8" s="425"/>
    </row>
    <row r="9" spans="1:24" ht="12.75" customHeight="1" x14ac:dyDescent="0.2">
      <c r="A9" s="474" t="s">
        <v>346</v>
      </c>
      <c r="B9" s="354" t="s">
        <v>347</v>
      </c>
      <c r="C9" s="482" t="s">
        <v>348</v>
      </c>
      <c r="D9" s="352">
        <v>271</v>
      </c>
      <c r="E9" s="351">
        <v>36</v>
      </c>
      <c r="F9" s="351">
        <v>146</v>
      </c>
      <c r="G9" s="351">
        <v>89</v>
      </c>
      <c r="H9" s="353">
        <v>125</v>
      </c>
      <c r="I9" s="79"/>
      <c r="J9" s="302">
        <v>61</v>
      </c>
      <c r="K9" s="302">
        <v>60</v>
      </c>
      <c r="L9" s="302">
        <v>4</v>
      </c>
      <c r="M9" s="316"/>
      <c r="N9" s="316"/>
      <c r="O9" s="428">
        <f>SUM(J9:M9)</f>
        <v>125</v>
      </c>
      <c r="P9" s="425"/>
    </row>
    <row r="10" spans="1:24" ht="12.75" customHeight="1" x14ac:dyDescent="0.2">
      <c r="A10" s="474" t="s">
        <v>703</v>
      </c>
      <c r="B10" s="354" t="s">
        <v>704</v>
      </c>
      <c r="C10" s="482" t="s">
        <v>705</v>
      </c>
      <c r="D10" s="352">
        <v>245</v>
      </c>
      <c r="E10" s="351"/>
      <c r="F10" s="351"/>
      <c r="G10" s="351"/>
      <c r="H10" s="353"/>
      <c r="I10" s="79"/>
      <c r="J10" s="302"/>
      <c r="K10" s="302">
        <v>70</v>
      </c>
      <c r="L10" s="302">
        <v>70</v>
      </c>
      <c r="M10" s="316">
        <v>70</v>
      </c>
      <c r="N10" s="316">
        <v>35</v>
      </c>
      <c r="O10" s="428">
        <v>245</v>
      </c>
      <c r="P10" s="425"/>
    </row>
    <row r="11" spans="1:24" ht="12.75" customHeight="1" x14ac:dyDescent="0.2">
      <c r="A11" s="483" t="s">
        <v>281</v>
      </c>
      <c r="B11" s="484" t="s">
        <v>282</v>
      </c>
      <c r="C11" s="485" t="s">
        <v>283</v>
      </c>
      <c r="D11" s="352">
        <v>235</v>
      </c>
      <c r="E11" s="351">
        <v>20</v>
      </c>
      <c r="F11" s="351">
        <v>235</v>
      </c>
      <c r="G11" s="351">
        <v>0</v>
      </c>
      <c r="H11" s="353">
        <v>20</v>
      </c>
      <c r="I11" s="79"/>
      <c r="J11" s="302">
        <v>20</v>
      </c>
      <c r="K11" s="302"/>
      <c r="L11" s="302"/>
      <c r="M11" s="316"/>
      <c r="N11" s="316"/>
      <c r="O11" s="428">
        <f>SUM(J11:M11)</f>
        <v>20</v>
      </c>
      <c r="P11" s="425"/>
    </row>
    <row r="12" spans="1:24" ht="12.75" customHeight="1" x14ac:dyDescent="0.2">
      <c r="A12" s="474" t="s">
        <v>349</v>
      </c>
      <c r="B12" s="354" t="s">
        <v>347</v>
      </c>
      <c r="C12" s="482" t="s">
        <v>348</v>
      </c>
      <c r="D12" s="352">
        <v>205</v>
      </c>
      <c r="E12" s="351">
        <v>51</v>
      </c>
      <c r="F12" s="351">
        <v>147</v>
      </c>
      <c r="G12" s="351">
        <v>7</v>
      </c>
      <c r="H12" s="353">
        <v>58</v>
      </c>
      <c r="I12" s="79"/>
      <c r="J12" s="302">
        <v>51</v>
      </c>
      <c r="K12" s="302">
        <v>7</v>
      </c>
      <c r="L12" s="302"/>
      <c r="M12" s="316"/>
      <c r="N12" s="316"/>
      <c r="O12" s="428">
        <f>SUM(J12:M12)</f>
        <v>58</v>
      </c>
      <c r="P12" s="425"/>
    </row>
    <row r="13" spans="1:24" ht="12.75" customHeight="1" x14ac:dyDescent="0.2">
      <c r="A13" s="480" t="s">
        <v>551</v>
      </c>
      <c r="B13" s="486" t="s">
        <v>553</v>
      </c>
      <c r="C13" s="479" t="s">
        <v>552</v>
      </c>
      <c r="D13" s="351">
        <v>185</v>
      </c>
      <c r="E13" s="351">
        <v>0</v>
      </c>
      <c r="F13" s="351">
        <v>0</v>
      </c>
      <c r="G13" s="351">
        <v>185</v>
      </c>
      <c r="H13" s="353">
        <v>185</v>
      </c>
      <c r="I13" s="79"/>
      <c r="J13" s="302"/>
      <c r="K13" s="302">
        <v>50</v>
      </c>
      <c r="L13" s="302">
        <v>50</v>
      </c>
      <c r="M13" s="316">
        <v>50</v>
      </c>
      <c r="N13" s="316">
        <v>35</v>
      </c>
      <c r="O13" s="428">
        <v>185</v>
      </c>
      <c r="P13" s="425"/>
    </row>
    <row r="14" spans="1:24" ht="12.75" customHeight="1" x14ac:dyDescent="0.2">
      <c r="A14" s="483" t="s">
        <v>421</v>
      </c>
      <c r="B14" s="484" t="s">
        <v>422</v>
      </c>
      <c r="C14" s="485" t="s">
        <v>423</v>
      </c>
      <c r="D14" s="352">
        <v>180</v>
      </c>
      <c r="E14" s="351">
        <v>0</v>
      </c>
      <c r="F14" s="351">
        <v>0</v>
      </c>
      <c r="G14" s="351">
        <v>180</v>
      </c>
      <c r="H14" s="353">
        <v>180</v>
      </c>
      <c r="I14" s="79"/>
      <c r="J14" s="302"/>
      <c r="K14" s="302">
        <v>30</v>
      </c>
      <c r="L14" s="302">
        <v>50</v>
      </c>
      <c r="M14" s="316">
        <v>50</v>
      </c>
      <c r="N14" s="316">
        <v>50</v>
      </c>
      <c r="O14" s="428">
        <f>SUM(K14:N14)</f>
        <v>180</v>
      </c>
      <c r="P14" s="425"/>
    </row>
    <row r="15" spans="1:24" ht="12.75" customHeight="1" x14ac:dyDescent="0.2">
      <c r="A15" s="487" t="s">
        <v>706</v>
      </c>
      <c r="B15" s="488" t="s">
        <v>707</v>
      </c>
      <c r="C15" s="489" t="s">
        <v>708</v>
      </c>
      <c r="D15" s="352">
        <v>179</v>
      </c>
      <c r="E15" s="351"/>
      <c r="F15" s="351"/>
      <c r="G15" s="351"/>
      <c r="H15" s="353"/>
      <c r="I15" s="79"/>
      <c r="J15" s="302"/>
      <c r="K15" s="302">
        <v>45</v>
      </c>
      <c r="L15" s="302">
        <v>84</v>
      </c>
      <c r="M15" s="316">
        <v>50</v>
      </c>
      <c r="N15" s="316"/>
      <c r="O15" s="428">
        <f>SUM(J15:N15)</f>
        <v>179</v>
      </c>
      <c r="P15" s="425"/>
    </row>
    <row r="16" spans="1:24" ht="12.75" customHeight="1" x14ac:dyDescent="0.2">
      <c r="A16" s="490" t="s">
        <v>554</v>
      </c>
      <c r="B16" s="491" t="s">
        <v>555</v>
      </c>
      <c r="C16" s="492" t="s">
        <v>556</v>
      </c>
      <c r="D16" s="352">
        <v>150</v>
      </c>
      <c r="E16" s="351">
        <v>0</v>
      </c>
      <c r="F16" s="351">
        <v>0</v>
      </c>
      <c r="G16" s="351">
        <v>150</v>
      </c>
      <c r="H16" s="353">
        <v>150</v>
      </c>
      <c r="I16" s="79"/>
      <c r="J16" s="302">
        <v>11</v>
      </c>
      <c r="K16" s="302">
        <v>61</v>
      </c>
      <c r="L16" s="302">
        <v>59</v>
      </c>
      <c r="M16" s="316">
        <v>19</v>
      </c>
      <c r="N16" s="316"/>
      <c r="O16" s="428">
        <v>150</v>
      </c>
    </row>
    <row r="17" spans="1:18" ht="12.75" customHeight="1" x14ac:dyDescent="0.2">
      <c r="A17" s="483" t="s">
        <v>217</v>
      </c>
      <c r="B17" s="484" t="s">
        <v>218</v>
      </c>
      <c r="C17" s="485" t="s">
        <v>219</v>
      </c>
      <c r="D17" s="352">
        <v>150</v>
      </c>
      <c r="E17" s="351">
        <v>36</v>
      </c>
      <c r="F17" s="351">
        <v>96</v>
      </c>
      <c r="G17" s="351">
        <v>18</v>
      </c>
      <c r="H17" s="353">
        <v>54</v>
      </c>
      <c r="I17" s="79"/>
      <c r="J17" s="302">
        <v>54</v>
      </c>
      <c r="K17" s="302"/>
      <c r="L17" s="302"/>
      <c r="M17" s="316"/>
      <c r="N17" s="316"/>
      <c r="O17" s="428">
        <f>SUM(J17:M17)</f>
        <v>54</v>
      </c>
      <c r="P17" s="425"/>
    </row>
    <row r="18" spans="1:18" ht="12.75" customHeight="1" x14ac:dyDescent="0.2">
      <c r="A18" s="493" t="s">
        <v>557</v>
      </c>
      <c r="B18" s="494" t="s">
        <v>558</v>
      </c>
      <c r="C18" s="495" t="s">
        <v>559</v>
      </c>
      <c r="D18" s="352">
        <v>144</v>
      </c>
      <c r="E18" s="351">
        <v>25</v>
      </c>
      <c r="F18" s="351">
        <v>0</v>
      </c>
      <c r="G18" s="351">
        <v>119</v>
      </c>
      <c r="H18" s="353">
        <v>144</v>
      </c>
      <c r="I18" s="79"/>
      <c r="J18" s="302">
        <v>40</v>
      </c>
      <c r="K18" s="302">
        <v>20</v>
      </c>
      <c r="L18" s="302">
        <v>30</v>
      </c>
      <c r="M18" s="316">
        <v>30</v>
      </c>
      <c r="N18" s="316">
        <v>24</v>
      </c>
      <c r="O18" s="428">
        <f>SUM(J18:N18)</f>
        <v>144</v>
      </c>
      <c r="P18" s="425"/>
    </row>
    <row r="19" spans="1:18" ht="12.75" customHeight="1" x14ac:dyDescent="0.2">
      <c r="A19" s="483" t="s">
        <v>284</v>
      </c>
      <c r="B19" s="484" t="s">
        <v>285</v>
      </c>
      <c r="C19" s="485" t="s">
        <v>286</v>
      </c>
      <c r="D19" s="356">
        <v>113</v>
      </c>
      <c r="E19" s="357">
        <v>0</v>
      </c>
      <c r="F19" s="357">
        <v>0</v>
      </c>
      <c r="G19" s="357">
        <v>113</v>
      </c>
      <c r="H19" s="358">
        <v>113</v>
      </c>
      <c r="I19" s="79"/>
      <c r="J19" s="302"/>
      <c r="K19" s="302"/>
      <c r="L19" s="302"/>
      <c r="M19" s="316">
        <v>10</v>
      </c>
      <c r="N19" s="316">
        <v>35</v>
      </c>
      <c r="O19" s="428">
        <v>45</v>
      </c>
      <c r="P19" s="425"/>
      <c r="Q19" s="81"/>
      <c r="R19" s="81"/>
    </row>
    <row r="20" spans="1:18" ht="12.75" customHeight="1" x14ac:dyDescent="0.2">
      <c r="A20" s="496" t="s">
        <v>546</v>
      </c>
      <c r="B20" s="497" t="s">
        <v>547</v>
      </c>
      <c r="C20" s="498" t="s">
        <v>548</v>
      </c>
      <c r="D20" s="352">
        <v>70</v>
      </c>
      <c r="E20" s="351">
        <v>34</v>
      </c>
      <c r="F20" s="354">
        <v>0</v>
      </c>
      <c r="G20" s="351">
        <v>36</v>
      </c>
      <c r="H20" s="353">
        <v>70</v>
      </c>
      <c r="I20" s="79"/>
      <c r="J20" s="302">
        <v>20</v>
      </c>
      <c r="K20" s="302">
        <v>50</v>
      </c>
      <c r="L20" s="302"/>
      <c r="M20" s="316"/>
      <c r="N20" s="316"/>
      <c r="O20" s="428">
        <v>70</v>
      </c>
      <c r="Q20" s="81"/>
      <c r="R20" s="81"/>
    </row>
    <row r="21" spans="1:18" ht="12.75" customHeight="1" x14ac:dyDescent="0.2">
      <c r="A21" s="480" t="s">
        <v>560</v>
      </c>
      <c r="B21" s="499" t="s">
        <v>561</v>
      </c>
      <c r="C21" s="500" t="s">
        <v>562</v>
      </c>
      <c r="D21" s="352">
        <v>67</v>
      </c>
      <c r="E21" s="351">
        <v>52</v>
      </c>
      <c r="F21" s="354">
        <v>0</v>
      </c>
      <c r="G21" s="351">
        <v>15</v>
      </c>
      <c r="H21" s="353">
        <v>67</v>
      </c>
      <c r="I21" s="79"/>
      <c r="J21" s="302">
        <v>30</v>
      </c>
      <c r="K21" s="302">
        <v>37</v>
      </c>
      <c r="L21" s="302"/>
      <c r="M21" s="316"/>
      <c r="N21" s="316"/>
      <c r="O21" s="428">
        <v>67</v>
      </c>
      <c r="P21" s="425"/>
      <c r="Q21" s="81"/>
      <c r="R21" s="81"/>
    </row>
    <row r="22" spans="1:18" ht="12.75" customHeight="1" x14ac:dyDescent="0.2">
      <c r="A22" s="483" t="s">
        <v>313</v>
      </c>
      <c r="B22" s="484" t="s">
        <v>314</v>
      </c>
      <c r="C22" s="485" t="s">
        <v>315</v>
      </c>
      <c r="D22" s="356">
        <v>56</v>
      </c>
      <c r="E22" s="357">
        <v>42</v>
      </c>
      <c r="F22" s="357">
        <v>14</v>
      </c>
      <c r="G22" s="357">
        <v>0</v>
      </c>
      <c r="H22" s="358">
        <v>42</v>
      </c>
      <c r="I22" s="79"/>
      <c r="J22" s="302">
        <v>42</v>
      </c>
      <c r="K22" s="302"/>
      <c r="L22" s="302"/>
      <c r="M22" s="316"/>
      <c r="N22" s="316"/>
      <c r="O22" s="428">
        <f>SUM(J22:M22)</f>
        <v>42</v>
      </c>
      <c r="P22" s="425"/>
      <c r="Q22" s="81"/>
      <c r="R22" s="81"/>
    </row>
    <row r="23" spans="1:18" ht="12.75" customHeight="1" x14ac:dyDescent="0.2">
      <c r="A23" s="487" t="s">
        <v>709</v>
      </c>
      <c r="B23" s="484" t="s">
        <v>710</v>
      </c>
      <c r="C23" s="489" t="s">
        <v>711</v>
      </c>
      <c r="D23" s="356">
        <v>43</v>
      </c>
      <c r="E23" s="357">
        <v>0</v>
      </c>
      <c r="F23" s="357">
        <v>0</v>
      </c>
      <c r="G23" s="357">
        <v>43</v>
      </c>
      <c r="H23" s="358">
        <v>43</v>
      </c>
      <c r="I23" s="79"/>
      <c r="J23" s="302"/>
      <c r="K23" s="302"/>
      <c r="L23" s="302"/>
      <c r="M23" s="316">
        <v>21</v>
      </c>
      <c r="N23" s="316">
        <v>22</v>
      </c>
      <c r="O23" s="428">
        <f>SUM(J23:N23)</f>
        <v>43</v>
      </c>
      <c r="P23" s="425"/>
      <c r="Q23" s="81"/>
      <c r="R23" s="81"/>
    </row>
    <row r="24" spans="1:18" ht="12.75" customHeight="1" x14ac:dyDescent="0.2">
      <c r="A24" s="480" t="s">
        <v>563</v>
      </c>
      <c r="B24" s="499" t="s">
        <v>564</v>
      </c>
      <c r="C24" s="498" t="s">
        <v>565</v>
      </c>
      <c r="D24" s="356">
        <v>34</v>
      </c>
      <c r="E24" s="357">
        <v>0</v>
      </c>
      <c r="F24" s="357">
        <v>0</v>
      </c>
      <c r="G24" s="357">
        <v>34</v>
      </c>
      <c r="H24" s="358">
        <v>34</v>
      </c>
      <c r="I24" s="79"/>
      <c r="J24" s="302"/>
      <c r="K24" s="302">
        <v>34</v>
      </c>
      <c r="L24" s="302"/>
      <c r="M24" s="316"/>
      <c r="N24" s="316"/>
      <c r="O24" s="428">
        <v>34</v>
      </c>
      <c r="P24" s="425"/>
      <c r="Q24" s="81"/>
      <c r="R24" s="81"/>
    </row>
    <row r="25" spans="1:18" ht="12.75" customHeight="1" x14ac:dyDescent="0.2">
      <c r="A25" s="483" t="s">
        <v>316</v>
      </c>
      <c r="B25" s="484" t="s">
        <v>317</v>
      </c>
      <c r="C25" s="485" t="s">
        <v>318</v>
      </c>
      <c r="D25" s="356">
        <v>10</v>
      </c>
      <c r="E25" s="357">
        <v>10</v>
      </c>
      <c r="F25" s="357">
        <v>0</v>
      </c>
      <c r="G25" s="357">
        <v>0</v>
      </c>
      <c r="H25" s="358">
        <v>10</v>
      </c>
      <c r="I25" s="79"/>
      <c r="J25" s="302"/>
      <c r="K25" s="302">
        <v>10</v>
      </c>
      <c r="L25" s="302"/>
      <c r="M25" s="316"/>
      <c r="N25" s="316"/>
      <c r="O25" s="428">
        <f>SUM(J25:M25)</f>
        <v>10</v>
      </c>
      <c r="P25" s="425"/>
    </row>
    <row r="26" spans="1:18" ht="12.75" customHeight="1" x14ac:dyDescent="0.2">
      <c r="A26" s="474" t="s">
        <v>350</v>
      </c>
      <c r="B26" s="354" t="s">
        <v>351</v>
      </c>
      <c r="C26" s="482" t="s">
        <v>352</v>
      </c>
      <c r="D26" s="352">
        <v>9</v>
      </c>
      <c r="E26" s="351">
        <v>0</v>
      </c>
      <c r="F26" s="351">
        <v>0</v>
      </c>
      <c r="G26" s="351">
        <v>9</v>
      </c>
      <c r="H26" s="353">
        <v>9</v>
      </c>
      <c r="I26" s="79"/>
      <c r="J26" s="72"/>
      <c r="K26" s="72"/>
      <c r="L26" s="72"/>
      <c r="M26" s="324"/>
      <c r="N26" s="324"/>
      <c r="O26" s="429"/>
    </row>
    <row r="27" spans="1:18" ht="12.75" customHeight="1" x14ac:dyDescent="0.2">
      <c r="A27" s="483" t="s">
        <v>287</v>
      </c>
      <c r="B27" s="484" t="s">
        <v>288</v>
      </c>
      <c r="C27" s="485" t="s">
        <v>289</v>
      </c>
      <c r="D27" s="352">
        <v>8</v>
      </c>
      <c r="E27" s="351">
        <v>9</v>
      </c>
      <c r="F27" s="351">
        <v>-1</v>
      </c>
      <c r="G27" s="351">
        <v>0</v>
      </c>
      <c r="H27" s="353">
        <v>9</v>
      </c>
      <c r="I27" s="79"/>
      <c r="J27" s="72"/>
      <c r="K27" s="72"/>
      <c r="L27" s="72"/>
      <c r="M27" s="324"/>
      <c r="N27" s="324"/>
      <c r="O27" s="429"/>
    </row>
    <row r="28" spans="1:18" ht="12.75" customHeight="1" x14ac:dyDescent="0.2">
      <c r="A28" s="487" t="s">
        <v>426</v>
      </c>
      <c r="B28" s="484" t="s">
        <v>427</v>
      </c>
      <c r="C28" s="485" t="s">
        <v>428</v>
      </c>
      <c r="D28" s="352">
        <v>8</v>
      </c>
      <c r="E28" s="351">
        <v>8</v>
      </c>
      <c r="F28" s="351">
        <v>0</v>
      </c>
      <c r="G28" s="351">
        <v>8</v>
      </c>
      <c r="H28" s="353">
        <v>8</v>
      </c>
      <c r="I28" s="79"/>
      <c r="J28" s="72"/>
      <c r="K28" s="72"/>
      <c r="L28" s="72"/>
      <c r="M28" s="324"/>
      <c r="N28" s="324"/>
      <c r="O28" s="429"/>
    </row>
    <row r="29" spans="1:18" ht="12.75" customHeight="1" x14ac:dyDescent="0.2">
      <c r="A29" s="474" t="s">
        <v>353</v>
      </c>
      <c r="B29" s="354" t="s">
        <v>354</v>
      </c>
      <c r="C29" s="482" t="s">
        <v>355</v>
      </c>
      <c r="D29" s="352">
        <v>8</v>
      </c>
      <c r="E29" s="354">
        <v>8</v>
      </c>
      <c r="F29" s="354">
        <v>0</v>
      </c>
      <c r="G29" s="351">
        <v>8</v>
      </c>
      <c r="H29" s="355">
        <v>8</v>
      </c>
      <c r="I29" s="79"/>
      <c r="J29" s="72"/>
      <c r="K29" s="72"/>
      <c r="L29" s="72"/>
      <c r="M29" s="324"/>
      <c r="N29" s="324"/>
      <c r="O29" s="429"/>
    </row>
    <row r="30" spans="1:18" ht="12.75" customHeight="1" x14ac:dyDescent="0.2">
      <c r="A30" s="474" t="s">
        <v>429</v>
      </c>
      <c r="B30" s="354" t="s">
        <v>430</v>
      </c>
      <c r="C30" s="482" t="s">
        <v>431</v>
      </c>
      <c r="D30" s="352">
        <v>8</v>
      </c>
      <c r="E30" s="354">
        <v>8</v>
      </c>
      <c r="F30" s="354">
        <v>0</v>
      </c>
      <c r="G30" s="351">
        <v>8</v>
      </c>
      <c r="H30" s="355">
        <v>8</v>
      </c>
      <c r="I30" s="79"/>
      <c r="J30" s="72"/>
      <c r="K30" s="72"/>
      <c r="L30" s="72"/>
      <c r="M30" s="324"/>
      <c r="N30" s="324"/>
      <c r="O30" s="429"/>
    </row>
    <row r="31" spans="1:18" ht="12.75" customHeight="1" x14ac:dyDescent="0.2">
      <c r="A31" s="496" t="s">
        <v>566</v>
      </c>
      <c r="B31" s="497" t="s">
        <v>567</v>
      </c>
      <c r="C31" s="498" t="s">
        <v>568</v>
      </c>
      <c r="D31" s="352">
        <v>8</v>
      </c>
      <c r="E31" s="354">
        <v>8</v>
      </c>
      <c r="F31" s="354">
        <v>0</v>
      </c>
      <c r="G31" s="351">
        <v>0</v>
      </c>
      <c r="H31" s="355">
        <v>8</v>
      </c>
      <c r="I31" s="79"/>
      <c r="J31" s="72"/>
      <c r="K31" s="72"/>
      <c r="L31" s="72"/>
      <c r="M31" s="324"/>
      <c r="N31" s="324"/>
      <c r="O31" s="429"/>
    </row>
    <row r="32" spans="1:18" ht="12.75" customHeight="1" x14ac:dyDescent="0.2">
      <c r="A32" s="480" t="s">
        <v>569</v>
      </c>
      <c r="B32" s="499" t="s">
        <v>570</v>
      </c>
      <c r="C32" s="500" t="s">
        <v>571</v>
      </c>
      <c r="D32" s="352">
        <v>8</v>
      </c>
      <c r="E32" s="354">
        <v>0</v>
      </c>
      <c r="F32" s="354">
        <v>0</v>
      </c>
      <c r="G32" s="351">
        <v>8</v>
      </c>
      <c r="H32" s="355">
        <v>8</v>
      </c>
      <c r="I32" s="79"/>
      <c r="J32" s="72"/>
      <c r="K32" s="72"/>
      <c r="L32" s="72"/>
      <c r="M32" s="324"/>
      <c r="N32" s="324"/>
      <c r="O32" s="429"/>
    </row>
    <row r="33" spans="1:15" ht="12.75" customHeight="1" x14ac:dyDescent="0.2">
      <c r="A33" s="483" t="s">
        <v>158</v>
      </c>
      <c r="B33" s="484" t="s">
        <v>159</v>
      </c>
      <c r="C33" s="485" t="s">
        <v>220</v>
      </c>
      <c r="D33" s="356">
        <v>7</v>
      </c>
      <c r="E33" s="357">
        <v>0</v>
      </c>
      <c r="F33" s="357">
        <v>0</v>
      </c>
      <c r="G33" s="357">
        <v>7</v>
      </c>
      <c r="H33" s="358">
        <v>7</v>
      </c>
      <c r="I33" s="79"/>
      <c r="J33" s="72"/>
      <c r="K33" s="72"/>
      <c r="L33" s="72"/>
      <c r="M33" s="324"/>
      <c r="N33" s="324"/>
      <c r="O33" s="429"/>
    </row>
    <row r="34" spans="1:15" ht="12.75" customHeight="1" x14ac:dyDescent="0.2">
      <c r="A34" s="483" t="s">
        <v>432</v>
      </c>
      <c r="B34" s="484" t="s">
        <v>433</v>
      </c>
      <c r="C34" s="485" t="s">
        <v>434</v>
      </c>
      <c r="D34" s="352">
        <v>7</v>
      </c>
      <c r="E34" s="351">
        <v>0</v>
      </c>
      <c r="F34" s="351">
        <v>0</v>
      </c>
      <c r="G34" s="351">
        <v>7</v>
      </c>
      <c r="H34" s="353">
        <v>7</v>
      </c>
      <c r="I34" s="79"/>
      <c r="J34" s="72"/>
      <c r="K34" s="72"/>
      <c r="L34" s="72"/>
      <c r="M34" s="324"/>
      <c r="N34" s="324"/>
      <c r="O34" s="429"/>
    </row>
    <row r="35" spans="1:15" ht="12.75" customHeight="1" x14ac:dyDescent="0.2">
      <c r="A35" s="480" t="s">
        <v>572</v>
      </c>
      <c r="B35" s="499" t="s">
        <v>573</v>
      </c>
      <c r="C35" s="501" t="s">
        <v>574</v>
      </c>
      <c r="D35" s="352">
        <v>5</v>
      </c>
      <c r="E35" s="351">
        <v>0</v>
      </c>
      <c r="F35" s="351">
        <v>0</v>
      </c>
      <c r="G35" s="351">
        <v>5</v>
      </c>
      <c r="H35" s="353">
        <v>5</v>
      </c>
      <c r="I35" s="79"/>
      <c r="J35" s="72"/>
      <c r="K35" s="72"/>
      <c r="L35" s="72"/>
      <c r="M35" s="324"/>
      <c r="N35" s="324"/>
      <c r="O35" s="429"/>
    </row>
    <row r="36" spans="1:15" ht="12.75" customHeight="1" x14ac:dyDescent="0.2">
      <c r="A36" s="483" t="s">
        <v>435</v>
      </c>
      <c r="B36" s="484" t="s">
        <v>436</v>
      </c>
      <c r="C36" s="485" t="s">
        <v>437</v>
      </c>
      <c r="D36" s="356">
        <v>5</v>
      </c>
      <c r="E36" s="357">
        <v>0</v>
      </c>
      <c r="F36" s="357">
        <v>0</v>
      </c>
      <c r="G36" s="357">
        <v>5</v>
      </c>
      <c r="H36" s="358">
        <v>5</v>
      </c>
      <c r="I36" s="79"/>
      <c r="J36" s="72"/>
      <c r="K36" s="72"/>
      <c r="L36" s="72"/>
      <c r="M36" s="324"/>
      <c r="N36" s="324"/>
      <c r="O36" s="429"/>
    </row>
    <row r="37" spans="1:15" ht="12.75" customHeight="1" x14ac:dyDescent="0.2">
      <c r="A37" s="483" t="s">
        <v>438</v>
      </c>
      <c r="B37" s="484" t="s">
        <v>439</v>
      </c>
      <c r="C37" s="485" t="s">
        <v>440</v>
      </c>
      <c r="D37" s="356">
        <v>5</v>
      </c>
      <c r="E37" s="357">
        <v>0</v>
      </c>
      <c r="F37" s="357">
        <v>0</v>
      </c>
      <c r="G37" s="357">
        <v>5</v>
      </c>
      <c r="H37" s="358">
        <v>5</v>
      </c>
      <c r="I37" s="79"/>
      <c r="J37" s="72"/>
      <c r="K37" s="72"/>
      <c r="L37" s="72"/>
      <c r="M37" s="324"/>
      <c r="N37" s="324"/>
      <c r="O37" s="429"/>
    </row>
    <row r="38" spans="1:15" ht="12.75" customHeight="1" x14ac:dyDescent="0.2">
      <c r="A38" s="483" t="s">
        <v>441</v>
      </c>
      <c r="B38" s="484" t="s">
        <v>442</v>
      </c>
      <c r="C38" s="485" t="s">
        <v>443</v>
      </c>
      <c r="D38" s="356">
        <v>5</v>
      </c>
      <c r="E38" s="357">
        <v>0</v>
      </c>
      <c r="F38" s="357">
        <v>0</v>
      </c>
      <c r="G38" s="357">
        <v>5</v>
      </c>
      <c r="H38" s="358">
        <v>5</v>
      </c>
      <c r="I38" s="79"/>
      <c r="J38" s="72"/>
      <c r="K38" s="72"/>
      <c r="L38" s="72"/>
      <c r="M38" s="324"/>
      <c r="N38" s="324"/>
      <c r="O38" s="429"/>
    </row>
    <row r="39" spans="1:15" ht="12.75" customHeight="1" x14ac:dyDescent="0.2">
      <c r="A39" s="483" t="s">
        <v>156</v>
      </c>
      <c r="B39" s="484" t="s">
        <v>157</v>
      </c>
      <c r="C39" s="485" t="s">
        <v>221</v>
      </c>
      <c r="D39" s="356">
        <v>4</v>
      </c>
      <c r="E39" s="357">
        <v>0</v>
      </c>
      <c r="F39" s="357">
        <v>0</v>
      </c>
      <c r="G39" s="357">
        <v>4</v>
      </c>
      <c r="H39" s="358">
        <v>4</v>
      </c>
      <c r="I39" s="79"/>
      <c r="J39" s="72"/>
      <c r="K39" s="72"/>
      <c r="L39" s="72"/>
      <c r="M39" s="324"/>
      <c r="N39" s="324"/>
      <c r="O39" s="429"/>
    </row>
    <row r="40" spans="1:15" ht="12.75" customHeight="1" x14ac:dyDescent="0.2">
      <c r="A40" s="483" t="s">
        <v>290</v>
      </c>
      <c r="B40" s="484" t="s">
        <v>291</v>
      </c>
      <c r="C40" s="485" t="s">
        <v>292</v>
      </c>
      <c r="D40" s="356">
        <v>4</v>
      </c>
      <c r="E40" s="357">
        <v>4</v>
      </c>
      <c r="F40" s="357">
        <v>0</v>
      </c>
      <c r="G40" s="357">
        <v>0</v>
      </c>
      <c r="H40" s="358">
        <v>4</v>
      </c>
      <c r="I40" s="79"/>
      <c r="J40" s="72"/>
      <c r="K40" s="72"/>
      <c r="L40" s="72"/>
      <c r="M40" s="324"/>
      <c r="N40" s="324"/>
      <c r="O40" s="429"/>
    </row>
    <row r="41" spans="1:15" ht="12.75" customHeight="1" x14ac:dyDescent="0.2">
      <c r="A41" s="474" t="s">
        <v>357</v>
      </c>
      <c r="B41" s="354" t="s">
        <v>358</v>
      </c>
      <c r="C41" s="482" t="s">
        <v>359</v>
      </c>
      <c r="D41" s="352">
        <v>4</v>
      </c>
      <c r="E41" s="351">
        <v>4</v>
      </c>
      <c r="F41" s="351">
        <v>0</v>
      </c>
      <c r="G41" s="351">
        <v>0</v>
      </c>
      <c r="H41" s="353">
        <v>4</v>
      </c>
      <c r="I41" s="79"/>
      <c r="J41" s="72"/>
      <c r="K41" s="72"/>
      <c r="L41" s="72"/>
      <c r="M41" s="324"/>
      <c r="N41" s="324"/>
      <c r="O41" s="429"/>
    </row>
    <row r="42" spans="1:15" ht="12.75" customHeight="1" x14ac:dyDescent="0.2">
      <c r="A42" s="480" t="s">
        <v>575</v>
      </c>
      <c r="B42" s="499" t="s">
        <v>576</v>
      </c>
      <c r="C42" s="498" t="s">
        <v>577</v>
      </c>
      <c r="D42" s="352">
        <v>4</v>
      </c>
      <c r="E42" s="351">
        <v>0</v>
      </c>
      <c r="F42" s="351">
        <v>0</v>
      </c>
      <c r="G42" s="351">
        <v>4</v>
      </c>
      <c r="H42" s="353">
        <v>4</v>
      </c>
      <c r="I42" s="79"/>
      <c r="J42" s="72"/>
      <c r="K42" s="72"/>
      <c r="L42" s="72"/>
      <c r="M42" s="324"/>
      <c r="N42" s="324"/>
      <c r="O42" s="429"/>
    </row>
    <row r="43" spans="1:15" ht="12.75" customHeight="1" x14ac:dyDescent="0.2">
      <c r="A43" s="480" t="s">
        <v>578</v>
      </c>
      <c r="B43" s="499" t="s">
        <v>579</v>
      </c>
      <c r="C43" s="500" t="s">
        <v>580</v>
      </c>
      <c r="D43" s="352">
        <v>4</v>
      </c>
      <c r="E43" s="351">
        <v>4</v>
      </c>
      <c r="F43" s="351">
        <v>0</v>
      </c>
      <c r="G43" s="351">
        <v>0</v>
      </c>
      <c r="H43" s="353">
        <v>4</v>
      </c>
      <c r="I43" s="79"/>
      <c r="J43" s="72"/>
      <c r="K43" s="72"/>
      <c r="L43" s="72"/>
      <c r="M43" s="324"/>
      <c r="N43" s="324"/>
      <c r="O43" s="429"/>
    </row>
    <row r="44" spans="1:15" ht="12.75" customHeight="1" x14ac:dyDescent="0.2">
      <c r="A44" s="483" t="s">
        <v>73</v>
      </c>
      <c r="B44" s="484" t="s">
        <v>160</v>
      </c>
      <c r="C44" s="485" t="s">
        <v>223</v>
      </c>
      <c r="D44" s="356">
        <v>3</v>
      </c>
      <c r="E44" s="357">
        <v>0</v>
      </c>
      <c r="F44" s="357">
        <v>0</v>
      </c>
      <c r="G44" s="357">
        <v>3</v>
      </c>
      <c r="H44" s="358">
        <v>3</v>
      </c>
      <c r="I44" s="79"/>
      <c r="J44" s="72"/>
      <c r="K44" s="72"/>
      <c r="L44" s="72"/>
      <c r="M44" s="324"/>
      <c r="N44" s="324"/>
      <c r="O44" s="429"/>
    </row>
    <row r="45" spans="1:15" ht="12.75" customHeight="1" x14ac:dyDescent="0.2">
      <c r="A45" s="483" t="s">
        <v>128</v>
      </c>
      <c r="B45" s="484" t="s">
        <v>164</v>
      </c>
      <c r="C45" s="485" t="s">
        <v>224</v>
      </c>
      <c r="D45" s="356">
        <v>3</v>
      </c>
      <c r="E45" s="357">
        <v>0</v>
      </c>
      <c r="F45" s="357">
        <v>0</v>
      </c>
      <c r="G45" s="357">
        <v>3</v>
      </c>
      <c r="H45" s="358">
        <v>3</v>
      </c>
      <c r="I45" s="79"/>
      <c r="J45" s="72"/>
      <c r="K45" s="72"/>
      <c r="L45" s="72"/>
      <c r="M45" s="324"/>
      <c r="N45" s="324"/>
      <c r="O45" s="429"/>
    </row>
    <row r="46" spans="1:15" ht="12.75" customHeight="1" x14ac:dyDescent="0.2">
      <c r="A46" s="483" t="s">
        <v>141</v>
      </c>
      <c r="B46" s="484" t="s">
        <v>168</v>
      </c>
      <c r="C46" s="485" t="s">
        <v>226</v>
      </c>
      <c r="D46" s="356">
        <v>3</v>
      </c>
      <c r="E46" s="357">
        <v>0</v>
      </c>
      <c r="F46" s="357">
        <v>0</v>
      </c>
      <c r="G46" s="357">
        <v>3</v>
      </c>
      <c r="H46" s="358">
        <v>3</v>
      </c>
      <c r="I46" s="79"/>
      <c r="J46" s="72"/>
      <c r="K46" s="72"/>
      <c r="L46" s="72"/>
      <c r="M46" s="324"/>
      <c r="N46" s="324"/>
      <c r="O46" s="429"/>
    </row>
    <row r="47" spans="1:15" ht="12.75" customHeight="1" x14ac:dyDescent="0.2">
      <c r="A47" s="483" t="s">
        <v>319</v>
      </c>
      <c r="B47" s="484" t="s">
        <v>320</v>
      </c>
      <c r="C47" s="485" t="s">
        <v>321</v>
      </c>
      <c r="D47" s="356">
        <v>3</v>
      </c>
      <c r="E47" s="357">
        <v>3</v>
      </c>
      <c r="F47" s="357">
        <v>0</v>
      </c>
      <c r="G47" s="357">
        <v>0</v>
      </c>
      <c r="H47" s="358">
        <v>3</v>
      </c>
      <c r="I47" s="79"/>
      <c r="J47" s="72"/>
      <c r="K47" s="72"/>
      <c r="L47" s="72"/>
      <c r="M47" s="324"/>
      <c r="N47" s="324"/>
      <c r="O47" s="429"/>
    </row>
    <row r="48" spans="1:15" ht="12.75" customHeight="1" x14ac:dyDescent="0.2">
      <c r="A48" s="483" t="s">
        <v>445</v>
      </c>
      <c r="B48" s="484" t="s">
        <v>446</v>
      </c>
      <c r="C48" s="485" t="s">
        <v>447</v>
      </c>
      <c r="D48" s="356">
        <v>3</v>
      </c>
      <c r="E48" s="357">
        <v>3</v>
      </c>
      <c r="F48" s="357">
        <v>0</v>
      </c>
      <c r="G48" s="357">
        <v>0</v>
      </c>
      <c r="H48" s="358">
        <v>3</v>
      </c>
      <c r="I48" s="79"/>
      <c r="J48" s="72"/>
      <c r="K48" s="72"/>
      <c r="L48" s="72"/>
      <c r="M48" s="324"/>
      <c r="N48" s="324"/>
      <c r="O48" s="429"/>
    </row>
    <row r="49" spans="1:15" ht="12.75" customHeight="1" x14ac:dyDescent="0.2">
      <c r="A49" s="483" t="s">
        <v>322</v>
      </c>
      <c r="B49" s="484" t="s">
        <v>323</v>
      </c>
      <c r="C49" s="485" t="s">
        <v>324</v>
      </c>
      <c r="D49" s="356">
        <v>3</v>
      </c>
      <c r="E49" s="357">
        <v>0</v>
      </c>
      <c r="F49" s="357">
        <v>0</v>
      </c>
      <c r="G49" s="357">
        <v>3</v>
      </c>
      <c r="H49" s="358">
        <v>3</v>
      </c>
      <c r="I49" s="79"/>
      <c r="J49" s="72"/>
      <c r="K49" s="72"/>
      <c r="L49" s="72"/>
      <c r="M49" s="324"/>
      <c r="N49" s="324"/>
      <c r="O49" s="429"/>
    </row>
    <row r="50" spans="1:15" ht="12.75" customHeight="1" x14ac:dyDescent="0.2">
      <c r="A50" s="480" t="s">
        <v>581</v>
      </c>
      <c r="B50" s="499" t="s">
        <v>582</v>
      </c>
      <c r="C50" s="498" t="s">
        <v>583</v>
      </c>
      <c r="D50" s="356">
        <v>3</v>
      </c>
      <c r="E50" s="357">
        <v>0</v>
      </c>
      <c r="F50" s="357">
        <v>0</v>
      </c>
      <c r="G50" s="357">
        <v>3</v>
      </c>
      <c r="H50" s="358">
        <v>3</v>
      </c>
      <c r="I50" s="79"/>
      <c r="J50" s="72"/>
      <c r="K50" s="72"/>
      <c r="L50" s="72"/>
      <c r="M50" s="324"/>
      <c r="N50" s="324"/>
      <c r="O50" s="429"/>
    </row>
    <row r="51" spans="1:15" ht="12.75" customHeight="1" x14ac:dyDescent="0.2">
      <c r="A51" s="474" t="s">
        <v>448</v>
      </c>
      <c r="B51" s="354" t="s">
        <v>449</v>
      </c>
      <c r="C51" s="482" t="s">
        <v>450</v>
      </c>
      <c r="D51" s="352">
        <v>3</v>
      </c>
      <c r="E51" s="351">
        <v>3</v>
      </c>
      <c r="F51" s="351">
        <v>0</v>
      </c>
      <c r="G51" s="351">
        <v>0</v>
      </c>
      <c r="H51" s="353">
        <v>3</v>
      </c>
      <c r="I51" s="79"/>
      <c r="J51" s="72"/>
      <c r="K51" s="72"/>
      <c r="L51" s="72"/>
      <c r="M51" s="324"/>
      <c r="N51" s="324"/>
      <c r="O51" s="429"/>
    </row>
    <row r="52" spans="1:15" ht="12.75" customHeight="1" x14ac:dyDescent="0.2">
      <c r="A52" s="483" t="s">
        <v>153</v>
      </c>
      <c r="B52" s="484" t="s">
        <v>154</v>
      </c>
      <c r="C52" s="485" t="s">
        <v>155</v>
      </c>
      <c r="D52" s="356">
        <v>3</v>
      </c>
      <c r="E52" s="357">
        <v>0</v>
      </c>
      <c r="F52" s="357">
        <v>1</v>
      </c>
      <c r="G52" s="357">
        <v>2</v>
      </c>
      <c r="H52" s="358">
        <v>2</v>
      </c>
      <c r="I52" s="79"/>
      <c r="J52" s="72"/>
      <c r="K52" s="72"/>
      <c r="L52" s="72"/>
      <c r="M52" s="324"/>
      <c r="N52" s="324"/>
      <c r="O52" s="429"/>
    </row>
    <row r="53" spans="1:15" ht="12.75" customHeight="1" x14ac:dyDescent="0.2">
      <c r="A53" s="483" t="s">
        <v>140</v>
      </c>
      <c r="B53" s="484" t="s">
        <v>167</v>
      </c>
      <c r="C53" s="485" t="s">
        <v>225</v>
      </c>
      <c r="D53" s="356">
        <v>3</v>
      </c>
      <c r="E53" s="357">
        <v>2</v>
      </c>
      <c r="F53" s="357">
        <v>1</v>
      </c>
      <c r="G53" s="357">
        <v>0</v>
      </c>
      <c r="H53" s="358">
        <v>2</v>
      </c>
      <c r="I53" s="79"/>
      <c r="J53" s="72"/>
      <c r="K53" s="72"/>
      <c r="L53" s="72"/>
      <c r="M53" s="324"/>
      <c r="N53" s="324"/>
      <c r="O53" s="429"/>
    </row>
    <row r="54" spans="1:15" ht="12.75" customHeight="1" x14ac:dyDescent="0.2">
      <c r="A54" s="480" t="s">
        <v>584</v>
      </c>
      <c r="B54" s="499" t="s">
        <v>439</v>
      </c>
      <c r="C54" s="498" t="s">
        <v>585</v>
      </c>
      <c r="D54" s="356">
        <v>3</v>
      </c>
      <c r="E54" s="357">
        <v>0</v>
      </c>
      <c r="F54" s="357">
        <v>0</v>
      </c>
      <c r="G54" s="357">
        <v>3</v>
      </c>
      <c r="H54" s="358">
        <v>3</v>
      </c>
      <c r="I54" s="79"/>
      <c r="J54" s="72"/>
      <c r="K54" s="72"/>
      <c r="L54" s="72"/>
      <c r="M54" s="324"/>
      <c r="N54" s="324"/>
      <c r="O54" s="429"/>
    </row>
    <row r="55" spans="1:15" ht="12.75" customHeight="1" x14ac:dyDescent="0.2">
      <c r="A55" s="483" t="s">
        <v>176</v>
      </c>
      <c r="B55" s="484" t="s">
        <v>177</v>
      </c>
      <c r="C55" s="485" t="s">
        <v>227</v>
      </c>
      <c r="D55" s="356">
        <v>3</v>
      </c>
      <c r="E55" s="357">
        <v>0</v>
      </c>
      <c r="F55" s="357">
        <v>0</v>
      </c>
      <c r="G55" s="357">
        <v>3</v>
      </c>
      <c r="H55" s="358">
        <v>3</v>
      </c>
      <c r="I55" s="79"/>
      <c r="J55" s="72"/>
      <c r="K55" s="72"/>
      <c r="L55" s="72"/>
      <c r="M55" s="324"/>
      <c r="N55" s="324"/>
      <c r="O55" s="429"/>
    </row>
    <row r="56" spans="1:15" ht="12.75" customHeight="1" x14ac:dyDescent="0.2">
      <c r="A56" s="483" t="s">
        <v>127</v>
      </c>
      <c r="B56" s="484" t="s">
        <v>165</v>
      </c>
      <c r="C56" s="485" t="s">
        <v>228</v>
      </c>
      <c r="D56" s="352">
        <v>2</v>
      </c>
      <c r="E56" s="351">
        <v>2</v>
      </c>
      <c r="F56" s="351">
        <v>0</v>
      </c>
      <c r="G56" s="351">
        <v>0</v>
      </c>
      <c r="H56" s="353">
        <v>2</v>
      </c>
      <c r="I56" s="79"/>
      <c r="J56" s="72"/>
      <c r="K56" s="72"/>
      <c r="L56" s="72"/>
      <c r="M56" s="324"/>
      <c r="N56" s="324"/>
      <c r="O56" s="429"/>
    </row>
    <row r="57" spans="1:15" ht="12.75" customHeight="1" x14ac:dyDescent="0.2">
      <c r="A57" s="483" t="s">
        <v>229</v>
      </c>
      <c r="B57" s="484" t="s">
        <v>230</v>
      </c>
      <c r="C57" s="485" t="s">
        <v>231</v>
      </c>
      <c r="D57" s="356">
        <v>2</v>
      </c>
      <c r="E57" s="357">
        <v>0</v>
      </c>
      <c r="F57" s="357">
        <v>0</v>
      </c>
      <c r="G57" s="357">
        <v>2</v>
      </c>
      <c r="H57" s="358">
        <v>2</v>
      </c>
      <c r="I57" s="79"/>
      <c r="J57" s="72"/>
      <c r="K57" s="72"/>
      <c r="L57" s="72"/>
      <c r="M57" s="324"/>
      <c r="N57" s="324"/>
      <c r="O57" s="429"/>
    </row>
    <row r="58" spans="1:15" ht="12.75" customHeight="1" x14ac:dyDescent="0.2">
      <c r="A58" s="474" t="s">
        <v>361</v>
      </c>
      <c r="B58" s="354" t="s">
        <v>362</v>
      </c>
      <c r="C58" s="482" t="s">
        <v>363</v>
      </c>
      <c r="D58" s="352">
        <v>2</v>
      </c>
      <c r="E58" s="351">
        <v>2</v>
      </c>
      <c r="F58" s="351">
        <v>0</v>
      </c>
      <c r="G58" s="351">
        <v>0</v>
      </c>
      <c r="H58" s="353">
        <v>2</v>
      </c>
      <c r="I58" s="79"/>
      <c r="J58" s="72"/>
      <c r="K58" s="72"/>
      <c r="L58" s="72"/>
      <c r="M58" s="324"/>
      <c r="N58" s="324"/>
      <c r="O58" s="429"/>
    </row>
    <row r="59" spans="1:15" ht="12.75" customHeight="1" x14ac:dyDescent="0.2">
      <c r="A59" s="474" t="s">
        <v>364</v>
      </c>
      <c r="B59" s="354" t="s">
        <v>365</v>
      </c>
      <c r="C59" s="482" t="s">
        <v>366</v>
      </c>
      <c r="D59" s="352">
        <v>2</v>
      </c>
      <c r="E59" s="351">
        <v>0</v>
      </c>
      <c r="F59" s="351">
        <v>0</v>
      </c>
      <c r="G59" s="351">
        <v>2</v>
      </c>
      <c r="H59" s="353">
        <v>2</v>
      </c>
      <c r="I59" s="79"/>
      <c r="J59" s="72"/>
      <c r="K59" s="72"/>
      <c r="L59" s="72"/>
      <c r="M59" s="324"/>
      <c r="N59" s="324"/>
      <c r="O59" s="429"/>
    </row>
    <row r="60" spans="1:15" ht="12.75" customHeight="1" x14ac:dyDescent="0.2">
      <c r="A60" s="483" t="s">
        <v>325</v>
      </c>
      <c r="B60" s="484" t="s">
        <v>326</v>
      </c>
      <c r="C60" s="485" t="s">
        <v>327</v>
      </c>
      <c r="D60" s="356">
        <v>2</v>
      </c>
      <c r="E60" s="357">
        <v>0</v>
      </c>
      <c r="F60" s="357">
        <v>1</v>
      </c>
      <c r="G60" s="357">
        <v>1</v>
      </c>
      <c r="H60" s="358">
        <v>1</v>
      </c>
      <c r="I60" s="79"/>
      <c r="J60" s="72"/>
      <c r="K60" s="72"/>
      <c r="L60" s="72"/>
      <c r="M60" s="324"/>
      <c r="N60" s="324"/>
      <c r="O60" s="429"/>
    </row>
    <row r="61" spans="1:15" ht="12.75" customHeight="1" x14ac:dyDescent="0.2">
      <c r="A61" s="474" t="s">
        <v>367</v>
      </c>
      <c r="B61" s="354" t="s">
        <v>368</v>
      </c>
      <c r="C61" s="482" t="s">
        <v>369</v>
      </c>
      <c r="D61" s="352">
        <v>2</v>
      </c>
      <c r="E61" s="351">
        <v>0</v>
      </c>
      <c r="F61" s="351">
        <v>0</v>
      </c>
      <c r="G61" s="351">
        <v>2</v>
      </c>
      <c r="H61" s="353">
        <v>2</v>
      </c>
      <c r="I61" s="79"/>
      <c r="J61" s="72"/>
      <c r="K61" s="72"/>
      <c r="L61" s="72"/>
      <c r="M61" s="324"/>
      <c r="N61" s="324"/>
      <c r="O61" s="429"/>
    </row>
    <row r="62" spans="1:15" ht="12.75" customHeight="1" x14ac:dyDescent="0.2">
      <c r="A62" s="474" t="s">
        <v>370</v>
      </c>
      <c r="B62" s="354" t="s">
        <v>371</v>
      </c>
      <c r="C62" s="482" t="s">
        <v>372</v>
      </c>
      <c r="D62" s="352">
        <v>2</v>
      </c>
      <c r="E62" s="351">
        <v>2</v>
      </c>
      <c r="F62" s="351">
        <v>0</v>
      </c>
      <c r="G62" s="351">
        <v>0</v>
      </c>
      <c r="H62" s="353">
        <v>2</v>
      </c>
      <c r="I62" s="79"/>
      <c r="J62" s="72"/>
      <c r="K62" s="72"/>
      <c r="L62" s="72"/>
      <c r="M62" s="324"/>
      <c r="N62" s="324"/>
      <c r="O62" s="429"/>
    </row>
    <row r="63" spans="1:15" ht="12.75" customHeight="1" x14ac:dyDescent="0.2">
      <c r="A63" s="474" t="s">
        <v>373</v>
      </c>
      <c r="B63" s="354" t="s">
        <v>374</v>
      </c>
      <c r="C63" s="482" t="s">
        <v>375</v>
      </c>
      <c r="D63" s="352">
        <v>2</v>
      </c>
      <c r="E63" s="351">
        <v>0</v>
      </c>
      <c r="F63" s="351">
        <v>0</v>
      </c>
      <c r="G63" s="351">
        <v>2</v>
      </c>
      <c r="H63" s="353">
        <v>2</v>
      </c>
      <c r="I63" s="79"/>
      <c r="J63" s="72"/>
      <c r="K63" s="72"/>
      <c r="L63" s="72"/>
      <c r="M63" s="324"/>
      <c r="N63" s="324"/>
      <c r="O63" s="429"/>
    </row>
    <row r="64" spans="1:15" ht="12.75" customHeight="1" x14ac:dyDescent="0.2">
      <c r="A64" s="480" t="s">
        <v>586</v>
      </c>
      <c r="B64" s="499" t="s">
        <v>587</v>
      </c>
      <c r="C64" s="498" t="s">
        <v>588</v>
      </c>
      <c r="D64" s="352">
        <v>2</v>
      </c>
      <c r="E64" s="351">
        <v>0</v>
      </c>
      <c r="F64" s="351">
        <v>0</v>
      </c>
      <c r="G64" s="351">
        <v>2</v>
      </c>
      <c r="H64" s="353">
        <v>2</v>
      </c>
      <c r="I64" s="79"/>
      <c r="J64" s="72"/>
      <c r="K64" s="72"/>
      <c r="L64" s="72"/>
      <c r="M64" s="324"/>
      <c r="N64" s="324"/>
      <c r="O64" s="429"/>
    </row>
    <row r="65" spans="1:15" ht="12.75" customHeight="1" x14ac:dyDescent="0.2">
      <c r="A65" s="474" t="s">
        <v>451</v>
      </c>
      <c r="B65" s="354" t="s">
        <v>452</v>
      </c>
      <c r="C65" s="482" t="s">
        <v>453</v>
      </c>
      <c r="D65" s="352">
        <v>2</v>
      </c>
      <c r="E65" s="351">
        <v>0</v>
      </c>
      <c r="F65" s="351">
        <v>0</v>
      </c>
      <c r="G65" s="351">
        <v>2</v>
      </c>
      <c r="H65" s="353">
        <v>2</v>
      </c>
      <c r="I65" s="79"/>
      <c r="J65" s="72"/>
      <c r="K65" s="72"/>
      <c r="L65" s="72"/>
      <c r="M65" s="324"/>
      <c r="N65" s="324"/>
      <c r="O65" s="429"/>
    </row>
    <row r="66" spans="1:15" ht="12.75" customHeight="1" x14ac:dyDescent="0.2">
      <c r="A66" s="474" t="s">
        <v>454</v>
      </c>
      <c r="B66" s="354" t="s">
        <v>455</v>
      </c>
      <c r="C66" s="482" t="s">
        <v>456</v>
      </c>
      <c r="D66" s="352">
        <v>2</v>
      </c>
      <c r="E66" s="351">
        <v>0</v>
      </c>
      <c r="F66" s="351">
        <v>0</v>
      </c>
      <c r="G66" s="351">
        <v>2</v>
      </c>
      <c r="H66" s="353">
        <v>2</v>
      </c>
      <c r="I66" s="79"/>
      <c r="J66" s="72"/>
      <c r="K66" s="72"/>
      <c r="L66" s="72"/>
      <c r="M66" s="324"/>
      <c r="N66" s="324"/>
      <c r="O66" s="429"/>
    </row>
    <row r="67" spans="1:15" ht="12.75" customHeight="1" x14ac:dyDescent="0.2">
      <c r="A67" s="474" t="s">
        <v>457</v>
      </c>
      <c r="B67" s="354" t="s">
        <v>458</v>
      </c>
      <c r="C67" s="482" t="s">
        <v>459</v>
      </c>
      <c r="D67" s="352">
        <v>2</v>
      </c>
      <c r="E67" s="351">
        <v>2</v>
      </c>
      <c r="F67" s="351">
        <v>0</v>
      </c>
      <c r="G67" s="351">
        <v>0</v>
      </c>
      <c r="H67" s="353">
        <v>2</v>
      </c>
      <c r="I67" s="79"/>
      <c r="J67" s="72"/>
      <c r="K67" s="72"/>
      <c r="L67" s="72"/>
      <c r="M67" s="324"/>
      <c r="N67" s="324"/>
      <c r="O67" s="429"/>
    </row>
    <row r="68" spans="1:15" ht="12.75" customHeight="1" x14ac:dyDescent="0.2">
      <c r="A68" s="480" t="s">
        <v>589</v>
      </c>
      <c r="B68" s="499" t="s">
        <v>590</v>
      </c>
      <c r="C68" s="498" t="s">
        <v>591</v>
      </c>
      <c r="D68" s="352">
        <v>2</v>
      </c>
      <c r="E68" s="351">
        <v>0</v>
      </c>
      <c r="F68" s="351">
        <v>0</v>
      </c>
      <c r="G68" s="351">
        <v>2</v>
      </c>
      <c r="H68" s="353">
        <v>2</v>
      </c>
      <c r="I68" s="79"/>
      <c r="J68" s="72"/>
      <c r="K68" s="72"/>
      <c r="L68" s="72"/>
      <c r="M68" s="324"/>
      <c r="N68" s="324"/>
      <c r="O68" s="429"/>
    </row>
    <row r="69" spans="1:15" ht="12.75" customHeight="1" x14ac:dyDescent="0.2">
      <c r="A69" s="480" t="s">
        <v>592</v>
      </c>
      <c r="B69" s="499" t="s">
        <v>593</v>
      </c>
      <c r="C69" s="502" t="s">
        <v>594</v>
      </c>
      <c r="D69" s="352">
        <v>2</v>
      </c>
      <c r="E69" s="351">
        <v>0</v>
      </c>
      <c r="F69" s="351">
        <v>0</v>
      </c>
      <c r="G69" s="351">
        <v>2</v>
      </c>
      <c r="H69" s="353">
        <v>2</v>
      </c>
      <c r="I69" s="79"/>
      <c r="J69" s="72"/>
      <c r="K69" s="72"/>
      <c r="L69" s="72"/>
      <c r="M69" s="324"/>
      <c r="N69" s="324"/>
      <c r="O69" s="429"/>
    </row>
    <row r="70" spans="1:15" ht="12.75" customHeight="1" x14ac:dyDescent="0.2">
      <c r="A70" s="480" t="s">
        <v>595</v>
      </c>
      <c r="B70" s="499" t="s">
        <v>582</v>
      </c>
      <c r="C70" s="498" t="s">
        <v>596</v>
      </c>
      <c r="D70" s="352">
        <v>2</v>
      </c>
      <c r="E70" s="351">
        <v>0</v>
      </c>
      <c r="F70" s="351">
        <v>0</v>
      </c>
      <c r="G70" s="351">
        <v>2</v>
      </c>
      <c r="H70" s="353">
        <v>2</v>
      </c>
      <c r="I70" s="79"/>
      <c r="J70" s="72"/>
      <c r="K70" s="72"/>
      <c r="L70" s="72"/>
      <c r="M70" s="324"/>
      <c r="N70" s="324"/>
      <c r="O70" s="429"/>
    </row>
    <row r="71" spans="1:15" ht="12.75" customHeight="1" x14ac:dyDescent="0.2">
      <c r="A71" s="483" t="s">
        <v>151</v>
      </c>
      <c r="B71" s="484" t="s">
        <v>152</v>
      </c>
      <c r="C71" s="485" t="s">
        <v>222</v>
      </c>
      <c r="D71" s="356">
        <v>1</v>
      </c>
      <c r="E71" s="357">
        <v>1</v>
      </c>
      <c r="F71" s="357">
        <v>0</v>
      </c>
      <c r="G71" s="357">
        <v>0</v>
      </c>
      <c r="H71" s="358">
        <v>1</v>
      </c>
      <c r="I71" s="79"/>
      <c r="J71" s="72"/>
      <c r="K71" s="72"/>
      <c r="L71" s="72"/>
      <c r="M71" s="324"/>
      <c r="N71" s="324"/>
      <c r="O71" s="429"/>
    </row>
    <row r="72" spans="1:15" ht="12.75" customHeight="1" x14ac:dyDescent="0.2">
      <c r="A72" s="483" t="s">
        <v>65</v>
      </c>
      <c r="B72" s="484" t="s">
        <v>161</v>
      </c>
      <c r="C72" s="485" t="s">
        <v>66</v>
      </c>
      <c r="D72" s="356">
        <v>1</v>
      </c>
      <c r="E72" s="357">
        <v>1</v>
      </c>
      <c r="F72" s="357">
        <v>0</v>
      </c>
      <c r="G72" s="357">
        <v>0</v>
      </c>
      <c r="H72" s="358">
        <v>1</v>
      </c>
      <c r="I72" s="79"/>
      <c r="J72" s="72"/>
      <c r="K72" s="72"/>
      <c r="L72" s="72"/>
      <c r="M72" s="324"/>
      <c r="N72" s="324"/>
      <c r="O72" s="429"/>
    </row>
    <row r="73" spans="1:15" ht="12.75" customHeight="1" x14ac:dyDescent="0.2">
      <c r="A73" s="483" t="s">
        <v>67</v>
      </c>
      <c r="B73" s="484" t="s">
        <v>162</v>
      </c>
      <c r="C73" s="485" t="s">
        <v>233</v>
      </c>
      <c r="D73" s="356">
        <v>1</v>
      </c>
      <c r="E73" s="357">
        <v>1</v>
      </c>
      <c r="F73" s="357">
        <v>0</v>
      </c>
      <c r="G73" s="357">
        <v>0</v>
      </c>
      <c r="H73" s="358">
        <v>1</v>
      </c>
      <c r="I73" s="79"/>
      <c r="J73" s="72"/>
      <c r="K73" s="72"/>
      <c r="L73" s="72"/>
      <c r="M73" s="324"/>
      <c r="N73" s="324"/>
      <c r="O73" s="429"/>
    </row>
    <row r="74" spans="1:15" ht="12.75" customHeight="1" x14ac:dyDescent="0.2">
      <c r="A74" s="483" t="s">
        <v>68</v>
      </c>
      <c r="B74" s="484" t="s">
        <v>163</v>
      </c>
      <c r="C74" s="485" t="s">
        <v>234</v>
      </c>
      <c r="D74" s="356">
        <v>1</v>
      </c>
      <c r="E74" s="357">
        <v>1</v>
      </c>
      <c r="F74" s="357">
        <v>0</v>
      </c>
      <c r="G74" s="357">
        <v>0</v>
      </c>
      <c r="H74" s="358">
        <v>1</v>
      </c>
      <c r="I74" s="79"/>
      <c r="J74" s="72"/>
      <c r="K74" s="72"/>
      <c r="L74" s="72"/>
      <c r="M74" s="324"/>
      <c r="N74" s="324"/>
      <c r="O74" s="429"/>
    </row>
    <row r="75" spans="1:15" ht="12.75" customHeight="1" x14ac:dyDescent="0.2">
      <c r="A75" s="483" t="s">
        <v>129</v>
      </c>
      <c r="B75" s="484" t="s">
        <v>166</v>
      </c>
      <c r="C75" s="485" t="s">
        <v>235</v>
      </c>
      <c r="D75" s="356">
        <v>1</v>
      </c>
      <c r="E75" s="357">
        <v>0</v>
      </c>
      <c r="F75" s="357">
        <v>0</v>
      </c>
      <c r="G75" s="357">
        <v>1</v>
      </c>
      <c r="H75" s="358">
        <v>1</v>
      </c>
      <c r="I75" s="79"/>
      <c r="J75" s="72"/>
      <c r="K75" s="72"/>
      <c r="L75" s="72"/>
      <c r="M75" s="324"/>
      <c r="N75" s="324"/>
      <c r="O75" s="429"/>
    </row>
    <row r="76" spans="1:15" ht="12.75" customHeight="1" x14ac:dyDescent="0.2">
      <c r="A76" s="483" t="s">
        <v>293</v>
      </c>
      <c r="B76" s="484" t="s">
        <v>294</v>
      </c>
      <c r="C76" s="485" t="s">
        <v>295</v>
      </c>
      <c r="D76" s="356">
        <v>1</v>
      </c>
      <c r="E76" s="357">
        <v>1</v>
      </c>
      <c r="F76" s="357">
        <v>0</v>
      </c>
      <c r="G76" s="357">
        <v>0</v>
      </c>
      <c r="H76" s="358">
        <v>1</v>
      </c>
      <c r="I76" s="79"/>
      <c r="J76" s="72"/>
      <c r="K76" s="72"/>
      <c r="L76" s="72"/>
      <c r="M76" s="324"/>
      <c r="N76" s="324"/>
      <c r="O76" s="429"/>
    </row>
    <row r="77" spans="1:15" ht="12.75" customHeight="1" x14ac:dyDescent="0.2">
      <c r="A77" s="483" t="s">
        <v>169</v>
      </c>
      <c r="B77" s="484" t="s">
        <v>170</v>
      </c>
      <c r="C77" s="485" t="s">
        <v>171</v>
      </c>
      <c r="D77" s="356">
        <v>1</v>
      </c>
      <c r="E77" s="357">
        <v>1</v>
      </c>
      <c r="F77" s="357">
        <v>0</v>
      </c>
      <c r="G77" s="357">
        <v>0</v>
      </c>
      <c r="H77" s="358">
        <v>1</v>
      </c>
      <c r="I77" s="79"/>
      <c r="J77" s="72"/>
      <c r="K77" s="72"/>
      <c r="L77" s="72"/>
      <c r="M77" s="324"/>
      <c r="N77" s="324"/>
      <c r="O77" s="429"/>
    </row>
    <row r="78" spans="1:15" ht="12.75" customHeight="1" x14ac:dyDescent="0.2">
      <c r="A78" s="483" t="s">
        <v>236</v>
      </c>
      <c r="B78" s="484" t="s">
        <v>237</v>
      </c>
      <c r="C78" s="485" t="s">
        <v>238</v>
      </c>
      <c r="D78" s="356">
        <v>1</v>
      </c>
      <c r="E78" s="357">
        <v>1</v>
      </c>
      <c r="F78" s="357">
        <v>0</v>
      </c>
      <c r="G78" s="357">
        <v>0</v>
      </c>
      <c r="H78" s="358">
        <v>1</v>
      </c>
      <c r="I78" s="79"/>
      <c r="J78" s="72"/>
      <c r="K78" s="72"/>
      <c r="L78" s="72"/>
      <c r="M78" s="324"/>
      <c r="N78" s="324"/>
      <c r="O78" s="429"/>
    </row>
    <row r="79" spans="1:15" ht="12.75" customHeight="1" x14ac:dyDescent="0.2">
      <c r="A79" s="480" t="s">
        <v>599</v>
      </c>
      <c r="B79" s="499" t="s">
        <v>600</v>
      </c>
      <c r="C79" s="498" t="s">
        <v>601</v>
      </c>
      <c r="D79" s="356">
        <v>1</v>
      </c>
      <c r="E79" s="357">
        <v>0</v>
      </c>
      <c r="F79" s="357">
        <v>0</v>
      </c>
      <c r="G79" s="357">
        <v>1</v>
      </c>
      <c r="H79" s="358">
        <v>1</v>
      </c>
      <c r="I79" s="79"/>
      <c r="J79" s="72"/>
      <c r="K79" s="72"/>
      <c r="L79" s="72"/>
      <c r="M79" s="324"/>
      <c r="N79" s="324"/>
      <c r="O79" s="429"/>
    </row>
    <row r="80" spans="1:15" ht="12.75" customHeight="1" x14ac:dyDescent="0.2">
      <c r="A80" s="483" t="s">
        <v>172</v>
      </c>
      <c r="B80" s="484" t="s">
        <v>173</v>
      </c>
      <c r="C80" s="485" t="s">
        <v>239</v>
      </c>
      <c r="D80" s="356">
        <v>1</v>
      </c>
      <c r="E80" s="357">
        <v>1</v>
      </c>
      <c r="F80" s="357">
        <v>0</v>
      </c>
      <c r="G80" s="357">
        <v>0</v>
      </c>
      <c r="H80" s="358">
        <v>1</v>
      </c>
      <c r="I80" s="79"/>
      <c r="J80" s="72"/>
      <c r="K80" s="72"/>
      <c r="L80" s="72"/>
      <c r="M80" s="324"/>
      <c r="N80" s="324"/>
      <c r="O80" s="429"/>
    </row>
    <row r="81" spans="1:15" ht="12.75" customHeight="1" x14ac:dyDescent="0.2">
      <c r="A81" s="483" t="s">
        <v>174</v>
      </c>
      <c r="B81" s="484" t="s">
        <v>175</v>
      </c>
      <c r="C81" s="485" t="s">
        <v>240</v>
      </c>
      <c r="D81" s="352">
        <v>1</v>
      </c>
      <c r="E81" s="351">
        <v>1</v>
      </c>
      <c r="F81" s="351">
        <v>0</v>
      </c>
      <c r="G81" s="351">
        <v>0</v>
      </c>
      <c r="H81" s="353">
        <v>1</v>
      </c>
      <c r="I81" s="79"/>
      <c r="J81" s="72"/>
      <c r="K81" s="72"/>
      <c r="L81" s="72"/>
      <c r="M81" s="324"/>
      <c r="N81" s="324"/>
      <c r="O81" s="429"/>
    </row>
    <row r="82" spans="1:15" ht="12.75" customHeight="1" x14ac:dyDescent="0.2">
      <c r="A82" s="483" t="s">
        <v>296</v>
      </c>
      <c r="B82" s="484" t="s">
        <v>297</v>
      </c>
      <c r="C82" s="485" t="s">
        <v>298</v>
      </c>
      <c r="D82" s="352">
        <v>1</v>
      </c>
      <c r="E82" s="351">
        <v>1</v>
      </c>
      <c r="F82" s="354">
        <v>0</v>
      </c>
      <c r="G82" s="351">
        <v>0</v>
      </c>
      <c r="H82" s="353">
        <v>1</v>
      </c>
      <c r="I82" s="79"/>
      <c r="J82" s="72"/>
      <c r="K82" s="72"/>
      <c r="L82" s="72"/>
      <c r="M82" s="324"/>
      <c r="N82" s="324"/>
      <c r="O82" s="429"/>
    </row>
    <row r="83" spans="1:15" ht="12.75" customHeight="1" x14ac:dyDescent="0.2">
      <c r="A83" s="483" t="s">
        <v>328</v>
      </c>
      <c r="B83" s="484" t="s">
        <v>243</v>
      </c>
      <c r="C83" s="485" t="s">
        <v>329</v>
      </c>
      <c r="D83" s="356">
        <v>1</v>
      </c>
      <c r="E83" s="357">
        <v>1</v>
      </c>
      <c r="F83" s="357">
        <v>0</v>
      </c>
      <c r="G83" s="357">
        <v>0</v>
      </c>
      <c r="H83" s="358">
        <v>1</v>
      </c>
      <c r="I83" s="79"/>
      <c r="J83" s="72"/>
      <c r="K83" s="72"/>
      <c r="L83" s="72"/>
      <c r="M83" s="324"/>
      <c r="N83" s="324"/>
      <c r="O83" s="429"/>
    </row>
    <row r="84" spans="1:15" ht="12.75" customHeight="1" x14ac:dyDescent="0.2">
      <c r="A84" s="483" t="s">
        <v>330</v>
      </c>
      <c r="B84" s="484" t="s">
        <v>232</v>
      </c>
      <c r="C84" s="485" t="s">
        <v>331</v>
      </c>
      <c r="D84" s="356">
        <v>1</v>
      </c>
      <c r="E84" s="357">
        <v>1</v>
      </c>
      <c r="F84" s="359">
        <v>0</v>
      </c>
      <c r="G84" s="357">
        <v>0</v>
      </c>
      <c r="H84" s="358">
        <v>1</v>
      </c>
      <c r="I84" s="79"/>
      <c r="J84" s="72"/>
      <c r="K84" s="72"/>
      <c r="L84" s="72"/>
      <c r="M84" s="324"/>
      <c r="N84" s="324"/>
      <c r="O84" s="429"/>
    </row>
    <row r="85" spans="1:15" ht="12.75" customHeight="1" x14ac:dyDescent="0.2">
      <c r="A85" s="474" t="s">
        <v>376</v>
      </c>
      <c r="B85" s="354" t="s">
        <v>377</v>
      </c>
      <c r="C85" s="355" t="s">
        <v>378</v>
      </c>
      <c r="D85" s="352">
        <v>1</v>
      </c>
      <c r="E85" s="351">
        <v>0</v>
      </c>
      <c r="F85" s="351">
        <v>0</v>
      </c>
      <c r="G85" s="351">
        <v>1</v>
      </c>
      <c r="H85" s="353">
        <v>1</v>
      </c>
      <c r="I85" s="79"/>
      <c r="J85" s="72"/>
      <c r="K85" s="72"/>
      <c r="L85" s="72"/>
      <c r="M85" s="324"/>
      <c r="N85" s="324"/>
      <c r="O85" s="429"/>
    </row>
    <row r="86" spans="1:15" ht="12.75" customHeight="1" x14ac:dyDescent="0.2">
      <c r="A86" s="483" t="s">
        <v>444</v>
      </c>
      <c r="B86" s="484" t="s">
        <v>333</v>
      </c>
      <c r="C86" s="485" t="s">
        <v>334</v>
      </c>
      <c r="D86" s="356">
        <v>1</v>
      </c>
      <c r="E86" s="357">
        <v>1</v>
      </c>
      <c r="F86" s="357">
        <v>0</v>
      </c>
      <c r="G86" s="357">
        <v>0</v>
      </c>
      <c r="H86" s="358">
        <v>1</v>
      </c>
      <c r="I86" s="79"/>
      <c r="J86" s="72"/>
      <c r="K86" s="72"/>
      <c r="L86" s="72"/>
      <c r="M86" s="324"/>
      <c r="N86" s="324"/>
      <c r="O86" s="429"/>
    </row>
    <row r="87" spans="1:15" ht="12.75" customHeight="1" x14ac:dyDescent="0.2">
      <c r="A87" s="487" t="s">
        <v>460</v>
      </c>
      <c r="B87" s="484" t="s">
        <v>461</v>
      </c>
      <c r="C87" s="485" t="s">
        <v>462</v>
      </c>
      <c r="D87" s="356">
        <v>1</v>
      </c>
      <c r="E87" s="357">
        <v>1</v>
      </c>
      <c r="F87" s="357">
        <v>0</v>
      </c>
      <c r="G87" s="357">
        <v>0</v>
      </c>
      <c r="H87" s="358">
        <v>1</v>
      </c>
      <c r="I87" s="79"/>
      <c r="J87" s="72"/>
      <c r="K87" s="72"/>
      <c r="L87" s="72"/>
      <c r="M87" s="324"/>
      <c r="N87" s="324"/>
      <c r="O87" s="429"/>
    </row>
    <row r="88" spans="1:15" ht="12.75" customHeight="1" x14ac:dyDescent="0.2">
      <c r="A88" s="474" t="s">
        <v>379</v>
      </c>
      <c r="B88" s="354" t="s">
        <v>380</v>
      </c>
      <c r="C88" s="482" t="s">
        <v>381</v>
      </c>
      <c r="D88" s="352">
        <v>1</v>
      </c>
      <c r="E88" s="351">
        <v>1</v>
      </c>
      <c r="F88" s="351">
        <v>0</v>
      </c>
      <c r="G88" s="351">
        <v>0</v>
      </c>
      <c r="H88" s="353">
        <v>1</v>
      </c>
      <c r="I88" s="79"/>
      <c r="J88" s="72"/>
      <c r="K88" s="72"/>
      <c r="L88" s="72"/>
      <c r="M88" s="324"/>
      <c r="N88" s="324"/>
      <c r="O88" s="429"/>
    </row>
    <row r="89" spans="1:15" ht="12.75" customHeight="1" x14ac:dyDescent="0.2">
      <c r="A89" s="483" t="s">
        <v>335</v>
      </c>
      <c r="B89" s="484" t="s">
        <v>336</v>
      </c>
      <c r="C89" s="485" t="s">
        <v>337</v>
      </c>
      <c r="D89" s="356">
        <v>1</v>
      </c>
      <c r="E89" s="357">
        <v>0</v>
      </c>
      <c r="F89" s="357">
        <v>0</v>
      </c>
      <c r="G89" s="357">
        <v>1</v>
      </c>
      <c r="H89" s="358">
        <v>1</v>
      </c>
      <c r="I89" s="79"/>
      <c r="J89" s="72"/>
      <c r="K89" s="72"/>
      <c r="L89" s="72"/>
      <c r="M89" s="324"/>
      <c r="N89" s="324"/>
      <c r="O89" s="429"/>
    </row>
    <row r="90" spans="1:15" ht="12.75" customHeight="1" x14ac:dyDescent="0.2">
      <c r="A90" s="474" t="s">
        <v>382</v>
      </c>
      <c r="B90" s="354" t="s">
        <v>383</v>
      </c>
      <c r="C90" s="482" t="s">
        <v>384</v>
      </c>
      <c r="D90" s="352">
        <v>1</v>
      </c>
      <c r="E90" s="351">
        <v>0</v>
      </c>
      <c r="F90" s="351">
        <v>0</v>
      </c>
      <c r="G90" s="351">
        <v>1</v>
      </c>
      <c r="H90" s="353">
        <v>1</v>
      </c>
      <c r="I90" s="79"/>
      <c r="J90" s="72"/>
      <c r="K90" s="72"/>
      <c r="L90" s="72"/>
      <c r="M90" s="324"/>
      <c r="N90" s="324"/>
      <c r="O90" s="429"/>
    </row>
    <row r="91" spans="1:15" ht="12.75" customHeight="1" x14ac:dyDescent="0.2">
      <c r="A91" s="474" t="s">
        <v>386</v>
      </c>
      <c r="B91" s="354" t="s">
        <v>387</v>
      </c>
      <c r="C91" s="482" t="s">
        <v>388</v>
      </c>
      <c r="D91" s="352">
        <v>1</v>
      </c>
      <c r="E91" s="351">
        <v>0</v>
      </c>
      <c r="F91" s="351">
        <v>0</v>
      </c>
      <c r="G91" s="351">
        <v>1</v>
      </c>
      <c r="H91" s="353">
        <v>1</v>
      </c>
      <c r="I91" s="79"/>
      <c r="J91" s="72"/>
      <c r="K91" s="72"/>
      <c r="L91" s="72"/>
      <c r="M91" s="324"/>
      <c r="N91" s="324"/>
      <c r="O91" s="429"/>
    </row>
    <row r="92" spans="1:15" ht="12.75" customHeight="1" x14ac:dyDescent="0.2">
      <c r="A92" s="474" t="s">
        <v>389</v>
      </c>
      <c r="B92" s="354" t="s">
        <v>390</v>
      </c>
      <c r="C92" s="482" t="s">
        <v>391</v>
      </c>
      <c r="D92" s="352">
        <v>1</v>
      </c>
      <c r="E92" s="354">
        <v>1</v>
      </c>
      <c r="F92" s="354">
        <v>0</v>
      </c>
      <c r="G92" s="351">
        <v>0</v>
      </c>
      <c r="H92" s="355">
        <v>1</v>
      </c>
      <c r="I92" s="79"/>
      <c r="J92" s="72"/>
      <c r="K92" s="72"/>
      <c r="L92" s="72"/>
      <c r="M92" s="324"/>
      <c r="N92" s="324"/>
      <c r="O92" s="429"/>
    </row>
    <row r="93" spans="1:15" ht="12.75" customHeight="1" x14ac:dyDescent="0.2">
      <c r="A93" s="474" t="s">
        <v>463</v>
      </c>
      <c r="B93" s="354" t="s">
        <v>464</v>
      </c>
      <c r="C93" s="482" t="s">
        <v>465</v>
      </c>
      <c r="D93" s="352">
        <v>1</v>
      </c>
      <c r="E93" s="351">
        <v>1</v>
      </c>
      <c r="F93" s="351">
        <v>0</v>
      </c>
      <c r="G93" s="351">
        <v>0</v>
      </c>
      <c r="H93" s="353">
        <v>1</v>
      </c>
      <c r="I93" s="79"/>
      <c r="J93" s="72"/>
      <c r="K93" s="72"/>
      <c r="L93" s="72"/>
      <c r="M93" s="324"/>
      <c r="N93" s="324"/>
      <c r="O93" s="429"/>
    </row>
    <row r="94" spans="1:15" ht="12.75" customHeight="1" x14ac:dyDescent="0.2">
      <c r="A94" s="474" t="s">
        <v>392</v>
      </c>
      <c r="B94" s="354" t="s">
        <v>393</v>
      </c>
      <c r="C94" s="355" t="s">
        <v>394</v>
      </c>
      <c r="D94" s="352">
        <v>1</v>
      </c>
      <c r="E94" s="351">
        <v>1</v>
      </c>
      <c r="F94" s="351">
        <v>0</v>
      </c>
      <c r="G94" s="351">
        <v>0</v>
      </c>
      <c r="H94" s="353">
        <v>1</v>
      </c>
      <c r="I94" s="79"/>
      <c r="J94" s="72"/>
      <c r="K94" s="72"/>
      <c r="L94" s="72"/>
      <c r="M94" s="324"/>
      <c r="N94" s="324"/>
      <c r="O94" s="429"/>
    </row>
    <row r="95" spans="1:15" ht="12.75" customHeight="1" x14ac:dyDescent="0.2">
      <c r="A95" s="474" t="s">
        <v>395</v>
      </c>
      <c r="B95" s="354" t="s">
        <v>396</v>
      </c>
      <c r="C95" s="482" t="s">
        <v>397</v>
      </c>
      <c r="D95" s="352">
        <v>1</v>
      </c>
      <c r="E95" s="351">
        <v>1</v>
      </c>
      <c r="F95" s="351">
        <v>0</v>
      </c>
      <c r="G95" s="351">
        <v>0</v>
      </c>
      <c r="H95" s="353">
        <v>1</v>
      </c>
      <c r="I95" s="79"/>
      <c r="J95" s="72"/>
      <c r="K95" s="72"/>
      <c r="L95" s="72"/>
      <c r="M95" s="324"/>
      <c r="N95" s="324"/>
      <c r="O95" s="429"/>
    </row>
    <row r="96" spans="1:15" ht="12.75" customHeight="1" x14ac:dyDescent="0.2">
      <c r="A96" s="480" t="s">
        <v>602</v>
      </c>
      <c r="B96" s="499" t="s">
        <v>242</v>
      </c>
      <c r="C96" s="498" t="s">
        <v>603</v>
      </c>
      <c r="D96" s="352">
        <v>1</v>
      </c>
      <c r="E96" s="351">
        <v>0</v>
      </c>
      <c r="F96" s="351">
        <v>0</v>
      </c>
      <c r="G96" s="351">
        <v>1</v>
      </c>
      <c r="H96" s="353">
        <v>1</v>
      </c>
      <c r="I96" s="79"/>
      <c r="J96" s="72"/>
      <c r="K96" s="72"/>
      <c r="L96" s="72"/>
      <c r="M96" s="324"/>
      <c r="N96" s="324"/>
      <c r="O96" s="429"/>
    </row>
    <row r="97" spans="1:15" ht="12.75" customHeight="1" x14ac:dyDescent="0.2">
      <c r="A97" s="474" t="s">
        <v>466</v>
      </c>
      <c r="B97" s="354" t="s">
        <v>467</v>
      </c>
      <c r="C97" s="482" t="s">
        <v>468</v>
      </c>
      <c r="D97" s="352">
        <v>1</v>
      </c>
      <c r="E97" s="351">
        <v>0</v>
      </c>
      <c r="F97" s="351">
        <v>0</v>
      </c>
      <c r="G97" s="351">
        <v>1</v>
      </c>
      <c r="H97" s="353">
        <v>1</v>
      </c>
      <c r="I97" s="79"/>
      <c r="J97" s="72"/>
      <c r="K97" s="72"/>
      <c r="L97" s="72"/>
      <c r="M97" s="324"/>
      <c r="N97" s="324"/>
      <c r="O97" s="429"/>
    </row>
    <row r="98" spans="1:15" ht="12.75" customHeight="1" x14ac:dyDescent="0.2">
      <c r="A98" s="474" t="s">
        <v>469</v>
      </c>
      <c r="B98" s="354" t="s">
        <v>332</v>
      </c>
      <c r="C98" s="482" t="s">
        <v>470</v>
      </c>
      <c r="D98" s="352">
        <v>1</v>
      </c>
      <c r="E98" s="354">
        <v>0</v>
      </c>
      <c r="F98" s="354">
        <v>0</v>
      </c>
      <c r="G98" s="351">
        <v>1</v>
      </c>
      <c r="H98" s="355">
        <v>1</v>
      </c>
      <c r="I98" s="79"/>
      <c r="J98" s="72"/>
      <c r="K98" s="72"/>
      <c r="L98" s="72"/>
      <c r="M98" s="324"/>
      <c r="N98" s="324"/>
      <c r="O98" s="429"/>
    </row>
    <row r="99" spans="1:15" ht="12.75" customHeight="1" x14ac:dyDescent="0.2">
      <c r="A99" s="474" t="s">
        <v>398</v>
      </c>
      <c r="B99" s="354" t="s">
        <v>241</v>
      </c>
      <c r="C99" s="482" t="s">
        <v>399</v>
      </c>
      <c r="D99" s="352">
        <v>1</v>
      </c>
      <c r="E99" s="351">
        <v>-1</v>
      </c>
      <c r="F99" s="351">
        <v>0</v>
      </c>
      <c r="G99" s="351">
        <v>2</v>
      </c>
      <c r="H99" s="353">
        <v>1</v>
      </c>
      <c r="I99" s="79"/>
      <c r="J99" s="72"/>
      <c r="K99" s="72"/>
      <c r="L99" s="72"/>
      <c r="M99" s="324"/>
      <c r="N99" s="324"/>
      <c r="O99" s="429"/>
    </row>
    <row r="100" spans="1:15" ht="12.75" customHeight="1" x14ac:dyDescent="0.2">
      <c r="A100" s="474" t="s">
        <v>471</v>
      </c>
      <c r="B100" s="354" t="s">
        <v>472</v>
      </c>
      <c r="C100" s="482" t="s">
        <v>473</v>
      </c>
      <c r="D100" s="352">
        <v>1</v>
      </c>
      <c r="E100" s="351">
        <v>1</v>
      </c>
      <c r="F100" s="351">
        <v>0</v>
      </c>
      <c r="G100" s="351">
        <v>0</v>
      </c>
      <c r="H100" s="353">
        <v>1</v>
      </c>
      <c r="I100" s="79"/>
      <c r="J100" s="72"/>
      <c r="K100" s="72"/>
      <c r="L100" s="72"/>
      <c r="M100" s="324"/>
      <c r="N100" s="324"/>
      <c r="O100" s="429"/>
    </row>
    <row r="101" spans="1:15" ht="12.75" customHeight="1" x14ac:dyDescent="0.2">
      <c r="A101" s="480" t="s">
        <v>604</v>
      </c>
      <c r="B101" s="499" t="s">
        <v>605</v>
      </c>
      <c r="C101" s="501" t="s">
        <v>606</v>
      </c>
      <c r="D101" s="352">
        <v>1</v>
      </c>
      <c r="E101" s="351">
        <v>0</v>
      </c>
      <c r="F101" s="351">
        <v>0</v>
      </c>
      <c r="G101" s="351">
        <v>1</v>
      </c>
      <c r="H101" s="353">
        <v>1</v>
      </c>
      <c r="I101" s="79"/>
      <c r="J101" s="72"/>
      <c r="K101" s="72"/>
      <c r="L101" s="72"/>
      <c r="M101" s="324"/>
      <c r="N101" s="324"/>
      <c r="O101" s="429"/>
    </row>
    <row r="102" spans="1:15" ht="12.75" customHeight="1" x14ac:dyDescent="0.2">
      <c r="A102" s="474" t="s">
        <v>474</v>
      </c>
      <c r="B102" s="354" t="s">
        <v>475</v>
      </c>
      <c r="C102" s="482" t="s">
        <v>476</v>
      </c>
      <c r="D102" s="352">
        <v>1</v>
      </c>
      <c r="E102" s="351">
        <v>1</v>
      </c>
      <c r="F102" s="351">
        <v>0</v>
      </c>
      <c r="G102" s="351">
        <v>0</v>
      </c>
      <c r="H102" s="353">
        <v>1</v>
      </c>
      <c r="I102" s="79"/>
      <c r="J102" s="72"/>
      <c r="K102" s="72"/>
      <c r="L102" s="72"/>
      <c r="M102" s="324"/>
      <c r="N102" s="324"/>
      <c r="O102" s="429"/>
    </row>
    <row r="103" spans="1:15" ht="12.75" customHeight="1" x14ac:dyDescent="0.2">
      <c r="A103" s="474" t="s">
        <v>477</v>
      </c>
      <c r="B103" s="354" t="s">
        <v>478</v>
      </c>
      <c r="C103" s="482" t="s">
        <v>479</v>
      </c>
      <c r="D103" s="352">
        <v>1</v>
      </c>
      <c r="E103" s="351">
        <v>0</v>
      </c>
      <c r="F103" s="351">
        <v>0</v>
      </c>
      <c r="G103" s="351">
        <v>1</v>
      </c>
      <c r="H103" s="353">
        <v>1</v>
      </c>
      <c r="I103" s="79"/>
      <c r="J103" s="72"/>
      <c r="K103" s="72"/>
      <c r="L103" s="72"/>
      <c r="M103" s="324"/>
      <c r="N103" s="324"/>
      <c r="O103" s="429"/>
    </row>
    <row r="104" spans="1:15" ht="12.75" customHeight="1" x14ac:dyDescent="0.2">
      <c r="A104" s="474" t="s">
        <v>481</v>
      </c>
      <c r="B104" s="354" t="s">
        <v>360</v>
      </c>
      <c r="C104" s="482" t="s">
        <v>482</v>
      </c>
      <c r="D104" s="352">
        <v>1</v>
      </c>
      <c r="E104" s="351">
        <v>1</v>
      </c>
      <c r="F104" s="351">
        <v>0</v>
      </c>
      <c r="G104" s="351">
        <v>0</v>
      </c>
      <c r="H104" s="353">
        <v>1</v>
      </c>
      <c r="I104" s="79"/>
      <c r="J104" s="72"/>
      <c r="K104" s="72"/>
      <c r="L104" s="72"/>
      <c r="M104" s="324"/>
      <c r="N104" s="324"/>
      <c r="O104" s="429"/>
    </row>
    <row r="105" spans="1:15" ht="12.75" customHeight="1" x14ac:dyDescent="0.2">
      <c r="A105" s="474" t="s">
        <v>483</v>
      </c>
      <c r="B105" s="354" t="s">
        <v>484</v>
      </c>
      <c r="C105" s="482" t="s">
        <v>485</v>
      </c>
      <c r="D105" s="352">
        <v>1</v>
      </c>
      <c r="E105" s="351">
        <v>0</v>
      </c>
      <c r="F105" s="351">
        <v>0</v>
      </c>
      <c r="G105" s="351">
        <v>1</v>
      </c>
      <c r="H105" s="353">
        <v>1</v>
      </c>
      <c r="I105" s="79"/>
      <c r="J105" s="72"/>
      <c r="K105" s="72"/>
      <c r="L105" s="72"/>
      <c r="M105" s="324"/>
      <c r="N105" s="324"/>
      <c r="O105" s="429"/>
    </row>
    <row r="106" spans="1:15" ht="12.75" customHeight="1" x14ac:dyDescent="0.2">
      <c r="A106" s="474" t="s">
        <v>486</v>
      </c>
      <c r="B106" s="354" t="s">
        <v>487</v>
      </c>
      <c r="C106" s="482" t="s">
        <v>488</v>
      </c>
      <c r="D106" s="352">
        <v>1</v>
      </c>
      <c r="E106" s="351">
        <v>0</v>
      </c>
      <c r="F106" s="351">
        <v>0</v>
      </c>
      <c r="G106" s="351">
        <v>1</v>
      </c>
      <c r="H106" s="353">
        <v>1</v>
      </c>
      <c r="I106" s="79"/>
      <c r="J106" s="72"/>
      <c r="K106" s="72"/>
      <c r="L106" s="72"/>
      <c r="M106" s="324"/>
      <c r="N106" s="324"/>
      <c r="O106" s="429"/>
    </row>
    <row r="107" spans="1:15" ht="12.75" customHeight="1" x14ac:dyDescent="0.2">
      <c r="A107" s="474" t="s">
        <v>489</v>
      </c>
      <c r="B107" s="354" t="s">
        <v>242</v>
      </c>
      <c r="C107" s="482" t="s">
        <v>490</v>
      </c>
      <c r="D107" s="352">
        <v>1</v>
      </c>
      <c r="E107" s="351">
        <v>0</v>
      </c>
      <c r="F107" s="351">
        <v>0</v>
      </c>
      <c r="G107" s="351">
        <v>1</v>
      </c>
      <c r="H107" s="353">
        <v>1</v>
      </c>
      <c r="I107" s="79"/>
      <c r="J107" s="72"/>
      <c r="K107" s="72"/>
      <c r="L107" s="72"/>
      <c r="M107" s="324"/>
      <c r="N107" s="324"/>
      <c r="O107" s="429"/>
    </row>
    <row r="108" spans="1:15" ht="12.75" customHeight="1" x14ac:dyDescent="0.2">
      <c r="A108" s="474" t="s">
        <v>491</v>
      </c>
      <c r="B108" s="354" t="s">
        <v>242</v>
      </c>
      <c r="C108" s="482" t="s">
        <v>492</v>
      </c>
      <c r="D108" s="352">
        <v>1</v>
      </c>
      <c r="E108" s="351">
        <v>0</v>
      </c>
      <c r="F108" s="351">
        <v>0</v>
      </c>
      <c r="G108" s="351">
        <v>1</v>
      </c>
      <c r="H108" s="353">
        <v>1</v>
      </c>
      <c r="I108" s="79"/>
      <c r="J108" s="72"/>
      <c r="K108" s="72"/>
      <c r="L108" s="72"/>
      <c r="M108" s="324"/>
      <c r="N108" s="324"/>
      <c r="O108" s="429"/>
    </row>
    <row r="109" spans="1:15" ht="12.75" customHeight="1" x14ac:dyDescent="0.2">
      <c r="A109" s="480" t="s">
        <v>607</v>
      </c>
      <c r="B109" s="499" t="s">
        <v>608</v>
      </c>
      <c r="C109" s="498" t="s">
        <v>609</v>
      </c>
      <c r="D109" s="352">
        <v>1</v>
      </c>
      <c r="E109" s="351">
        <v>0</v>
      </c>
      <c r="F109" s="351">
        <v>0</v>
      </c>
      <c r="G109" s="351">
        <v>1</v>
      </c>
      <c r="H109" s="353">
        <v>1</v>
      </c>
      <c r="I109" s="79"/>
      <c r="J109" s="72"/>
      <c r="K109" s="72"/>
      <c r="L109" s="72"/>
      <c r="M109" s="324"/>
      <c r="N109" s="324"/>
      <c r="O109" s="429"/>
    </row>
    <row r="110" spans="1:15" ht="12.75" customHeight="1" x14ac:dyDescent="0.2">
      <c r="A110" s="474" t="s">
        <v>493</v>
      </c>
      <c r="B110" s="354" t="s">
        <v>494</v>
      </c>
      <c r="C110" s="482" t="s">
        <v>480</v>
      </c>
      <c r="D110" s="352">
        <v>1</v>
      </c>
      <c r="E110" s="351">
        <v>0</v>
      </c>
      <c r="F110" s="351">
        <v>0</v>
      </c>
      <c r="G110" s="351">
        <v>1</v>
      </c>
      <c r="H110" s="353">
        <v>1</v>
      </c>
      <c r="I110" s="79"/>
      <c r="J110" s="72"/>
      <c r="K110" s="72"/>
      <c r="L110" s="72"/>
      <c r="M110" s="324"/>
      <c r="N110" s="324"/>
      <c r="O110" s="429"/>
    </row>
    <row r="111" spans="1:15" ht="12.75" customHeight="1" x14ac:dyDescent="0.2">
      <c r="A111" s="474" t="s">
        <v>495</v>
      </c>
      <c r="B111" s="354" t="s">
        <v>409</v>
      </c>
      <c r="C111" s="482" t="s">
        <v>496</v>
      </c>
      <c r="D111" s="352">
        <v>1</v>
      </c>
      <c r="E111" s="351">
        <v>0</v>
      </c>
      <c r="F111" s="351">
        <v>0</v>
      </c>
      <c r="G111" s="351">
        <v>1</v>
      </c>
      <c r="H111" s="353">
        <v>1</v>
      </c>
      <c r="I111" s="79"/>
      <c r="J111" s="72"/>
      <c r="K111" s="72"/>
      <c r="L111" s="72"/>
      <c r="M111" s="324"/>
      <c r="N111" s="324"/>
      <c r="O111" s="429"/>
    </row>
    <row r="112" spans="1:15" ht="12.75" customHeight="1" x14ac:dyDescent="0.2">
      <c r="A112" s="496" t="s">
        <v>597</v>
      </c>
      <c r="B112" s="497" t="s">
        <v>598</v>
      </c>
      <c r="C112" s="498" t="s">
        <v>610</v>
      </c>
      <c r="D112" s="352">
        <v>1</v>
      </c>
      <c r="E112" s="351">
        <v>0</v>
      </c>
      <c r="F112" s="351">
        <v>0</v>
      </c>
      <c r="G112" s="351">
        <v>1</v>
      </c>
      <c r="H112" s="353">
        <v>1</v>
      </c>
      <c r="I112" s="79"/>
      <c r="J112" s="72"/>
      <c r="K112" s="72"/>
      <c r="L112" s="72"/>
      <c r="M112" s="324"/>
      <c r="N112" s="324"/>
      <c r="O112" s="429"/>
    </row>
    <row r="113" spans="1:15" ht="12.75" customHeight="1" x14ac:dyDescent="0.2">
      <c r="A113" s="480" t="s">
        <v>611</v>
      </c>
      <c r="B113" s="499" t="s">
        <v>612</v>
      </c>
      <c r="C113" s="500" t="s">
        <v>499</v>
      </c>
      <c r="D113" s="352">
        <v>1</v>
      </c>
      <c r="E113" s="351">
        <v>1</v>
      </c>
      <c r="F113" s="351">
        <v>0</v>
      </c>
      <c r="G113" s="351">
        <v>0</v>
      </c>
      <c r="H113" s="353">
        <v>1</v>
      </c>
      <c r="I113" s="79"/>
      <c r="J113" s="72"/>
      <c r="K113" s="72"/>
      <c r="L113" s="72"/>
      <c r="M113" s="324"/>
      <c r="N113" s="324"/>
      <c r="O113" s="429"/>
    </row>
    <row r="114" spans="1:15" ht="12.75" customHeight="1" x14ac:dyDescent="0.2">
      <c r="A114" s="474" t="s">
        <v>497</v>
      </c>
      <c r="B114" s="354" t="s">
        <v>498</v>
      </c>
      <c r="C114" s="482" t="s">
        <v>499</v>
      </c>
      <c r="D114" s="352">
        <v>1</v>
      </c>
      <c r="E114" s="351">
        <v>0</v>
      </c>
      <c r="F114" s="351">
        <v>0</v>
      </c>
      <c r="G114" s="351">
        <v>1</v>
      </c>
      <c r="H114" s="353">
        <v>1</v>
      </c>
      <c r="I114" s="79"/>
      <c r="J114" s="72"/>
      <c r="K114" s="72"/>
      <c r="L114" s="72"/>
      <c r="M114" s="324"/>
      <c r="N114" s="324"/>
      <c r="O114" s="429"/>
    </row>
    <row r="115" spans="1:15" ht="12.75" customHeight="1" x14ac:dyDescent="0.2">
      <c r="A115" s="474" t="s">
        <v>500</v>
      </c>
      <c r="B115" s="354" t="s">
        <v>501</v>
      </c>
      <c r="C115" s="482" t="s">
        <v>502</v>
      </c>
      <c r="D115" s="352">
        <v>1</v>
      </c>
      <c r="E115" s="351">
        <v>1</v>
      </c>
      <c r="F115" s="351">
        <v>0</v>
      </c>
      <c r="G115" s="351">
        <v>0</v>
      </c>
      <c r="H115" s="353">
        <v>1</v>
      </c>
      <c r="I115" s="79"/>
      <c r="J115" s="72"/>
      <c r="K115" s="72"/>
      <c r="L115" s="72"/>
      <c r="M115" s="324"/>
      <c r="N115" s="324"/>
      <c r="O115" s="429"/>
    </row>
    <row r="116" spans="1:15" ht="12.75" customHeight="1" x14ac:dyDescent="0.2">
      <c r="A116" s="474" t="s">
        <v>503</v>
      </c>
      <c r="B116" s="354" t="s">
        <v>504</v>
      </c>
      <c r="C116" s="482" t="s">
        <v>505</v>
      </c>
      <c r="D116" s="352">
        <v>1</v>
      </c>
      <c r="E116" s="351">
        <v>0</v>
      </c>
      <c r="F116" s="351">
        <v>0</v>
      </c>
      <c r="G116" s="351">
        <v>1</v>
      </c>
      <c r="H116" s="353">
        <v>1</v>
      </c>
      <c r="I116" s="79"/>
      <c r="J116" s="72"/>
      <c r="K116" s="72"/>
      <c r="L116" s="72"/>
      <c r="M116" s="324"/>
      <c r="N116" s="324"/>
      <c r="O116" s="429"/>
    </row>
    <row r="117" spans="1:15" ht="12.75" customHeight="1" x14ac:dyDescent="0.2">
      <c r="A117" s="496" t="s">
        <v>613</v>
      </c>
      <c r="B117" s="503" t="s">
        <v>614</v>
      </c>
      <c r="C117" s="498" t="s">
        <v>615</v>
      </c>
      <c r="D117" s="352">
        <v>1</v>
      </c>
      <c r="E117" s="351">
        <v>0</v>
      </c>
      <c r="F117" s="351">
        <v>0</v>
      </c>
      <c r="G117" s="351">
        <v>1</v>
      </c>
      <c r="H117" s="353">
        <v>1</v>
      </c>
      <c r="I117" s="79"/>
      <c r="J117" s="72"/>
      <c r="K117" s="72"/>
      <c r="L117" s="72"/>
      <c r="M117" s="324"/>
      <c r="N117" s="324"/>
      <c r="O117" s="429"/>
    </row>
    <row r="118" spans="1:15" ht="12.75" customHeight="1" x14ac:dyDescent="0.2">
      <c r="A118" s="496" t="s">
        <v>616</v>
      </c>
      <c r="B118" s="503" t="s">
        <v>356</v>
      </c>
      <c r="C118" s="504" t="s">
        <v>617</v>
      </c>
      <c r="D118" s="352">
        <v>1</v>
      </c>
      <c r="E118" s="351">
        <v>0</v>
      </c>
      <c r="F118" s="351">
        <v>0</v>
      </c>
      <c r="G118" s="351">
        <v>1</v>
      </c>
      <c r="H118" s="353">
        <v>1</v>
      </c>
      <c r="I118" s="79"/>
      <c r="J118" s="72"/>
      <c r="K118" s="72"/>
      <c r="L118" s="72"/>
      <c r="M118" s="324"/>
      <c r="N118" s="324"/>
      <c r="O118" s="429"/>
    </row>
    <row r="119" spans="1:15" ht="12.75" customHeight="1" x14ac:dyDescent="0.2">
      <c r="A119" s="496" t="s">
        <v>618</v>
      </c>
      <c r="B119" s="503" t="s">
        <v>242</v>
      </c>
      <c r="C119" s="504" t="s">
        <v>619</v>
      </c>
      <c r="D119" s="352">
        <v>1</v>
      </c>
      <c r="E119" s="351">
        <v>0</v>
      </c>
      <c r="F119" s="351">
        <v>0</v>
      </c>
      <c r="G119" s="351">
        <v>1</v>
      </c>
      <c r="H119" s="353">
        <v>1</v>
      </c>
      <c r="I119" s="79"/>
      <c r="J119" s="72"/>
      <c r="K119" s="72"/>
      <c r="L119" s="72"/>
      <c r="M119" s="324"/>
      <c r="N119" s="324"/>
      <c r="O119" s="429"/>
    </row>
    <row r="120" spans="1:15" ht="12.75" customHeight="1" x14ac:dyDescent="0.2">
      <c r="A120" s="496" t="s">
        <v>620</v>
      </c>
      <c r="B120" s="503" t="s">
        <v>621</v>
      </c>
      <c r="C120" s="504" t="s">
        <v>622</v>
      </c>
      <c r="D120" s="352">
        <v>1</v>
      </c>
      <c r="E120" s="351">
        <v>0</v>
      </c>
      <c r="F120" s="351">
        <v>0</v>
      </c>
      <c r="G120" s="351">
        <v>1</v>
      </c>
      <c r="H120" s="353">
        <v>1</v>
      </c>
      <c r="I120" s="79"/>
      <c r="J120" s="72"/>
      <c r="K120" s="72"/>
      <c r="L120" s="72"/>
      <c r="M120" s="324"/>
      <c r="N120" s="324"/>
      <c r="O120" s="429"/>
    </row>
    <row r="121" spans="1:15" ht="12.75" customHeight="1" x14ac:dyDescent="0.2">
      <c r="A121" s="496" t="s">
        <v>623</v>
      </c>
      <c r="B121" s="503" t="s">
        <v>385</v>
      </c>
      <c r="C121" s="504" t="s">
        <v>624</v>
      </c>
      <c r="D121" s="352">
        <v>1</v>
      </c>
      <c r="E121" s="351">
        <v>0</v>
      </c>
      <c r="F121" s="351">
        <v>0</v>
      </c>
      <c r="G121" s="351">
        <v>1</v>
      </c>
      <c r="H121" s="353">
        <v>1</v>
      </c>
      <c r="I121" s="79"/>
      <c r="J121" s="72"/>
      <c r="K121" s="72"/>
      <c r="L121" s="72"/>
      <c r="M121" s="324"/>
      <c r="N121" s="324"/>
      <c r="O121" s="429"/>
    </row>
    <row r="122" spans="1:15" ht="12.75" customHeight="1" x14ac:dyDescent="0.2">
      <c r="A122" s="496" t="s">
        <v>625</v>
      </c>
      <c r="B122" s="503" t="s">
        <v>626</v>
      </c>
      <c r="C122" s="504" t="s">
        <v>627</v>
      </c>
      <c r="D122" s="352">
        <v>1</v>
      </c>
      <c r="E122" s="351">
        <v>0</v>
      </c>
      <c r="F122" s="351">
        <v>0</v>
      </c>
      <c r="G122" s="351">
        <v>1</v>
      </c>
      <c r="H122" s="353">
        <v>1</v>
      </c>
      <c r="I122" s="79"/>
      <c r="J122" s="72"/>
      <c r="K122" s="72"/>
      <c r="L122" s="72"/>
      <c r="M122" s="324"/>
      <c r="N122" s="324"/>
      <c r="O122" s="429"/>
    </row>
    <row r="123" spans="1:15" ht="12.75" customHeight="1" x14ac:dyDescent="0.2">
      <c r="A123" s="496" t="s">
        <v>628</v>
      </c>
      <c r="B123" s="503" t="s">
        <v>629</v>
      </c>
      <c r="C123" s="504" t="s">
        <v>630</v>
      </c>
      <c r="D123" s="352">
        <v>1</v>
      </c>
      <c r="E123" s="351">
        <v>0</v>
      </c>
      <c r="F123" s="351">
        <v>0</v>
      </c>
      <c r="G123" s="351">
        <v>1</v>
      </c>
      <c r="H123" s="353">
        <v>1</v>
      </c>
      <c r="I123" s="79"/>
      <c r="J123" s="72"/>
      <c r="K123" s="72"/>
      <c r="L123" s="72"/>
      <c r="M123" s="324"/>
      <c r="N123" s="324"/>
      <c r="O123" s="429"/>
    </row>
    <row r="124" spans="1:15" ht="12.75" customHeight="1" x14ac:dyDescent="0.2">
      <c r="A124" s="496" t="s">
        <v>631</v>
      </c>
      <c r="B124" s="503" t="s">
        <v>632</v>
      </c>
      <c r="C124" s="504" t="s">
        <v>633</v>
      </c>
      <c r="D124" s="352">
        <v>1</v>
      </c>
      <c r="E124" s="351">
        <v>0</v>
      </c>
      <c r="F124" s="351">
        <v>0</v>
      </c>
      <c r="G124" s="351">
        <v>1</v>
      </c>
      <c r="H124" s="353">
        <v>1</v>
      </c>
      <c r="I124" s="79"/>
      <c r="J124" s="72"/>
      <c r="K124" s="72"/>
      <c r="L124" s="72"/>
      <c r="M124" s="324"/>
      <c r="N124" s="324"/>
      <c r="O124" s="429"/>
    </row>
    <row r="125" spans="1:15" ht="12.75" customHeight="1" x14ac:dyDescent="0.2">
      <c r="A125" s="496" t="s">
        <v>634</v>
      </c>
      <c r="B125" s="503" t="s">
        <v>635</v>
      </c>
      <c r="C125" s="504" t="s">
        <v>636</v>
      </c>
      <c r="D125" s="352">
        <v>1</v>
      </c>
      <c r="E125" s="351">
        <v>0</v>
      </c>
      <c r="F125" s="351">
        <v>0</v>
      </c>
      <c r="G125" s="351">
        <v>1</v>
      </c>
      <c r="H125" s="353">
        <v>1</v>
      </c>
      <c r="I125" s="79"/>
      <c r="J125" s="72"/>
      <c r="K125" s="72"/>
      <c r="L125" s="72"/>
      <c r="M125" s="324"/>
      <c r="N125" s="324"/>
      <c r="O125" s="429"/>
    </row>
    <row r="126" spans="1:15" ht="12.75" customHeight="1" x14ac:dyDescent="0.2">
      <c r="A126" s="496" t="s">
        <v>637</v>
      </c>
      <c r="B126" s="503" t="s">
        <v>638</v>
      </c>
      <c r="C126" s="504" t="s">
        <v>639</v>
      </c>
      <c r="D126" s="352">
        <v>1</v>
      </c>
      <c r="E126" s="351">
        <v>0</v>
      </c>
      <c r="F126" s="351">
        <v>0</v>
      </c>
      <c r="G126" s="351">
        <v>1</v>
      </c>
      <c r="H126" s="353">
        <v>1</v>
      </c>
      <c r="I126" s="79"/>
      <c r="J126" s="72"/>
      <c r="K126" s="72"/>
      <c r="L126" s="72"/>
      <c r="M126" s="324"/>
      <c r="N126" s="324"/>
      <c r="O126" s="429"/>
    </row>
    <row r="127" spans="1:15" ht="12.75" customHeight="1" x14ac:dyDescent="0.2">
      <c r="A127" s="496" t="s">
        <v>640</v>
      </c>
      <c r="B127" s="503" t="s">
        <v>641</v>
      </c>
      <c r="C127" s="505" t="s">
        <v>642</v>
      </c>
      <c r="D127" s="352">
        <v>1</v>
      </c>
      <c r="E127" s="351">
        <v>0</v>
      </c>
      <c r="F127" s="351">
        <v>0</v>
      </c>
      <c r="G127" s="351">
        <v>1</v>
      </c>
      <c r="H127" s="353">
        <v>1</v>
      </c>
      <c r="I127" s="79"/>
      <c r="J127" s="72"/>
      <c r="K127" s="72"/>
      <c r="L127" s="72"/>
      <c r="M127" s="324"/>
      <c r="N127" s="324"/>
      <c r="O127" s="429"/>
    </row>
    <row r="128" spans="1:15" ht="12.75" customHeight="1" x14ac:dyDescent="0.2">
      <c r="A128" s="496" t="s">
        <v>643</v>
      </c>
      <c r="B128" s="503" t="s">
        <v>644</v>
      </c>
      <c r="C128" s="504" t="s">
        <v>645</v>
      </c>
      <c r="D128" s="352">
        <v>1</v>
      </c>
      <c r="E128" s="351">
        <v>0</v>
      </c>
      <c r="F128" s="351">
        <v>0</v>
      </c>
      <c r="G128" s="351">
        <v>1</v>
      </c>
      <c r="H128" s="353">
        <v>1</v>
      </c>
      <c r="I128" s="79"/>
      <c r="J128" s="72"/>
      <c r="K128" s="72"/>
      <c r="L128" s="72"/>
      <c r="M128" s="324"/>
      <c r="N128" s="324"/>
      <c r="O128" s="429"/>
    </row>
    <row r="129" spans="1:15" ht="12.75" customHeight="1" x14ac:dyDescent="0.2">
      <c r="A129" s="496" t="s">
        <v>646</v>
      </c>
      <c r="B129" s="503" t="s">
        <v>647</v>
      </c>
      <c r="C129" s="504" t="s">
        <v>645</v>
      </c>
      <c r="D129" s="352">
        <v>1</v>
      </c>
      <c r="E129" s="351">
        <v>1</v>
      </c>
      <c r="F129" s="351">
        <v>0</v>
      </c>
      <c r="G129" s="351">
        <v>0</v>
      </c>
      <c r="H129" s="353">
        <v>1</v>
      </c>
      <c r="I129" s="79"/>
      <c r="J129" s="72"/>
      <c r="K129" s="72"/>
      <c r="L129" s="72"/>
      <c r="M129" s="324"/>
      <c r="N129" s="324"/>
      <c r="O129" s="429"/>
    </row>
    <row r="130" spans="1:15" ht="12.75" customHeight="1" x14ac:dyDescent="0.2">
      <c r="A130" s="496" t="s">
        <v>648</v>
      </c>
      <c r="B130" s="503" t="s">
        <v>649</v>
      </c>
      <c r="C130" s="504" t="s">
        <v>645</v>
      </c>
      <c r="D130" s="352">
        <v>1</v>
      </c>
      <c r="E130" s="351">
        <v>0</v>
      </c>
      <c r="F130" s="351">
        <v>0</v>
      </c>
      <c r="G130" s="351">
        <v>1</v>
      </c>
      <c r="H130" s="353">
        <v>1</v>
      </c>
      <c r="I130" s="79"/>
      <c r="J130" s="72"/>
      <c r="K130" s="72"/>
      <c r="L130" s="72"/>
      <c r="M130" s="324"/>
      <c r="N130" s="324"/>
      <c r="O130" s="429"/>
    </row>
    <row r="131" spans="1:15" ht="12.75" customHeight="1" x14ac:dyDescent="0.2">
      <c r="A131" s="496" t="s">
        <v>650</v>
      </c>
      <c r="B131" s="503" t="s">
        <v>651</v>
      </c>
      <c r="C131" s="504" t="s">
        <v>571</v>
      </c>
      <c r="D131" s="352">
        <v>1</v>
      </c>
      <c r="E131" s="351">
        <v>0</v>
      </c>
      <c r="F131" s="351">
        <v>0</v>
      </c>
      <c r="G131" s="351">
        <v>1</v>
      </c>
      <c r="H131" s="353">
        <v>1</v>
      </c>
      <c r="I131" s="79"/>
      <c r="J131" s="72"/>
      <c r="K131" s="72"/>
      <c r="L131" s="72"/>
      <c r="M131" s="324"/>
      <c r="N131" s="324"/>
      <c r="O131" s="429"/>
    </row>
    <row r="132" spans="1:15" ht="12.75" customHeight="1" x14ac:dyDescent="0.2">
      <c r="A132" s="496" t="s">
        <v>652</v>
      </c>
      <c r="B132" s="503" t="s">
        <v>653</v>
      </c>
      <c r="C132" s="504" t="s">
        <v>443</v>
      </c>
      <c r="D132" s="352">
        <v>1</v>
      </c>
      <c r="E132" s="351">
        <v>0</v>
      </c>
      <c r="F132" s="351">
        <v>0</v>
      </c>
      <c r="G132" s="351">
        <v>1</v>
      </c>
      <c r="H132" s="353">
        <v>1</v>
      </c>
      <c r="I132" s="79"/>
      <c r="J132" s="72"/>
      <c r="K132" s="72"/>
      <c r="L132" s="72"/>
      <c r="M132" s="324"/>
      <c r="N132" s="324"/>
      <c r="O132" s="429"/>
    </row>
    <row r="133" spans="1:15" ht="12.75" customHeight="1" x14ac:dyDescent="0.2">
      <c r="A133" s="480" t="s">
        <v>654</v>
      </c>
      <c r="B133" s="481" t="s">
        <v>655</v>
      </c>
      <c r="C133" s="500" t="s">
        <v>656</v>
      </c>
      <c r="D133" s="352">
        <v>1</v>
      </c>
      <c r="E133" s="351">
        <v>0</v>
      </c>
      <c r="F133" s="351">
        <v>0</v>
      </c>
      <c r="G133" s="351">
        <v>1</v>
      </c>
      <c r="H133" s="353">
        <v>1</v>
      </c>
      <c r="I133" s="79"/>
      <c r="J133" s="72"/>
      <c r="K133" s="72"/>
      <c r="L133" s="72"/>
      <c r="M133" s="324"/>
      <c r="N133" s="324"/>
      <c r="O133" s="429"/>
    </row>
    <row r="134" spans="1:15" ht="12.75" customHeight="1" x14ac:dyDescent="0.2">
      <c r="A134" s="474" t="s">
        <v>400</v>
      </c>
      <c r="B134" s="354" t="s">
        <v>401</v>
      </c>
      <c r="C134" s="482" t="s">
        <v>402</v>
      </c>
      <c r="D134" s="352">
        <v>0</v>
      </c>
      <c r="E134" s="351">
        <v>1</v>
      </c>
      <c r="F134" s="351">
        <v>-1</v>
      </c>
      <c r="G134" s="351">
        <v>0</v>
      </c>
      <c r="H134" s="353">
        <v>1</v>
      </c>
      <c r="I134" s="79"/>
      <c r="J134" s="72"/>
      <c r="K134" s="72"/>
      <c r="L134" s="72"/>
      <c r="M134" s="324"/>
      <c r="N134" s="324"/>
      <c r="O134" s="429"/>
    </row>
    <row r="135" spans="1:15" ht="12.75" customHeight="1" x14ac:dyDescent="0.2">
      <c r="A135" s="483" t="s">
        <v>338</v>
      </c>
      <c r="B135" s="484" t="s">
        <v>339</v>
      </c>
      <c r="C135" s="485" t="s">
        <v>340</v>
      </c>
      <c r="D135" s="352">
        <v>0</v>
      </c>
      <c r="E135" s="351">
        <v>-1</v>
      </c>
      <c r="F135" s="351">
        <v>1</v>
      </c>
      <c r="G135" s="351">
        <v>0</v>
      </c>
      <c r="H135" s="353">
        <v>-1</v>
      </c>
      <c r="I135" s="79"/>
      <c r="J135" s="72"/>
      <c r="K135" s="72"/>
      <c r="L135" s="72"/>
      <c r="M135" s="324"/>
      <c r="N135" s="324"/>
      <c r="O135" s="429"/>
    </row>
    <row r="136" spans="1:15" ht="12.75" customHeight="1" x14ac:dyDescent="0.2">
      <c r="A136" s="480" t="s">
        <v>657</v>
      </c>
      <c r="B136" s="499" t="s">
        <v>658</v>
      </c>
      <c r="C136" s="498" t="s">
        <v>659</v>
      </c>
      <c r="D136" s="352">
        <v>0</v>
      </c>
      <c r="E136" s="351">
        <v>0</v>
      </c>
      <c r="F136" s="351">
        <v>1</v>
      </c>
      <c r="G136" s="351">
        <v>-1</v>
      </c>
      <c r="H136" s="353">
        <v>-1</v>
      </c>
      <c r="I136" s="79"/>
      <c r="J136" s="72"/>
      <c r="K136" s="72"/>
      <c r="L136" s="72"/>
      <c r="M136" s="324"/>
      <c r="N136" s="324"/>
      <c r="O136" s="429"/>
    </row>
    <row r="137" spans="1:15" ht="12.75" customHeight="1" x14ac:dyDescent="0.2">
      <c r="A137" s="483" t="s">
        <v>507</v>
      </c>
      <c r="B137" s="484" t="s">
        <v>508</v>
      </c>
      <c r="C137" s="485" t="s">
        <v>509</v>
      </c>
      <c r="D137" s="352">
        <v>0</v>
      </c>
      <c r="E137" s="351">
        <v>1</v>
      </c>
      <c r="F137" s="351">
        <v>-1</v>
      </c>
      <c r="G137" s="351">
        <v>0</v>
      </c>
      <c r="H137" s="353">
        <v>1</v>
      </c>
      <c r="I137" s="79"/>
      <c r="J137" s="72"/>
      <c r="K137" s="72"/>
      <c r="L137" s="72"/>
      <c r="M137" s="324"/>
      <c r="N137" s="324"/>
      <c r="O137" s="429"/>
    </row>
    <row r="138" spans="1:15" ht="12.75" customHeight="1" x14ac:dyDescent="0.2">
      <c r="A138" s="483" t="s">
        <v>510</v>
      </c>
      <c r="B138" s="484" t="s">
        <v>511</v>
      </c>
      <c r="C138" s="485" t="s">
        <v>512</v>
      </c>
      <c r="D138" s="352">
        <v>0</v>
      </c>
      <c r="E138" s="351">
        <v>1</v>
      </c>
      <c r="F138" s="351">
        <v>-1</v>
      </c>
      <c r="G138" s="351">
        <v>0</v>
      </c>
      <c r="H138" s="353">
        <v>1</v>
      </c>
      <c r="I138" s="79"/>
      <c r="J138" s="72"/>
      <c r="K138" s="72"/>
      <c r="L138" s="72"/>
      <c r="M138" s="324"/>
      <c r="N138" s="324"/>
      <c r="O138" s="429"/>
    </row>
    <row r="139" spans="1:15" ht="12.75" customHeight="1" x14ac:dyDescent="0.2">
      <c r="A139" s="480" t="s">
        <v>660</v>
      </c>
      <c r="B139" s="499" t="s">
        <v>661</v>
      </c>
      <c r="C139" s="498" t="s">
        <v>662</v>
      </c>
      <c r="D139" s="352">
        <v>0</v>
      </c>
      <c r="E139" s="351">
        <v>1</v>
      </c>
      <c r="F139" s="351">
        <v>-1</v>
      </c>
      <c r="G139" s="351">
        <v>0</v>
      </c>
      <c r="H139" s="353">
        <v>1</v>
      </c>
      <c r="I139" s="79"/>
      <c r="J139" s="72"/>
      <c r="K139" s="72"/>
      <c r="L139" s="72"/>
      <c r="M139" s="324"/>
      <c r="N139" s="324"/>
      <c r="O139" s="429"/>
    </row>
    <row r="140" spans="1:15" ht="12.75" customHeight="1" x14ac:dyDescent="0.2">
      <c r="A140" s="483" t="s">
        <v>513</v>
      </c>
      <c r="B140" s="484" t="s">
        <v>514</v>
      </c>
      <c r="C140" s="485" t="s">
        <v>515</v>
      </c>
      <c r="D140" s="352">
        <v>0</v>
      </c>
      <c r="E140" s="351">
        <v>1</v>
      </c>
      <c r="F140" s="351">
        <v>-1</v>
      </c>
      <c r="G140" s="351">
        <v>0</v>
      </c>
      <c r="H140" s="353">
        <v>1</v>
      </c>
      <c r="I140" s="79"/>
      <c r="J140" s="72"/>
      <c r="K140" s="72"/>
      <c r="L140" s="72"/>
      <c r="M140" s="324"/>
      <c r="N140" s="324"/>
      <c r="O140" s="429"/>
    </row>
    <row r="141" spans="1:15" ht="12.75" customHeight="1" x14ac:dyDescent="0.2">
      <c r="A141" s="480" t="s">
        <v>663</v>
      </c>
      <c r="B141" s="499" t="s">
        <v>664</v>
      </c>
      <c r="C141" s="498" t="s">
        <v>665</v>
      </c>
      <c r="D141" s="352">
        <v>0</v>
      </c>
      <c r="E141" s="351">
        <v>1</v>
      </c>
      <c r="F141" s="351">
        <v>-1</v>
      </c>
      <c r="G141" s="351">
        <v>0</v>
      </c>
      <c r="H141" s="353">
        <v>1</v>
      </c>
      <c r="I141" s="79"/>
      <c r="J141" s="72"/>
      <c r="K141" s="72"/>
      <c r="L141" s="72"/>
      <c r="M141" s="324"/>
      <c r="N141" s="324"/>
      <c r="O141" s="429"/>
    </row>
    <row r="142" spans="1:15" ht="12.75" customHeight="1" x14ac:dyDescent="0.2">
      <c r="A142" s="483" t="s">
        <v>516</v>
      </c>
      <c r="B142" s="484" t="s">
        <v>517</v>
      </c>
      <c r="C142" s="485" t="s">
        <v>506</v>
      </c>
      <c r="D142" s="352">
        <v>0</v>
      </c>
      <c r="E142" s="351">
        <v>1</v>
      </c>
      <c r="F142" s="351">
        <v>-1</v>
      </c>
      <c r="G142" s="351">
        <v>0</v>
      </c>
      <c r="H142" s="353">
        <v>1</v>
      </c>
      <c r="I142" s="79"/>
      <c r="J142" s="72"/>
      <c r="K142" s="72"/>
      <c r="L142" s="72"/>
      <c r="M142" s="324"/>
      <c r="N142" s="324"/>
      <c r="O142" s="429"/>
    </row>
    <row r="143" spans="1:15" ht="12.75" customHeight="1" x14ac:dyDescent="0.2">
      <c r="A143" s="496" t="s">
        <v>666</v>
      </c>
      <c r="B143" s="497" t="s">
        <v>667</v>
      </c>
      <c r="C143" s="501" t="s">
        <v>518</v>
      </c>
      <c r="D143" s="352">
        <v>0</v>
      </c>
      <c r="E143" s="351">
        <v>0</v>
      </c>
      <c r="F143" s="351">
        <v>-1</v>
      </c>
      <c r="G143" s="351">
        <v>1</v>
      </c>
      <c r="H143" s="353">
        <v>1</v>
      </c>
      <c r="I143" s="79"/>
      <c r="J143" s="72"/>
      <c r="K143" s="72"/>
      <c r="L143" s="72"/>
      <c r="M143" s="324"/>
      <c r="N143" s="324"/>
      <c r="O143" s="429"/>
    </row>
    <row r="144" spans="1:15" ht="12.75" customHeight="1" x14ac:dyDescent="0.2">
      <c r="A144" s="496" t="s">
        <v>668</v>
      </c>
      <c r="B144" s="497" t="s">
        <v>669</v>
      </c>
      <c r="C144" s="505" t="s">
        <v>518</v>
      </c>
      <c r="D144" s="352">
        <v>0</v>
      </c>
      <c r="E144" s="351">
        <v>1</v>
      </c>
      <c r="F144" s="351">
        <v>-1</v>
      </c>
      <c r="G144" s="351">
        <v>0</v>
      </c>
      <c r="H144" s="353">
        <v>1</v>
      </c>
      <c r="I144" s="79"/>
      <c r="J144" s="72"/>
      <c r="K144" s="72"/>
      <c r="L144" s="72"/>
      <c r="M144" s="324"/>
      <c r="N144" s="324"/>
      <c r="O144" s="429"/>
    </row>
    <row r="145" spans="1:15" ht="12.75" customHeight="1" x14ac:dyDescent="0.2">
      <c r="A145" s="496" t="s">
        <v>670</v>
      </c>
      <c r="B145" s="497" t="s">
        <v>671</v>
      </c>
      <c r="C145" s="504" t="s">
        <v>512</v>
      </c>
      <c r="D145" s="352">
        <v>0</v>
      </c>
      <c r="E145" s="351">
        <v>0</v>
      </c>
      <c r="F145" s="351">
        <v>-1</v>
      </c>
      <c r="G145" s="351">
        <v>1</v>
      </c>
      <c r="H145" s="353">
        <v>1</v>
      </c>
      <c r="I145" s="79"/>
      <c r="J145" s="72"/>
      <c r="K145" s="72"/>
      <c r="L145" s="72"/>
      <c r="M145" s="324"/>
      <c r="N145" s="324"/>
      <c r="O145" s="429"/>
    </row>
    <row r="146" spans="1:15" ht="12.75" customHeight="1" x14ac:dyDescent="0.2">
      <c r="A146" s="480" t="s">
        <v>672</v>
      </c>
      <c r="B146" s="499" t="s">
        <v>673</v>
      </c>
      <c r="C146" s="506" t="s">
        <v>674</v>
      </c>
      <c r="D146" s="352">
        <v>0</v>
      </c>
      <c r="E146" s="351">
        <v>1</v>
      </c>
      <c r="F146" s="351">
        <v>-1</v>
      </c>
      <c r="G146" s="351">
        <v>0</v>
      </c>
      <c r="H146" s="353">
        <v>1</v>
      </c>
      <c r="I146" s="79"/>
      <c r="J146" s="72"/>
      <c r="K146" s="72"/>
      <c r="L146" s="72"/>
      <c r="M146" s="324"/>
      <c r="N146" s="324"/>
      <c r="O146" s="429"/>
    </row>
    <row r="147" spans="1:15" ht="12.75" customHeight="1" x14ac:dyDescent="0.2">
      <c r="A147" s="474" t="s">
        <v>403</v>
      </c>
      <c r="B147" s="354" t="s">
        <v>404</v>
      </c>
      <c r="C147" s="482" t="s">
        <v>405</v>
      </c>
      <c r="D147" s="352">
        <v>-1</v>
      </c>
      <c r="E147" s="351">
        <v>0</v>
      </c>
      <c r="F147" s="351">
        <v>0</v>
      </c>
      <c r="G147" s="351">
        <v>-1</v>
      </c>
      <c r="H147" s="353">
        <v>-1</v>
      </c>
      <c r="I147" s="79"/>
      <c r="J147" s="72"/>
      <c r="K147" s="72"/>
      <c r="L147" s="72"/>
      <c r="M147" s="324"/>
      <c r="N147" s="324"/>
      <c r="O147" s="429"/>
    </row>
    <row r="148" spans="1:15" ht="12.75" customHeight="1" x14ac:dyDescent="0.2">
      <c r="A148" s="474" t="s">
        <v>406</v>
      </c>
      <c r="B148" s="354" t="s">
        <v>407</v>
      </c>
      <c r="C148" s="482" t="s">
        <v>408</v>
      </c>
      <c r="D148" s="352">
        <v>-1</v>
      </c>
      <c r="E148" s="351">
        <v>0</v>
      </c>
      <c r="F148" s="351">
        <v>0</v>
      </c>
      <c r="G148" s="351">
        <v>-1</v>
      </c>
      <c r="H148" s="353">
        <v>-1</v>
      </c>
      <c r="I148" s="79"/>
      <c r="J148" s="72"/>
      <c r="K148" s="72"/>
      <c r="L148" s="72"/>
      <c r="M148" s="324"/>
      <c r="N148" s="324"/>
      <c r="O148" s="429"/>
    </row>
    <row r="149" spans="1:15" ht="12.75" customHeight="1" x14ac:dyDescent="0.2">
      <c r="A149" s="474" t="s">
        <v>519</v>
      </c>
      <c r="B149" s="354" t="s">
        <v>520</v>
      </c>
      <c r="C149" s="482" t="s">
        <v>521</v>
      </c>
      <c r="D149" s="352">
        <v>-1</v>
      </c>
      <c r="E149" s="351">
        <v>0</v>
      </c>
      <c r="F149" s="351">
        <v>0</v>
      </c>
      <c r="G149" s="351">
        <v>-1</v>
      </c>
      <c r="H149" s="353">
        <v>-1</v>
      </c>
      <c r="I149" s="79"/>
      <c r="J149" s="72"/>
      <c r="K149" s="72"/>
      <c r="L149" s="72"/>
      <c r="M149" s="324"/>
      <c r="N149" s="324"/>
      <c r="O149" s="429"/>
    </row>
    <row r="150" spans="1:15" ht="12.75" customHeight="1" x14ac:dyDescent="0.2">
      <c r="A150" s="496" t="s">
        <v>675</v>
      </c>
      <c r="B150" s="497" t="s">
        <v>676</v>
      </c>
      <c r="C150" s="498" t="s">
        <v>521</v>
      </c>
      <c r="D150" s="352">
        <v>-1</v>
      </c>
      <c r="E150" s="351">
        <v>0</v>
      </c>
      <c r="F150" s="351">
        <v>0</v>
      </c>
      <c r="G150" s="351">
        <v>-1</v>
      </c>
      <c r="H150" s="353">
        <v>-1</v>
      </c>
      <c r="I150" s="79"/>
      <c r="J150" s="72"/>
      <c r="K150" s="72"/>
      <c r="L150" s="72"/>
      <c r="M150" s="324"/>
      <c r="N150" s="324"/>
      <c r="O150" s="429"/>
    </row>
    <row r="151" spans="1:15" ht="12.75" customHeight="1" x14ac:dyDescent="0.2">
      <c r="A151" s="496" t="s">
        <v>677</v>
      </c>
      <c r="B151" s="497" t="s">
        <v>678</v>
      </c>
      <c r="C151" s="504" t="s">
        <v>679</v>
      </c>
      <c r="D151" s="352">
        <v>-1</v>
      </c>
      <c r="E151" s="351">
        <v>0</v>
      </c>
      <c r="F151" s="351">
        <v>0</v>
      </c>
      <c r="G151" s="351">
        <v>-1</v>
      </c>
      <c r="H151" s="353">
        <v>-1</v>
      </c>
      <c r="I151" s="79"/>
      <c r="J151" s="72"/>
      <c r="K151" s="72"/>
      <c r="L151" s="72"/>
      <c r="M151" s="324"/>
      <c r="N151" s="324"/>
      <c r="O151" s="429"/>
    </row>
    <row r="152" spans="1:15" ht="12.75" customHeight="1" x14ac:dyDescent="0.2">
      <c r="A152" s="480" t="s">
        <v>680</v>
      </c>
      <c r="B152" s="499" t="s">
        <v>681</v>
      </c>
      <c r="C152" s="500" t="s">
        <v>682</v>
      </c>
      <c r="D152" s="352">
        <v>-1</v>
      </c>
      <c r="E152" s="351">
        <v>0</v>
      </c>
      <c r="F152" s="351">
        <v>0</v>
      </c>
      <c r="G152" s="351">
        <v>-1</v>
      </c>
      <c r="H152" s="353">
        <v>-1</v>
      </c>
      <c r="I152" s="79"/>
      <c r="J152" s="72"/>
      <c r="K152" s="72"/>
      <c r="L152" s="72"/>
      <c r="M152" s="324"/>
      <c r="N152" s="324"/>
      <c r="O152" s="429"/>
    </row>
    <row r="153" spans="1:15" ht="12.75" customHeight="1" x14ac:dyDescent="0.2">
      <c r="A153" s="483" t="s">
        <v>244</v>
      </c>
      <c r="B153" s="484" t="s">
        <v>245</v>
      </c>
      <c r="C153" s="485" t="s">
        <v>246</v>
      </c>
      <c r="D153" s="356">
        <v>-2</v>
      </c>
      <c r="E153" s="357">
        <v>0</v>
      </c>
      <c r="F153" s="357">
        <v>0</v>
      </c>
      <c r="G153" s="357">
        <v>-2</v>
      </c>
      <c r="H153" s="358">
        <v>-2</v>
      </c>
      <c r="I153" s="79"/>
      <c r="J153" s="72"/>
      <c r="K153" s="72"/>
      <c r="L153" s="72"/>
      <c r="M153" s="324"/>
      <c r="N153" s="324"/>
      <c r="O153" s="429"/>
    </row>
    <row r="154" spans="1:15" ht="12.75" customHeight="1" x14ac:dyDescent="0.2">
      <c r="A154" s="496" t="s">
        <v>683</v>
      </c>
      <c r="B154" s="497" t="s">
        <v>684</v>
      </c>
      <c r="C154" s="504" t="s">
        <v>685</v>
      </c>
      <c r="D154" s="405">
        <v>-9</v>
      </c>
      <c r="E154" s="406">
        <v>0</v>
      </c>
      <c r="F154" s="406">
        <v>0</v>
      </c>
      <c r="G154" s="406">
        <v>-9</v>
      </c>
      <c r="H154" s="407">
        <v>-9</v>
      </c>
      <c r="I154" s="79"/>
      <c r="J154" s="72"/>
      <c r="K154" s="72"/>
      <c r="L154" s="72"/>
      <c r="M154" s="324"/>
      <c r="N154" s="324"/>
      <c r="O154" s="429"/>
    </row>
    <row r="155" spans="1:15" ht="12.75" customHeight="1" x14ac:dyDescent="0.2">
      <c r="A155" s="480" t="s">
        <v>686</v>
      </c>
      <c r="B155" s="499" t="s">
        <v>687</v>
      </c>
      <c r="C155" s="500" t="s">
        <v>688</v>
      </c>
      <c r="D155" s="405">
        <v>-54</v>
      </c>
      <c r="E155" s="406">
        <v>0</v>
      </c>
      <c r="F155" s="406">
        <v>0</v>
      </c>
      <c r="G155" s="406">
        <v>-54</v>
      </c>
      <c r="H155" s="407">
        <v>-54</v>
      </c>
      <c r="I155" s="79"/>
      <c r="J155" s="72"/>
      <c r="K155" s="72"/>
      <c r="L155" s="72"/>
      <c r="M155" s="324"/>
      <c r="N155" s="324"/>
      <c r="O155" s="429"/>
    </row>
    <row r="156" spans="1:15" ht="12.75" customHeight="1" x14ac:dyDescent="0.2">
      <c r="A156" s="507"/>
      <c r="B156" s="508"/>
      <c r="C156" s="509"/>
      <c r="D156" s="322"/>
      <c r="E156" s="272"/>
      <c r="F156" s="272"/>
      <c r="G156" s="272"/>
      <c r="H156" s="273"/>
      <c r="I156" s="79"/>
      <c r="J156" s="71"/>
      <c r="K156" s="71"/>
      <c r="L156" s="71"/>
      <c r="M156" s="319"/>
      <c r="N156" s="319"/>
      <c r="O156" s="428"/>
    </row>
    <row r="157" spans="1:15" ht="12.75" customHeight="1" x14ac:dyDescent="0.2">
      <c r="A157" s="510" t="s">
        <v>145</v>
      </c>
      <c r="B157" s="71"/>
      <c r="C157" s="319"/>
      <c r="D157" s="80"/>
      <c r="E157" s="71"/>
      <c r="F157" s="71"/>
      <c r="G157" s="71"/>
      <c r="H157" s="75"/>
      <c r="I157" s="79"/>
      <c r="J157" s="71"/>
      <c r="K157" s="71"/>
      <c r="L157" s="71"/>
      <c r="M157" s="319"/>
      <c r="N157" s="319"/>
      <c r="O157" s="428"/>
    </row>
    <row r="158" spans="1:15" ht="12.75" customHeight="1" x14ac:dyDescent="0.2">
      <c r="A158" s="511" t="s">
        <v>308</v>
      </c>
      <c r="B158" s="512" t="s">
        <v>309</v>
      </c>
      <c r="C158" s="513" t="s">
        <v>310</v>
      </c>
      <c r="D158" s="360">
        <v>98</v>
      </c>
      <c r="E158" s="361">
        <v>54</v>
      </c>
      <c r="F158" s="361">
        <v>38</v>
      </c>
      <c r="G158" s="361">
        <v>6</v>
      </c>
      <c r="H158" s="362">
        <v>60</v>
      </c>
      <c r="I158" s="77"/>
      <c r="J158" s="302">
        <v>38</v>
      </c>
      <c r="K158" s="71"/>
      <c r="L158" s="71"/>
      <c r="M158" s="319"/>
      <c r="N158" s="319"/>
      <c r="O158" s="428">
        <f>SUM(J158:M158)</f>
        <v>38</v>
      </c>
    </row>
    <row r="159" spans="1:15" ht="12.75" customHeight="1" thickBot="1" x14ac:dyDescent="0.25">
      <c r="A159" s="85"/>
      <c r="B159" s="86"/>
      <c r="C159" s="142"/>
      <c r="D159" s="88"/>
      <c r="E159" s="87"/>
      <c r="F159" s="87"/>
      <c r="G159" s="87"/>
      <c r="H159" s="101"/>
      <c r="I159" s="189"/>
      <c r="J159" s="87"/>
      <c r="K159" s="87"/>
      <c r="L159" s="87"/>
      <c r="M159" s="318"/>
      <c r="N159" s="318"/>
      <c r="O159" s="427"/>
    </row>
    <row r="160" spans="1:15" ht="12.75" customHeight="1" x14ac:dyDescent="0.2">
      <c r="A160" s="84"/>
      <c r="B160" s="74"/>
      <c r="C160" s="143"/>
      <c r="D160" s="139"/>
      <c r="E160" s="74"/>
      <c r="F160" s="74"/>
      <c r="G160" s="89" t="s">
        <v>196</v>
      </c>
      <c r="H160" s="190">
        <f>SUM(H5:H25)+H155+H158</f>
        <v>2517</v>
      </c>
      <c r="I160" s="191"/>
      <c r="J160" s="192">
        <f>SUM(J5:J25)+J158</f>
        <v>537</v>
      </c>
      <c r="K160" s="192">
        <f>SUM(K5:K25)+K158</f>
        <v>627</v>
      </c>
      <c r="L160" s="192">
        <f>SUM(L5:L25)+L158</f>
        <v>541</v>
      </c>
      <c r="M160" s="325">
        <f>SUM(M5:M25)+M158</f>
        <v>518</v>
      </c>
      <c r="N160" s="325">
        <f>SUM(N5:N25)+N158</f>
        <v>296</v>
      </c>
      <c r="O160" s="430">
        <f>SUM(J160:N160)</f>
        <v>2519</v>
      </c>
    </row>
    <row r="161" spans="1:15" ht="12.75" customHeight="1" thickBot="1" x14ac:dyDescent="0.25">
      <c r="A161" s="90"/>
      <c r="B161" s="87"/>
      <c r="C161" s="101"/>
      <c r="D161" s="88"/>
      <c r="E161" s="87"/>
      <c r="F161" s="87"/>
      <c r="G161" s="91" t="s">
        <v>195</v>
      </c>
      <c r="H161" s="193">
        <f>SUM(H26:H154)</f>
        <v>230</v>
      </c>
      <c r="I161" s="189"/>
      <c r="J161" s="194">
        <f t="shared" ref="J161:L161" si="0">$H161/3</f>
        <v>76.666666666666671</v>
      </c>
      <c r="K161" s="194">
        <f t="shared" si="0"/>
        <v>76.666666666666671</v>
      </c>
      <c r="L161" s="194">
        <f t="shared" si="0"/>
        <v>76.666666666666671</v>
      </c>
      <c r="M161" s="318"/>
      <c r="N161" s="318"/>
      <c r="O161" s="427">
        <f>SUM(J161:M161)</f>
        <v>230</v>
      </c>
    </row>
    <row r="162" spans="1:15" ht="12.75" customHeight="1" thickBot="1" x14ac:dyDescent="0.25">
      <c r="A162" s="92"/>
      <c r="B162" s="93"/>
      <c r="C162" s="144"/>
      <c r="D162" s="140"/>
      <c r="E162" s="93"/>
      <c r="F162" s="93"/>
      <c r="G162" s="94" t="s">
        <v>17</v>
      </c>
      <c r="H162" s="195">
        <f>SUM(H5:H158)</f>
        <v>2747</v>
      </c>
      <c r="I162" s="196"/>
      <c r="J162" s="197">
        <f t="shared" ref="J162:M162" si="1">J160+J161</f>
        <v>613.66666666666663</v>
      </c>
      <c r="K162" s="197">
        <f t="shared" si="1"/>
        <v>703.66666666666663</v>
      </c>
      <c r="L162" s="197">
        <f t="shared" si="1"/>
        <v>617.66666666666663</v>
      </c>
      <c r="M162" s="326">
        <f t="shared" si="1"/>
        <v>518</v>
      </c>
      <c r="N162" s="326">
        <f>N160+N161</f>
        <v>296</v>
      </c>
      <c r="O162" s="431">
        <f>SUM(J162:N162)</f>
        <v>2749</v>
      </c>
    </row>
  </sheetData>
  <pageMargins left="0" right="0" top="0" bottom="0" header="0" footer="0"/>
  <pageSetup paperSize="9" fitToWidth="0" fitToHeight="0"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Q98"/>
  <sheetViews>
    <sheetView workbookViewId="0">
      <selection activeCell="T29" sqref="T29"/>
    </sheetView>
  </sheetViews>
  <sheetFormatPr defaultColWidth="6.85546875" defaultRowHeight="12.75" customHeight="1" x14ac:dyDescent="0.2"/>
  <cols>
    <col min="1" max="1" width="23" style="70" customWidth="1"/>
    <col min="2" max="2" width="23.42578125" style="70" customWidth="1"/>
    <col min="3" max="3" width="22.85546875" style="70" customWidth="1"/>
    <col min="4" max="7" width="18.5703125" style="70" customWidth="1"/>
    <col min="8" max="8" width="3.85546875" style="70" customWidth="1"/>
    <col min="9" max="12" width="7.85546875" style="70" customWidth="1"/>
    <col min="13" max="13" width="9.140625" style="70" customWidth="1"/>
    <col min="14" max="14" width="7.85546875" style="70" customWidth="1"/>
    <col min="15" max="16384" width="6.85546875" style="70"/>
  </cols>
  <sheetData>
    <row r="1" spans="1:7" ht="15.75" x14ac:dyDescent="0.2">
      <c r="A1" s="95" t="s">
        <v>249</v>
      </c>
      <c r="B1" s="69"/>
    </row>
    <row r="2" spans="1:7" ht="12.75" customHeight="1" x14ac:dyDescent="0.2">
      <c r="A2" s="95"/>
      <c r="B2" s="69"/>
    </row>
    <row r="3" spans="1:7" ht="12.75" customHeight="1" x14ac:dyDescent="0.2">
      <c r="A3" s="69" t="s">
        <v>527</v>
      </c>
      <c r="B3" s="69"/>
    </row>
    <row r="4" spans="1:7" ht="12.75" customHeight="1" thickBot="1" x14ac:dyDescent="0.25">
      <c r="A4" s="69"/>
      <c r="B4" s="69"/>
    </row>
    <row r="5" spans="1:7" ht="39" thickBot="1" x14ac:dyDescent="0.25">
      <c r="A5" s="116"/>
      <c r="B5" s="117"/>
      <c r="C5" s="160"/>
      <c r="D5" s="161" t="s">
        <v>212</v>
      </c>
      <c r="E5" s="118" t="s">
        <v>213</v>
      </c>
      <c r="F5" s="119" t="s">
        <v>211</v>
      </c>
      <c r="G5" s="120" t="s">
        <v>210</v>
      </c>
    </row>
    <row r="6" spans="1:7" ht="13.5" thickBot="1" x14ac:dyDescent="0.25">
      <c r="A6" s="416" t="s">
        <v>701</v>
      </c>
      <c r="B6" s="417"/>
      <c r="C6" s="418"/>
      <c r="D6" s="419"/>
      <c r="E6" s="420"/>
      <c r="F6" s="421"/>
      <c r="G6" s="422"/>
    </row>
    <row r="7" spans="1:7" ht="12.75" customHeight="1" x14ac:dyDescent="0.2">
      <c r="A7" s="84" t="s">
        <v>699</v>
      </c>
      <c r="B7" s="559" t="s">
        <v>700</v>
      </c>
      <c r="C7" s="143"/>
      <c r="D7" s="139"/>
      <c r="E7" s="74"/>
      <c r="F7" s="74"/>
      <c r="G7" s="143"/>
    </row>
    <row r="8" spans="1:7" ht="12.75" customHeight="1" x14ac:dyDescent="0.2">
      <c r="A8" s="383" t="s">
        <v>182</v>
      </c>
      <c r="B8" s="560" t="s">
        <v>180</v>
      </c>
      <c r="C8" s="387"/>
      <c r="D8" s="409"/>
      <c r="E8" s="302"/>
      <c r="F8" s="302"/>
      <c r="G8" s="387"/>
    </row>
    <row r="9" spans="1:7" ht="12.75" customHeight="1" x14ac:dyDescent="0.2">
      <c r="A9" s="383" t="s">
        <v>181</v>
      </c>
      <c r="B9" s="386">
        <v>45747</v>
      </c>
      <c r="C9" s="410" t="s">
        <v>185</v>
      </c>
      <c r="D9" s="409"/>
      <c r="E9" s="302"/>
      <c r="F9" s="302"/>
      <c r="G9" s="387"/>
    </row>
    <row r="10" spans="1:7" ht="12.75" customHeight="1" thickBot="1" x14ac:dyDescent="0.25">
      <c r="A10" s="561" t="s">
        <v>301</v>
      </c>
      <c r="B10" s="562">
        <v>21</v>
      </c>
      <c r="C10" s="388"/>
      <c r="D10" s="415">
        <f>B10</f>
        <v>21</v>
      </c>
      <c r="E10" s="389"/>
      <c r="F10" s="389"/>
      <c r="G10" s="388"/>
    </row>
    <row r="11" spans="1:7" ht="12.75" customHeight="1" thickBot="1" x14ac:dyDescent="0.25">
      <c r="A11" s="563" t="s">
        <v>689</v>
      </c>
      <c r="B11" s="389"/>
      <c r="C11" s="388"/>
      <c r="D11" s="391"/>
      <c r="E11" s="389"/>
      <c r="F11" s="389"/>
      <c r="G11" s="388"/>
    </row>
    <row r="12" spans="1:7" ht="12.75" customHeight="1" x14ac:dyDescent="0.2">
      <c r="A12" s="564" t="s">
        <v>690</v>
      </c>
      <c r="B12" s="565" t="s">
        <v>691</v>
      </c>
      <c r="C12" s="390"/>
      <c r="D12" s="408"/>
      <c r="E12" s="349"/>
      <c r="F12" s="349"/>
      <c r="G12" s="390"/>
    </row>
    <row r="13" spans="1:7" ht="12.75" customHeight="1" x14ac:dyDescent="0.2">
      <c r="A13" s="383" t="s">
        <v>179</v>
      </c>
      <c r="B13" s="560" t="s">
        <v>183</v>
      </c>
      <c r="C13" s="387"/>
      <c r="D13" s="409"/>
      <c r="E13" s="302"/>
      <c r="F13" s="302"/>
      <c r="G13" s="387"/>
    </row>
    <row r="14" spans="1:7" ht="12.75" customHeight="1" x14ac:dyDescent="0.2">
      <c r="A14" s="383" t="s">
        <v>181</v>
      </c>
      <c r="B14" s="386">
        <v>45747</v>
      </c>
      <c r="C14" s="410" t="s">
        <v>185</v>
      </c>
      <c r="D14" s="409"/>
      <c r="E14" s="302"/>
      <c r="F14" s="302"/>
      <c r="G14" s="387"/>
    </row>
    <row r="15" spans="1:7" ht="12.75" customHeight="1" thickBot="1" x14ac:dyDescent="0.25">
      <c r="A15" s="561" t="s">
        <v>184</v>
      </c>
      <c r="B15" s="562">
        <v>-4</v>
      </c>
      <c r="C15" s="392"/>
      <c r="D15" s="393"/>
      <c r="E15" s="394">
        <f>B15</f>
        <v>-4</v>
      </c>
      <c r="F15" s="395"/>
      <c r="G15" s="392"/>
    </row>
    <row r="16" spans="1:7" ht="12.75" customHeight="1" x14ac:dyDescent="0.2">
      <c r="A16" s="564" t="s">
        <v>690</v>
      </c>
      <c r="B16" s="565" t="s">
        <v>691</v>
      </c>
      <c r="C16" s="390"/>
      <c r="D16" s="408"/>
      <c r="E16" s="349"/>
      <c r="F16" s="349"/>
      <c r="G16" s="390"/>
    </row>
    <row r="17" spans="1:7" ht="12.75" customHeight="1" x14ac:dyDescent="0.2">
      <c r="A17" s="383" t="s">
        <v>182</v>
      </c>
      <c r="B17" s="560" t="s">
        <v>183</v>
      </c>
      <c r="C17" s="387"/>
      <c r="D17" s="409"/>
      <c r="E17" s="302"/>
      <c r="F17" s="302"/>
      <c r="G17" s="387"/>
    </row>
    <row r="18" spans="1:7" ht="12.75" customHeight="1" x14ac:dyDescent="0.2">
      <c r="A18" s="383" t="s">
        <v>181</v>
      </c>
      <c r="B18" s="386">
        <v>45747</v>
      </c>
      <c r="C18" s="410" t="s">
        <v>185</v>
      </c>
      <c r="D18" s="409"/>
      <c r="E18" s="302"/>
      <c r="F18" s="302"/>
      <c r="G18" s="387"/>
    </row>
    <row r="19" spans="1:7" ht="12.75" customHeight="1" thickBot="1" x14ac:dyDescent="0.25">
      <c r="A19" s="561" t="s">
        <v>184</v>
      </c>
      <c r="B19" s="562">
        <v>3</v>
      </c>
      <c r="C19" s="392"/>
      <c r="D19" s="393"/>
      <c r="E19" s="394">
        <v>3</v>
      </c>
      <c r="F19" s="395"/>
      <c r="G19" s="392"/>
    </row>
    <row r="20" spans="1:7" ht="12.75" customHeight="1" x14ac:dyDescent="0.2">
      <c r="A20" s="564" t="s">
        <v>690</v>
      </c>
      <c r="B20" s="565" t="s">
        <v>691</v>
      </c>
      <c r="C20" s="390"/>
      <c r="D20" s="408"/>
      <c r="E20" s="349"/>
      <c r="F20" s="349"/>
      <c r="G20" s="390"/>
    </row>
    <row r="21" spans="1:7" ht="12.75" customHeight="1" x14ac:dyDescent="0.2">
      <c r="A21" s="383" t="s">
        <v>182</v>
      </c>
      <c r="B21" s="560" t="s">
        <v>183</v>
      </c>
      <c r="C21" s="387"/>
      <c r="D21" s="409"/>
      <c r="E21" s="302"/>
      <c r="F21" s="302"/>
      <c r="G21" s="387"/>
    </row>
    <row r="22" spans="1:7" ht="12.75" customHeight="1" x14ac:dyDescent="0.2">
      <c r="A22" s="383" t="s">
        <v>181</v>
      </c>
      <c r="B22" s="386">
        <v>45747</v>
      </c>
      <c r="C22" s="410" t="s">
        <v>185</v>
      </c>
      <c r="D22" s="409"/>
      <c r="E22" s="302"/>
      <c r="F22" s="302"/>
      <c r="G22" s="387"/>
    </row>
    <row r="23" spans="1:7" ht="12.75" customHeight="1" thickBot="1" x14ac:dyDescent="0.25">
      <c r="A23" s="561" t="s">
        <v>184</v>
      </c>
      <c r="B23" s="562">
        <v>3</v>
      </c>
      <c r="C23" s="392"/>
      <c r="D23" s="393"/>
      <c r="E23" s="394">
        <f>B23</f>
        <v>3</v>
      </c>
      <c r="F23" s="395"/>
      <c r="G23" s="392"/>
    </row>
    <row r="24" spans="1:7" ht="12.75" customHeight="1" x14ac:dyDescent="0.2">
      <c r="A24" s="564" t="s">
        <v>690</v>
      </c>
      <c r="B24" s="565" t="s">
        <v>691</v>
      </c>
      <c r="C24" s="390"/>
      <c r="D24" s="408"/>
      <c r="E24" s="349"/>
      <c r="F24" s="349"/>
      <c r="G24" s="390"/>
    </row>
    <row r="25" spans="1:7" ht="12.75" customHeight="1" x14ac:dyDescent="0.2">
      <c r="A25" s="383" t="s">
        <v>182</v>
      </c>
      <c r="B25" s="560" t="s">
        <v>183</v>
      </c>
      <c r="C25" s="387"/>
      <c r="D25" s="409"/>
      <c r="E25" s="302"/>
      <c r="F25" s="302"/>
      <c r="G25" s="387"/>
    </row>
    <row r="26" spans="1:7" ht="12.75" customHeight="1" x14ac:dyDescent="0.2">
      <c r="A26" s="383" t="s">
        <v>181</v>
      </c>
      <c r="B26" s="386">
        <v>45747</v>
      </c>
      <c r="C26" s="410" t="s">
        <v>185</v>
      </c>
      <c r="D26" s="409"/>
      <c r="E26" s="302"/>
      <c r="F26" s="302"/>
      <c r="G26" s="387"/>
    </row>
    <row r="27" spans="1:7" ht="12.75" customHeight="1" thickBot="1" x14ac:dyDescent="0.25">
      <c r="A27" s="561" t="s">
        <v>184</v>
      </c>
      <c r="B27" s="562">
        <v>3</v>
      </c>
      <c r="C27" s="392"/>
      <c r="D27" s="393"/>
      <c r="E27" s="394">
        <f>B27</f>
        <v>3</v>
      </c>
      <c r="F27" s="395"/>
      <c r="G27" s="392"/>
    </row>
    <row r="28" spans="1:7" ht="12.75" customHeight="1" x14ac:dyDescent="0.2">
      <c r="A28" s="564" t="s">
        <v>690</v>
      </c>
      <c r="B28" s="565" t="s">
        <v>691</v>
      </c>
      <c r="C28" s="390"/>
      <c r="D28" s="408"/>
      <c r="E28" s="349"/>
      <c r="F28" s="349"/>
      <c r="G28" s="390"/>
    </row>
    <row r="29" spans="1:7" ht="12.75" customHeight="1" x14ac:dyDescent="0.2">
      <c r="A29" s="383" t="s">
        <v>182</v>
      </c>
      <c r="B29" s="560" t="s">
        <v>183</v>
      </c>
      <c r="C29" s="387"/>
      <c r="D29" s="409"/>
      <c r="E29" s="302"/>
      <c r="F29" s="302"/>
      <c r="G29" s="387"/>
    </row>
    <row r="30" spans="1:7" ht="12.75" customHeight="1" x14ac:dyDescent="0.2">
      <c r="A30" s="383" t="s">
        <v>181</v>
      </c>
      <c r="B30" s="386">
        <v>45747</v>
      </c>
      <c r="C30" s="410" t="s">
        <v>185</v>
      </c>
      <c r="D30" s="409"/>
      <c r="E30" s="302"/>
      <c r="F30" s="302"/>
      <c r="G30" s="387"/>
    </row>
    <row r="31" spans="1:7" ht="12.75" customHeight="1" thickBot="1" x14ac:dyDescent="0.25">
      <c r="A31" s="561" t="s">
        <v>184</v>
      </c>
      <c r="B31" s="562">
        <v>3</v>
      </c>
      <c r="C31" s="392"/>
      <c r="D31" s="393"/>
      <c r="E31" s="394">
        <f>B31</f>
        <v>3</v>
      </c>
      <c r="F31" s="395"/>
      <c r="G31" s="392"/>
    </row>
    <row r="32" spans="1:7" ht="12.75" customHeight="1" x14ac:dyDescent="0.2">
      <c r="A32" s="564" t="s">
        <v>690</v>
      </c>
      <c r="B32" s="565" t="s">
        <v>691</v>
      </c>
      <c r="C32" s="390"/>
      <c r="D32" s="408"/>
      <c r="E32" s="349"/>
      <c r="F32" s="349"/>
      <c r="G32" s="390"/>
    </row>
    <row r="33" spans="1:7" ht="12.75" customHeight="1" x14ac:dyDescent="0.2">
      <c r="A33" s="383" t="s">
        <v>182</v>
      </c>
      <c r="B33" s="560" t="s">
        <v>692</v>
      </c>
      <c r="C33" s="387"/>
      <c r="D33" s="409"/>
      <c r="E33" s="302"/>
      <c r="F33" s="302"/>
      <c r="G33" s="387"/>
    </row>
    <row r="34" spans="1:7" ht="12.75" customHeight="1" x14ac:dyDescent="0.2">
      <c r="A34" s="383" t="s">
        <v>181</v>
      </c>
      <c r="B34" s="386">
        <v>45747</v>
      </c>
      <c r="C34" s="410" t="s">
        <v>342</v>
      </c>
      <c r="D34" s="409"/>
      <c r="E34" s="302"/>
      <c r="F34" s="302"/>
      <c r="G34" s="387"/>
    </row>
    <row r="35" spans="1:7" ht="12.75" customHeight="1" thickBot="1" x14ac:dyDescent="0.25">
      <c r="A35" s="561" t="s">
        <v>184</v>
      </c>
      <c r="B35" s="562">
        <v>12</v>
      </c>
      <c r="C35" s="392"/>
      <c r="D35" s="393"/>
      <c r="E35" s="394"/>
      <c r="F35" s="395"/>
      <c r="G35" s="392">
        <v>12</v>
      </c>
    </row>
    <row r="36" spans="1:7" ht="12.75" customHeight="1" x14ac:dyDescent="0.2">
      <c r="A36" s="564" t="s">
        <v>690</v>
      </c>
      <c r="B36" s="565" t="s">
        <v>691</v>
      </c>
      <c r="C36" s="390"/>
      <c r="D36" s="408"/>
      <c r="E36" s="349"/>
      <c r="F36" s="349"/>
      <c r="G36" s="390"/>
    </row>
    <row r="37" spans="1:7" ht="12.75" customHeight="1" x14ac:dyDescent="0.2">
      <c r="A37" s="383" t="s">
        <v>179</v>
      </c>
      <c r="B37" s="560" t="s">
        <v>692</v>
      </c>
      <c r="C37" s="387"/>
      <c r="D37" s="409"/>
      <c r="E37" s="302"/>
      <c r="F37" s="302"/>
      <c r="G37" s="387"/>
    </row>
    <row r="38" spans="1:7" ht="12.75" customHeight="1" x14ac:dyDescent="0.2">
      <c r="A38" s="383" t="s">
        <v>181</v>
      </c>
      <c r="B38" s="386">
        <v>45747</v>
      </c>
      <c r="C38" s="410" t="s">
        <v>342</v>
      </c>
      <c r="D38" s="409"/>
      <c r="E38" s="302"/>
      <c r="F38" s="302"/>
      <c r="G38" s="387"/>
    </row>
    <row r="39" spans="1:7" ht="12.75" customHeight="1" thickBot="1" x14ac:dyDescent="0.25">
      <c r="A39" s="561" t="s">
        <v>184</v>
      </c>
      <c r="B39" s="562">
        <v>-28</v>
      </c>
      <c r="C39" s="392"/>
      <c r="D39" s="393"/>
      <c r="E39" s="394"/>
      <c r="F39" s="395"/>
      <c r="G39" s="392">
        <v>-28</v>
      </c>
    </row>
    <row r="40" spans="1:7" ht="12.75" customHeight="1" x14ac:dyDescent="0.2">
      <c r="A40" s="566" t="s">
        <v>403</v>
      </c>
      <c r="B40" s="567" t="s">
        <v>532</v>
      </c>
      <c r="C40" s="390"/>
      <c r="D40" s="381"/>
      <c r="E40" s="382"/>
      <c r="F40" s="349"/>
      <c r="G40" s="390"/>
    </row>
    <row r="41" spans="1:7" ht="12.75" customHeight="1" x14ac:dyDescent="0.2">
      <c r="A41" s="383" t="s">
        <v>182</v>
      </c>
      <c r="B41" s="568" t="s">
        <v>183</v>
      </c>
      <c r="C41" s="387"/>
      <c r="D41" s="384"/>
      <c r="E41" s="385"/>
      <c r="F41" s="302"/>
      <c r="G41" s="387"/>
    </row>
    <row r="42" spans="1:7" ht="12.75" customHeight="1" x14ac:dyDescent="0.2">
      <c r="A42" s="383" t="s">
        <v>181</v>
      </c>
      <c r="B42" s="386">
        <v>45747</v>
      </c>
      <c r="C42" s="387" t="s">
        <v>342</v>
      </c>
      <c r="D42" s="384"/>
      <c r="E42" s="385"/>
      <c r="F42" s="302"/>
      <c r="G42" s="387"/>
    </row>
    <row r="43" spans="1:7" ht="12.75" customHeight="1" thickBot="1" x14ac:dyDescent="0.25">
      <c r="A43" s="561" t="s">
        <v>184</v>
      </c>
      <c r="B43" s="562">
        <v>4</v>
      </c>
      <c r="C43" s="392"/>
      <c r="D43" s="396"/>
      <c r="E43" s="394">
        <v>4</v>
      </c>
      <c r="F43" s="395"/>
      <c r="G43" s="392"/>
    </row>
    <row r="44" spans="1:7" ht="12.75" customHeight="1" x14ac:dyDescent="0.2">
      <c r="A44" s="566" t="s">
        <v>367</v>
      </c>
      <c r="B44" s="567" t="s">
        <v>533</v>
      </c>
      <c r="C44" s="390"/>
      <c r="D44" s="381"/>
      <c r="E44" s="382"/>
      <c r="F44" s="349"/>
      <c r="G44" s="390"/>
    </row>
    <row r="45" spans="1:7" ht="12.75" customHeight="1" x14ac:dyDescent="0.2">
      <c r="A45" s="383" t="s">
        <v>179</v>
      </c>
      <c r="B45" s="568" t="s">
        <v>183</v>
      </c>
      <c r="C45" s="387"/>
      <c r="D45" s="384"/>
      <c r="E45" s="385"/>
      <c r="F45" s="302"/>
      <c r="G45" s="387"/>
    </row>
    <row r="46" spans="1:7" ht="12.75" customHeight="1" x14ac:dyDescent="0.2">
      <c r="A46" s="383" t="s">
        <v>181</v>
      </c>
      <c r="B46" s="386">
        <v>45747</v>
      </c>
      <c r="C46" s="387" t="s">
        <v>342</v>
      </c>
      <c r="D46" s="384"/>
      <c r="E46" s="385"/>
      <c r="F46" s="302"/>
      <c r="G46" s="387"/>
    </row>
    <row r="47" spans="1:7" ht="12.75" customHeight="1" thickBot="1" x14ac:dyDescent="0.25">
      <c r="A47" s="561" t="s">
        <v>184</v>
      </c>
      <c r="B47" s="562">
        <v>-5</v>
      </c>
      <c r="C47" s="392"/>
      <c r="D47" s="396"/>
      <c r="E47" s="394">
        <v>-5</v>
      </c>
      <c r="F47" s="395"/>
      <c r="G47" s="392"/>
    </row>
    <row r="48" spans="1:7" ht="12.75" customHeight="1" x14ac:dyDescent="0.2">
      <c r="A48" s="566" t="s">
        <v>406</v>
      </c>
      <c r="B48" s="567" t="s">
        <v>534</v>
      </c>
      <c r="C48" s="390"/>
      <c r="D48" s="381"/>
      <c r="E48" s="382"/>
      <c r="F48" s="349"/>
      <c r="G48" s="390"/>
    </row>
    <row r="49" spans="1:7" ht="12.75" customHeight="1" x14ac:dyDescent="0.2">
      <c r="A49" s="383" t="s">
        <v>182</v>
      </c>
      <c r="B49" s="568" t="s">
        <v>183</v>
      </c>
      <c r="C49" s="387"/>
      <c r="D49" s="384"/>
      <c r="E49" s="385"/>
      <c r="F49" s="302"/>
      <c r="G49" s="387"/>
    </row>
    <row r="50" spans="1:7" ht="12.75" customHeight="1" x14ac:dyDescent="0.2">
      <c r="A50" s="383" t="s">
        <v>181</v>
      </c>
      <c r="B50" s="386">
        <v>45747</v>
      </c>
      <c r="C50" s="387" t="s">
        <v>342</v>
      </c>
      <c r="D50" s="384"/>
      <c r="E50" s="385"/>
      <c r="F50" s="302"/>
      <c r="G50" s="387"/>
    </row>
    <row r="51" spans="1:7" ht="12.75" customHeight="1" thickBot="1" x14ac:dyDescent="0.25">
      <c r="A51" s="561" t="s">
        <v>184</v>
      </c>
      <c r="B51" s="562">
        <v>4</v>
      </c>
      <c r="C51" s="392"/>
      <c r="D51" s="396"/>
      <c r="E51" s="395">
        <v>4</v>
      </c>
      <c r="F51" s="395"/>
      <c r="G51" s="392"/>
    </row>
    <row r="52" spans="1:7" ht="12.75" customHeight="1" x14ac:dyDescent="0.2">
      <c r="A52" s="566" t="s">
        <v>519</v>
      </c>
      <c r="B52" s="567" t="s">
        <v>535</v>
      </c>
      <c r="C52" s="390"/>
      <c r="D52" s="381"/>
      <c r="E52" s="349"/>
      <c r="F52" s="349"/>
      <c r="G52" s="390"/>
    </row>
    <row r="53" spans="1:7" ht="12.75" customHeight="1" x14ac:dyDescent="0.2">
      <c r="A53" s="383" t="s">
        <v>182</v>
      </c>
      <c r="B53" s="568" t="s">
        <v>183</v>
      </c>
      <c r="C53" s="387"/>
      <c r="D53" s="384"/>
      <c r="E53" s="302"/>
      <c r="F53" s="302"/>
      <c r="G53" s="387"/>
    </row>
    <row r="54" spans="1:7" ht="12.75" customHeight="1" x14ac:dyDescent="0.2">
      <c r="A54" s="383" t="s">
        <v>181</v>
      </c>
      <c r="B54" s="386">
        <v>45747</v>
      </c>
      <c r="C54" s="387" t="s">
        <v>342</v>
      </c>
      <c r="D54" s="384"/>
      <c r="E54" s="302"/>
      <c r="F54" s="302"/>
      <c r="G54" s="387"/>
    </row>
    <row r="55" spans="1:7" ht="12.75" customHeight="1" thickBot="1" x14ac:dyDescent="0.25">
      <c r="A55" s="561" t="s">
        <v>184</v>
      </c>
      <c r="B55" s="562">
        <v>4</v>
      </c>
      <c r="C55" s="392"/>
      <c r="D55" s="396"/>
      <c r="E55" s="395">
        <v>4</v>
      </c>
      <c r="F55" s="395"/>
      <c r="G55" s="392"/>
    </row>
    <row r="56" spans="1:7" ht="12.75" customHeight="1" x14ac:dyDescent="0.2">
      <c r="A56" s="569" t="s">
        <v>637</v>
      </c>
      <c r="B56" s="570" t="s">
        <v>693</v>
      </c>
      <c r="C56" s="411"/>
      <c r="D56" s="411"/>
      <c r="E56" s="411"/>
      <c r="F56" s="411"/>
      <c r="G56" s="411"/>
    </row>
    <row r="57" spans="1:7" ht="12.75" customHeight="1" x14ac:dyDescent="0.2">
      <c r="A57" s="560" t="s">
        <v>179</v>
      </c>
      <c r="B57" s="568" t="s">
        <v>692</v>
      </c>
      <c r="C57" s="302"/>
      <c r="D57" s="302"/>
      <c r="E57" s="302"/>
      <c r="F57" s="302"/>
      <c r="G57" s="302"/>
    </row>
    <row r="58" spans="1:7" ht="12.75" customHeight="1" x14ac:dyDescent="0.2">
      <c r="A58" s="560" t="s">
        <v>181</v>
      </c>
      <c r="B58" s="386">
        <v>45747</v>
      </c>
      <c r="C58" s="302"/>
      <c r="D58" s="302"/>
      <c r="E58" s="302"/>
      <c r="F58" s="302"/>
      <c r="G58" s="302"/>
    </row>
    <row r="59" spans="1:7" ht="12.75" customHeight="1" thickBot="1" x14ac:dyDescent="0.25">
      <c r="A59" s="571" t="s">
        <v>184</v>
      </c>
      <c r="B59" s="562">
        <v>-9</v>
      </c>
      <c r="C59" s="395"/>
      <c r="D59" s="395"/>
      <c r="E59" s="395"/>
      <c r="F59" s="395"/>
      <c r="G59" s="395">
        <v>-9</v>
      </c>
    </row>
    <row r="60" spans="1:7" ht="12.75" customHeight="1" x14ac:dyDescent="0.2">
      <c r="A60" s="569" t="s">
        <v>675</v>
      </c>
      <c r="B60" s="570" t="s">
        <v>694</v>
      </c>
      <c r="C60" s="411"/>
      <c r="D60" s="411"/>
      <c r="E60" s="411"/>
      <c r="F60" s="411"/>
      <c r="G60" s="411"/>
    </row>
    <row r="61" spans="1:7" ht="12.75" customHeight="1" x14ac:dyDescent="0.2">
      <c r="A61" s="560" t="s">
        <v>182</v>
      </c>
      <c r="B61" s="568" t="s">
        <v>183</v>
      </c>
      <c r="C61" s="302"/>
      <c r="D61" s="302"/>
      <c r="E61" s="302"/>
      <c r="F61" s="302"/>
      <c r="G61" s="302"/>
    </row>
    <row r="62" spans="1:7" ht="12.75" customHeight="1" x14ac:dyDescent="0.2">
      <c r="A62" s="560" t="s">
        <v>181</v>
      </c>
      <c r="B62" s="386">
        <v>45747</v>
      </c>
      <c r="C62" s="302"/>
      <c r="D62" s="302"/>
      <c r="E62" s="302"/>
      <c r="F62" s="302"/>
      <c r="G62" s="302"/>
    </row>
    <row r="63" spans="1:7" ht="12.75" customHeight="1" thickBot="1" x14ac:dyDescent="0.25">
      <c r="A63" s="572" t="s">
        <v>184</v>
      </c>
      <c r="B63" s="562">
        <v>5</v>
      </c>
      <c r="C63" s="412"/>
      <c r="D63" s="393"/>
      <c r="E63" s="395">
        <v>5</v>
      </c>
      <c r="F63" s="395"/>
      <c r="G63" s="412"/>
    </row>
    <row r="64" spans="1:7" ht="12.75" customHeight="1" x14ac:dyDescent="0.2">
      <c r="A64" s="569" t="s">
        <v>695</v>
      </c>
      <c r="B64" s="570" t="s">
        <v>696</v>
      </c>
      <c r="C64" s="411"/>
      <c r="D64" s="411"/>
      <c r="E64" s="411"/>
      <c r="F64" s="411"/>
      <c r="G64" s="411"/>
    </row>
    <row r="65" spans="1:7" ht="12.75" customHeight="1" x14ac:dyDescent="0.2">
      <c r="A65" s="560" t="s">
        <v>182</v>
      </c>
      <c r="B65" s="568" t="s">
        <v>183</v>
      </c>
      <c r="C65" s="302"/>
      <c r="D65" s="302"/>
      <c r="E65" s="302"/>
      <c r="F65" s="302"/>
      <c r="G65" s="302"/>
    </row>
    <row r="66" spans="1:7" ht="12.75" customHeight="1" x14ac:dyDescent="0.2">
      <c r="A66" s="560" t="s">
        <v>181</v>
      </c>
      <c r="B66" s="386">
        <v>45747</v>
      </c>
      <c r="C66" s="302"/>
      <c r="D66" s="302"/>
      <c r="E66" s="302"/>
      <c r="F66" s="302"/>
      <c r="G66" s="302"/>
    </row>
    <row r="67" spans="1:7" ht="12.75" customHeight="1" thickBot="1" x14ac:dyDescent="0.25">
      <c r="A67" s="571" t="s">
        <v>184</v>
      </c>
      <c r="B67" s="562">
        <v>5</v>
      </c>
      <c r="C67" s="395"/>
      <c r="D67" s="395"/>
      <c r="E67" s="395">
        <v>5</v>
      </c>
      <c r="F67" s="395"/>
      <c r="G67" s="395"/>
    </row>
    <row r="68" spans="1:7" ht="12.75" customHeight="1" x14ac:dyDescent="0.2">
      <c r="A68" s="569" t="s">
        <v>677</v>
      </c>
      <c r="B68" s="570" t="s">
        <v>697</v>
      </c>
      <c r="C68" s="411"/>
      <c r="D68" s="411"/>
      <c r="E68" s="411"/>
      <c r="F68" s="411"/>
      <c r="G68" s="411"/>
    </row>
    <row r="69" spans="1:7" ht="12.75" customHeight="1" x14ac:dyDescent="0.2">
      <c r="A69" s="560" t="s">
        <v>182</v>
      </c>
      <c r="B69" s="568" t="s">
        <v>183</v>
      </c>
      <c r="C69" s="302"/>
      <c r="D69" s="302"/>
      <c r="E69" s="302"/>
      <c r="F69" s="302"/>
      <c r="G69" s="302"/>
    </row>
    <row r="70" spans="1:7" ht="12.75" customHeight="1" x14ac:dyDescent="0.2">
      <c r="A70" s="560" t="s">
        <v>181</v>
      </c>
      <c r="B70" s="386">
        <v>45747</v>
      </c>
      <c r="C70" s="302"/>
      <c r="D70" s="302"/>
      <c r="E70" s="302"/>
      <c r="F70" s="302"/>
      <c r="G70" s="302"/>
    </row>
    <row r="71" spans="1:7" ht="12.75" customHeight="1" thickBot="1" x14ac:dyDescent="0.25">
      <c r="A71" s="571" t="s">
        <v>184</v>
      </c>
      <c r="B71" s="562">
        <v>4</v>
      </c>
      <c r="C71" s="395"/>
      <c r="D71" s="395"/>
      <c r="E71" s="395">
        <v>4</v>
      </c>
      <c r="F71" s="395"/>
      <c r="G71" s="395"/>
    </row>
    <row r="72" spans="1:7" ht="12.75" customHeight="1" x14ac:dyDescent="0.2">
      <c r="A72" s="569" t="s">
        <v>680</v>
      </c>
      <c r="B72" s="570" t="s">
        <v>698</v>
      </c>
      <c r="C72" s="411"/>
      <c r="D72" s="411"/>
      <c r="E72" s="411"/>
      <c r="F72" s="411"/>
      <c r="G72" s="411"/>
    </row>
    <row r="73" spans="1:7" ht="12.75" customHeight="1" x14ac:dyDescent="0.2">
      <c r="A73" s="560" t="s">
        <v>182</v>
      </c>
      <c r="B73" s="568" t="s">
        <v>183</v>
      </c>
      <c r="C73" s="302"/>
      <c r="D73" s="302"/>
      <c r="E73" s="302"/>
      <c r="F73" s="302"/>
      <c r="G73" s="302"/>
    </row>
    <row r="74" spans="1:7" ht="12.75" customHeight="1" x14ac:dyDescent="0.2">
      <c r="A74" s="560" t="s">
        <v>181</v>
      </c>
      <c r="B74" s="386">
        <v>45747</v>
      </c>
      <c r="C74" s="302"/>
      <c r="D74" s="302"/>
      <c r="E74" s="302"/>
      <c r="F74" s="302"/>
      <c r="G74" s="302"/>
    </row>
    <row r="75" spans="1:7" ht="12.75" customHeight="1" thickBot="1" x14ac:dyDescent="0.25">
      <c r="A75" s="571" t="s">
        <v>184</v>
      </c>
      <c r="B75" s="562">
        <v>6</v>
      </c>
      <c r="C75" s="395"/>
      <c r="D75" s="395"/>
      <c r="E75" s="395">
        <v>6</v>
      </c>
      <c r="F75" s="395"/>
      <c r="G75" s="395"/>
    </row>
    <row r="76" spans="1:7" ht="12.75" customHeight="1" x14ac:dyDescent="0.2">
      <c r="A76" s="573" t="s">
        <v>699</v>
      </c>
      <c r="B76" s="570" t="s">
        <v>700</v>
      </c>
      <c r="C76" s="413"/>
      <c r="D76" s="414"/>
      <c r="E76" s="411"/>
      <c r="F76" s="411"/>
      <c r="G76" s="413"/>
    </row>
    <row r="77" spans="1:7" ht="12.75" customHeight="1" x14ac:dyDescent="0.2">
      <c r="A77" s="383" t="s">
        <v>179</v>
      </c>
      <c r="B77" s="568" t="s">
        <v>692</v>
      </c>
      <c r="C77" s="387"/>
      <c r="D77" s="384"/>
      <c r="E77" s="302"/>
      <c r="F77" s="302"/>
      <c r="G77" s="387"/>
    </row>
    <row r="78" spans="1:7" ht="12.75" customHeight="1" x14ac:dyDescent="0.2">
      <c r="A78" s="383" t="s">
        <v>181</v>
      </c>
      <c r="B78" s="386">
        <v>45747</v>
      </c>
      <c r="C78" s="387" t="s">
        <v>342</v>
      </c>
      <c r="D78" s="384"/>
      <c r="E78" s="302"/>
      <c r="F78" s="302"/>
      <c r="G78" s="387"/>
    </row>
    <row r="79" spans="1:7" ht="12.75" customHeight="1" thickBot="1" x14ac:dyDescent="0.25">
      <c r="A79" s="561" t="s">
        <v>184</v>
      </c>
      <c r="B79" s="562">
        <v>-23</v>
      </c>
      <c r="C79" s="392"/>
      <c r="D79" s="396"/>
      <c r="E79" s="395"/>
      <c r="F79" s="395"/>
      <c r="G79" s="392">
        <v>-23</v>
      </c>
    </row>
    <row r="80" spans="1:7" ht="12.75" customHeight="1" thickBot="1" x14ac:dyDescent="0.25">
      <c r="A80" s="563" t="s">
        <v>178</v>
      </c>
      <c r="B80" s="389"/>
      <c r="C80" s="388"/>
      <c r="D80" s="391"/>
      <c r="E80" s="389"/>
      <c r="F80" s="389"/>
      <c r="G80" s="388"/>
    </row>
    <row r="81" spans="1:17" ht="12.75" customHeight="1" x14ac:dyDescent="0.2">
      <c r="A81" s="84" t="s">
        <v>188</v>
      </c>
      <c r="B81" s="574" t="s">
        <v>189</v>
      </c>
      <c r="C81" s="143"/>
      <c r="D81" s="139"/>
      <c r="E81" s="74"/>
      <c r="F81" s="277"/>
      <c r="G81" s="143"/>
    </row>
    <row r="82" spans="1:17" ht="12.75" customHeight="1" x14ac:dyDescent="0.2">
      <c r="A82" s="575" t="s">
        <v>182</v>
      </c>
      <c r="B82" s="576" t="s">
        <v>186</v>
      </c>
      <c r="C82" s="75"/>
      <c r="D82" s="77"/>
      <c r="E82" s="71"/>
      <c r="F82" s="82"/>
      <c r="G82" s="75"/>
    </row>
    <row r="83" spans="1:17" ht="12.75" customHeight="1" x14ac:dyDescent="0.2">
      <c r="A83" s="575" t="s">
        <v>181</v>
      </c>
      <c r="B83" s="577">
        <v>45747</v>
      </c>
      <c r="C83" s="75" t="s">
        <v>342</v>
      </c>
      <c r="D83" s="77"/>
      <c r="E83" s="71"/>
      <c r="F83" s="82"/>
      <c r="G83" s="75"/>
    </row>
    <row r="84" spans="1:17" ht="12.75" customHeight="1" thickBot="1" x14ac:dyDescent="0.25">
      <c r="A84" s="578" t="s">
        <v>187</v>
      </c>
      <c r="B84" s="579">
        <v>200</v>
      </c>
      <c r="C84" s="274"/>
      <c r="D84" s="275"/>
      <c r="E84" s="76"/>
      <c r="F84" s="276">
        <f>B84</f>
        <v>200</v>
      </c>
      <c r="G84" s="274"/>
    </row>
    <row r="85" spans="1:17" ht="12.75" customHeight="1" x14ac:dyDescent="0.2">
      <c r="A85" s="566" t="s">
        <v>529</v>
      </c>
      <c r="B85" s="567" t="s">
        <v>530</v>
      </c>
      <c r="C85" s="350"/>
      <c r="D85" s="381"/>
      <c r="E85" s="349"/>
      <c r="F85" s="382"/>
      <c r="G85" s="143"/>
    </row>
    <row r="86" spans="1:17" ht="12.75" customHeight="1" x14ac:dyDescent="0.2">
      <c r="A86" s="383" t="s">
        <v>182</v>
      </c>
      <c r="B86" s="568" t="s">
        <v>186</v>
      </c>
      <c r="C86" s="316"/>
      <c r="D86" s="384"/>
      <c r="E86" s="302"/>
      <c r="F86" s="385"/>
      <c r="G86" s="75"/>
    </row>
    <row r="87" spans="1:17" ht="12.75" customHeight="1" x14ac:dyDescent="0.2">
      <c r="A87" s="383" t="s">
        <v>181</v>
      </c>
      <c r="B87" s="386">
        <v>45747</v>
      </c>
      <c r="C87" s="316" t="s">
        <v>341</v>
      </c>
      <c r="D87" s="384"/>
      <c r="E87" s="302"/>
      <c r="F87" s="302"/>
      <c r="G87" s="75"/>
    </row>
    <row r="88" spans="1:17" ht="12.75" customHeight="1" x14ac:dyDescent="0.2">
      <c r="A88" s="383" t="s">
        <v>531</v>
      </c>
      <c r="B88" s="386">
        <v>54</v>
      </c>
      <c r="C88" s="316"/>
      <c r="D88" s="384"/>
      <c r="E88" s="302"/>
      <c r="F88" s="302">
        <v>54</v>
      </c>
      <c r="G88" s="75"/>
      <c r="I88" s="330"/>
    </row>
    <row r="89" spans="1:17" ht="12.75" customHeight="1" x14ac:dyDescent="0.2">
      <c r="A89" s="377"/>
      <c r="B89" s="378"/>
      <c r="D89" s="379"/>
      <c r="E89" s="189"/>
      <c r="F89" s="189"/>
      <c r="G89" s="380"/>
    </row>
    <row r="90" spans="1:17" ht="12.75" customHeight="1" x14ac:dyDescent="0.2">
      <c r="A90" s="377" t="s">
        <v>528</v>
      </c>
      <c r="B90" s="378"/>
      <c r="C90" s="148"/>
      <c r="G90" s="148"/>
    </row>
    <row r="91" spans="1:17" ht="12.75" customHeight="1" x14ac:dyDescent="0.2">
      <c r="A91" s="377"/>
      <c r="B91" s="378"/>
      <c r="C91" s="148"/>
      <c r="G91" s="148"/>
    </row>
    <row r="92" spans="1:17" ht="12.75" customHeight="1" thickBot="1" x14ac:dyDescent="0.25">
      <c r="A92" s="78"/>
      <c r="C92" s="148"/>
      <c r="G92" s="148"/>
    </row>
    <row r="93" spans="1:17" ht="12.75" customHeight="1" x14ac:dyDescent="0.2">
      <c r="A93" s="73"/>
      <c r="B93" s="74"/>
      <c r="C93" s="157" t="s">
        <v>17</v>
      </c>
      <c r="D93" s="151">
        <f>SUM(D7:D88)</f>
        <v>21</v>
      </c>
      <c r="E93" s="46">
        <f>SUM(E7:E88)</f>
        <v>35</v>
      </c>
      <c r="F93" s="46">
        <f>SUM(F7:F88)</f>
        <v>254</v>
      </c>
      <c r="G93" s="102">
        <f>SUM(G7:G87)</f>
        <v>-48</v>
      </c>
    </row>
    <row r="94" spans="1:17" ht="12.75" customHeight="1" x14ac:dyDescent="0.2">
      <c r="A94" s="80"/>
      <c r="B94" s="71"/>
      <c r="C94" s="158" t="s">
        <v>191</v>
      </c>
      <c r="D94" s="152">
        <v>1.9</v>
      </c>
      <c r="E94" s="370">
        <v>2.4</v>
      </c>
      <c r="F94" s="370">
        <v>2.4</v>
      </c>
      <c r="G94" s="371">
        <v>2.4</v>
      </c>
    </row>
    <row r="95" spans="1:17" ht="12.75" customHeight="1" thickBot="1" x14ac:dyDescent="0.25">
      <c r="A95" s="99"/>
      <c r="B95" s="76"/>
      <c r="C95" s="159" t="s">
        <v>190</v>
      </c>
      <c r="D95" s="153">
        <f>D93/D94</f>
        <v>11.052631578947368</v>
      </c>
      <c r="E95" s="103">
        <f t="shared" ref="E95:G95" si="0">E93/E94</f>
        <v>14.583333333333334</v>
      </c>
      <c r="F95" s="103">
        <f t="shared" si="0"/>
        <v>105.83333333333334</v>
      </c>
      <c r="G95" s="104">
        <f t="shared" si="0"/>
        <v>-20</v>
      </c>
    </row>
    <row r="96" spans="1:17" ht="12.75" customHeight="1" thickBot="1" x14ac:dyDescent="0.25">
      <c r="A96" s="105"/>
      <c r="B96" s="106"/>
      <c r="C96" s="108"/>
      <c r="D96" s="154"/>
      <c r="E96" s="107"/>
      <c r="F96" s="107"/>
      <c r="G96" s="108"/>
      <c r="K96" s="423" t="s">
        <v>13</v>
      </c>
      <c r="L96" s="423" t="s">
        <v>702</v>
      </c>
      <c r="M96" s="423" t="s">
        <v>15</v>
      </c>
      <c r="N96" s="423"/>
      <c r="O96" s="54"/>
      <c r="P96" s="441"/>
      <c r="Q96" s="96" t="s">
        <v>17</v>
      </c>
    </row>
    <row r="97" spans="1:17" ht="12.75" customHeight="1" x14ac:dyDescent="0.2">
      <c r="A97" s="73"/>
      <c r="B97" s="74"/>
      <c r="C97" s="149" t="s">
        <v>192</v>
      </c>
      <c r="D97" s="155">
        <f>D95</f>
        <v>11.052631578947368</v>
      </c>
      <c r="E97" s="46"/>
      <c r="F97" s="46"/>
      <c r="G97" s="102"/>
      <c r="K97" s="278">
        <f t="shared" ref="K97:M98" si="1">$D97/3</f>
        <v>3.6842105263157894</v>
      </c>
      <c r="L97" s="278">
        <f>$D97/3</f>
        <v>3.6842105263157894</v>
      </c>
      <c r="M97" s="278">
        <f t="shared" si="1"/>
        <v>3.6842105263157894</v>
      </c>
      <c r="N97" s="278"/>
      <c r="O97" s="74"/>
      <c r="P97" s="442"/>
      <c r="Q97" s="97">
        <f>SUM(K97:O97)</f>
        <v>11.052631578947368</v>
      </c>
    </row>
    <row r="98" spans="1:17" ht="12.75" customHeight="1" thickBot="1" x14ac:dyDescent="0.25">
      <c r="A98" s="99"/>
      <c r="B98" s="76"/>
      <c r="C98" s="150" t="s">
        <v>193</v>
      </c>
      <c r="D98" s="156">
        <f>SUM(E95:G95)</f>
        <v>100.41666666666667</v>
      </c>
      <c r="E98" s="53"/>
      <c r="F98" s="53"/>
      <c r="G98" s="100"/>
      <c r="K98" s="279">
        <f t="shared" si="1"/>
        <v>33.472222222222221</v>
      </c>
      <c r="L98" s="279">
        <f>$D98/3</f>
        <v>33.472222222222221</v>
      </c>
      <c r="M98" s="279">
        <f t="shared" si="1"/>
        <v>33.472222222222221</v>
      </c>
      <c r="N98" s="279"/>
      <c r="O98" s="76"/>
      <c r="P98" s="443"/>
      <c r="Q98" s="98">
        <f>SUM(K98:O98)</f>
        <v>100.41666666666666</v>
      </c>
    </row>
  </sheetData>
  <pageMargins left="0" right="0" top="0" bottom="0" header="0" footer="0"/>
  <pageSetup paperSize="9" fitToWidth="0"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pane xSplit="12264"/>
      <selection activeCell="D12" sqref="D12"/>
      <selection pane="topRight" activeCell="B29" sqref="B29"/>
    </sheetView>
  </sheetViews>
  <sheetFormatPr defaultRowHeight="15" x14ac:dyDescent="0.25"/>
  <cols>
    <col min="1" max="1" width="11.28515625" customWidth="1"/>
    <col min="2" max="2" width="37" customWidth="1"/>
    <col min="3" max="8" width="9.28515625" customWidth="1"/>
  </cols>
  <sheetData>
    <row r="1" spans="1:9" ht="21.75" thickBot="1" x14ac:dyDescent="0.4">
      <c r="A1" s="18" t="s">
        <v>132</v>
      </c>
    </row>
    <row r="2" spans="1:9" s="1" customFormat="1" ht="45.75" thickBot="1" x14ac:dyDescent="0.3">
      <c r="A2" s="109" t="s">
        <v>35</v>
      </c>
      <c r="B2" s="48" t="s">
        <v>256</v>
      </c>
      <c r="C2" s="42" t="s">
        <v>204</v>
      </c>
      <c r="D2" s="43" t="s">
        <v>13</v>
      </c>
      <c r="E2" s="43" t="s">
        <v>14</v>
      </c>
      <c r="F2" s="43" t="s">
        <v>15</v>
      </c>
      <c r="G2" s="44" t="s">
        <v>16</v>
      </c>
      <c r="H2" s="129" t="s">
        <v>204</v>
      </c>
      <c r="I2" s="446" t="s">
        <v>205</v>
      </c>
    </row>
    <row r="3" spans="1:9" x14ac:dyDescent="0.25">
      <c r="A3" s="198" t="s">
        <v>36</v>
      </c>
      <c r="B3" s="50" t="s">
        <v>18</v>
      </c>
      <c r="C3" s="199">
        <v>0</v>
      </c>
      <c r="D3" s="36"/>
      <c r="E3" s="36"/>
      <c r="F3" s="36"/>
      <c r="G3" s="39"/>
      <c r="H3" s="466">
        <f t="shared" ref="H3:H11" si="0">SUM(D3:G3)</f>
        <v>0</v>
      </c>
      <c r="I3" s="448"/>
    </row>
    <row r="4" spans="1:9" s="14" customFormat="1" x14ac:dyDescent="0.25">
      <c r="A4" s="200" t="s">
        <v>37</v>
      </c>
      <c r="B4" s="201" t="s">
        <v>130</v>
      </c>
      <c r="C4" s="202">
        <v>0</v>
      </c>
      <c r="D4" s="37"/>
      <c r="E4" s="37"/>
      <c r="F4" s="37"/>
      <c r="G4" s="40"/>
      <c r="H4" s="466">
        <f t="shared" si="0"/>
        <v>0</v>
      </c>
      <c r="I4" s="37"/>
    </row>
    <row r="5" spans="1:9" x14ac:dyDescent="0.25">
      <c r="A5" s="198" t="s">
        <v>38</v>
      </c>
      <c r="B5" s="50" t="s">
        <v>19</v>
      </c>
      <c r="C5" s="199">
        <v>0</v>
      </c>
      <c r="D5" s="36"/>
      <c r="E5" s="36"/>
      <c r="F5" s="36"/>
      <c r="G5" s="39"/>
      <c r="H5" s="466">
        <f t="shared" si="0"/>
        <v>0</v>
      </c>
      <c r="I5" s="36"/>
    </row>
    <row r="6" spans="1:9" x14ac:dyDescent="0.25">
      <c r="A6" s="198" t="s">
        <v>39</v>
      </c>
      <c r="B6" s="50" t="s">
        <v>143</v>
      </c>
      <c r="C6" s="199">
        <v>0</v>
      </c>
      <c r="D6" s="36"/>
      <c r="E6" s="36"/>
      <c r="F6" s="36"/>
      <c r="G6" s="39"/>
      <c r="H6" s="466">
        <f t="shared" si="0"/>
        <v>0</v>
      </c>
      <c r="I6" s="36"/>
    </row>
    <row r="7" spans="1:9" x14ac:dyDescent="0.25">
      <c r="A7" s="198" t="s">
        <v>40</v>
      </c>
      <c r="B7" s="50" t="s">
        <v>20</v>
      </c>
      <c r="C7" s="199">
        <v>0</v>
      </c>
      <c r="D7" s="36"/>
      <c r="E7" s="36"/>
      <c r="F7" s="36"/>
      <c r="G7" s="39"/>
      <c r="H7" s="466">
        <f t="shared" si="0"/>
        <v>0</v>
      </c>
      <c r="I7" s="36"/>
    </row>
    <row r="8" spans="1:9" x14ac:dyDescent="0.25">
      <c r="A8" s="198" t="s">
        <v>41</v>
      </c>
      <c r="B8" s="50" t="s">
        <v>34</v>
      </c>
      <c r="C8" s="199">
        <v>0</v>
      </c>
      <c r="D8" s="36"/>
      <c r="E8" s="36"/>
      <c r="F8" s="36"/>
      <c r="G8" s="39"/>
      <c r="H8" s="466">
        <f t="shared" si="0"/>
        <v>0</v>
      </c>
      <c r="I8" s="36"/>
    </row>
    <row r="9" spans="1:9" s="14" customFormat="1" x14ac:dyDescent="0.25">
      <c r="A9" s="200" t="s">
        <v>45</v>
      </c>
      <c r="B9" s="201" t="s">
        <v>142</v>
      </c>
      <c r="C9" s="202">
        <v>0</v>
      </c>
      <c r="D9" s="37"/>
      <c r="E9" s="37"/>
      <c r="F9" s="37"/>
      <c r="G9" s="40"/>
      <c r="H9" s="466">
        <f t="shared" si="0"/>
        <v>0</v>
      </c>
      <c r="I9" s="37"/>
    </row>
    <row r="10" spans="1:9" ht="15.75" thickBot="1" x14ac:dyDescent="0.3">
      <c r="A10" s="203" t="s">
        <v>55</v>
      </c>
      <c r="B10" s="303" t="s">
        <v>144</v>
      </c>
      <c r="C10" s="204">
        <v>0</v>
      </c>
      <c r="D10" s="205"/>
      <c r="E10" s="206"/>
      <c r="F10" s="206"/>
      <c r="G10" s="207"/>
      <c r="H10" s="467">
        <f t="shared" si="0"/>
        <v>0</v>
      </c>
      <c r="I10" s="123"/>
    </row>
    <row r="11" spans="1:9" s="10" customFormat="1" x14ac:dyDescent="0.25">
      <c r="A11" s="208"/>
      <c r="B11" s="209" t="s">
        <v>17</v>
      </c>
      <c r="C11" s="210">
        <f t="shared" ref="C11:I11" si="1">SUM(C3:C10)</f>
        <v>0</v>
      </c>
      <c r="D11" s="211">
        <f t="shared" si="1"/>
        <v>0</v>
      </c>
      <c r="E11" s="211">
        <f t="shared" si="1"/>
        <v>0</v>
      </c>
      <c r="F11" s="211">
        <f t="shared" si="1"/>
        <v>0</v>
      </c>
      <c r="G11" s="212">
        <f t="shared" si="1"/>
        <v>0</v>
      </c>
      <c r="H11" s="468">
        <f t="shared" si="0"/>
        <v>0</v>
      </c>
      <c r="I11" s="470">
        <f t="shared" si="1"/>
        <v>0</v>
      </c>
    </row>
    <row r="12" spans="1:9" ht="15.75" thickBot="1" x14ac:dyDescent="0.3">
      <c r="A12" s="213"/>
      <c r="B12" s="214" t="s">
        <v>46</v>
      </c>
      <c r="C12" s="215">
        <f>C11*0.9</f>
        <v>0</v>
      </c>
      <c r="D12" s="216">
        <f t="shared" ref="D12:I12" si="2">D11*0.9</f>
        <v>0</v>
      </c>
      <c r="E12" s="216">
        <f t="shared" si="2"/>
        <v>0</v>
      </c>
      <c r="F12" s="216">
        <f t="shared" si="2"/>
        <v>0</v>
      </c>
      <c r="G12" s="217">
        <f t="shared" si="2"/>
        <v>0</v>
      </c>
      <c r="H12" s="469">
        <f t="shared" si="2"/>
        <v>0</v>
      </c>
      <c r="I12" s="215">
        <f t="shared" si="2"/>
        <v>0</v>
      </c>
    </row>
    <row r="13" spans="1:9" x14ac:dyDescent="0.25">
      <c r="B13" s="9"/>
      <c r="C13" s="9"/>
    </row>
    <row r="14" spans="1:9" x14ac:dyDescent="0.25">
      <c r="B14" s="9"/>
      <c r="C14" s="9"/>
    </row>
    <row r="15" spans="1:9" s="1" customFormat="1" x14ac:dyDescent="0.25"/>
    <row r="16" spans="1:9" x14ac:dyDescent="0.25">
      <c r="B16" s="64"/>
    </row>
  </sheetData>
  <pageMargins left="0.23622047244094491" right="0.23622047244094491" top="0.74803149606299213" bottom="0.74803149606299213" header="0.31496062992125984" footer="0.31496062992125984"/>
  <pageSetup paperSize="8" scale="83" fitToHeight="0" orientation="landscape" r:id="rId1"/>
  <headerFooter>
    <oddFooter>&amp;C&amp;P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
  <sheetViews>
    <sheetView workbookViewId="0">
      <selection activeCell="H3" sqref="H3"/>
    </sheetView>
  </sheetViews>
  <sheetFormatPr defaultRowHeight="15" x14ac:dyDescent="0.25"/>
  <cols>
    <col min="1" max="1" width="15.5703125" customWidth="1"/>
    <col min="2" max="2" width="9.140625" customWidth="1"/>
  </cols>
  <sheetData>
    <row r="1" spans="1:8" ht="21.75" thickBot="1" x14ac:dyDescent="0.4">
      <c r="A1" s="18" t="s">
        <v>208</v>
      </c>
      <c r="B1" s="1"/>
    </row>
    <row r="2" spans="1:8" s="2" customFormat="1" ht="45.75" thickBot="1" x14ac:dyDescent="0.3">
      <c r="A2" s="133"/>
      <c r="B2" s="42" t="s">
        <v>204</v>
      </c>
      <c r="C2" s="131" t="s">
        <v>13</v>
      </c>
      <c r="D2" s="131" t="s">
        <v>14</v>
      </c>
      <c r="E2" s="131" t="s">
        <v>15</v>
      </c>
      <c r="F2" s="132" t="s">
        <v>16</v>
      </c>
      <c r="G2" s="42" t="s">
        <v>204</v>
      </c>
      <c r="H2" s="445" t="s">
        <v>205</v>
      </c>
    </row>
    <row r="3" spans="1:8" s="11" customFormat="1" ht="15.75" thickBot="1" x14ac:dyDescent="0.3">
      <c r="A3" s="65" t="s">
        <v>30</v>
      </c>
      <c r="B3" s="60">
        <f>G3</f>
        <v>404</v>
      </c>
      <c r="C3" s="67">
        <v>101</v>
      </c>
      <c r="D3" s="67">
        <v>101</v>
      </c>
      <c r="E3" s="67">
        <v>101</v>
      </c>
      <c r="F3" s="288">
        <v>101</v>
      </c>
      <c r="G3" s="60">
        <f>SUM(C3:F3)</f>
        <v>404</v>
      </c>
      <c r="H3" s="444">
        <v>101</v>
      </c>
    </row>
    <row r="7" spans="1:8" x14ac:dyDescent="0.25">
      <c r="A7" s="64"/>
    </row>
  </sheetData>
  <pageMargins left="0.23622047244094491" right="0.23622047244094491" top="0.74803149606299213" bottom="0.74803149606299213" header="0.31496062992125984" footer="0.31496062992125984"/>
  <pageSetup paperSize="8" fitToHeight="0" orientation="landscape"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9"/>
  <sheetViews>
    <sheetView workbookViewId="0">
      <selection activeCell="K5" sqref="K5"/>
    </sheetView>
  </sheetViews>
  <sheetFormatPr defaultRowHeight="15" x14ac:dyDescent="0.25"/>
  <cols>
    <col min="1" max="1" width="40.85546875" customWidth="1"/>
    <col min="2" max="7" width="9.28515625" customWidth="1"/>
  </cols>
  <sheetData>
    <row r="1" spans="1:8" ht="21.75" thickBot="1" x14ac:dyDescent="0.4">
      <c r="A1" s="18" t="s">
        <v>133</v>
      </c>
    </row>
    <row r="2" spans="1:8" ht="45.75" thickBot="1" x14ac:dyDescent="0.3">
      <c r="A2" s="41"/>
      <c r="B2" s="42" t="s">
        <v>204</v>
      </c>
      <c r="C2" s="43" t="s">
        <v>13</v>
      </c>
      <c r="D2" s="43" t="s">
        <v>14</v>
      </c>
      <c r="E2" s="43" t="s">
        <v>15</v>
      </c>
      <c r="F2" s="48" t="s">
        <v>16</v>
      </c>
      <c r="G2" s="42" t="s">
        <v>204</v>
      </c>
      <c r="H2" s="446" t="s">
        <v>205</v>
      </c>
    </row>
    <row r="3" spans="1:8" x14ac:dyDescent="0.25">
      <c r="A3" s="52" t="s">
        <v>268</v>
      </c>
      <c r="B3" s="52">
        <v>0</v>
      </c>
      <c r="C3" s="47"/>
      <c r="D3" s="47"/>
      <c r="E3" s="47"/>
      <c r="F3" s="49"/>
      <c r="G3" s="447">
        <f>SUM(C3:F3)</f>
        <v>0</v>
      </c>
      <c r="H3" s="448"/>
    </row>
    <row r="4" spans="1:8" x14ac:dyDescent="0.25">
      <c r="A4" s="121" t="s">
        <v>267</v>
      </c>
      <c r="B4" s="121">
        <v>0</v>
      </c>
      <c r="C4" s="36"/>
      <c r="D4" s="36"/>
      <c r="E4" s="36"/>
      <c r="F4" s="50"/>
      <c r="G4" s="265">
        <f>SUM(C4:F4)</f>
        <v>0</v>
      </c>
      <c r="H4" s="36"/>
    </row>
    <row r="5" spans="1:8" ht="15.75" thickBot="1" x14ac:dyDescent="0.3">
      <c r="A5" s="122" t="s">
        <v>270</v>
      </c>
      <c r="B5" s="218">
        <v>0</v>
      </c>
      <c r="C5" s="123"/>
      <c r="D5" s="123"/>
      <c r="E5" s="123"/>
      <c r="F5" s="124"/>
      <c r="G5" s="266">
        <f>SUM(C5:F5)</f>
        <v>0</v>
      </c>
      <c r="H5" s="123"/>
    </row>
    <row r="6" spans="1:8" s="7" customFormat="1" ht="15.75" thickBot="1" x14ac:dyDescent="0.3">
      <c r="A6" s="125" t="s">
        <v>30</v>
      </c>
      <c r="B6" s="219">
        <f>SUM(B3:B5)</f>
        <v>0</v>
      </c>
      <c r="C6" s="126">
        <f t="shared" ref="C6:F6" si="0">SUM(C3:C5)</f>
        <v>0</v>
      </c>
      <c r="D6" s="126">
        <f t="shared" si="0"/>
        <v>0</v>
      </c>
      <c r="E6" s="126">
        <f t="shared" si="0"/>
        <v>0</v>
      </c>
      <c r="F6" s="127">
        <f t="shared" si="0"/>
        <v>0</v>
      </c>
      <c r="G6" s="125">
        <f>SUM(C6:F6)</f>
        <v>0</v>
      </c>
      <c r="H6" s="125">
        <v>0</v>
      </c>
    </row>
    <row r="7" spans="1:8" s="4" customFormat="1" x14ac:dyDescent="0.25"/>
    <row r="8" spans="1:8" x14ac:dyDescent="0.25">
      <c r="A8" t="s">
        <v>271</v>
      </c>
    </row>
    <row r="9" spans="1:8" x14ac:dyDescent="0.25">
      <c r="A9" s="14" t="s">
        <v>269</v>
      </c>
    </row>
  </sheetData>
  <pageMargins left="0.23622047244094491" right="0.23622047244094491" top="0.74803149606299213" bottom="0.74803149606299213" header="0.31496062992125984" footer="0.31496062992125984"/>
  <pageSetup paperSize="8" scale="90" fitToHeight="0" orientation="landscape" r:id="rId1"/>
  <headerFooter>
    <oddFooter>&amp;C&amp;P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8"/>
  <sheetViews>
    <sheetView zoomScaleNormal="100" workbookViewId="0">
      <selection activeCell="H19" sqref="H19"/>
    </sheetView>
  </sheetViews>
  <sheetFormatPr defaultRowHeight="15" x14ac:dyDescent="0.25"/>
  <cols>
    <col min="1" max="1" width="10.85546875" customWidth="1"/>
    <col min="2" max="2" width="46.42578125" customWidth="1"/>
    <col min="3" max="7" width="9.28515625" customWidth="1"/>
  </cols>
  <sheetData>
    <row r="1" spans="1:13" ht="24" customHeight="1" thickBot="1" x14ac:dyDescent="0.4">
      <c r="A1" s="18" t="s">
        <v>134</v>
      </c>
    </row>
    <row r="2" spans="1:13" ht="60.75" thickBot="1" x14ac:dyDescent="0.3">
      <c r="A2" s="111" t="s">
        <v>250</v>
      </c>
      <c r="B2" s="112" t="s">
        <v>256</v>
      </c>
      <c r="C2" s="42" t="s">
        <v>204</v>
      </c>
      <c r="D2" s="43" t="s">
        <v>13</v>
      </c>
      <c r="E2" s="43" t="s">
        <v>14</v>
      </c>
      <c r="F2" s="43" t="s">
        <v>15</v>
      </c>
      <c r="G2" s="48" t="s">
        <v>16</v>
      </c>
      <c r="H2" s="307" t="s">
        <v>204</v>
      </c>
      <c r="I2" s="445" t="s">
        <v>205</v>
      </c>
      <c r="J2" s="309" t="s">
        <v>411</v>
      </c>
      <c r="K2" s="1"/>
    </row>
    <row r="3" spans="1:13" x14ac:dyDescent="0.25">
      <c r="A3" s="552" t="s">
        <v>253</v>
      </c>
      <c r="B3" s="553" t="s">
        <v>43</v>
      </c>
      <c r="C3" s="220">
        <v>0</v>
      </c>
      <c r="D3" s="554"/>
      <c r="E3" s="554"/>
      <c r="F3" s="554"/>
      <c r="G3" s="555"/>
      <c r="H3" s="556">
        <f>SUM(D3:G3)</f>
        <v>0</v>
      </c>
      <c r="I3" s="557"/>
      <c r="J3" s="199">
        <v>300</v>
      </c>
    </row>
    <row r="4" spans="1:13" x14ac:dyDescent="0.25">
      <c r="A4" s="198" t="s">
        <v>251</v>
      </c>
      <c r="B4" s="363" t="s">
        <v>254</v>
      </c>
      <c r="C4" s="199">
        <v>30</v>
      </c>
      <c r="D4" s="37"/>
      <c r="E4" s="37"/>
      <c r="F4" s="37"/>
      <c r="G4" s="201">
        <v>30</v>
      </c>
      <c r="H4" s="558">
        <f>SUM(D4:G4)</f>
        <v>30</v>
      </c>
      <c r="I4" s="558">
        <v>40</v>
      </c>
      <c r="J4" s="199">
        <v>217</v>
      </c>
      <c r="K4" s="9"/>
      <c r="L4" s="9"/>
      <c r="M4" s="9"/>
    </row>
    <row r="5" spans="1:13" s="14" customFormat="1" x14ac:dyDescent="0.25">
      <c r="A5" s="200" t="s">
        <v>257</v>
      </c>
      <c r="B5" s="364" t="s">
        <v>258</v>
      </c>
      <c r="C5" s="202">
        <v>0</v>
      </c>
      <c r="D5" s="37"/>
      <c r="E5" s="37"/>
      <c r="F5" s="37"/>
      <c r="G5" s="201"/>
      <c r="H5" s="558">
        <f>SUM(D5:G5)</f>
        <v>0</v>
      </c>
      <c r="I5" s="558"/>
      <c r="J5" s="199">
        <v>19</v>
      </c>
    </row>
    <row r="6" spans="1:13" x14ac:dyDescent="0.25">
      <c r="A6" s="198" t="s">
        <v>252</v>
      </c>
      <c r="B6" s="364" t="s">
        <v>255</v>
      </c>
      <c r="C6" s="202">
        <v>16</v>
      </c>
      <c r="D6" s="37"/>
      <c r="E6" s="37"/>
      <c r="F6" s="37"/>
      <c r="G6" s="201">
        <v>16</v>
      </c>
      <c r="H6" s="558">
        <v>16</v>
      </c>
      <c r="I6" s="558">
        <v>40</v>
      </c>
      <c r="J6" s="199">
        <v>74</v>
      </c>
      <c r="K6" s="9"/>
    </row>
    <row r="7" spans="1:13" s="14" customFormat="1" ht="15.75" thickBot="1" x14ac:dyDescent="0.3">
      <c r="A7" s="203" t="s">
        <v>259</v>
      </c>
      <c r="B7" s="365" t="s">
        <v>412</v>
      </c>
      <c r="C7" s="204">
        <v>90</v>
      </c>
      <c r="D7" s="205"/>
      <c r="E7" s="205"/>
      <c r="F7" s="205">
        <v>40</v>
      </c>
      <c r="G7" s="366">
        <v>40</v>
      </c>
      <c r="H7" s="367">
        <f>SUM(D7:G7)</f>
        <v>80</v>
      </c>
      <c r="I7" s="451">
        <v>10</v>
      </c>
      <c r="J7" s="199">
        <v>10</v>
      </c>
    </row>
    <row r="8" spans="1:13" s="1" customFormat="1" ht="15.75" thickBot="1" x14ac:dyDescent="0.3">
      <c r="A8" s="221"/>
      <c r="B8" s="219" t="s">
        <v>17</v>
      </c>
      <c r="C8" s="222">
        <f t="shared" ref="C8:G8" si="0">SUM(C3:C7)</f>
        <v>136</v>
      </c>
      <c r="D8" s="223">
        <f t="shared" si="0"/>
        <v>0</v>
      </c>
      <c r="E8" s="223">
        <f t="shared" si="0"/>
        <v>0</v>
      </c>
      <c r="F8" s="223">
        <f t="shared" si="0"/>
        <v>40</v>
      </c>
      <c r="G8" s="224">
        <f t="shared" si="0"/>
        <v>86</v>
      </c>
      <c r="H8" s="308">
        <f>SUM(D8:G8)</f>
        <v>126</v>
      </c>
      <c r="I8" s="125">
        <f>SUM(I3:I7)</f>
        <v>90</v>
      </c>
      <c r="J8" s="204">
        <f>SUM(J3:J7)</f>
        <v>620</v>
      </c>
    </row>
    <row r="11" spans="1:13" x14ac:dyDescent="0.25">
      <c r="A11" s="1"/>
      <c r="B11" s="9"/>
    </row>
    <row r="12" spans="1:13" x14ac:dyDescent="0.25">
      <c r="B12" s="9"/>
    </row>
    <row r="13" spans="1:13" x14ac:dyDescent="0.25">
      <c r="B13" s="9"/>
    </row>
    <row r="14" spans="1:13" x14ac:dyDescent="0.25">
      <c r="B14" s="9"/>
    </row>
    <row r="17" spans="1:1" x14ac:dyDescent="0.25">
      <c r="A17" s="6"/>
    </row>
    <row r="18" spans="1:1" x14ac:dyDescent="0.25">
      <c r="A18" s="2"/>
    </row>
  </sheetData>
  <pageMargins left="0.23622047244094491" right="0.23622047244094491" top="0.74803149606299213" bottom="0.74803149606299213" header="0.31496062992125984" footer="0.31496062992125984"/>
  <pageSetup paperSize="8" scale="81" fitToHeight="0" orientation="landscape" r:id="rId1"/>
  <headerFooter>
    <oddFooter>&amp;C&amp;P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7"/>
  <sheetViews>
    <sheetView zoomScale="75" zoomScaleNormal="75" workbookViewId="0">
      <pane xSplit="3" ySplit="2" topLeftCell="D3" activePane="bottomRight" state="frozen"/>
      <selection pane="topRight" activeCell="D1" sqref="D1"/>
      <selection pane="bottomLeft" activeCell="A3" sqref="A3"/>
      <selection pane="bottomRight" activeCell="T7" sqref="T7"/>
    </sheetView>
  </sheetViews>
  <sheetFormatPr defaultRowHeight="15" x14ac:dyDescent="0.25"/>
  <cols>
    <col min="1" max="1" width="10.85546875" customWidth="1"/>
    <col min="2" max="2" width="45.140625" customWidth="1"/>
    <col min="3" max="3" width="9.85546875" customWidth="1"/>
    <col min="4" max="7" width="9.28515625" customWidth="1"/>
    <col min="12" max="12" width="13.140625" customWidth="1"/>
  </cols>
  <sheetData>
    <row r="1" spans="1:20" s="1" customFormat="1" ht="21.75" thickBot="1" x14ac:dyDescent="0.4">
      <c r="A1" s="18" t="s">
        <v>135</v>
      </c>
    </row>
    <row r="2" spans="1:20" ht="60.75" thickBot="1" x14ac:dyDescent="0.3">
      <c r="A2" s="113" t="s">
        <v>250</v>
      </c>
      <c r="B2" s="114" t="s">
        <v>256</v>
      </c>
      <c r="C2" s="42" t="s">
        <v>204</v>
      </c>
      <c r="D2" s="43" t="s">
        <v>13</v>
      </c>
      <c r="E2" s="43" t="s">
        <v>14</v>
      </c>
      <c r="F2" s="43" t="s">
        <v>15</v>
      </c>
      <c r="G2" s="44" t="s">
        <v>16</v>
      </c>
      <c r="H2" s="129" t="s">
        <v>204</v>
      </c>
      <c r="I2" s="162" t="s">
        <v>205</v>
      </c>
      <c r="J2" s="163" t="s">
        <v>206</v>
      </c>
      <c r="K2" s="163" t="s">
        <v>207</v>
      </c>
      <c r="L2" s="163" t="s">
        <v>272</v>
      </c>
      <c r="M2" s="163" t="s">
        <v>273</v>
      </c>
      <c r="N2" s="163" t="s">
        <v>274</v>
      </c>
      <c r="O2" s="163" t="s">
        <v>275</v>
      </c>
      <c r="P2" s="163" t="s">
        <v>276</v>
      </c>
      <c r="Q2" s="269" t="s">
        <v>306</v>
      </c>
      <c r="R2" s="269" t="s">
        <v>307</v>
      </c>
      <c r="S2" s="445" t="s">
        <v>718</v>
      </c>
      <c r="T2" s="1"/>
    </row>
    <row r="3" spans="1:20" x14ac:dyDescent="0.25">
      <c r="A3" s="225"/>
      <c r="B3" s="226" t="s">
        <v>137</v>
      </c>
      <c r="C3" s="220"/>
      <c r="D3" s="227"/>
      <c r="E3" s="227"/>
      <c r="F3" s="227"/>
      <c r="G3" s="228"/>
      <c r="H3" s="220">
        <f>SUM(D3:G3)</f>
        <v>0</v>
      </c>
      <c r="I3" s="225"/>
      <c r="J3" s="47"/>
      <c r="K3" s="47"/>
      <c r="L3" s="47"/>
      <c r="M3" s="47"/>
      <c r="N3" s="47"/>
      <c r="O3" s="47"/>
      <c r="P3" s="47"/>
      <c r="Q3" s="49"/>
      <c r="R3" s="49"/>
      <c r="S3" s="448"/>
    </row>
    <row r="4" spans="1:20" x14ac:dyDescent="0.25">
      <c r="A4" s="198" t="s">
        <v>304</v>
      </c>
      <c r="B4" s="363" t="s">
        <v>305</v>
      </c>
      <c r="C4" s="202">
        <v>0</v>
      </c>
      <c r="D4" s="37"/>
      <c r="E4" s="37"/>
      <c r="F4" s="37"/>
      <c r="G4" s="40"/>
      <c r="H4" s="199">
        <f>SUM(D4:G4)</f>
        <v>0</v>
      </c>
      <c r="I4" s="198"/>
      <c r="J4" s="36">
        <v>50</v>
      </c>
      <c r="K4" s="36">
        <v>50</v>
      </c>
      <c r="L4" s="36">
        <v>50</v>
      </c>
      <c r="M4" s="36">
        <v>50</v>
      </c>
      <c r="N4" s="36">
        <v>50</v>
      </c>
      <c r="O4" s="36">
        <v>50</v>
      </c>
      <c r="P4" s="36"/>
      <c r="Q4" s="50"/>
      <c r="R4" s="50"/>
      <c r="S4" s="36">
        <f t="shared" ref="S4:S10" si="0">SUM(I4:R4)</f>
        <v>300</v>
      </c>
      <c r="T4" s="306"/>
    </row>
    <row r="5" spans="1:20" x14ac:dyDescent="0.25">
      <c r="A5" s="198" t="s">
        <v>260</v>
      </c>
      <c r="B5" s="363" t="s">
        <v>262</v>
      </c>
      <c r="C5" s="199">
        <v>0</v>
      </c>
      <c r="E5" s="37"/>
      <c r="F5" s="37"/>
      <c r="G5" s="40"/>
      <c r="H5" s="199">
        <f>SUM(D5:G5)</f>
        <v>0</v>
      </c>
      <c r="I5" s="198"/>
      <c r="J5" s="36">
        <v>40</v>
      </c>
      <c r="K5" s="36">
        <v>40</v>
      </c>
      <c r="L5" s="36"/>
      <c r="M5" s="36"/>
      <c r="N5" s="36"/>
      <c r="O5" s="36"/>
      <c r="P5" s="36"/>
      <c r="Q5" s="50"/>
      <c r="R5" s="50"/>
      <c r="S5" s="36">
        <f t="shared" si="0"/>
        <v>80</v>
      </c>
    </row>
    <row r="6" spans="1:20" x14ac:dyDescent="0.25">
      <c r="A6" s="198"/>
      <c r="B6" s="38" t="s">
        <v>138</v>
      </c>
      <c r="C6" s="202"/>
      <c r="D6" s="37"/>
      <c r="E6" s="37"/>
      <c r="F6" s="37"/>
      <c r="G6" s="40"/>
      <c r="H6" s="199">
        <f>SUM(D6:G6)</f>
        <v>0</v>
      </c>
      <c r="I6" s="198"/>
      <c r="J6" s="36"/>
      <c r="K6" s="36"/>
      <c r="L6" s="36"/>
      <c r="M6" s="36"/>
      <c r="N6" s="36"/>
      <c r="O6" s="36"/>
      <c r="P6" s="36"/>
      <c r="Q6" s="50"/>
      <c r="R6" s="50"/>
      <c r="S6" s="36">
        <f t="shared" si="0"/>
        <v>0</v>
      </c>
    </row>
    <row r="7" spans="1:20" x14ac:dyDescent="0.25">
      <c r="A7" s="198" t="s">
        <v>538</v>
      </c>
      <c r="B7" s="363" t="s">
        <v>539</v>
      </c>
      <c r="C7" s="202">
        <v>55</v>
      </c>
      <c r="D7" s="37"/>
      <c r="E7" s="37"/>
      <c r="F7" s="37">
        <v>10</v>
      </c>
      <c r="G7" s="40">
        <v>45</v>
      </c>
      <c r="H7" s="199">
        <v>55</v>
      </c>
      <c r="I7" s="198"/>
      <c r="J7" s="36"/>
      <c r="K7" s="36"/>
      <c r="L7" s="36"/>
      <c r="M7" s="36"/>
      <c r="N7" s="36"/>
      <c r="O7" s="36"/>
      <c r="P7" s="36"/>
      <c r="Q7" s="50"/>
      <c r="R7" s="50"/>
      <c r="S7" s="36">
        <f t="shared" si="0"/>
        <v>0</v>
      </c>
    </row>
    <row r="8" spans="1:20" s="14" customFormat="1" x14ac:dyDescent="0.25">
      <c r="A8" s="200" t="s">
        <v>302</v>
      </c>
      <c r="B8" s="364" t="s">
        <v>303</v>
      </c>
      <c r="C8" s="202">
        <v>0</v>
      </c>
      <c r="D8" s="37"/>
      <c r="E8" s="37"/>
      <c r="F8" s="37"/>
      <c r="G8" s="40"/>
      <c r="H8" s="202">
        <f>SUM(D8:G8)</f>
        <v>0</v>
      </c>
      <c r="I8" s="200"/>
      <c r="J8" s="37">
        <v>50</v>
      </c>
      <c r="K8" s="37">
        <v>50</v>
      </c>
      <c r="L8" s="37">
        <v>50</v>
      </c>
      <c r="M8" s="37">
        <v>50</v>
      </c>
      <c r="N8" s="37"/>
      <c r="O8" s="37"/>
      <c r="P8" s="37"/>
      <c r="Q8" s="201"/>
      <c r="R8" s="201"/>
      <c r="S8" s="37">
        <f t="shared" si="0"/>
        <v>200</v>
      </c>
    </row>
    <row r="9" spans="1:20" x14ac:dyDescent="0.25">
      <c r="A9" s="198"/>
      <c r="B9" s="38" t="s">
        <v>139</v>
      </c>
      <c r="C9" s="199"/>
      <c r="D9" s="37"/>
      <c r="E9" s="37"/>
      <c r="F9" s="37"/>
      <c r="G9" s="40"/>
      <c r="H9" s="202">
        <f>SUM(D9:G9)</f>
        <v>0</v>
      </c>
      <c r="I9" s="198"/>
      <c r="J9" s="36"/>
      <c r="K9" s="36"/>
      <c r="L9" s="36"/>
      <c r="M9" s="36"/>
      <c r="N9" s="36"/>
      <c r="O9" s="36"/>
      <c r="P9" s="36"/>
      <c r="Q9" s="50"/>
      <c r="R9" s="50"/>
      <c r="S9" s="36">
        <f t="shared" si="0"/>
        <v>0</v>
      </c>
    </row>
    <row r="10" spans="1:20" ht="15.75" thickBot="1" x14ac:dyDescent="0.3">
      <c r="A10" s="198" t="s">
        <v>261</v>
      </c>
      <c r="B10" s="364" t="s">
        <v>263</v>
      </c>
      <c r="C10" s="202">
        <v>0</v>
      </c>
      <c r="D10" s="37"/>
      <c r="E10" s="37"/>
      <c r="F10" s="37"/>
      <c r="G10" s="40"/>
      <c r="H10" s="202">
        <f>SUM(D10:G10)</f>
        <v>0</v>
      </c>
      <c r="I10" s="198"/>
      <c r="J10" s="36">
        <v>20</v>
      </c>
      <c r="K10" s="36"/>
      <c r="L10" s="36"/>
      <c r="M10" s="36"/>
      <c r="N10" s="36"/>
      <c r="O10" s="36"/>
      <c r="P10" s="36"/>
      <c r="Q10" s="50"/>
      <c r="R10" s="50"/>
      <c r="S10" s="123">
        <f t="shared" si="0"/>
        <v>20</v>
      </c>
    </row>
    <row r="11" spans="1:20" ht="15.75" thickBot="1" x14ac:dyDescent="0.3">
      <c r="A11" s="164"/>
      <c r="B11" s="229" t="s">
        <v>17</v>
      </c>
      <c r="C11" s="222">
        <f t="shared" ref="C11:G11" si="1">SUM(C4:C10)</f>
        <v>55</v>
      </c>
      <c r="D11" s="223">
        <f t="shared" si="1"/>
        <v>0</v>
      </c>
      <c r="E11" s="223">
        <f t="shared" si="1"/>
        <v>0</v>
      </c>
      <c r="F11" s="223">
        <f t="shared" si="1"/>
        <v>10</v>
      </c>
      <c r="G11" s="230">
        <f t="shared" si="1"/>
        <v>45</v>
      </c>
      <c r="H11" s="222">
        <f>SUM(D11:G11)</f>
        <v>55</v>
      </c>
      <c r="I11" s="164">
        <f t="shared" ref="I11:N11" si="2">SUM(I4:I10)</f>
        <v>0</v>
      </c>
      <c r="J11" s="165">
        <f t="shared" si="2"/>
        <v>160</v>
      </c>
      <c r="K11" s="165">
        <f t="shared" si="2"/>
        <v>140</v>
      </c>
      <c r="L11" s="165">
        <f t="shared" si="2"/>
        <v>100</v>
      </c>
      <c r="M11" s="165">
        <f t="shared" si="2"/>
        <v>100</v>
      </c>
      <c r="N11" s="165">
        <f t="shared" si="2"/>
        <v>50</v>
      </c>
      <c r="O11" s="165"/>
      <c r="P11" s="165"/>
      <c r="Q11" s="270"/>
      <c r="R11" s="270"/>
      <c r="S11" s="452">
        <f>SUM(S4:S10)</f>
        <v>600</v>
      </c>
    </row>
    <row r="13" spans="1:20" x14ac:dyDescent="0.25">
      <c r="A13" s="1"/>
    </row>
    <row r="14" spans="1:20" x14ac:dyDescent="0.25">
      <c r="B14" s="9"/>
    </row>
    <row r="15" spans="1:20" x14ac:dyDescent="0.25">
      <c r="A15" s="7"/>
      <c r="B15" s="14"/>
    </row>
    <row r="16" spans="1:20" x14ac:dyDescent="0.25">
      <c r="A16" s="35"/>
    </row>
    <row r="17" spans="2:2" x14ac:dyDescent="0.25">
      <c r="B17" s="14"/>
    </row>
  </sheetData>
  <phoneticPr fontId="34" type="noConversion"/>
  <pageMargins left="0.23622047244094491" right="0.23622047244094491" top="0.74803149606299213" bottom="0.74803149606299213" header="0.31496062992125984" footer="0.31496062992125984"/>
  <pageSetup paperSize="8" scale="68" fitToHeight="0" orientation="landscape" r:id="rId1"/>
  <headerFooter>
    <oddFooter>&amp;C&amp;P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a) All Sites</vt:lpstr>
      <vt:lpstr>b1) Commitments outline</vt:lpstr>
      <vt:lpstr>b2) Commitments full</vt:lpstr>
      <vt:lpstr>b3) Commitments shared accom</vt:lpstr>
      <vt:lpstr>c) Small SHLAA Sites</vt:lpstr>
      <vt:lpstr>d) Windfalls</vt:lpstr>
      <vt:lpstr>e) Canalside &amp; Emp Areas</vt:lpstr>
      <vt:lpstr>f) Allocated Bfield Sites</vt:lpstr>
      <vt:lpstr>g) Allocated Gfield Sites</vt:lpstr>
      <vt:lpstr>h) Allocated Sites Villages</vt:lpstr>
      <vt:lpstr>Supply by Spatial Area</vt:lpstr>
      <vt:lpstr>Supply by Village</vt:lpstr>
      <vt:lpstr>cheese</vt:lpstr>
      <vt:lpstr>'f) Allocated Bfield Sites'!Print_Area</vt:lpstr>
    </vt:vector>
  </TitlesOfParts>
  <Company>Warwick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Jones</dc:creator>
  <cp:lastModifiedBy>Sarah Cleverley</cp:lastModifiedBy>
  <cp:lastPrinted>2018-07-05T14:05:12Z</cp:lastPrinted>
  <dcterms:created xsi:type="dcterms:W3CDTF">2014-01-22T09:36:47Z</dcterms:created>
  <dcterms:modified xsi:type="dcterms:W3CDTF">2025-12-19T15:42:26Z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f64b5a-70e3-4d13-98dc-9c006fabbb8e_Enabled">
    <vt:lpwstr>true</vt:lpwstr>
  </property>
  <property fmtid="{D5CDD505-2E9C-101B-9397-08002B2CF9AE}" pid="3" name="MSIP_Label_c6f64b5a-70e3-4d13-98dc-9c006fabbb8e_SetDate">
    <vt:lpwstr>2022-10-28T13:09:54Z</vt:lpwstr>
  </property>
  <property fmtid="{D5CDD505-2E9C-101B-9397-08002B2CF9AE}" pid="4" name="MSIP_Label_c6f64b5a-70e3-4d13-98dc-9c006fabbb8e_Method">
    <vt:lpwstr>Standard</vt:lpwstr>
  </property>
  <property fmtid="{D5CDD505-2E9C-101B-9397-08002B2CF9AE}" pid="5" name="MSIP_Label_c6f64b5a-70e3-4d13-98dc-9c006fabbb8e_Name">
    <vt:lpwstr>Not Classified</vt:lpwstr>
  </property>
  <property fmtid="{D5CDD505-2E9C-101B-9397-08002B2CF9AE}" pid="6" name="MSIP_Label_c6f64b5a-70e3-4d13-98dc-9c006fabbb8e_SiteId">
    <vt:lpwstr>a299760a-16eb-4f36-84d7-1c6fdd63f547</vt:lpwstr>
  </property>
  <property fmtid="{D5CDD505-2E9C-101B-9397-08002B2CF9AE}" pid="7" name="MSIP_Label_c6f64b5a-70e3-4d13-98dc-9c006fabbb8e_ActionId">
    <vt:lpwstr>fdd339b0-2ce3-4edf-b740-2440583f9b64</vt:lpwstr>
  </property>
  <property fmtid="{D5CDD505-2E9C-101B-9397-08002B2CF9AE}" pid="8" name="MSIP_Label_c6f64b5a-70e3-4d13-98dc-9c006fabbb8e_ContentBits">
    <vt:lpwstr>0</vt:lpwstr>
  </property>
</Properties>
</file>